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40" yWindow="5700" windowWidth="20730" windowHeight="6525" tabRatio="927"/>
  </bookViews>
  <sheets>
    <sheet name="General Info" sheetId="1" r:id="rId1"/>
    <sheet name="Requirements" sheetId="39" r:id="rId2"/>
    <sheet name="DefCap" sheetId="56" r:id="rId3"/>
    <sheet name="DefCap-MI" sheetId="66" r:id="rId4"/>
    <sheet name="Floors" sheetId="57" r:id="rId5"/>
    <sheet name="Leverage Ratio" sheetId="32" r:id="rId6"/>
    <sheet name="LCR" sheetId="8" r:id="rId7"/>
    <sheet name="NSFR" sheetId="30" r:id="rId8"/>
    <sheet name="BB SA general" sheetId="61" r:id="rId9"/>
    <sheet name="BB SA additional" sheetId="62" r:id="rId10"/>
    <sheet name="TB general" sheetId="40" r:id="rId11"/>
    <sheet name="TB SBA" sheetId="52" r:id="rId12"/>
    <sheet name="TB IMA" sheetId="37" r:id="rId13"/>
    <sheet name="TB IMA P&amp;L" sheetId="64" r:id="rId14"/>
    <sheet name="TLAC holdings" sheetId="60" r:id="rId15"/>
    <sheet name="G-SIB TLAC external" sheetId="58" r:id="rId16"/>
    <sheet name="G-SIB TLAC internal" sheetId="59" r:id="rId17"/>
    <sheet name="G-SIB TLAC location" sheetId="65" r:id="rId18"/>
    <sheet name="Checks" sheetId="22" r:id="rId19"/>
    <sheet name="Parameters" sheetId="20" r:id="rId20"/>
  </sheets>
  <externalReferences>
    <externalReference r:id="rId21"/>
  </externalReferences>
  <definedNames>
    <definedName name="Accounting" localSheetId="3">[1]Parameters!$D$119:$D$121</definedName>
    <definedName name="Accounting">Parameters!$D$192:$D$194</definedName>
    <definedName name="ApprovalStatus">Parameters!$D$211:$D$212</definedName>
    <definedName name="BankType">Parameters!$D$195:$D$197</definedName>
    <definedName name="BankTypeNumeric">Parameters!$C$198:$C$204</definedName>
    <definedName name="Basel12">Parameters!$D$190:$D$191</definedName>
    <definedName name="CCROTC">Parameters!$D$175:$D$177</definedName>
    <definedName name="CCRSFT">Parameters!$D$178:$D$181</definedName>
    <definedName name="CreditRisk">Parameters!$D$182:$D$183</definedName>
    <definedName name="CreditRiskEquity">Parameters!$D$184:$D$185</definedName>
    <definedName name="Group">Parameters!$D$170:$D$171</definedName>
    <definedName name="LegalEntity">Parameters!$D$343:$D$345</definedName>
    <definedName name="OpRisk">Parameters!$D$186:$D$189</definedName>
    <definedName name="PartialUseIrbCalc">Parameters!$D$205:$D$210</definedName>
    <definedName name="_xlnm.Print_Area" localSheetId="9">'BB SA additional'!$A$1:$Q$96</definedName>
    <definedName name="_xlnm.Print_Area" localSheetId="8">'BB SA general'!$A$1:$X$1299</definedName>
    <definedName name="_xlnm.Print_Area" localSheetId="18">Checks!$A$1:$N$162</definedName>
    <definedName name="_xlnm.Print_Area" localSheetId="2">DefCap!$A$1:$G$113</definedName>
    <definedName name="_xlnm.Print_Area" localSheetId="3">'DefCap-MI'!$A$1:$AI$32</definedName>
    <definedName name="_xlnm.Print_Area" localSheetId="0">'General Info'!$A$1:$K$94</definedName>
    <definedName name="_xlnm.Print_Area" localSheetId="15">'G-SIB TLAC external'!$A$1:$L$111</definedName>
    <definedName name="_xlnm.Print_Area" localSheetId="16">'G-SIB TLAC internal'!$A$1:$AC$48</definedName>
    <definedName name="_xlnm.Print_Area" localSheetId="17">'G-SIB TLAC location'!$A$1:$S$52</definedName>
    <definedName name="_xlnm.Print_Area" localSheetId="6">LCR!$A$1:$K$444</definedName>
    <definedName name="_xlnm.Print_Area" localSheetId="5">'Leverage Ratio'!$A$1:$O$198</definedName>
    <definedName name="_xlnm.Print_Area" localSheetId="7">NSFR!$A$1:$P$379</definedName>
    <definedName name="_xlnm.Print_Area" localSheetId="19">Parameters!$A$1:$I$165</definedName>
    <definedName name="_xlnm.Print_Area" localSheetId="1">Requirements!$A$1:$I$47</definedName>
    <definedName name="_xlnm.Print_Area" localSheetId="10">'TB general'!$A$1:$I$194</definedName>
    <definedName name="_xlnm.Print_Area" localSheetId="12">'TB IMA'!$A$1:$H$115</definedName>
    <definedName name="_xlnm.Print_Area" localSheetId="13">'TB IMA P&amp;L'!$A$1:$DT$316</definedName>
    <definedName name="_xlnm.Print_Area" localSheetId="11">'TB SBA'!$A$1:$IE$45,'TB SBA'!$A$46:$AC$71,'TB SBA'!$A$72:$Y$119,'TB SBA'!$A$120:$AC$165,'TB SBA'!$A$166:$Q$196</definedName>
    <definedName name="_xlnm.Print_Area" localSheetId="14">'TLAC holdings'!$A$1:$F$51</definedName>
    <definedName name="_xlnm.Print_Titles" localSheetId="9">'BB SA additional'!$A:$B</definedName>
    <definedName name="_xlnm.Print_Titles" localSheetId="8">'BB SA general'!$B:$D</definedName>
    <definedName name="_xlnm.Print_Titles" localSheetId="18">Checks!$1:$1</definedName>
    <definedName name="_xlnm.Print_Titles" localSheetId="4">Floors!$A:$B</definedName>
    <definedName name="_xlnm.Print_Titles" localSheetId="0">'General Info'!$A:$B</definedName>
    <definedName name="_xlnm.Print_Titles" localSheetId="15">'G-SIB TLAC external'!$A:$B</definedName>
    <definedName name="_xlnm.Print_Titles" localSheetId="16">'G-SIB TLAC internal'!$A:$B</definedName>
    <definedName name="_xlnm.Print_Titles" localSheetId="17">'G-SIB TLAC location'!$A:$F</definedName>
    <definedName name="_xlnm.Print_Titles" localSheetId="19">Parameters!$1:$1</definedName>
    <definedName name="_xlnm.Print_Titles" localSheetId="1">Requirements!$A:$B</definedName>
    <definedName name="_xlnm.Print_Titles" localSheetId="10">'TB general'!$B:$B</definedName>
    <definedName name="_xlnm.Print_Titles" localSheetId="12">'TB IMA'!$B:$B</definedName>
    <definedName name="_xlnm.Print_Titles" localSheetId="13">'TB IMA P&amp;L'!$B:$B</definedName>
    <definedName name="_xlnm.Print_Titles" localSheetId="11">'TB SBA'!$B:$E</definedName>
    <definedName name="QNumeric100">Parameters!$C$219:$C$318</definedName>
    <definedName name="QNumeric3">Parameters!$C$219:$C$221</definedName>
    <definedName name="QNumeric5">Parameters!$C$219:$C$223</definedName>
    <definedName name="QNumeric6">Parameters!$C$219:$C$224</definedName>
    <definedName name="QNumericZ100">Parameters!$C$218:$C$318</definedName>
    <definedName name="RegDesks">Parameters!$D$319:$D$339</definedName>
    <definedName name="RiskClass">Parameters!$D$213:$D$217</definedName>
    <definedName name="SecuritisationHierarchy">Parameters!$D$340:$D$342</definedName>
    <definedName name="UnitT">Parameters!$E$172:$F$174</definedName>
    <definedName name="UnitW">Parameters!$D$172:$D$174</definedName>
    <definedName name="YesNo">Parameters!$D$167:$D$168</definedName>
    <definedName name="YesNoNA">Parameters!$D$167:$D$169</definedName>
    <definedName name="Z_15489521_78C1_4B59_8BC9_AACD7EBC6362_.wvu.PrintArea" localSheetId="9" hidden="1">'BB SA additional'!$A$1:$E$1,'BB SA additional'!#REF!</definedName>
    <definedName name="Z_15489521_78C1_4B59_8BC9_AACD7EBC6362_.wvu.PrintArea" localSheetId="18" hidden="1">Checks!$A$1:$N$162</definedName>
    <definedName name="Z_15489521_78C1_4B59_8BC9_AACD7EBC6362_.wvu.PrintArea" localSheetId="2" hidden="1">DefCap!#REF!</definedName>
    <definedName name="Z_15489521_78C1_4B59_8BC9_AACD7EBC6362_.wvu.PrintArea" localSheetId="3" hidden="1">'DefCap-MI'!#REF!</definedName>
    <definedName name="Z_15489521_78C1_4B59_8BC9_AACD7EBC6362_.wvu.PrintArea" localSheetId="4" hidden="1">Floors!$A$1:$C$1,Floors!#REF!</definedName>
    <definedName name="Z_15489521_78C1_4B59_8BC9_AACD7EBC6362_.wvu.PrintArea" localSheetId="15" hidden="1">'G-SIB TLAC external'!$A$1:$C$1,'G-SIB TLAC external'!#REF!</definedName>
    <definedName name="Z_15489521_78C1_4B59_8BC9_AACD7EBC6362_.wvu.PrintArea" localSheetId="16" hidden="1">'G-SIB TLAC internal'!$A$1:$C$1,'G-SIB TLAC internal'!#REF!</definedName>
    <definedName name="Z_15489521_78C1_4B59_8BC9_AACD7EBC6362_.wvu.PrintArea" localSheetId="17" hidden="1">'G-SIB TLAC location'!$A$1:$C$1,'G-SIB TLAC location'!#REF!</definedName>
    <definedName name="Z_15489521_78C1_4B59_8BC9_AACD7EBC6362_.wvu.PrintArea" localSheetId="5" hidden="1">'Leverage Ratio'!#REF!</definedName>
    <definedName name="Z_15489521_78C1_4B59_8BC9_AACD7EBC6362_.wvu.PrintArea" localSheetId="7" hidden="1">NSFR!#REF!</definedName>
    <definedName name="Z_15489521_78C1_4B59_8BC9_AACD7EBC6362_.wvu.PrintArea" localSheetId="1" hidden="1">Requirements!$A$1:$C$47,Requirements!#REF!</definedName>
    <definedName name="Z_15489521_78C1_4B59_8BC9_AACD7EBC6362_.wvu.PrintArea" localSheetId="14" hidden="1">'TLAC holdings'!#REF!</definedName>
    <definedName name="Z_15489521_78C1_4B59_8BC9_AACD7EBC6362_.wvu.PrintTitles" localSheetId="9" hidden="1">'BB SA additional'!$A:$B</definedName>
    <definedName name="Z_15489521_78C1_4B59_8BC9_AACD7EBC6362_.wvu.PrintTitles" localSheetId="18" hidden="1">Checks!$1:$1</definedName>
    <definedName name="Z_15489521_78C1_4B59_8BC9_AACD7EBC6362_.wvu.PrintTitles" localSheetId="2" hidden="1">DefCap!#REF!</definedName>
    <definedName name="Z_15489521_78C1_4B59_8BC9_AACD7EBC6362_.wvu.PrintTitles" localSheetId="3" hidden="1">'DefCap-MI'!#REF!</definedName>
    <definedName name="Z_15489521_78C1_4B59_8BC9_AACD7EBC6362_.wvu.PrintTitles" localSheetId="4" hidden="1">Floors!$A:$B</definedName>
    <definedName name="Z_15489521_78C1_4B59_8BC9_AACD7EBC6362_.wvu.PrintTitles" localSheetId="15" hidden="1">'G-SIB TLAC external'!$A:$B</definedName>
    <definedName name="Z_15489521_78C1_4B59_8BC9_AACD7EBC6362_.wvu.PrintTitles" localSheetId="16" hidden="1">'G-SIB TLAC internal'!$A:$B</definedName>
    <definedName name="Z_15489521_78C1_4B59_8BC9_AACD7EBC6362_.wvu.PrintTitles" localSheetId="17" hidden="1">'G-SIB TLAC location'!$A:$B</definedName>
    <definedName name="Z_15489521_78C1_4B59_8BC9_AACD7EBC6362_.wvu.PrintTitles" localSheetId="5" hidden="1">'Leverage Ratio'!#REF!</definedName>
    <definedName name="Z_15489521_78C1_4B59_8BC9_AACD7EBC6362_.wvu.PrintTitles" localSheetId="1" hidden="1">Requirements!$A:$B</definedName>
    <definedName name="Z_15489521_78C1_4B59_8BC9_AACD7EBC6362_.wvu.PrintTitles" localSheetId="14" hidden="1">'TLAC holdings'!#REF!</definedName>
    <definedName name="Z_53E8D147_A870_4F3F_BF63_24587CEF7636_.wvu.PrintArea" localSheetId="9" hidden="1">'BB SA additional'!$A$1:$E$1,'BB SA additional'!#REF!</definedName>
    <definedName name="Z_53E8D147_A870_4F3F_BF63_24587CEF7636_.wvu.PrintArea" localSheetId="18" hidden="1">Checks!$A$1:$N$162</definedName>
    <definedName name="Z_53E8D147_A870_4F3F_BF63_24587CEF7636_.wvu.PrintArea" localSheetId="2" hidden="1">DefCap!#REF!</definedName>
    <definedName name="Z_53E8D147_A870_4F3F_BF63_24587CEF7636_.wvu.PrintArea" localSheetId="3" hidden="1">'DefCap-MI'!#REF!</definedName>
    <definedName name="Z_53E8D147_A870_4F3F_BF63_24587CEF7636_.wvu.PrintArea" localSheetId="4" hidden="1">Floors!$A$1:$C$1,Floors!#REF!</definedName>
    <definedName name="Z_53E8D147_A870_4F3F_BF63_24587CEF7636_.wvu.PrintArea" localSheetId="15" hidden="1">'G-SIB TLAC external'!$A$1:$C$1,'G-SIB TLAC external'!#REF!</definedName>
    <definedName name="Z_53E8D147_A870_4F3F_BF63_24587CEF7636_.wvu.PrintArea" localSheetId="16" hidden="1">'G-SIB TLAC internal'!$A$1:$C$1,'G-SIB TLAC internal'!#REF!</definedName>
    <definedName name="Z_53E8D147_A870_4F3F_BF63_24587CEF7636_.wvu.PrintArea" localSheetId="17" hidden="1">'G-SIB TLAC location'!$A$1:$C$1,'G-SIB TLAC location'!#REF!</definedName>
    <definedName name="Z_53E8D147_A870_4F3F_BF63_24587CEF7636_.wvu.PrintArea" localSheetId="6" hidden="1">LCR!#REF!</definedName>
    <definedName name="Z_53E8D147_A870_4F3F_BF63_24587CEF7636_.wvu.PrintArea" localSheetId="5" hidden="1">'Leverage Ratio'!#REF!</definedName>
    <definedName name="Z_53E8D147_A870_4F3F_BF63_24587CEF7636_.wvu.PrintArea" localSheetId="7" hidden="1">NSFR!#REF!</definedName>
    <definedName name="Z_53E8D147_A870_4F3F_BF63_24587CEF7636_.wvu.PrintArea" localSheetId="1" hidden="1">Requirements!$A$1:$C$47,Requirements!#REF!</definedName>
    <definedName name="Z_53E8D147_A870_4F3F_BF63_24587CEF7636_.wvu.PrintArea" localSheetId="14" hidden="1">'TLAC holdings'!#REF!</definedName>
    <definedName name="Z_53E8D147_A870_4F3F_BF63_24587CEF7636_.wvu.PrintTitles" localSheetId="9" hidden="1">'BB SA additional'!$A:$B</definedName>
    <definedName name="Z_53E8D147_A870_4F3F_BF63_24587CEF7636_.wvu.PrintTitles" localSheetId="18" hidden="1">Checks!$1:$1</definedName>
    <definedName name="Z_53E8D147_A870_4F3F_BF63_24587CEF7636_.wvu.PrintTitles" localSheetId="2" hidden="1">DefCap!#REF!</definedName>
    <definedName name="Z_53E8D147_A870_4F3F_BF63_24587CEF7636_.wvu.PrintTitles" localSheetId="3" hidden="1">'DefCap-MI'!#REF!</definedName>
    <definedName name="Z_53E8D147_A870_4F3F_BF63_24587CEF7636_.wvu.PrintTitles" localSheetId="4" hidden="1">Floors!$A:$B</definedName>
    <definedName name="Z_53E8D147_A870_4F3F_BF63_24587CEF7636_.wvu.PrintTitles" localSheetId="15" hidden="1">'G-SIB TLAC external'!$A:$B</definedName>
    <definedName name="Z_53E8D147_A870_4F3F_BF63_24587CEF7636_.wvu.PrintTitles" localSheetId="16" hidden="1">'G-SIB TLAC internal'!$A:$B</definedName>
    <definedName name="Z_53E8D147_A870_4F3F_BF63_24587CEF7636_.wvu.PrintTitles" localSheetId="17" hidden="1">'G-SIB TLAC location'!$A:$B</definedName>
    <definedName name="Z_53E8D147_A870_4F3F_BF63_24587CEF7636_.wvu.PrintTitles" localSheetId="6" hidden="1">LCR!#REF!</definedName>
    <definedName name="Z_53E8D147_A870_4F3F_BF63_24587CEF7636_.wvu.PrintTitles" localSheetId="5" hidden="1">'Leverage Ratio'!#REF!</definedName>
    <definedName name="Z_53E8D147_A870_4F3F_BF63_24587CEF7636_.wvu.PrintTitles" localSheetId="7" hidden="1">NSFR!#REF!</definedName>
    <definedName name="Z_53E8D147_A870_4F3F_BF63_24587CEF7636_.wvu.PrintTitles" localSheetId="1" hidden="1">Requirements!$A:$B</definedName>
    <definedName name="Z_53E8D147_A870_4F3F_BF63_24587CEF7636_.wvu.PrintTitles" localSheetId="14" hidden="1">'TLAC holdings'!#REF!</definedName>
    <definedName name="Z_7608A575_AD39_4DFE_B654_965E0A886A86_.wvu.PrintArea" localSheetId="9" hidden="1">'BB SA additional'!$A$1:$E$1,'BB SA additional'!#REF!</definedName>
    <definedName name="Z_7608A575_AD39_4DFE_B654_965E0A886A86_.wvu.PrintArea" localSheetId="18" hidden="1">Checks!$A$1:$N$162</definedName>
    <definedName name="Z_7608A575_AD39_4DFE_B654_965E0A886A86_.wvu.PrintArea" localSheetId="2" hidden="1">DefCap!#REF!</definedName>
    <definedName name="Z_7608A575_AD39_4DFE_B654_965E0A886A86_.wvu.PrintArea" localSheetId="3" hidden="1">'DefCap-MI'!#REF!</definedName>
    <definedName name="Z_7608A575_AD39_4DFE_B654_965E0A886A86_.wvu.PrintArea" localSheetId="4" hidden="1">Floors!$A$1:$C$1,Floors!#REF!</definedName>
    <definedName name="Z_7608A575_AD39_4DFE_B654_965E0A886A86_.wvu.PrintArea" localSheetId="15" hidden="1">'G-SIB TLAC external'!$A$1:$C$1,'G-SIB TLAC external'!#REF!</definedName>
    <definedName name="Z_7608A575_AD39_4DFE_B654_965E0A886A86_.wvu.PrintArea" localSheetId="16" hidden="1">'G-SIB TLAC internal'!$A$1:$C$1,'G-SIB TLAC internal'!#REF!</definedName>
    <definedName name="Z_7608A575_AD39_4DFE_B654_965E0A886A86_.wvu.PrintArea" localSheetId="17" hidden="1">'G-SIB TLAC location'!$A$1:$C$1,'G-SIB TLAC location'!#REF!</definedName>
    <definedName name="Z_7608A575_AD39_4DFE_B654_965E0A886A86_.wvu.PrintArea" localSheetId="5" hidden="1">'Leverage Ratio'!#REF!</definedName>
    <definedName name="Z_7608A575_AD39_4DFE_B654_965E0A886A86_.wvu.PrintArea" localSheetId="7" hidden="1">NSFR!#REF!</definedName>
    <definedName name="Z_7608A575_AD39_4DFE_B654_965E0A886A86_.wvu.PrintArea" localSheetId="1" hidden="1">Requirements!$A$1:$C$47,Requirements!#REF!</definedName>
    <definedName name="Z_7608A575_AD39_4DFE_B654_965E0A886A86_.wvu.PrintArea" localSheetId="14" hidden="1">'TLAC holdings'!#REF!</definedName>
    <definedName name="Z_7608A575_AD39_4DFE_B654_965E0A886A86_.wvu.PrintTitles" localSheetId="9" hidden="1">'BB SA additional'!$A:$B</definedName>
    <definedName name="Z_7608A575_AD39_4DFE_B654_965E0A886A86_.wvu.PrintTitles" localSheetId="18" hidden="1">Checks!$1:$1</definedName>
    <definedName name="Z_7608A575_AD39_4DFE_B654_965E0A886A86_.wvu.PrintTitles" localSheetId="2" hidden="1">DefCap!#REF!</definedName>
    <definedName name="Z_7608A575_AD39_4DFE_B654_965E0A886A86_.wvu.PrintTitles" localSheetId="3" hidden="1">'DefCap-MI'!#REF!</definedName>
    <definedName name="Z_7608A575_AD39_4DFE_B654_965E0A886A86_.wvu.PrintTitles" localSheetId="4" hidden="1">Floors!$A:$B</definedName>
    <definedName name="Z_7608A575_AD39_4DFE_B654_965E0A886A86_.wvu.PrintTitles" localSheetId="15" hidden="1">'G-SIB TLAC external'!$A:$B</definedName>
    <definedName name="Z_7608A575_AD39_4DFE_B654_965E0A886A86_.wvu.PrintTitles" localSheetId="16" hidden="1">'G-SIB TLAC internal'!$A:$B</definedName>
    <definedName name="Z_7608A575_AD39_4DFE_B654_965E0A886A86_.wvu.PrintTitles" localSheetId="17" hidden="1">'G-SIB TLAC location'!$A:$B</definedName>
    <definedName name="Z_7608A575_AD39_4DFE_B654_965E0A886A86_.wvu.PrintTitles" localSheetId="5" hidden="1">'Leverage Ratio'!#REF!</definedName>
    <definedName name="Z_7608A575_AD39_4DFE_B654_965E0A886A86_.wvu.PrintTitles" localSheetId="1" hidden="1">Requirements!$A:$B</definedName>
    <definedName name="Z_7608A575_AD39_4DFE_B654_965E0A886A86_.wvu.PrintTitles" localSheetId="14" hidden="1">'TLAC holdings'!#REF!</definedName>
  </definedNames>
  <calcPr calcId="145621"/>
</workbook>
</file>

<file path=xl/calcChain.xml><?xml version="1.0" encoding="utf-8"?>
<calcChain xmlns="http://schemas.openxmlformats.org/spreadsheetml/2006/main">
  <c r="F50" i="56" l="1"/>
  <c r="F49" i="56"/>
  <c r="F48" i="56"/>
  <c r="F47" i="56"/>
  <c r="P51" i="61" l="1"/>
  <c r="O51" i="61"/>
  <c r="N51" i="61"/>
  <c r="M51" i="61"/>
  <c r="L51" i="61"/>
  <c r="K51" i="61"/>
  <c r="J51" i="61"/>
  <c r="I51" i="61"/>
  <c r="H51" i="61"/>
  <c r="P50" i="61"/>
  <c r="O50" i="61"/>
  <c r="N50" i="61"/>
  <c r="M50" i="61"/>
  <c r="L50" i="61"/>
  <c r="K50" i="61"/>
  <c r="J50" i="61"/>
  <c r="I50" i="61"/>
  <c r="H50" i="61"/>
  <c r="P49" i="61"/>
  <c r="O49" i="61"/>
  <c r="N49" i="61"/>
  <c r="M49" i="61"/>
  <c r="L49" i="61"/>
  <c r="K49" i="61"/>
  <c r="J49" i="61"/>
  <c r="I49" i="61"/>
  <c r="H49" i="61"/>
  <c r="P48" i="61"/>
  <c r="O48" i="61"/>
  <c r="N48" i="61"/>
  <c r="M48" i="61"/>
  <c r="L48" i="61"/>
  <c r="K48" i="61"/>
  <c r="J48" i="61"/>
  <c r="I48" i="61"/>
  <c r="H48" i="61"/>
  <c r="P46" i="61"/>
  <c r="O46" i="61"/>
  <c r="N46" i="61"/>
  <c r="M46" i="61"/>
  <c r="L46" i="61"/>
  <c r="K46" i="61"/>
  <c r="J46" i="61"/>
  <c r="I46" i="61"/>
  <c r="H46" i="61"/>
  <c r="P45" i="61"/>
  <c r="O45" i="61"/>
  <c r="N45" i="61"/>
  <c r="M45" i="61"/>
  <c r="L45" i="61"/>
  <c r="K45" i="61"/>
  <c r="J45" i="61"/>
  <c r="I45" i="61"/>
  <c r="H45" i="61"/>
  <c r="P43" i="61"/>
  <c r="O43" i="61"/>
  <c r="N43" i="61"/>
  <c r="M43" i="61"/>
  <c r="L43" i="61"/>
  <c r="K43" i="61"/>
  <c r="J43" i="61"/>
  <c r="I43" i="61"/>
  <c r="H43" i="61"/>
  <c r="P42" i="61"/>
  <c r="O42" i="61"/>
  <c r="N42" i="61"/>
  <c r="M42" i="61"/>
  <c r="L42" i="61"/>
  <c r="K42" i="61"/>
  <c r="J42" i="61"/>
  <c r="I42" i="61"/>
  <c r="H42" i="61"/>
  <c r="P40" i="61"/>
  <c r="O40" i="61"/>
  <c r="N40" i="61"/>
  <c r="M40" i="61"/>
  <c r="L40" i="61"/>
  <c r="K40" i="61"/>
  <c r="J40" i="61"/>
  <c r="I40" i="61"/>
  <c r="H40" i="61"/>
  <c r="P38" i="61"/>
  <c r="O38" i="61"/>
  <c r="N38" i="61"/>
  <c r="M38" i="61"/>
  <c r="L38" i="61"/>
  <c r="K38" i="61"/>
  <c r="J38" i="61"/>
  <c r="I38" i="61"/>
  <c r="H38" i="61"/>
  <c r="P37" i="61"/>
  <c r="O37" i="61"/>
  <c r="N37" i="61"/>
  <c r="M37" i="61"/>
  <c r="L37" i="61"/>
  <c r="K37" i="61"/>
  <c r="J37" i="61"/>
  <c r="I37" i="61"/>
  <c r="H37" i="61"/>
  <c r="P34" i="61"/>
  <c r="O34" i="61"/>
  <c r="N34" i="61"/>
  <c r="M34" i="61"/>
  <c r="L34" i="61"/>
  <c r="K34" i="61"/>
  <c r="J34" i="61"/>
  <c r="I34" i="61"/>
  <c r="H34" i="61"/>
  <c r="P32" i="61"/>
  <c r="O32" i="61"/>
  <c r="N32" i="61"/>
  <c r="M32" i="61"/>
  <c r="L32" i="61"/>
  <c r="K32" i="61"/>
  <c r="J32" i="61"/>
  <c r="I32" i="61"/>
  <c r="H32" i="61"/>
  <c r="P30" i="61"/>
  <c r="O30" i="61"/>
  <c r="N30" i="61"/>
  <c r="M30" i="61"/>
  <c r="L30" i="61"/>
  <c r="K30" i="61"/>
  <c r="J30" i="61"/>
  <c r="I30" i="61"/>
  <c r="H30" i="61"/>
  <c r="P28" i="61"/>
  <c r="O28" i="61"/>
  <c r="N28" i="61"/>
  <c r="M28" i="61"/>
  <c r="L28" i="61"/>
  <c r="K28" i="61"/>
  <c r="J28" i="61"/>
  <c r="I28" i="61"/>
  <c r="H28" i="61"/>
  <c r="P26" i="61"/>
  <c r="O26" i="61"/>
  <c r="N26" i="61"/>
  <c r="M26" i="61"/>
  <c r="L26" i="61"/>
  <c r="K26" i="61"/>
  <c r="J26" i="61"/>
  <c r="I26" i="61"/>
  <c r="H26" i="61"/>
  <c r="G51" i="61"/>
  <c r="G50" i="61"/>
  <c r="G49" i="61"/>
  <c r="G48" i="61"/>
  <c r="G46" i="61"/>
  <c r="G45" i="61"/>
  <c r="G43" i="61"/>
  <c r="G42" i="61"/>
  <c r="G40" i="61"/>
  <c r="G38" i="61"/>
  <c r="G37" i="61"/>
  <c r="G34" i="61"/>
  <c r="G32" i="61"/>
  <c r="G30" i="61"/>
  <c r="G28" i="61"/>
  <c r="G26" i="61"/>
  <c r="O247" i="30" l="1"/>
  <c r="O370" i="30" l="1"/>
  <c r="O369" i="30"/>
  <c r="O362" i="30"/>
  <c r="O361" i="30"/>
  <c r="O350" i="30"/>
  <c r="O349" i="30"/>
  <c r="O334" i="30"/>
  <c r="O333" i="30"/>
  <c r="O330" i="30"/>
  <c r="O329" i="30"/>
  <c r="O326" i="30"/>
  <c r="O325" i="30"/>
  <c r="O322" i="30"/>
  <c r="O321" i="30"/>
  <c r="O318" i="30"/>
  <c r="O317" i="30"/>
  <c r="O314" i="30"/>
  <c r="O313" i="30"/>
  <c r="O310" i="30"/>
  <c r="O309" i="30"/>
  <c r="O305" i="30"/>
  <c r="O304" i="30"/>
  <c r="O251" i="30"/>
  <c r="O249" i="30"/>
  <c r="O211" i="30"/>
  <c r="O198" i="30"/>
  <c r="O197" i="30"/>
  <c r="O196" i="30"/>
  <c r="O194" i="30"/>
  <c r="O186" i="30"/>
  <c r="O185" i="30"/>
  <c r="O184" i="30"/>
  <c r="O182" i="30"/>
  <c r="O168" i="30"/>
  <c r="O167" i="30"/>
  <c r="O166" i="30"/>
  <c r="O164" i="30"/>
  <c r="O144" i="30"/>
  <c r="O143" i="30"/>
  <c r="O142" i="30"/>
  <c r="O140" i="30"/>
  <c r="O138" i="30"/>
  <c r="O137" i="30"/>
  <c r="O136" i="30"/>
  <c r="O134" i="30"/>
  <c r="O132" i="30"/>
  <c r="O131" i="30"/>
  <c r="O130" i="30"/>
  <c r="O128" i="30"/>
  <c r="O126" i="30"/>
  <c r="O125" i="30"/>
  <c r="O124" i="30"/>
  <c r="O122" i="30"/>
  <c r="O120" i="30"/>
  <c r="O119" i="30"/>
  <c r="O118" i="30"/>
  <c r="O116" i="30"/>
  <c r="O114" i="30"/>
  <c r="O113" i="30"/>
  <c r="O112" i="30"/>
  <c r="O110" i="30"/>
  <c r="O108" i="30"/>
  <c r="O107" i="30"/>
  <c r="O106" i="30"/>
  <c r="O104" i="30"/>
  <c r="O6" i="30"/>
  <c r="D14" i="60" l="1"/>
  <c r="D13" i="60"/>
  <c r="D12" i="60"/>
  <c r="D130" i="32" l="1"/>
  <c r="J135" i="32" l="1"/>
  <c r="J134" i="32"/>
  <c r="D135" i="32"/>
  <c r="D134" i="32"/>
  <c r="J86" i="30" l="1"/>
  <c r="I86" i="30"/>
  <c r="H86" i="30"/>
  <c r="O248" i="30" l="1"/>
  <c r="C33" i="40" l="1"/>
  <c r="C6" i="40"/>
  <c r="C34" i="57" l="1"/>
  <c r="E91" i="56"/>
  <c r="D91" i="56"/>
  <c r="N293" i="30" l="1"/>
  <c r="C32" i="61" l="1"/>
  <c r="B94" i="61" l="1"/>
  <c r="B95" i="61" s="1"/>
  <c r="B96" i="61" s="1"/>
  <c r="B97" i="61" s="1"/>
  <c r="B98" i="61" s="1"/>
  <c r="B99" i="61" s="1"/>
  <c r="F56" i="58" l="1"/>
  <c r="C38" i="40" l="1"/>
  <c r="C211" i="64"/>
  <c r="B211" i="64"/>
  <c r="C210" i="64"/>
  <c r="B210" i="64"/>
  <c r="C209" i="64"/>
  <c r="B209" i="64"/>
  <c r="C208" i="64"/>
  <c r="B208" i="64"/>
  <c r="C207" i="64"/>
  <c r="B207" i="64"/>
  <c r="C206" i="64"/>
  <c r="B206" i="64"/>
  <c r="C205" i="64"/>
  <c r="B205" i="64"/>
  <c r="C204" i="64"/>
  <c r="B204" i="64"/>
  <c r="C203" i="64"/>
  <c r="B203" i="64"/>
  <c r="C202" i="64"/>
  <c r="B202" i="64"/>
  <c r="C201" i="64"/>
  <c r="B201" i="64"/>
  <c r="C200" i="64"/>
  <c r="B200" i="64"/>
  <c r="C199" i="64"/>
  <c r="B199" i="64"/>
  <c r="C198" i="64"/>
  <c r="B198" i="64"/>
  <c r="C197" i="64"/>
  <c r="B197" i="64"/>
  <c r="C196" i="64"/>
  <c r="B196" i="64"/>
  <c r="C195" i="64"/>
  <c r="B195" i="64"/>
  <c r="C194" i="64"/>
  <c r="B194" i="64"/>
  <c r="C193" i="64"/>
  <c r="B193" i="64"/>
  <c r="C192" i="64"/>
  <c r="B192" i="64"/>
  <c r="C191" i="64"/>
  <c r="B191" i="64"/>
  <c r="C190" i="64"/>
  <c r="B190" i="64"/>
  <c r="C189" i="64"/>
  <c r="B189" i="64"/>
  <c r="C188" i="64"/>
  <c r="B188" i="64"/>
  <c r="C187" i="64"/>
  <c r="B187" i="64"/>
  <c r="C186" i="64"/>
  <c r="B186" i="64"/>
  <c r="C185" i="64"/>
  <c r="B185" i="64"/>
  <c r="C184" i="64"/>
  <c r="B184" i="64"/>
  <c r="C183" i="64"/>
  <c r="B183" i="64"/>
  <c r="C182" i="64"/>
  <c r="B182" i="64"/>
  <c r="C181" i="64"/>
  <c r="B181" i="64"/>
  <c r="C180" i="64"/>
  <c r="B180" i="64"/>
  <c r="C179" i="64"/>
  <c r="B179" i="64"/>
  <c r="C178" i="64"/>
  <c r="B178" i="64"/>
  <c r="C177" i="64"/>
  <c r="B177" i="64"/>
  <c r="C176" i="64"/>
  <c r="B176" i="64"/>
  <c r="C175" i="64"/>
  <c r="B175" i="64"/>
  <c r="C174" i="64"/>
  <c r="B174" i="64"/>
  <c r="C173" i="64"/>
  <c r="B173" i="64"/>
  <c r="C172" i="64"/>
  <c r="B172" i="64"/>
  <c r="C171" i="64"/>
  <c r="B171" i="64"/>
  <c r="C170" i="64"/>
  <c r="B170" i="64"/>
  <c r="C169" i="64"/>
  <c r="B169" i="64"/>
  <c r="C168" i="64"/>
  <c r="B168" i="64"/>
  <c r="C167" i="64"/>
  <c r="B167" i="64"/>
  <c r="C166" i="64"/>
  <c r="B166" i="64"/>
  <c r="C165" i="64"/>
  <c r="B165" i="64"/>
  <c r="C164" i="64"/>
  <c r="B164" i="64"/>
  <c r="C163" i="64"/>
  <c r="B163" i="64"/>
  <c r="C162" i="64"/>
  <c r="B162" i="64"/>
  <c r="C161" i="64"/>
  <c r="B161" i="64"/>
  <c r="C160" i="64"/>
  <c r="B160" i="64"/>
  <c r="C159" i="64"/>
  <c r="B159" i="64"/>
  <c r="C158" i="64"/>
  <c r="B158" i="64"/>
  <c r="C157" i="64"/>
  <c r="B157" i="64"/>
  <c r="C156" i="64"/>
  <c r="B156" i="64"/>
  <c r="C155" i="64"/>
  <c r="B155" i="64"/>
  <c r="C154" i="64"/>
  <c r="B154" i="64"/>
  <c r="C153" i="64"/>
  <c r="B153" i="64"/>
  <c r="C152" i="64"/>
  <c r="B152" i="64"/>
  <c r="C151" i="64"/>
  <c r="B151" i="64"/>
  <c r="C150" i="64"/>
  <c r="B150" i="64"/>
  <c r="C149" i="64"/>
  <c r="B149" i="64"/>
  <c r="C148" i="64"/>
  <c r="B148" i="64"/>
  <c r="C147" i="64"/>
  <c r="B147" i="64"/>
  <c r="C146" i="64"/>
  <c r="B146" i="64"/>
  <c r="C145" i="64"/>
  <c r="B145" i="64"/>
  <c r="C144" i="64"/>
  <c r="B144" i="64"/>
  <c r="C143" i="64"/>
  <c r="B143" i="64"/>
  <c r="C142" i="64"/>
  <c r="B142" i="64"/>
  <c r="C141" i="64"/>
  <c r="B141" i="64"/>
  <c r="C140" i="64"/>
  <c r="B140" i="64"/>
  <c r="C139" i="64"/>
  <c r="B139" i="64"/>
  <c r="C138" i="64"/>
  <c r="B138" i="64"/>
  <c r="C137" i="64"/>
  <c r="B137" i="64"/>
  <c r="C136" i="64"/>
  <c r="B136" i="64"/>
  <c r="C135" i="64"/>
  <c r="B135" i="64"/>
  <c r="C134" i="64"/>
  <c r="B134" i="64"/>
  <c r="C133" i="64"/>
  <c r="B133" i="64"/>
  <c r="C132" i="64"/>
  <c r="B132" i="64"/>
  <c r="C131" i="64"/>
  <c r="B131" i="64"/>
  <c r="C130" i="64"/>
  <c r="B130" i="64"/>
  <c r="C129" i="64"/>
  <c r="B129" i="64"/>
  <c r="C128" i="64"/>
  <c r="B128" i="64"/>
  <c r="C127" i="64"/>
  <c r="B127" i="64"/>
  <c r="C126" i="64"/>
  <c r="B126" i="64"/>
  <c r="C125" i="64"/>
  <c r="B125" i="64"/>
  <c r="C124" i="64"/>
  <c r="B124" i="64"/>
  <c r="C123" i="64"/>
  <c r="B123" i="64"/>
  <c r="C122" i="64"/>
  <c r="B122" i="64"/>
  <c r="C121" i="64"/>
  <c r="B121" i="64"/>
  <c r="C120" i="64"/>
  <c r="B120" i="64"/>
  <c r="C119" i="64"/>
  <c r="B119" i="64"/>
  <c r="C118" i="64"/>
  <c r="B118" i="64"/>
  <c r="C117" i="64"/>
  <c r="B117" i="64"/>
  <c r="C116" i="64"/>
  <c r="B116" i="64"/>
  <c r="C115" i="64"/>
  <c r="B115" i="64"/>
  <c r="C114" i="64"/>
  <c r="B114" i="64"/>
  <c r="C113" i="64"/>
  <c r="B113" i="64"/>
  <c r="C112" i="64"/>
  <c r="B112" i="64"/>
  <c r="DS111" i="64"/>
  <c r="DR111" i="64"/>
  <c r="DQ111" i="64"/>
  <c r="DP111" i="64"/>
  <c r="DO111" i="64"/>
  <c r="DN111" i="64"/>
  <c r="DM111" i="64"/>
  <c r="DL111" i="64"/>
  <c r="DK111" i="64"/>
  <c r="DJ111" i="64"/>
  <c r="DI111" i="64"/>
  <c r="DH111" i="64"/>
  <c r="DG111" i="64"/>
  <c r="DF111" i="64"/>
  <c r="DE111" i="64"/>
  <c r="DD111" i="64"/>
  <c r="DC111" i="64"/>
  <c r="DB111" i="64"/>
  <c r="DA111" i="64"/>
  <c r="CZ111" i="64"/>
  <c r="CY111" i="64"/>
  <c r="CX111" i="64"/>
  <c r="CW111" i="64"/>
  <c r="CV111" i="64"/>
  <c r="CU111" i="64"/>
  <c r="CT111" i="64"/>
  <c r="CS111" i="64"/>
  <c r="CR111" i="64"/>
  <c r="CQ111" i="64"/>
  <c r="CP111" i="64"/>
  <c r="CO111" i="64"/>
  <c r="CN111" i="64"/>
  <c r="CM111" i="64"/>
  <c r="CL111" i="64"/>
  <c r="CK111" i="64"/>
  <c r="CJ111" i="64"/>
  <c r="CI111" i="64"/>
  <c r="CH111" i="64"/>
  <c r="CG111" i="64"/>
  <c r="CF111" i="64"/>
  <c r="CE111" i="64"/>
  <c r="CD111" i="64"/>
  <c r="CC111" i="64"/>
  <c r="CB111" i="64"/>
  <c r="CA111" i="64"/>
  <c r="BZ111" i="64"/>
  <c r="BY111" i="64"/>
  <c r="BX111" i="64"/>
  <c r="BW111" i="64"/>
  <c r="BV111" i="64"/>
  <c r="BU111" i="64"/>
  <c r="BT111" i="64"/>
  <c r="BS111" i="64"/>
  <c r="BR111" i="64"/>
  <c r="BQ111" i="64"/>
  <c r="BP111" i="64"/>
  <c r="BO111" i="64"/>
  <c r="BN111" i="64"/>
  <c r="BM111" i="64"/>
  <c r="BL111" i="64"/>
  <c r="BK111" i="64"/>
  <c r="BJ111" i="64"/>
  <c r="BI111" i="64"/>
  <c r="BH111" i="64"/>
  <c r="BG111" i="64"/>
  <c r="BF111" i="64"/>
  <c r="BE111" i="64"/>
  <c r="BD111" i="64"/>
  <c r="BC111" i="64"/>
  <c r="BB111" i="64"/>
  <c r="BA111" i="64"/>
  <c r="AZ111" i="64"/>
  <c r="AY111" i="64"/>
  <c r="AX111" i="64"/>
  <c r="AW111" i="64"/>
  <c r="AV111" i="64"/>
  <c r="AU111" i="64"/>
  <c r="AT111" i="64"/>
  <c r="AS111" i="64"/>
  <c r="AR111" i="64"/>
  <c r="AQ111" i="64"/>
  <c r="AP111" i="64"/>
  <c r="AO111" i="64"/>
  <c r="AN111" i="64"/>
  <c r="AM111" i="64"/>
  <c r="AL111" i="64"/>
  <c r="AK111" i="64"/>
  <c r="AJ111" i="64"/>
  <c r="AI111" i="64"/>
  <c r="AH111" i="64"/>
  <c r="AG111" i="64"/>
  <c r="AF111" i="64"/>
  <c r="AE111" i="64"/>
  <c r="AD111" i="64"/>
  <c r="AC111" i="64"/>
  <c r="AB111" i="64"/>
  <c r="AA111" i="64"/>
  <c r="Z111" i="64"/>
  <c r="Y111" i="64"/>
  <c r="X111" i="64"/>
  <c r="W111" i="64"/>
  <c r="V111" i="64"/>
  <c r="U111" i="64"/>
  <c r="T111" i="64"/>
  <c r="S111" i="64"/>
  <c r="R111" i="64"/>
  <c r="Q111" i="64"/>
  <c r="P111" i="64"/>
  <c r="O111" i="64"/>
  <c r="N111" i="64"/>
  <c r="M111" i="64"/>
  <c r="L111" i="64"/>
  <c r="K111" i="64"/>
  <c r="J111" i="64"/>
  <c r="I111" i="64"/>
  <c r="H111" i="64"/>
  <c r="G111" i="64"/>
  <c r="F111" i="64"/>
  <c r="E111" i="64"/>
  <c r="M124" i="22" l="1"/>
  <c r="L124" i="22"/>
  <c r="K124" i="22"/>
  <c r="J124" i="22"/>
  <c r="I124" i="22"/>
  <c r="H124" i="22"/>
  <c r="G124" i="22"/>
  <c r="F124" i="22"/>
  <c r="E124" i="22"/>
  <c r="D124" i="22"/>
  <c r="I1" i="65" l="1"/>
  <c r="D1" i="59"/>
  <c r="F1" i="58"/>
  <c r="C1" i="60"/>
  <c r="B107" i="64"/>
  <c r="B106" i="64"/>
  <c r="B105" i="64"/>
  <c r="B104" i="64"/>
  <c r="B103" i="64"/>
  <c r="B102" i="64"/>
  <c r="B101" i="64"/>
  <c r="B100" i="64"/>
  <c r="B99" i="64"/>
  <c r="B98" i="64"/>
  <c r="B97" i="64"/>
  <c r="B96" i="64"/>
  <c r="B95" i="64"/>
  <c r="B94" i="64"/>
  <c r="B93" i="64"/>
  <c r="B92" i="64"/>
  <c r="B91" i="64"/>
  <c r="B90" i="64"/>
  <c r="B89" i="64"/>
  <c r="B88" i="64"/>
  <c r="B87" i="64"/>
  <c r="B86" i="64"/>
  <c r="B85" i="64"/>
  <c r="B84" i="64"/>
  <c r="B83" i="64"/>
  <c r="B82" i="64"/>
  <c r="B81" i="64"/>
  <c r="B80" i="64"/>
  <c r="B79" i="64"/>
  <c r="B78" i="64"/>
  <c r="B77" i="64"/>
  <c r="B76" i="64"/>
  <c r="B75" i="64"/>
  <c r="B74" i="64"/>
  <c r="B73" i="64"/>
  <c r="B72" i="64"/>
  <c r="B71" i="64"/>
  <c r="B70" i="64"/>
  <c r="B69" i="64"/>
  <c r="B68" i="64"/>
  <c r="B67" i="64"/>
  <c r="B66" i="64"/>
  <c r="B65" i="64"/>
  <c r="B64" i="64"/>
  <c r="B63" i="64"/>
  <c r="B62" i="64"/>
  <c r="B61" i="64"/>
  <c r="B60" i="64"/>
  <c r="B59" i="64"/>
  <c r="B58" i="64"/>
  <c r="B57" i="64"/>
  <c r="B56" i="64"/>
  <c r="B55" i="64"/>
  <c r="B54" i="64"/>
  <c r="B53" i="64"/>
  <c r="B52" i="64"/>
  <c r="B51" i="64"/>
  <c r="B50" i="64"/>
  <c r="B49" i="64"/>
  <c r="B48" i="64"/>
  <c r="B47" i="64"/>
  <c r="B46" i="64"/>
  <c r="B45" i="64"/>
  <c r="B44" i="64"/>
  <c r="B43" i="64"/>
  <c r="B42" i="64"/>
  <c r="B41" i="64"/>
  <c r="B40" i="64"/>
  <c r="B39" i="64"/>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 r="B9" i="64"/>
  <c r="B8" i="64"/>
  <c r="DS7" i="64"/>
  <c r="DR7" i="64"/>
  <c r="DQ7" i="64"/>
  <c r="DP7" i="64"/>
  <c r="DO7" i="64"/>
  <c r="DN7" i="64"/>
  <c r="DM7" i="64"/>
  <c r="DL7" i="64"/>
  <c r="DK7" i="64"/>
  <c r="DJ7" i="64"/>
  <c r="DI7" i="64"/>
  <c r="DH7" i="64"/>
  <c r="DG7" i="64"/>
  <c r="DF7" i="64"/>
  <c r="DE7" i="64"/>
  <c r="DD7" i="64"/>
  <c r="DC7" i="64"/>
  <c r="DB7" i="64"/>
  <c r="DA7" i="64"/>
  <c r="CZ7" i="64"/>
  <c r="CY7" i="64"/>
  <c r="CX7" i="64"/>
  <c r="CW7" i="64"/>
  <c r="CV7" i="64"/>
  <c r="CU7" i="64"/>
  <c r="CT7" i="64"/>
  <c r="CS7" i="64"/>
  <c r="CR7" i="64"/>
  <c r="CQ7" i="64"/>
  <c r="CP7" i="64"/>
  <c r="CO7" i="64"/>
  <c r="CN7" i="64"/>
  <c r="CM7" i="64"/>
  <c r="CL7" i="64"/>
  <c r="CK7" i="64"/>
  <c r="CJ7" i="64"/>
  <c r="CI7" i="64"/>
  <c r="CH7" i="64"/>
  <c r="CG7" i="64"/>
  <c r="CF7" i="64"/>
  <c r="CE7" i="64"/>
  <c r="CD7" i="64"/>
  <c r="CC7" i="64"/>
  <c r="CB7" i="64"/>
  <c r="CA7" i="64"/>
  <c r="BZ7" i="64"/>
  <c r="BY7" i="64"/>
  <c r="BX7" i="64"/>
  <c r="BW7" i="64"/>
  <c r="BV7" i="64"/>
  <c r="BU7" i="64"/>
  <c r="BT7" i="64"/>
  <c r="BS7" i="64"/>
  <c r="BR7" i="64"/>
  <c r="BQ7" i="64"/>
  <c r="BP7" i="64"/>
  <c r="BO7" i="64"/>
  <c r="BN7" i="64"/>
  <c r="BM7" i="64"/>
  <c r="BL7" i="64"/>
  <c r="BK7" i="64"/>
  <c r="BJ7" i="64"/>
  <c r="BI7" i="64"/>
  <c r="BH7" i="64"/>
  <c r="BG7" i="64"/>
  <c r="BF7" i="64"/>
  <c r="BE7" i="64"/>
  <c r="BD7" i="64"/>
  <c r="BC7" i="64"/>
  <c r="BB7" i="64"/>
  <c r="BA7" i="64"/>
  <c r="AZ7" i="64"/>
  <c r="AY7" i="64"/>
  <c r="AX7" i="64"/>
  <c r="AW7" i="64"/>
  <c r="AV7" i="64"/>
  <c r="AU7" i="64"/>
  <c r="AT7" i="64"/>
  <c r="AS7" i="64"/>
  <c r="AR7" i="64"/>
  <c r="AQ7" i="64"/>
  <c r="AP7" i="64"/>
  <c r="AO7" i="64"/>
  <c r="AN7" i="64"/>
  <c r="AM7" i="64"/>
  <c r="AL7" i="64"/>
  <c r="AK7" i="64"/>
  <c r="AJ7" i="64"/>
  <c r="AI7" i="64"/>
  <c r="AH7" i="64"/>
  <c r="AG7" i="64"/>
  <c r="AF7" i="64"/>
  <c r="AE7" i="64"/>
  <c r="AD7" i="64"/>
  <c r="AC7" i="64"/>
  <c r="AB7" i="64"/>
  <c r="AA7" i="64"/>
  <c r="Z7" i="64"/>
  <c r="Y7" i="64"/>
  <c r="X7" i="64"/>
  <c r="W7" i="64"/>
  <c r="V7" i="64"/>
  <c r="U7" i="64"/>
  <c r="T7" i="64"/>
  <c r="S7" i="64"/>
  <c r="R7" i="64"/>
  <c r="Q7" i="64"/>
  <c r="P7" i="64"/>
  <c r="O7" i="64"/>
  <c r="N7" i="64"/>
  <c r="M7" i="64"/>
  <c r="L7" i="64"/>
  <c r="K7" i="64"/>
  <c r="J7" i="64"/>
  <c r="I7" i="64"/>
  <c r="H7" i="64"/>
  <c r="G7" i="64"/>
  <c r="F7" i="64"/>
  <c r="E7" i="64"/>
  <c r="H1" i="64"/>
  <c r="D1" i="37"/>
  <c r="J1" i="52"/>
  <c r="C1" i="40"/>
  <c r="J1" i="62"/>
  <c r="H1" i="61"/>
  <c r="C1" i="30"/>
  <c r="C1" i="8"/>
  <c r="D1" i="32"/>
  <c r="C1" i="57"/>
  <c r="D1" i="66"/>
  <c r="D1" i="56"/>
  <c r="F1" i="39"/>
  <c r="F3" i="56"/>
  <c r="E3" i="56"/>
  <c r="D3" i="56"/>
  <c r="C23" i="59" l="1"/>
  <c r="C17" i="59"/>
  <c r="C12" i="59"/>
  <c r="C47" i="59" l="1"/>
  <c r="C46" i="59"/>
  <c r="F71" i="58" l="1"/>
  <c r="F70" i="58"/>
  <c r="E71" i="58"/>
  <c r="E70" i="58"/>
  <c r="D71" i="58"/>
  <c r="D70" i="58"/>
  <c r="C71" i="58"/>
  <c r="C70" i="58"/>
  <c r="E41" i="56" l="1"/>
  <c r="D41" i="56"/>
  <c r="C51" i="61" l="1"/>
  <c r="C140" i="22" s="1"/>
  <c r="C50" i="61"/>
  <c r="C139" i="22" s="1"/>
  <c r="C49" i="61"/>
  <c r="C138" i="22" s="1"/>
  <c r="C48" i="61"/>
  <c r="C137" i="22" s="1"/>
  <c r="C46" i="61"/>
  <c r="C136" i="22" s="1"/>
  <c r="C45" i="61"/>
  <c r="C135" i="22" s="1"/>
  <c r="C43" i="61"/>
  <c r="C134" i="22" s="1"/>
  <c r="C42" i="61"/>
  <c r="C133" i="22" s="1"/>
  <c r="C40" i="61"/>
  <c r="C132" i="22" s="1"/>
  <c r="C38" i="61"/>
  <c r="C131" i="22" s="1"/>
  <c r="C37" i="61"/>
  <c r="C130" i="22" s="1"/>
  <c r="C34" i="61"/>
  <c r="C129" i="22" s="1"/>
  <c r="C128" i="22"/>
  <c r="C30" i="61"/>
  <c r="C127" i="22" s="1"/>
  <c r="C28" i="61"/>
  <c r="C126" i="22" s="1"/>
  <c r="M140" i="22"/>
  <c r="M139" i="22"/>
  <c r="M138" i="22"/>
  <c r="M137" i="22"/>
  <c r="M136" i="22"/>
  <c r="M135" i="22"/>
  <c r="M134" i="22"/>
  <c r="M133" i="22"/>
  <c r="M132" i="22"/>
  <c r="M131" i="22"/>
  <c r="M130" i="22"/>
  <c r="M129" i="22"/>
  <c r="M128" i="22"/>
  <c r="M127" i="22"/>
  <c r="M126" i="22"/>
  <c r="L140" i="22"/>
  <c r="L139" i="22"/>
  <c r="L138" i="22"/>
  <c r="L137" i="22"/>
  <c r="L136" i="22"/>
  <c r="L135" i="22"/>
  <c r="L134" i="22"/>
  <c r="L133" i="22"/>
  <c r="L132" i="22"/>
  <c r="L131" i="22"/>
  <c r="L130" i="22"/>
  <c r="L129" i="22"/>
  <c r="L128" i="22"/>
  <c r="L127" i="22"/>
  <c r="L126" i="22"/>
  <c r="K140" i="22"/>
  <c r="K139" i="22"/>
  <c r="K138" i="22"/>
  <c r="K137" i="22"/>
  <c r="K136" i="22"/>
  <c r="K135" i="22"/>
  <c r="K134" i="22"/>
  <c r="K133" i="22"/>
  <c r="K132" i="22"/>
  <c r="K131" i="22"/>
  <c r="K130" i="22"/>
  <c r="K129" i="22"/>
  <c r="K128" i="22"/>
  <c r="K127" i="22"/>
  <c r="K126" i="22"/>
  <c r="J140" i="22"/>
  <c r="J139" i="22"/>
  <c r="J138" i="22"/>
  <c r="J137" i="22"/>
  <c r="J136" i="22"/>
  <c r="J135" i="22"/>
  <c r="J134" i="22"/>
  <c r="J133" i="22"/>
  <c r="J132" i="22"/>
  <c r="J131" i="22"/>
  <c r="J130" i="22"/>
  <c r="J129" i="22"/>
  <c r="J128" i="22"/>
  <c r="J127" i="22"/>
  <c r="J126" i="22"/>
  <c r="I140" i="22"/>
  <c r="I139" i="22"/>
  <c r="I138" i="22"/>
  <c r="I137" i="22"/>
  <c r="I136" i="22"/>
  <c r="I135" i="22"/>
  <c r="I134" i="22"/>
  <c r="I133" i="22"/>
  <c r="I132" i="22"/>
  <c r="I131" i="22"/>
  <c r="I130" i="22"/>
  <c r="I129" i="22"/>
  <c r="I128" i="22"/>
  <c r="I127" i="22"/>
  <c r="I126" i="22"/>
  <c r="H140" i="22"/>
  <c r="H139" i="22"/>
  <c r="H138" i="22"/>
  <c r="H137" i="22"/>
  <c r="H136" i="22"/>
  <c r="H135" i="22"/>
  <c r="H134" i="22"/>
  <c r="H133" i="22"/>
  <c r="H132" i="22"/>
  <c r="H131" i="22"/>
  <c r="H130" i="22"/>
  <c r="H129" i="22"/>
  <c r="H128" i="22"/>
  <c r="H127" i="22"/>
  <c r="H126" i="22"/>
  <c r="G140" i="22"/>
  <c r="G139" i="22"/>
  <c r="G138" i="22"/>
  <c r="G137" i="22"/>
  <c r="G136" i="22"/>
  <c r="G135" i="22"/>
  <c r="G134" i="22"/>
  <c r="G133" i="22"/>
  <c r="G132" i="22"/>
  <c r="G131" i="22"/>
  <c r="G130" i="22"/>
  <c r="G129" i="22"/>
  <c r="G128" i="22"/>
  <c r="G127" i="22"/>
  <c r="G126" i="22"/>
  <c r="F140" i="22"/>
  <c r="F139" i="22"/>
  <c r="F138" i="22"/>
  <c r="F137" i="22"/>
  <c r="F136" i="22"/>
  <c r="F135" i="22"/>
  <c r="F134" i="22"/>
  <c r="F133" i="22"/>
  <c r="F132" i="22"/>
  <c r="F131" i="22"/>
  <c r="F130" i="22"/>
  <c r="F129" i="22"/>
  <c r="F128" i="22"/>
  <c r="F127" i="22"/>
  <c r="F126" i="22"/>
  <c r="E140" i="22"/>
  <c r="E139" i="22"/>
  <c r="E138" i="22"/>
  <c r="E137" i="22"/>
  <c r="E136" i="22"/>
  <c r="E135" i="22"/>
  <c r="E134" i="22"/>
  <c r="E133" i="22"/>
  <c r="E132" i="22"/>
  <c r="E131" i="22"/>
  <c r="E130" i="22"/>
  <c r="E129" i="22"/>
  <c r="E128" i="22"/>
  <c r="E127" i="22"/>
  <c r="E126" i="22"/>
  <c r="D140" i="22"/>
  <c r="D139" i="22"/>
  <c r="D138" i="22"/>
  <c r="D137" i="22"/>
  <c r="D136" i="22"/>
  <c r="D135" i="22"/>
  <c r="D134" i="22"/>
  <c r="D133" i="22"/>
  <c r="D132" i="22"/>
  <c r="D131" i="22"/>
  <c r="D130" i="22"/>
  <c r="D129" i="22"/>
  <c r="D128" i="22"/>
  <c r="D127" i="22"/>
  <c r="D126" i="22"/>
  <c r="M125" i="22"/>
  <c r="L125" i="22"/>
  <c r="K125" i="22"/>
  <c r="J125" i="22"/>
  <c r="I125" i="22"/>
  <c r="H125" i="22"/>
  <c r="G125" i="22"/>
  <c r="F125" i="22"/>
  <c r="E125" i="22"/>
  <c r="D125" i="22"/>
  <c r="D295" i="30"/>
  <c r="C26" i="61"/>
  <c r="C125" i="22" s="1"/>
  <c r="F52" i="56" l="1"/>
  <c r="F80" i="56" l="1"/>
  <c r="L248" i="30" l="1"/>
  <c r="C15" i="57" l="1"/>
  <c r="F61" i="56"/>
  <c r="B240" i="30" l="1"/>
  <c r="F99" i="56" l="1"/>
  <c r="AF28" i="66" l="1"/>
  <c r="AB28" i="66"/>
  <c r="X28" i="66"/>
  <c r="T28" i="66"/>
  <c r="P28" i="66"/>
  <c r="L28" i="66"/>
  <c r="H28" i="66"/>
  <c r="AH27" i="66"/>
  <c r="AH28" i="66" s="1"/>
  <c r="AG27" i="66"/>
  <c r="AG28" i="66" s="1"/>
  <c r="AF27" i="66"/>
  <c r="AE27" i="66"/>
  <c r="AE28" i="66" s="1"/>
  <c r="AD27" i="66"/>
  <c r="AD28" i="66" s="1"/>
  <c r="AC27" i="66"/>
  <c r="AC28" i="66" s="1"/>
  <c r="AB27" i="66"/>
  <c r="AA27" i="66"/>
  <c r="AA28" i="66" s="1"/>
  <c r="Z27" i="66"/>
  <c r="Z28" i="66" s="1"/>
  <c r="Y27" i="66"/>
  <c r="Y28" i="66" s="1"/>
  <c r="X27" i="66"/>
  <c r="W27" i="66"/>
  <c r="W28" i="66" s="1"/>
  <c r="V27" i="66"/>
  <c r="V28" i="66" s="1"/>
  <c r="U27" i="66"/>
  <c r="U28" i="66" s="1"/>
  <c r="T27" i="66"/>
  <c r="S27" i="66"/>
  <c r="S28" i="66" s="1"/>
  <c r="R27" i="66"/>
  <c r="R28" i="66" s="1"/>
  <c r="Q27" i="66"/>
  <c r="Q28" i="66" s="1"/>
  <c r="P27" i="66"/>
  <c r="O27" i="66"/>
  <c r="O28" i="66" s="1"/>
  <c r="N27" i="66"/>
  <c r="N28" i="66" s="1"/>
  <c r="M27" i="66"/>
  <c r="M28" i="66" s="1"/>
  <c r="L27" i="66"/>
  <c r="K27" i="66"/>
  <c r="K28" i="66" s="1"/>
  <c r="J27" i="66"/>
  <c r="J28" i="66" s="1"/>
  <c r="I27" i="66"/>
  <c r="I28" i="66" s="1"/>
  <c r="H27" i="66"/>
  <c r="G27" i="66"/>
  <c r="G28" i="66" s="1"/>
  <c r="F27" i="66"/>
  <c r="F28" i="66" s="1"/>
  <c r="E27" i="66"/>
  <c r="E28" i="66" s="1"/>
  <c r="AH24" i="66"/>
  <c r="AD24" i="66"/>
  <c r="Z24" i="66"/>
  <c r="V24" i="66"/>
  <c r="R24" i="66"/>
  <c r="N24" i="66"/>
  <c r="J24" i="66"/>
  <c r="F24" i="66"/>
  <c r="AH23" i="66"/>
  <c r="AG23" i="66"/>
  <c r="AG24" i="66" s="1"/>
  <c r="AF23" i="66"/>
  <c r="AF24" i="66" s="1"/>
  <c r="AE23" i="66"/>
  <c r="AE24" i="66" s="1"/>
  <c r="AD23" i="66"/>
  <c r="AC23" i="66"/>
  <c r="AC24" i="66" s="1"/>
  <c r="AB23" i="66"/>
  <c r="AB24" i="66" s="1"/>
  <c r="AA23" i="66"/>
  <c r="AA24" i="66" s="1"/>
  <c r="AA30" i="66" s="1"/>
  <c r="Z23" i="66"/>
  <c r="Y23" i="66"/>
  <c r="Y24" i="66" s="1"/>
  <c r="X23" i="66"/>
  <c r="X24" i="66" s="1"/>
  <c r="X30" i="66" s="1"/>
  <c r="W23" i="66"/>
  <c r="W24" i="66" s="1"/>
  <c r="V23" i="66"/>
  <c r="U23" i="66"/>
  <c r="U24" i="66" s="1"/>
  <c r="T23" i="66"/>
  <c r="T24" i="66" s="1"/>
  <c r="S23" i="66"/>
  <c r="S24" i="66" s="1"/>
  <c r="S30" i="66" s="1"/>
  <c r="R23" i="66"/>
  <c r="Q23" i="66"/>
  <c r="Q24" i="66" s="1"/>
  <c r="P23" i="66"/>
  <c r="P24" i="66" s="1"/>
  <c r="O23" i="66"/>
  <c r="O24" i="66" s="1"/>
  <c r="N23" i="66"/>
  <c r="M23" i="66"/>
  <c r="M24" i="66" s="1"/>
  <c r="L23" i="66"/>
  <c r="L24" i="66" s="1"/>
  <c r="K23" i="66"/>
  <c r="K24" i="66" s="1"/>
  <c r="K30" i="66" s="1"/>
  <c r="J23" i="66"/>
  <c r="I23" i="66"/>
  <c r="I24" i="66" s="1"/>
  <c r="H23" i="66"/>
  <c r="H24" i="66" s="1"/>
  <c r="G23" i="66"/>
  <c r="G24" i="66" s="1"/>
  <c r="F23" i="66"/>
  <c r="E23" i="66"/>
  <c r="E24" i="66" s="1"/>
  <c r="AF20" i="66"/>
  <c r="AF29" i="66" s="1"/>
  <c r="AE20" i="66"/>
  <c r="AE29" i="66" s="1"/>
  <c r="AB20" i="66"/>
  <c r="AB29" i="66" s="1"/>
  <c r="AA20" i="66"/>
  <c r="AA29" i="66" s="1"/>
  <c r="X20" i="66"/>
  <c r="X29" i="66" s="1"/>
  <c r="W20" i="66"/>
  <c r="W29" i="66" s="1"/>
  <c r="T20" i="66"/>
  <c r="T29" i="66" s="1"/>
  <c r="S20" i="66"/>
  <c r="S29" i="66" s="1"/>
  <c r="P20" i="66"/>
  <c r="P29" i="66" s="1"/>
  <c r="O20" i="66"/>
  <c r="O29" i="66" s="1"/>
  <c r="L20" i="66"/>
  <c r="L29" i="66" s="1"/>
  <c r="K20" i="66"/>
  <c r="K29" i="66" s="1"/>
  <c r="H20" i="66"/>
  <c r="H29" i="66" s="1"/>
  <c r="G20" i="66"/>
  <c r="G29" i="66" s="1"/>
  <c r="AH19" i="66"/>
  <c r="AH20" i="66" s="1"/>
  <c r="AH29" i="66" s="1"/>
  <c r="AG19" i="66"/>
  <c r="AG20" i="66" s="1"/>
  <c r="AG29" i="66" s="1"/>
  <c r="AF19" i="66"/>
  <c r="AE19" i="66"/>
  <c r="AD19" i="66"/>
  <c r="AD20" i="66" s="1"/>
  <c r="AD29" i="66" s="1"/>
  <c r="AC19" i="66"/>
  <c r="AC20" i="66" s="1"/>
  <c r="AC29" i="66" s="1"/>
  <c r="AB19" i="66"/>
  <c r="AA19" i="66"/>
  <c r="Z19" i="66"/>
  <c r="Z20" i="66" s="1"/>
  <c r="Z29" i="66" s="1"/>
  <c r="Y19" i="66"/>
  <c r="Y20" i="66" s="1"/>
  <c r="Y29" i="66" s="1"/>
  <c r="X19" i="66"/>
  <c r="W19" i="66"/>
  <c r="V19" i="66"/>
  <c r="V20" i="66" s="1"/>
  <c r="V29" i="66" s="1"/>
  <c r="U19" i="66"/>
  <c r="U20" i="66" s="1"/>
  <c r="U29" i="66" s="1"/>
  <c r="T19" i="66"/>
  <c r="S19" i="66"/>
  <c r="R19" i="66"/>
  <c r="R20" i="66" s="1"/>
  <c r="R29" i="66" s="1"/>
  <c r="Q19" i="66"/>
  <c r="Q20" i="66" s="1"/>
  <c r="Q29" i="66" s="1"/>
  <c r="P19" i="66"/>
  <c r="O19" i="66"/>
  <c r="N19" i="66"/>
  <c r="N20" i="66" s="1"/>
  <c r="N29" i="66" s="1"/>
  <c r="M19" i="66"/>
  <c r="M20" i="66" s="1"/>
  <c r="M29" i="66" s="1"/>
  <c r="L19" i="66"/>
  <c r="K19" i="66"/>
  <c r="J19" i="66"/>
  <c r="J20" i="66" s="1"/>
  <c r="J29" i="66" s="1"/>
  <c r="I19" i="66"/>
  <c r="I20" i="66" s="1"/>
  <c r="I29" i="66" s="1"/>
  <c r="H19" i="66"/>
  <c r="G19" i="66"/>
  <c r="F19" i="66"/>
  <c r="F20" i="66" s="1"/>
  <c r="F29" i="66" s="1"/>
  <c r="E19" i="66"/>
  <c r="E20" i="66" s="1"/>
  <c r="E29" i="66" s="1"/>
  <c r="AF18" i="66"/>
  <c r="AE18" i="66"/>
  <c r="AB18" i="66"/>
  <c r="AA18" i="66"/>
  <c r="X18" i="66"/>
  <c r="W18" i="66"/>
  <c r="T18" i="66"/>
  <c r="S18" i="66"/>
  <c r="P18" i="66"/>
  <c r="O18" i="66"/>
  <c r="L18" i="66"/>
  <c r="K18" i="66"/>
  <c r="H18" i="66"/>
  <c r="G18" i="66"/>
  <c r="AH16" i="66"/>
  <c r="AH26" i="66" s="1"/>
  <c r="AG16" i="66"/>
  <c r="AG22" i="66" s="1"/>
  <c r="AF16" i="66"/>
  <c r="AF22" i="66" s="1"/>
  <c r="AE16" i="66"/>
  <c r="AE26" i="66" s="1"/>
  <c r="AD16" i="66"/>
  <c r="AD26" i="66" s="1"/>
  <c r="AC16" i="66"/>
  <c r="AC22" i="66" s="1"/>
  <c r="AB16" i="66"/>
  <c r="AB22" i="66" s="1"/>
  <c r="AA16" i="66"/>
  <c r="AA26" i="66" s="1"/>
  <c r="Z16" i="66"/>
  <c r="Z26" i="66" s="1"/>
  <c r="Y16" i="66"/>
  <c r="Y22" i="66" s="1"/>
  <c r="X16" i="66"/>
  <c r="X22" i="66" s="1"/>
  <c r="W16" i="66"/>
  <c r="W26" i="66" s="1"/>
  <c r="V16" i="66"/>
  <c r="V26" i="66" s="1"/>
  <c r="U16" i="66"/>
  <c r="U22" i="66" s="1"/>
  <c r="T16" i="66"/>
  <c r="T22" i="66" s="1"/>
  <c r="S16" i="66"/>
  <c r="S26" i="66" s="1"/>
  <c r="R16" i="66"/>
  <c r="R26" i="66" s="1"/>
  <c r="Q16" i="66"/>
  <c r="Q22" i="66" s="1"/>
  <c r="P16" i="66"/>
  <c r="P22" i="66" s="1"/>
  <c r="O16" i="66"/>
  <c r="O26" i="66" s="1"/>
  <c r="N16" i="66"/>
  <c r="N26" i="66" s="1"/>
  <c r="M16" i="66"/>
  <c r="M22" i="66" s="1"/>
  <c r="L16" i="66"/>
  <c r="L22" i="66" s="1"/>
  <c r="K16" i="66"/>
  <c r="K26" i="66" s="1"/>
  <c r="J16" i="66"/>
  <c r="J26" i="66" s="1"/>
  <c r="I16" i="66"/>
  <c r="I22" i="66" s="1"/>
  <c r="H16" i="66"/>
  <c r="H22" i="66" s="1"/>
  <c r="G16" i="66"/>
  <c r="G26" i="66" s="1"/>
  <c r="F16" i="66"/>
  <c r="F26" i="66" s="1"/>
  <c r="E16" i="66"/>
  <c r="E22" i="66" s="1"/>
  <c r="G30" i="66" l="1"/>
  <c r="G31" i="66" s="1"/>
  <c r="O30" i="66"/>
  <c r="W30" i="66"/>
  <c r="AE30" i="66"/>
  <c r="H30" i="66"/>
  <c r="H31" i="66" s="1"/>
  <c r="L30" i="66"/>
  <c r="L31" i="66" s="1"/>
  <c r="P30" i="66"/>
  <c r="P31" i="66" s="1"/>
  <c r="T30" i="66"/>
  <c r="AB30" i="66"/>
  <c r="AF30" i="66"/>
  <c r="J30" i="66"/>
  <c r="J31" i="66" s="1"/>
  <c r="Z30" i="66"/>
  <c r="Z31" i="66"/>
  <c r="AD31" i="66"/>
  <c r="T31" i="66"/>
  <c r="D29" i="66"/>
  <c r="E30" i="66"/>
  <c r="I30" i="66"/>
  <c r="M30" i="66"/>
  <c r="M31" i="66" s="1"/>
  <c r="Q30" i="66"/>
  <c r="Q31" i="66" s="1"/>
  <c r="U30" i="66"/>
  <c r="U31" i="66" s="1"/>
  <c r="Y30" i="66"/>
  <c r="AC30" i="66"/>
  <c r="AG30" i="66"/>
  <c r="AG31" i="66" s="1"/>
  <c r="N30" i="66"/>
  <c r="N31" i="66" s="1"/>
  <c r="AD30" i="66"/>
  <c r="K31" i="66"/>
  <c r="O31" i="66"/>
  <c r="S31" i="66"/>
  <c r="W31" i="66"/>
  <c r="AA31" i="66"/>
  <c r="AE31" i="66"/>
  <c r="X31" i="66"/>
  <c r="R30" i="66"/>
  <c r="R31" i="66" s="1"/>
  <c r="AH30" i="66"/>
  <c r="AH31" i="66" s="1"/>
  <c r="AB31" i="66"/>
  <c r="F30" i="66"/>
  <c r="F31" i="66" s="1"/>
  <c r="V30" i="66"/>
  <c r="V31" i="66" s="1"/>
  <c r="I31" i="66"/>
  <c r="Y31" i="66"/>
  <c r="AC31" i="66"/>
  <c r="AF31" i="66"/>
  <c r="F22" i="66"/>
  <c r="J22" i="66"/>
  <c r="N22" i="66"/>
  <c r="R22" i="66"/>
  <c r="V22" i="66"/>
  <c r="Z22" i="66"/>
  <c r="AD22" i="66"/>
  <c r="AH22" i="66"/>
  <c r="H26" i="66"/>
  <c r="L26" i="66"/>
  <c r="P26" i="66"/>
  <c r="T26" i="66"/>
  <c r="X26" i="66"/>
  <c r="AB26" i="66"/>
  <c r="AF26" i="66"/>
  <c r="E18" i="66"/>
  <c r="M18" i="66"/>
  <c r="Y18" i="66"/>
  <c r="AG18" i="66"/>
  <c r="K22" i="66"/>
  <c r="S22" i="66"/>
  <c r="AA22" i="66"/>
  <c r="AE22" i="66"/>
  <c r="E26" i="66"/>
  <c r="I26" i="66"/>
  <c r="M26" i="66"/>
  <c r="Q26" i="66"/>
  <c r="U26" i="66"/>
  <c r="Y26" i="66"/>
  <c r="AC26" i="66"/>
  <c r="AG26" i="66"/>
  <c r="I18" i="66"/>
  <c r="Q18" i="66"/>
  <c r="U18" i="66"/>
  <c r="AC18" i="66"/>
  <c r="G22" i="66"/>
  <c r="O22" i="66"/>
  <c r="W22" i="66"/>
  <c r="F18" i="66"/>
  <c r="J18" i="66"/>
  <c r="N18" i="66"/>
  <c r="R18" i="66"/>
  <c r="V18" i="66"/>
  <c r="Z18" i="66"/>
  <c r="AD18" i="66"/>
  <c r="AH18" i="66"/>
  <c r="D30" i="66" l="1"/>
  <c r="E31" i="66"/>
  <c r="D31" i="66" s="1"/>
  <c r="F54" i="56" l="1"/>
  <c r="F58" i="56" s="1"/>
  <c r="F63" i="56" s="1"/>
  <c r="K119" i="32" l="1"/>
  <c r="J119" i="32"/>
  <c r="C112" i="32"/>
  <c r="B26" i="58" l="1"/>
  <c r="D71" i="56" l="1"/>
  <c r="K27" i="58" l="1"/>
  <c r="J27" i="58"/>
  <c r="J151" i="32" l="1"/>
  <c r="D151" i="32"/>
  <c r="J148" i="32"/>
  <c r="D148" i="32"/>
  <c r="K117" i="32"/>
  <c r="E117" i="32"/>
  <c r="B315" i="64" l="1"/>
  <c r="B314" i="64"/>
  <c r="B313" i="64"/>
  <c r="B312" i="64"/>
  <c r="B311" i="64"/>
  <c r="B310" i="64"/>
  <c r="B309" i="64"/>
  <c r="B308" i="64"/>
  <c r="B307" i="64"/>
  <c r="B306" i="64"/>
  <c r="B305" i="64"/>
  <c r="B304" i="64"/>
  <c r="B303" i="64"/>
  <c r="B302" i="64"/>
  <c r="B301" i="64"/>
  <c r="B300" i="64"/>
  <c r="B299" i="64"/>
  <c r="B298" i="64"/>
  <c r="B297" i="64"/>
  <c r="B296" i="64"/>
  <c r="B295" i="64"/>
  <c r="B294" i="64"/>
  <c r="B293" i="64"/>
  <c r="B292" i="64"/>
  <c r="B291" i="64"/>
  <c r="B290" i="64"/>
  <c r="B289" i="64"/>
  <c r="B288" i="64"/>
  <c r="B287" i="64"/>
  <c r="B286" i="64"/>
  <c r="B285" i="64"/>
  <c r="B284" i="64"/>
  <c r="B283" i="64"/>
  <c r="B282" i="64"/>
  <c r="B281" i="64"/>
  <c r="B280" i="64"/>
  <c r="B279" i="64"/>
  <c r="B278" i="64"/>
  <c r="B277" i="64"/>
  <c r="B276" i="64"/>
  <c r="B275" i="64"/>
  <c r="B274" i="64"/>
  <c r="B273" i="64"/>
  <c r="B272" i="64"/>
  <c r="B271" i="64"/>
  <c r="B270" i="64"/>
  <c r="B269" i="64"/>
  <c r="B268" i="64"/>
  <c r="B267" i="64"/>
  <c r="B266" i="64"/>
  <c r="B265" i="64"/>
  <c r="B264" i="64"/>
  <c r="B263" i="64"/>
  <c r="B262" i="64"/>
  <c r="B261" i="64"/>
  <c r="B260" i="64"/>
  <c r="B259" i="64"/>
  <c r="B258" i="64"/>
  <c r="B257" i="64"/>
  <c r="B256" i="64"/>
  <c r="B255" i="64"/>
  <c r="B254" i="64"/>
  <c r="B253" i="64"/>
  <c r="B252" i="64"/>
  <c r="B251" i="64"/>
  <c r="B250" i="64"/>
  <c r="B249" i="64"/>
  <c r="B248" i="64"/>
  <c r="B247" i="64"/>
  <c r="B246" i="64"/>
  <c r="B245" i="64"/>
  <c r="B244" i="64"/>
  <c r="B243" i="64"/>
  <c r="B242" i="64"/>
  <c r="B241" i="64"/>
  <c r="B240" i="64"/>
  <c r="B239" i="64"/>
  <c r="B238" i="64"/>
  <c r="B237" i="64"/>
  <c r="B236" i="64"/>
  <c r="B235" i="64"/>
  <c r="B234" i="64"/>
  <c r="B233" i="64"/>
  <c r="B232" i="64"/>
  <c r="B231" i="64"/>
  <c r="B230" i="64"/>
  <c r="B229" i="64"/>
  <c r="B228" i="64"/>
  <c r="B227" i="64"/>
  <c r="B226" i="64"/>
  <c r="B225" i="64"/>
  <c r="B224" i="64"/>
  <c r="B223" i="64"/>
  <c r="B222" i="64"/>
  <c r="B221" i="64"/>
  <c r="B220" i="64"/>
  <c r="B219" i="64"/>
  <c r="B218" i="64"/>
  <c r="B217" i="64"/>
  <c r="B216" i="64"/>
  <c r="DS215" i="64"/>
  <c r="DR215" i="64"/>
  <c r="DQ215" i="64"/>
  <c r="DP215" i="64"/>
  <c r="DO215" i="64"/>
  <c r="DN215" i="64"/>
  <c r="DM215" i="64"/>
  <c r="DL215" i="64"/>
  <c r="DK215" i="64"/>
  <c r="DJ215" i="64"/>
  <c r="DI215" i="64"/>
  <c r="DH215" i="64"/>
  <c r="DG215" i="64"/>
  <c r="DF215" i="64"/>
  <c r="DE215" i="64"/>
  <c r="DD215" i="64"/>
  <c r="DC215" i="64"/>
  <c r="DB215" i="64"/>
  <c r="DA215" i="64"/>
  <c r="CZ215" i="64"/>
  <c r="CY215" i="64"/>
  <c r="CX215" i="64"/>
  <c r="CW215" i="64"/>
  <c r="CV215" i="64"/>
  <c r="CU215" i="64"/>
  <c r="CT215" i="64"/>
  <c r="CS215" i="64"/>
  <c r="CR215" i="64"/>
  <c r="CQ215" i="64"/>
  <c r="CP215" i="64"/>
  <c r="CO215" i="64"/>
  <c r="CN215" i="64"/>
  <c r="CM215" i="64"/>
  <c r="CL215" i="64"/>
  <c r="CK215" i="64"/>
  <c r="CJ215" i="64"/>
  <c r="CI215" i="64"/>
  <c r="CH215" i="64"/>
  <c r="CG215" i="64"/>
  <c r="CF215" i="64"/>
  <c r="CE215" i="64"/>
  <c r="CD215" i="64"/>
  <c r="CC215" i="64"/>
  <c r="CB215" i="64"/>
  <c r="CA215" i="64"/>
  <c r="BZ215" i="64"/>
  <c r="BY215" i="64"/>
  <c r="BX215" i="64"/>
  <c r="BW215" i="64"/>
  <c r="BV215" i="64"/>
  <c r="BU215" i="64"/>
  <c r="BT215" i="64"/>
  <c r="BS215" i="64"/>
  <c r="BR215" i="64"/>
  <c r="BQ215" i="64"/>
  <c r="BP215" i="64"/>
  <c r="BO215" i="64"/>
  <c r="BN215" i="64"/>
  <c r="BM215" i="64"/>
  <c r="BL215" i="64"/>
  <c r="BK215" i="64"/>
  <c r="BJ215" i="64"/>
  <c r="BI215" i="64"/>
  <c r="BH215" i="64"/>
  <c r="BG215" i="64"/>
  <c r="BF215" i="64"/>
  <c r="BE215" i="64"/>
  <c r="BD215" i="64"/>
  <c r="BC215" i="64"/>
  <c r="BB215" i="64"/>
  <c r="BA215" i="64"/>
  <c r="AZ215" i="64"/>
  <c r="AY215" i="64"/>
  <c r="AX215" i="64"/>
  <c r="AW215" i="64"/>
  <c r="AV215" i="64"/>
  <c r="AU215" i="64"/>
  <c r="AT215" i="64"/>
  <c r="AS215" i="64"/>
  <c r="AR215" i="64"/>
  <c r="AQ215" i="64"/>
  <c r="AP215" i="64"/>
  <c r="AO215" i="64"/>
  <c r="AN215" i="64"/>
  <c r="AM215" i="64"/>
  <c r="AL215" i="64"/>
  <c r="AK215" i="64"/>
  <c r="AJ215" i="64"/>
  <c r="AI215" i="64"/>
  <c r="AH215" i="64"/>
  <c r="AG215" i="64"/>
  <c r="AF215" i="64"/>
  <c r="AE215" i="64"/>
  <c r="AD215" i="64"/>
  <c r="AC215" i="64"/>
  <c r="AB215" i="64"/>
  <c r="AA215" i="64"/>
  <c r="Z215" i="64"/>
  <c r="Y215" i="64"/>
  <c r="X215" i="64"/>
  <c r="W215" i="64"/>
  <c r="V215" i="64"/>
  <c r="U215" i="64"/>
  <c r="T215" i="64"/>
  <c r="S215" i="64"/>
  <c r="R215" i="64"/>
  <c r="Q215" i="64"/>
  <c r="P215" i="64"/>
  <c r="O215" i="64"/>
  <c r="N215" i="64"/>
  <c r="M215" i="64"/>
  <c r="L215" i="64"/>
  <c r="K215" i="64"/>
  <c r="J215" i="64"/>
  <c r="I215" i="64"/>
  <c r="H215" i="64"/>
  <c r="G215" i="64"/>
  <c r="F215" i="64"/>
  <c r="DS3" i="64"/>
  <c r="DR3" i="64"/>
  <c r="DQ3" i="64"/>
  <c r="DP3" i="64"/>
  <c r="DO3" i="64"/>
  <c r="DN3" i="64"/>
  <c r="DM3" i="64"/>
  <c r="DL3" i="64"/>
  <c r="DK3" i="64"/>
  <c r="DJ3" i="64"/>
  <c r="DI3" i="64"/>
  <c r="DH3" i="64"/>
  <c r="DG3" i="64"/>
  <c r="DF3" i="64"/>
  <c r="DE3" i="64"/>
  <c r="DD3" i="64"/>
  <c r="DC3" i="64"/>
  <c r="DB3" i="64"/>
  <c r="DA3" i="64"/>
  <c r="CZ3" i="64"/>
  <c r="CY3" i="64"/>
  <c r="CX3" i="64"/>
  <c r="CW3" i="64"/>
  <c r="CV3" i="64"/>
  <c r="CU3" i="64"/>
  <c r="CT3" i="64"/>
  <c r="CS3" i="64"/>
  <c r="CR3" i="64"/>
  <c r="CQ3" i="64"/>
  <c r="CP3" i="64"/>
  <c r="CO3" i="64"/>
  <c r="CN3" i="64"/>
  <c r="CM3" i="64"/>
  <c r="CL3" i="64"/>
  <c r="CK3" i="64"/>
  <c r="CJ3" i="64"/>
  <c r="CI3" i="64"/>
  <c r="CH3" i="64"/>
  <c r="CG3" i="64"/>
  <c r="CF3" i="64"/>
  <c r="CE3" i="64"/>
  <c r="CD3" i="64"/>
  <c r="CC3" i="64"/>
  <c r="CB3" i="64"/>
  <c r="CA3" i="64"/>
  <c r="BZ3" i="64"/>
  <c r="BY3" i="64"/>
  <c r="BX3" i="64"/>
  <c r="BW3" i="64"/>
  <c r="BV3" i="64"/>
  <c r="BU3" i="64"/>
  <c r="BT3" i="64"/>
  <c r="BS3" i="64"/>
  <c r="BR3" i="64"/>
  <c r="BQ3" i="64"/>
  <c r="BP3" i="64"/>
  <c r="BO3" i="64"/>
  <c r="BN3" i="64"/>
  <c r="BM3" i="64"/>
  <c r="BL3" i="64"/>
  <c r="BK3" i="64"/>
  <c r="BJ3" i="64"/>
  <c r="BI3" i="64"/>
  <c r="BH3" i="64"/>
  <c r="BG3" i="64"/>
  <c r="BF3" i="64"/>
  <c r="BE3" i="64"/>
  <c r="BD3" i="64"/>
  <c r="BC3" i="64"/>
  <c r="BB3" i="64"/>
  <c r="BA3" i="64"/>
  <c r="AZ3" i="64"/>
  <c r="AY3" i="64"/>
  <c r="AX3" i="64"/>
  <c r="AW3" i="64"/>
  <c r="AV3" i="64"/>
  <c r="AU3" i="64"/>
  <c r="AT3" i="64"/>
  <c r="AS3" i="64"/>
  <c r="AR3" i="64"/>
  <c r="AQ3" i="64"/>
  <c r="AP3" i="64"/>
  <c r="AO3" i="64"/>
  <c r="AN3" i="64"/>
  <c r="AM3" i="64"/>
  <c r="AL3" i="64"/>
  <c r="AK3" i="64"/>
  <c r="AJ3" i="64"/>
  <c r="AI3" i="64"/>
  <c r="AH3" i="64"/>
  <c r="AG3" i="64"/>
  <c r="AF3" i="64"/>
  <c r="AE3" i="64"/>
  <c r="AD3" i="64"/>
  <c r="AC3" i="64"/>
  <c r="AB3" i="64"/>
  <c r="AA3" i="64"/>
  <c r="Z3" i="64"/>
  <c r="Y3" i="64"/>
  <c r="X3" i="64"/>
  <c r="W3" i="64"/>
  <c r="V3" i="64"/>
  <c r="U3" i="64"/>
  <c r="T3" i="64"/>
  <c r="S3" i="64"/>
  <c r="R3" i="64"/>
  <c r="Q3" i="64"/>
  <c r="P3" i="64"/>
  <c r="O3" i="64"/>
  <c r="N3" i="64"/>
  <c r="M3" i="64"/>
  <c r="L3" i="64"/>
  <c r="K3" i="64"/>
  <c r="J3" i="64"/>
  <c r="I3" i="64"/>
  <c r="H3" i="64"/>
  <c r="G3" i="64"/>
  <c r="F3" i="64"/>
  <c r="C315" i="64"/>
  <c r="C314" i="64"/>
  <c r="C313" i="64"/>
  <c r="C312" i="64"/>
  <c r="C311" i="64"/>
  <c r="C310" i="64"/>
  <c r="C309" i="64"/>
  <c r="C308" i="64"/>
  <c r="C307" i="64"/>
  <c r="C306" i="64"/>
  <c r="C305" i="64"/>
  <c r="C304" i="64"/>
  <c r="C303" i="64"/>
  <c r="C302" i="64"/>
  <c r="C301" i="64"/>
  <c r="C300" i="64"/>
  <c r="C299" i="64"/>
  <c r="C298" i="64"/>
  <c r="C297" i="64"/>
  <c r="C296" i="64"/>
  <c r="C295" i="64"/>
  <c r="C294" i="64"/>
  <c r="C293" i="64"/>
  <c r="C292" i="64"/>
  <c r="C291" i="64"/>
  <c r="C290" i="64"/>
  <c r="C289" i="64"/>
  <c r="C288" i="64"/>
  <c r="C287" i="64"/>
  <c r="C286" i="64"/>
  <c r="C285" i="64"/>
  <c r="C284" i="64"/>
  <c r="C283" i="64"/>
  <c r="C282" i="64"/>
  <c r="C281" i="64"/>
  <c r="C280" i="64"/>
  <c r="C279" i="64"/>
  <c r="C278" i="64"/>
  <c r="C277" i="64"/>
  <c r="C276" i="64"/>
  <c r="C275" i="64"/>
  <c r="C274" i="64"/>
  <c r="C273" i="64"/>
  <c r="C272" i="64"/>
  <c r="C271" i="64"/>
  <c r="C270" i="64"/>
  <c r="C269" i="64"/>
  <c r="C268" i="64"/>
  <c r="C267" i="64"/>
  <c r="C266" i="64"/>
  <c r="C265" i="64"/>
  <c r="C264" i="64"/>
  <c r="C263" i="64"/>
  <c r="C262" i="64"/>
  <c r="C261" i="64"/>
  <c r="C260" i="64"/>
  <c r="C259" i="64"/>
  <c r="C258" i="64"/>
  <c r="C257" i="64"/>
  <c r="C256" i="64"/>
  <c r="C255" i="64"/>
  <c r="C254" i="64"/>
  <c r="C253" i="64"/>
  <c r="C252" i="64"/>
  <c r="C251" i="64"/>
  <c r="C250" i="64"/>
  <c r="C249" i="64"/>
  <c r="C248" i="64"/>
  <c r="C247" i="64"/>
  <c r="C246" i="64"/>
  <c r="C245" i="64"/>
  <c r="C244" i="64"/>
  <c r="C243" i="64"/>
  <c r="C242" i="64"/>
  <c r="C241" i="64"/>
  <c r="C240" i="64"/>
  <c r="C239" i="64"/>
  <c r="C238" i="64"/>
  <c r="C237" i="64"/>
  <c r="C236" i="64"/>
  <c r="C235" i="64"/>
  <c r="C234" i="64"/>
  <c r="C233" i="64"/>
  <c r="C232" i="64"/>
  <c r="C231" i="64"/>
  <c r="C230" i="64"/>
  <c r="C229" i="64"/>
  <c r="C228" i="64"/>
  <c r="C227" i="64"/>
  <c r="C226" i="64"/>
  <c r="C225" i="64"/>
  <c r="C224" i="64"/>
  <c r="C223" i="64"/>
  <c r="C222" i="64"/>
  <c r="C221" i="64"/>
  <c r="C220" i="64"/>
  <c r="C219" i="64"/>
  <c r="C218" i="64"/>
  <c r="C217" i="64"/>
  <c r="C216" i="64"/>
  <c r="E215" i="64"/>
  <c r="C107" i="64"/>
  <c r="C106" i="64"/>
  <c r="C105" i="64"/>
  <c r="C104" i="64"/>
  <c r="C103" i="64"/>
  <c r="C102" i="64"/>
  <c r="C101" i="64"/>
  <c r="C100" i="64"/>
  <c r="C99" i="64"/>
  <c r="C98" i="64"/>
  <c r="C97" i="64"/>
  <c r="C96" i="64"/>
  <c r="C95" i="64"/>
  <c r="C94" i="64"/>
  <c r="C93" i="64"/>
  <c r="C92" i="64"/>
  <c r="C91" i="64"/>
  <c r="C90" i="64"/>
  <c r="C89" i="64"/>
  <c r="C88" i="64"/>
  <c r="C87" i="64"/>
  <c r="C86" i="64"/>
  <c r="C85" i="64"/>
  <c r="C84" i="64"/>
  <c r="C83" i="64"/>
  <c r="C82" i="64"/>
  <c r="C81" i="64"/>
  <c r="C80" i="64"/>
  <c r="C79" i="64"/>
  <c r="C78" i="64"/>
  <c r="C77" i="64"/>
  <c r="C76" i="64"/>
  <c r="C75" i="64"/>
  <c r="C74" i="64"/>
  <c r="C73" i="64"/>
  <c r="C72" i="64"/>
  <c r="C71" i="64"/>
  <c r="C70" i="64"/>
  <c r="C69" i="64"/>
  <c r="C68" i="64"/>
  <c r="C67" i="64"/>
  <c r="C66" i="64"/>
  <c r="C65" i="64"/>
  <c r="C64" i="64"/>
  <c r="C63" i="64"/>
  <c r="C62" i="64"/>
  <c r="C61" i="64"/>
  <c r="C60" i="64"/>
  <c r="C59" i="64"/>
  <c r="C58" i="64"/>
  <c r="C57" i="64"/>
  <c r="C56" i="64"/>
  <c r="C55" i="64"/>
  <c r="C54" i="64"/>
  <c r="C53" i="64"/>
  <c r="C52" i="64"/>
  <c r="C51" i="64"/>
  <c r="C50" i="64"/>
  <c r="C49" i="64"/>
  <c r="C48" i="64"/>
  <c r="C47" i="64"/>
  <c r="C46" i="64"/>
  <c r="C45" i="64"/>
  <c r="C44" i="64"/>
  <c r="C43" i="64"/>
  <c r="C42" i="64"/>
  <c r="C41" i="64"/>
  <c r="C40" i="64"/>
  <c r="C39" i="64"/>
  <c r="C38" i="64"/>
  <c r="C37" i="64"/>
  <c r="C36" i="64"/>
  <c r="C35" i="64"/>
  <c r="C34" i="64"/>
  <c r="C33" i="64"/>
  <c r="C32" i="64"/>
  <c r="C31" i="64"/>
  <c r="C30" i="64"/>
  <c r="C29" i="64"/>
  <c r="C28" i="64"/>
  <c r="C27" i="64"/>
  <c r="C26" i="64"/>
  <c r="C25" i="64"/>
  <c r="C24" i="64"/>
  <c r="C23" i="64"/>
  <c r="C22" i="64"/>
  <c r="C21" i="64"/>
  <c r="C20" i="64"/>
  <c r="C19" i="64"/>
  <c r="C18" i="64"/>
  <c r="C17" i="64"/>
  <c r="C16" i="64"/>
  <c r="C15" i="64"/>
  <c r="C14" i="64"/>
  <c r="C13" i="64"/>
  <c r="C12" i="64"/>
  <c r="C11" i="64"/>
  <c r="C10" i="64"/>
  <c r="C9" i="64"/>
  <c r="C8" i="64"/>
  <c r="E3" i="64"/>
  <c r="D158" i="22" l="1"/>
  <c r="C161" i="22"/>
  <c r="C160" i="22"/>
  <c r="C159" i="22"/>
  <c r="D151" i="22"/>
  <c r="C154" i="22"/>
  <c r="C153" i="22"/>
  <c r="C152" i="22"/>
  <c r="D161" i="22" l="1"/>
  <c r="D160" i="22"/>
  <c r="D159" i="22"/>
  <c r="D53" i="58" l="1"/>
  <c r="D154" i="22" s="1"/>
  <c r="D52" i="58"/>
  <c r="D153" i="22" s="1"/>
  <c r="D51" i="58"/>
  <c r="D152" i="22" s="1"/>
  <c r="G14" i="58" l="1"/>
  <c r="F14" i="58"/>
  <c r="G13" i="58"/>
  <c r="G11" i="58"/>
  <c r="B250" i="30" l="1"/>
  <c r="F244" i="30"/>
  <c r="B244" i="30"/>
  <c r="F240" i="30"/>
  <c r="F59" i="30"/>
  <c r="B1170" i="61" l="1"/>
  <c r="B1171" i="61" s="1"/>
  <c r="B1172" i="61" s="1"/>
  <c r="B1173" i="61" s="1"/>
  <c r="B1174" i="61" s="1"/>
  <c r="B1175" i="61" s="1"/>
  <c r="B1176" i="61" s="1"/>
  <c r="B1177" i="61" s="1"/>
  <c r="B1178" i="61" s="1"/>
  <c r="B1179" i="61" s="1"/>
  <c r="B1180" i="61" s="1"/>
  <c r="B1181" i="61" s="1"/>
  <c r="B1182" i="61" s="1"/>
  <c r="B1183" i="61" s="1"/>
  <c r="B1184" i="61" s="1"/>
  <c r="B1185" i="61" s="1"/>
  <c r="B1186" i="61" s="1"/>
  <c r="C21" i="59" l="1"/>
  <c r="C15" i="59"/>
  <c r="C10" i="59"/>
  <c r="D98" i="58"/>
  <c r="C98" i="58"/>
  <c r="D59" i="58"/>
  <c r="C59" i="58"/>
  <c r="B1066" i="61" l="1"/>
  <c r="B1067" i="61" s="1"/>
  <c r="B1068" i="61" s="1"/>
  <c r="B1069" i="61" s="1"/>
  <c r="B1070" i="61" s="1"/>
  <c r="B1071" i="61" s="1"/>
  <c r="B1072" i="61" s="1"/>
  <c r="B1073" i="61" s="1"/>
  <c r="B1074" i="61" s="1"/>
  <c r="B1075" i="61" s="1"/>
  <c r="B1076" i="61" s="1"/>
  <c r="B1077" i="61" s="1"/>
  <c r="B1078" i="61" s="1"/>
  <c r="B1079" i="61" s="1"/>
  <c r="B1080" i="61" s="1"/>
  <c r="B1081" i="61" s="1"/>
  <c r="B1082" i="61" s="1"/>
  <c r="B1083" i="61" s="1"/>
  <c r="B1084" i="61" s="1"/>
  <c r="B1085" i="61" s="1"/>
  <c r="B1086" i="61" s="1"/>
  <c r="B1087" i="61" s="1"/>
  <c r="B1088" i="61" s="1"/>
  <c r="B1089" i="61" s="1"/>
  <c r="B1090" i="61" s="1"/>
  <c r="B1091" i="61" s="1"/>
  <c r="B1092" i="61" s="1"/>
  <c r="B1093" i="61" s="1"/>
  <c r="B1094" i="61" s="1"/>
  <c r="B1095" i="61" s="1"/>
  <c r="B1096" i="61" s="1"/>
  <c r="B1097" i="61" s="1"/>
  <c r="B1098" i="61" s="1"/>
  <c r="B1099" i="61" s="1"/>
  <c r="B1100" i="61" s="1"/>
  <c r="B1101" i="61" s="1"/>
  <c r="B1102" i="61" s="1"/>
  <c r="B1103" i="61" s="1"/>
  <c r="B1104" i="61" s="1"/>
  <c r="B1105" i="61" s="1"/>
  <c r="B1106" i="61" s="1"/>
  <c r="B1107" i="61" s="1"/>
  <c r="B1108" i="61" s="1"/>
  <c r="B1109" i="61" s="1"/>
  <c r="B1110" i="61" s="1"/>
  <c r="B1111" i="61" s="1"/>
  <c r="B1112" i="61" s="1"/>
  <c r="B1113" i="61" s="1"/>
  <c r="B1114" i="61" s="1"/>
  <c r="B1115" i="61" s="1"/>
  <c r="B1116" i="61" s="1"/>
  <c r="B1117" i="61" s="1"/>
  <c r="B1118" i="61" s="1"/>
  <c r="B1119" i="61" s="1"/>
  <c r="B1120" i="61" s="1"/>
  <c r="B1121" i="61" s="1"/>
  <c r="B1122" i="61" s="1"/>
  <c r="B1123" i="61" s="1"/>
  <c r="B1124" i="61" s="1"/>
  <c r="B1125" i="61" s="1"/>
  <c r="B1126" i="61" s="1"/>
  <c r="B1127" i="61" s="1"/>
  <c r="B1128" i="61" s="1"/>
  <c r="B1129" i="61" s="1"/>
  <c r="B1130" i="61" s="1"/>
  <c r="B1131" i="61" s="1"/>
  <c r="B1132" i="61" s="1"/>
  <c r="B1133" i="61" s="1"/>
  <c r="B1134" i="61" s="1"/>
  <c r="B1135" i="61" s="1"/>
  <c r="B1136" i="61" s="1"/>
  <c r="B1137" i="61" s="1"/>
  <c r="B1138" i="61" s="1"/>
  <c r="B1139" i="61" s="1"/>
  <c r="B1140" i="61" s="1"/>
  <c r="B1141" i="61" s="1"/>
  <c r="B1142" i="61" s="1"/>
  <c r="B1143" i="61" s="1"/>
  <c r="B1144" i="61" s="1"/>
  <c r="B1145" i="61" s="1"/>
  <c r="B1146" i="61" s="1"/>
  <c r="B1147" i="61" s="1"/>
  <c r="B1148" i="61" s="1"/>
  <c r="B1149" i="61" s="1"/>
  <c r="B1150" i="61" s="1"/>
  <c r="B1151" i="61" s="1"/>
  <c r="B1152" i="61" s="1"/>
  <c r="B1153" i="61" s="1"/>
  <c r="B1154" i="61" s="1"/>
  <c r="B1155" i="61" s="1"/>
  <c r="B1156" i="61" s="1"/>
  <c r="B1157" i="61" s="1"/>
  <c r="B1158" i="61" s="1"/>
  <c r="B1159" i="61" s="1"/>
  <c r="B1160" i="61" s="1"/>
  <c r="B1161" i="61" s="1"/>
  <c r="B1162" i="61" s="1"/>
  <c r="B1163" i="61" s="1"/>
  <c r="B1164" i="61" s="1"/>
  <c r="B738" i="61" l="1"/>
  <c r="B739" i="61" s="1"/>
  <c r="B740" i="61" s="1"/>
  <c r="B741" i="61" s="1"/>
  <c r="B742" i="61" s="1"/>
  <c r="B743" i="61" s="1"/>
  <c r="B744" i="61" s="1"/>
  <c r="B745" i="61" s="1"/>
  <c r="B746" i="61" s="1"/>
  <c r="B747" i="61" s="1"/>
  <c r="B748" i="61" s="1"/>
  <c r="B749" i="61" s="1"/>
  <c r="B750" i="61" s="1"/>
  <c r="B751" i="61" s="1"/>
  <c r="B752" i="61" s="1"/>
  <c r="B753" i="61" s="1"/>
  <c r="B754" i="61" s="1"/>
  <c r="B755" i="61" s="1"/>
  <c r="B756" i="61" s="1"/>
  <c r="B757" i="61" s="1"/>
  <c r="B758" i="61" s="1"/>
  <c r="B759" i="61" s="1"/>
  <c r="B760" i="61" s="1"/>
  <c r="B761" i="61" s="1"/>
  <c r="B762" i="61" s="1"/>
  <c r="B763" i="61" s="1"/>
  <c r="B764" i="61" s="1"/>
  <c r="B765" i="61" s="1"/>
  <c r="B766" i="61" s="1"/>
  <c r="B767" i="61" s="1"/>
  <c r="B768" i="61" s="1"/>
  <c r="B769" i="61" s="1"/>
  <c r="B770" i="61" s="1"/>
  <c r="B771" i="61" s="1"/>
  <c r="B772" i="61" s="1"/>
  <c r="B773" i="61" s="1"/>
  <c r="B774" i="61" s="1"/>
  <c r="B775" i="61" s="1"/>
  <c r="B776" i="61" s="1"/>
  <c r="B777" i="61" s="1"/>
  <c r="B778" i="61" s="1"/>
  <c r="B779" i="61" s="1"/>
  <c r="B780" i="61" s="1"/>
  <c r="B781" i="61" s="1"/>
  <c r="B782" i="61" s="1"/>
  <c r="B783" i="61" s="1"/>
  <c r="B784" i="61" s="1"/>
  <c r="B785" i="61" s="1"/>
  <c r="B786" i="61" s="1"/>
  <c r="B787" i="61" s="1"/>
  <c r="B788" i="61" s="1"/>
  <c r="B789" i="61" s="1"/>
  <c r="B790" i="61" s="1"/>
  <c r="B791" i="61" s="1"/>
  <c r="B792" i="61" s="1"/>
  <c r="B793" i="61" s="1"/>
  <c r="B794" i="61" s="1"/>
  <c r="B795" i="61" s="1"/>
  <c r="B796" i="61" s="1"/>
  <c r="B797" i="61" s="1"/>
  <c r="B798" i="61" s="1"/>
  <c r="B799" i="61" s="1"/>
  <c r="B800" i="61" s="1"/>
  <c r="B801" i="61" s="1"/>
  <c r="B802" i="61" s="1"/>
  <c r="B803" i="61" s="1"/>
  <c r="B804" i="61" s="1"/>
  <c r="B805" i="61" s="1"/>
  <c r="B806" i="61" s="1"/>
  <c r="B807" i="61" s="1"/>
  <c r="B808" i="61" s="1"/>
  <c r="B809" i="61" s="1"/>
  <c r="B810" i="61" s="1"/>
  <c r="B811" i="61" s="1"/>
  <c r="B812" i="61" s="1"/>
  <c r="B813" i="61" s="1"/>
  <c r="B814" i="61" s="1"/>
  <c r="B815" i="61" s="1"/>
  <c r="B816" i="61" s="1"/>
  <c r="B817" i="61" s="1"/>
  <c r="B818" i="61" s="1"/>
  <c r="B819" i="61" s="1"/>
  <c r="B820" i="61" s="1"/>
  <c r="B821" i="61" s="1"/>
  <c r="B822" i="61" s="1"/>
  <c r="B823" i="61" s="1"/>
  <c r="B824" i="61" s="1"/>
  <c r="B825" i="61" s="1"/>
  <c r="B826" i="61" s="1"/>
  <c r="B827" i="61" s="1"/>
  <c r="B828" i="61" s="1"/>
  <c r="B829" i="61" s="1"/>
  <c r="B830" i="61" s="1"/>
  <c r="B831" i="61" s="1"/>
  <c r="B832" i="61" s="1"/>
  <c r="B833" i="61" s="1"/>
  <c r="B834" i="61" s="1"/>
  <c r="B835" i="61" s="1"/>
  <c r="B836" i="61" s="1"/>
  <c r="B837" i="61" s="1"/>
  <c r="B838" i="61" s="1"/>
  <c r="B839" i="61" s="1"/>
  <c r="B840" i="61" s="1"/>
  <c r="B841" i="61" s="1"/>
  <c r="B842" i="61" s="1"/>
  <c r="B843" i="61" s="1"/>
  <c r="B844" i="61" s="1"/>
  <c r="B845" i="61" s="1"/>
  <c r="B846" i="61" s="1"/>
  <c r="B847" i="61" s="1"/>
  <c r="B848" i="61" s="1"/>
  <c r="B849" i="61" s="1"/>
  <c r="B850" i="61" s="1"/>
  <c r="B851" i="61" s="1"/>
  <c r="B852" i="61" s="1"/>
  <c r="B853" i="61" s="1"/>
  <c r="B854" i="61" s="1"/>
  <c r="B855" i="61" s="1"/>
  <c r="B856" i="61" s="1"/>
  <c r="F117" i="22" l="1"/>
  <c r="F116" i="22"/>
  <c r="I378" i="30" l="1"/>
  <c r="H378" i="30"/>
  <c r="I377" i="30"/>
  <c r="H377" i="30"/>
  <c r="J374" i="30"/>
  <c r="J373" i="30"/>
  <c r="J370" i="30"/>
  <c r="I370" i="30"/>
  <c r="H370" i="30"/>
  <c r="J369" i="30"/>
  <c r="I369" i="30"/>
  <c r="H369" i="30"/>
  <c r="J366" i="30"/>
  <c r="J365" i="30"/>
  <c r="J362" i="30"/>
  <c r="I362" i="30"/>
  <c r="H362" i="30"/>
  <c r="J361" i="30"/>
  <c r="I361" i="30"/>
  <c r="H361" i="30"/>
  <c r="I358" i="30"/>
  <c r="H358" i="30"/>
  <c r="I357" i="30"/>
  <c r="H357" i="30"/>
  <c r="J354" i="30"/>
  <c r="J353" i="30"/>
  <c r="J350" i="30"/>
  <c r="I350" i="30"/>
  <c r="H350" i="30"/>
  <c r="J349" i="30"/>
  <c r="I349" i="30"/>
  <c r="H349" i="30"/>
  <c r="I346" i="30"/>
  <c r="H346" i="30"/>
  <c r="I345" i="30"/>
  <c r="H345" i="30"/>
  <c r="I342" i="30"/>
  <c r="I341" i="30"/>
  <c r="H342" i="30"/>
  <c r="H341" i="30"/>
  <c r="I338" i="30"/>
  <c r="H338" i="30"/>
  <c r="I337" i="30"/>
  <c r="H337" i="30"/>
  <c r="J334" i="30"/>
  <c r="I334" i="30"/>
  <c r="H334" i="30"/>
  <c r="J333" i="30"/>
  <c r="I333" i="30"/>
  <c r="H333" i="30"/>
  <c r="J330" i="30"/>
  <c r="I330" i="30"/>
  <c r="H330" i="30"/>
  <c r="J329" i="30"/>
  <c r="I329" i="30"/>
  <c r="H329" i="30"/>
  <c r="J326" i="30"/>
  <c r="I326" i="30"/>
  <c r="H326" i="30"/>
  <c r="J325" i="30"/>
  <c r="I325" i="30"/>
  <c r="H325" i="30"/>
  <c r="J322" i="30"/>
  <c r="I322" i="30"/>
  <c r="H322" i="30"/>
  <c r="J321" i="30"/>
  <c r="I321" i="30"/>
  <c r="H321" i="30"/>
  <c r="J310" i="30"/>
  <c r="I310" i="30"/>
  <c r="H310" i="30"/>
  <c r="J309" i="30"/>
  <c r="I309" i="30"/>
  <c r="H309" i="30"/>
  <c r="J314" i="30"/>
  <c r="I314" i="30"/>
  <c r="H314" i="30"/>
  <c r="J313" i="30"/>
  <c r="I313" i="30"/>
  <c r="H313" i="30"/>
  <c r="J318" i="30"/>
  <c r="I318" i="30"/>
  <c r="H318" i="30"/>
  <c r="J317" i="30"/>
  <c r="I317" i="30"/>
  <c r="H317" i="30"/>
  <c r="B161" i="20" l="1"/>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L86" i="30"/>
  <c r="M378" i="30"/>
  <c r="L378" i="30"/>
  <c r="M377" i="30"/>
  <c r="L377" i="30"/>
  <c r="C117" i="22"/>
  <c r="C116" i="22"/>
  <c r="F229" i="30"/>
  <c r="F114" i="22" s="1"/>
  <c r="B229" i="30"/>
  <c r="C114" i="22" s="1"/>
  <c r="F224" i="30"/>
  <c r="F113" i="22" s="1"/>
  <c r="B224" i="30"/>
  <c r="C113" i="22" s="1"/>
  <c r="B217" i="30"/>
  <c r="C111" i="22" s="1"/>
  <c r="F217" i="30"/>
  <c r="F111" i="22" s="1"/>
  <c r="B95" i="30"/>
  <c r="C110" i="22" s="1"/>
  <c r="D87" i="30"/>
  <c r="F70" i="30"/>
  <c r="F108" i="22" s="1"/>
  <c r="B70" i="30"/>
  <c r="C108" i="22" s="1"/>
  <c r="F66" i="30"/>
  <c r="F107" i="22" s="1"/>
  <c r="B66" i="30"/>
  <c r="C107" i="22" s="1"/>
  <c r="F64" i="30"/>
  <c r="B64" i="30"/>
  <c r="B58" i="30"/>
  <c r="C105" i="22" s="1"/>
  <c r="B53" i="30"/>
  <c r="C104" i="22" s="1"/>
  <c r="N75" i="30"/>
  <c r="F58" i="30"/>
  <c r="F105" i="22" s="1"/>
  <c r="F53" i="30"/>
  <c r="F104" i="22" s="1"/>
  <c r="O378" i="30" l="1"/>
  <c r="O377" i="30"/>
  <c r="N86" i="30"/>
  <c r="M86" i="30"/>
  <c r="N101" i="30"/>
  <c r="M101" i="30"/>
  <c r="L101" i="30"/>
  <c r="N100" i="30"/>
  <c r="M100" i="30"/>
  <c r="L100" i="30"/>
  <c r="N99" i="30"/>
  <c r="M99" i="30"/>
  <c r="L99" i="30"/>
  <c r="N97" i="30"/>
  <c r="M97" i="30"/>
  <c r="L97" i="30"/>
  <c r="N94" i="30"/>
  <c r="O94" i="30" s="1"/>
  <c r="Q94" i="30" s="1"/>
  <c r="L84" i="30"/>
  <c r="O84" i="30" s="1"/>
  <c r="M91" i="30"/>
  <c r="L91" i="30"/>
  <c r="M89" i="30"/>
  <c r="L89" i="30"/>
  <c r="M85" i="30"/>
  <c r="L85" i="30"/>
  <c r="M76" i="30"/>
  <c r="L76" i="30"/>
  <c r="M75" i="30"/>
  <c r="L75" i="30"/>
  <c r="L74" i="30"/>
  <c r="O74" i="30" s="1"/>
  <c r="M73" i="30"/>
  <c r="L73" i="30"/>
  <c r="M72" i="30"/>
  <c r="L72" i="30"/>
  <c r="M47" i="30"/>
  <c r="L47" i="30"/>
  <c r="M46" i="30"/>
  <c r="L46" i="30"/>
  <c r="M45" i="30"/>
  <c r="L45" i="30"/>
  <c r="M44" i="30"/>
  <c r="L44" i="30"/>
  <c r="M43" i="30"/>
  <c r="L43" i="30"/>
  <c r="M41" i="30"/>
  <c r="L41" i="30"/>
  <c r="M35" i="30"/>
  <c r="L35" i="30"/>
  <c r="M34" i="30"/>
  <c r="L34" i="30"/>
  <c r="M33" i="30"/>
  <c r="L33" i="30"/>
  <c r="M28" i="30"/>
  <c r="L28" i="30"/>
  <c r="M27" i="30"/>
  <c r="L27" i="30"/>
  <c r="M26" i="30"/>
  <c r="L26" i="30"/>
  <c r="M23" i="30"/>
  <c r="L23" i="30"/>
  <c r="M22" i="30"/>
  <c r="L22" i="30"/>
  <c r="M21" i="30"/>
  <c r="L21" i="30"/>
  <c r="M16" i="30"/>
  <c r="L16" i="30"/>
  <c r="M15" i="30"/>
  <c r="L15" i="30"/>
  <c r="M14" i="30"/>
  <c r="L14" i="30"/>
  <c r="M11" i="30"/>
  <c r="L11" i="30"/>
  <c r="M9" i="30"/>
  <c r="L9" i="30"/>
  <c r="M370" i="30"/>
  <c r="L370" i="30"/>
  <c r="M369" i="30"/>
  <c r="L369" i="30"/>
  <c r="M362" i="30"/>
  <c r="L362" i="30"/>
  <c r="M361" i="30"/>
  <c r="L361" i="30"/>
  <c r="M358" i="30"/>
  <c r="L358" i="30"/>
  <c r="M357" i="30"/>
  <c r="L357" i="30"/>
  <c r="M350" i="30"/>
  <c r="L350" i="30"/>
  <c r="M349" i="30"/>
  <c r="L349" i="30"/>
  <c r="M346" i="30"/>
  <c r="L346" i="30"/>
  <c r="M345" i="30"/>
  <c r="L345" i="30"/>
  <c r="M342" i="30"/>
  <c r="L342" i="30"/>
  <c r="M341" i="30"/>
  <c r="L341" i="30"/>
  <c r="M338" i="30"/>
  <c r="L338" i="30"/>
  <c r="M337" i="30"/>
  <c r="L337" i="30"/>
  <c r="M334" i="30"/>
  <c r="L334" i="30"/>
  <c r="M333" i="30"/>
  <c r="L333" i="30"/>
  <c r="M330" i="30"/>
  <c r="L330" i="30"/>
  <c r="M329" i="30"/>
  <c r="L329" i="30"/>
  <c r="M326" i="30"/>
  <c r="L326" i="30"/>
  <c r="M325" i="30"/>
  <c r="L325" i="30"/>
  <c r="M322" i="30"/>
  <c r="L322" i="30"/>
  <c r="M321" i="30"/>
  <c r="L321" i="30"/>
  <c r="M318" i="30"/>
  <c r="L318" i="30"/>
  <c r="M317" i="30"/>
  <c r="L317" i="30"/>
  <c r="M314" i="30"/>
  <c r="L314" i="30"/>
  <c r="M313" i="30"/>
  <c r="L313" i="30"/>
  <c r="M310" i="30"/>
  <c r="L310" i="30"/>
  <c r="M309" i="30"/>
  <c r="L309" i="30"/>
  <c r="M305" i="30"/>
  <c r="L305" i="30"/>
  <c r="M304" i="30"/>
  <c r="L304" i="30"/>
  <c r="M294" i="30"/>
  <c r="L294" i="30"/>
  <c r="M292" i="30"/>
  <c r="L292" i="30"/>
  <c r="M291" i="30"/>
  <c r="L291" i="30"/>
  <c r="M290" i="30"/>
  <c r="L290" i="30"/>
  <c r="M289" i="30"/>
  <c r="L289" i="30"/>
  <c r="M288" i="30"/>
  <c r="L288" i="30"/>
  <c r="M284" i="30"/>
  <c r="L284" i="30"/>
  <c r="M283" i="30"/>
  <c r="L283" i="30"/>
  <c r="M282" i="30"/>
  <c r="L282" i="30"/>
  <c r="M281" i="30"/>
  <c r="L281" i="30"/>
  <c r="M280" i="30"/>
  <c r="L280" i="30"/>
  <c r="M279" i="30"/>
  <c r="L279" i="30"/>
  <c r="M251" i="30"/>
  <c r="L251" i="30"/>
  <c r="M249" i="30"/>
  <c r="L249" i="30"/>
  <c r="M247" i="30"/>
  <c r="L247" i="30"/>
  <c r="M211" i="30"/>
  <c r="L211" i="30"/>
  <c r="M210" i="30"/>
  <c r="L210" i="30"/>
  <c r="M209" i="30"/>
  <c r="L209" i="30"/>
  <c r="M208" i="30"/>
  <c r="L208" i="30"/>
  <c r="O208" i="30" s="1"/>
  <c r="Q208" i="30" s="1"/>
  <c r="M206" i="30"/>
  <c r="L206" i="30"/>
  <c r="M198" i="30"/>
  <c r="L198" i="30"/>
  <c r="M197" i="30"/>
  <c r="L197" i="30"/>
  <c r="M196" i="30"/>
  <c r="L196" i="30"/>
  <c r="M194" i="30"/>
  <c r="L194" i="30"/>
  <c r="M186" i="30"/>
  <c r="L186" i="30"/>
  <c r="M185" i="30"/>
  <c r="L185" i="30"/>
  <c r="M184" i="30"/>
  <c r="L184" i="30"/>
  <c r="M182" i="30"/>
  <c r="L182" i="30"/>
  <c r="M180" i="30"/>
  <c r="L180" i="30"/>
  <c r="M179" i="30"/>
  <c r="L179" i="30"/>
  <c r="M178" i="30"/>
  <c r="L178" i="30"/>
  <c r="M176" i="30"/>
  <c r="L176" i="30"/>
  <c r="M168" i="30"/>
  <c r="L168" i="30"/>
  <c r="M167" i="30"/>
  <c r="L167" i="30"/>
  <c r="M166" i="30"/>
  <c r="L166" i="30"/>
  <c r="M164" i="30"/>
  <c r="L164" i="30"/>
  <c r="M162" i="30"/>
  <c r="L162" i="30"/>
  <c r="M161" i="30"/>
  <c r="L161" i="30"/>
  <c r="M160" i="30"/>
  <c r="L160" i="30"/>
  <c r="M158" i="30"/>
  <c r="L158" i="30"/>
  <c r="M156" i="30"/>
  <c r="L156" i="30"/>
  <c r="M155" i="30"/>
  <c r="L155" i="30"/>
  <c r="M154" i="30"/>
  <c r="L154" i="30"/>
  <c r="M152" i="30"/>
  <c r="L152" i="30"/>
  <c r="M150" i="30"/>
  <c r="L150" i="30"/>
  <c r="M149" i="30"/>
  <c r="L149" i="30"/>
  <c r="M148" i="30"/>
  <c r="L148" i="30"/>
  <c r="M146" i="30"/>
  <c r="L146" i="30"/>
  <c r="M144" i="30"/>
  <c r="L144" i="30"/>
  <c r="M143" i="30"/>
  <c r="L143" i="30"/>
  <c r="M142" i="30"/>
  <c r="L142" i="30"/>
  <c r="M140" i="30"/>
  <c r="L140" i="30"/>
  <c r="M138" i="30"/>
  <c r="L138" i="30"/>
  <c r="M137" i="30"/>
  <c r="L137" i="30"/>
  <c r="M136" i="30"/>
  <c r="L136" i="30"/>
  <c r="M134" i="30"/>
  <c r="L134" i="30"/>
  <c r="M132" i="30"/>
  <c r="L132" i="30"/>
  <c r="M131" i="30"/>
  <c r="L131" i="30"/>
  <c r="M130" i="30"/>
  <c r="L130" i="30"/>
  <c r="M128" i="30"/>
  <c r="L128" i="30"/>
  <c r="M126" i="30"/>
  <c r="L126" i="30"/>
  <c r="M125" i="30"/>
  <c r="L125" i="30"/>
  <c r="M124" i="30"/>
  <c r="L124" i="30"/>
  <c r="M122" i="30"/>
  <c r="L122" i="30"/>
  <c r="M120" i="30"/>
  <c r="L120" i="30"/>
  <c r="M119" i="30"/>
  <c r="L119" i="30"/>
  <c r="M118" i="30"/>
  <c r="L118" i="30"/>
  <c r="M116" i="30"/>
  <c r="L116" i="30"/>
  <c r="M114" i="30"/>
  <c r="L114" i="30"/>
  <c r="M113" i="30"/>
  <c r="L113" i="30"/>
  <c r="M112" i="30"/>
  <c r="L112" i="30"/>
  <c r="M110" i="30"/>
  <c r="L110" i="30"/>
  <c r="M108" i="30"/>
  <c r="L108" i="30"/>
  <c r="M107" i="30"/>
  <c r="L107" i="30"/>
  <c r="M106" i="30"/>
  <c r="L106" i="30"/>
  <c r="M104" i="30"/>
  <c r="L104" i="30"/>
  <c r="M93" i="30"/>
  <c r="L93" i="30"/>
  <c r="M92" i="30"/>
  <c r="L92" i="30"/>
  <c r="N108" i="30"/>
  <c r="N107" i="30"/>
  <c r="N106" i="30"/>
  <c r="N104" i="30"/>
  <c r="D95" i="30"/>
  <c r="D110" i="22" s="1"/>
  <c r="Q107" i="30" l="1"/>
  <c r="Q106" i="30"/>
  <c r="O75" i="30"/>
  <c r="O99" i="30"/>
  <c r="Q99" i="30" s="1"/>
  <c r="O206" i="30"/>
  <c r="Q206" i="30" s="1"/>
  <c r="O209" i="30"/>
  <c r="Q209" i="30" s="1"/>
  <c r="O101" i="30"/>
  <c r="Q101" i="30" s="1"/>
  <c r="O100" i="30"/>
  <c r="Q100" i="30" s="1"/>
  <c r="O97" i="30"/>
  <c r="Q97" i="30" s="1"/>
  <c r="O86" i="30"/>
  <c r="Q86" i="30" s="1"/>
  <c r="Q108" i="30"/>
  <c r="O210" i="30"/>
  <c r="Q210" i="30" s="1"/>
  <c r="Q104" i="30"/>
  <c r="E119" i="32"/>
  <c r="D119" i="32"/>
  <c r="C111" i="32"/>
  <c r="C114" i="32"/>
  <c r="B34" i="62" l="1"/>
  <c r="B35" i="62" s="1"/>
  <c r="B36" i="62" s="1"/>
  <c r="B37" i="62" s="1"/>
  <c r="B38" i="62" s="1"/>
  <c r="B39" i="62" s="1"/>
  <c r="B40" i="62" s="1"/>
  <c r="B41" i="62" s="1"/>
  <c r="B42" i="62" s="1"/>
  <c r="B9" i="62"/>
  <c r="B10" i="62" s="1"/>
  <c r="B11" i="62" s="1"/>
  <c r="B12" i="62" s="1"/>
  <c r="B13" i="62" s="1"/>
  <c r="B14" i="62" s="1"/>
  <c r="B15" i="62" s="1"/>
  <c r="B16" i="62" s="1"/>
  <c r="B17" i="62" s="1"/>
  <c r="B18" i="62" s="1"/>
  <c r="B19" i="62" s="1"/>
  <c r="B20" i="62" s="1"/>
  <c r="B21" i="62" s="1"/>
  <c r="B22" i="62" s="1"/>
  <c r="B23" i="62" s="1"/>
  <c r="B24" i="62" s="1"/>
  <c r="B25" i="62" s="1"/>
  <c r="B26" i="62" s="1"/>
  <c r="B27" i="62" s="1"/>
  <c r="B1288" i="61"/>
  <c r="B1289" i="61" s="1"/>
  <c r="B1290" i="61" s="1"/>
  <c r="B1291" i="61" s="1"/>
  <c r="B1292" i="61" s="1"/>
  <c r="B1293" i="61" s="1"/>
  <c r="B1294" i="61" s="1"/>
  <c r="B1295" i="61" s="1"/>
  <c r="B1296" i="61" s="1"/>
  <c r="B1297" i="61" s="1"/>
  <c r="B1298" i="61" s="1"/>
  <c r="B1274" i="61"/>
  <c r="B1275" i="61" s="1"/>
  <c r="B1276" i="61" s="1"/>
  <c r="B1277" i="61" s="1"/>
  <c r="B1278" i="61" s="1"/>
  <c r="B1279" i="61" s="1"/>
  <c r="B1280" i="61" s="1"/>
  <c r="B1281" i="61" s="1"/>
  <c r="B1282" i="61" s="1"/>
  <c r="B1283" i="61" s="1"/>
  <c r="B1284" i="61" s="1"/>
  <c r="B1268" i="61"/>
  <c r="B1269" i="61" s="1"/>
  <c r="B1270" i="61" s="1"/>
  <c r="B1254" i="61"/>
  <c r="B1255" i="61" s="1"/>
  <c r="B1256" i="61" s="1"/>
  <c r="B1257" i="61" s="1"/>
  <c r="B1258" i="61" s="1"/>
  <c r="B1259" i="61" s="1"/>
  <c r="B1260" i="61" s="1"/>
  <c r="B1261" i="61" s="1"/>
  <c r="B1262" i="61" s="1"/>
  <c r="B1263" i="61" s="1"/>
  <c r="B1264" i="61" s="1"/>
  <c r="B1190" i="61" l="1"/>
  <c r="B1191" i="61" s="1"/>
  <c r="B1192" i="61" s="1"/>
  <c r="B1193" i="61" s="1"/>
  <c r="B1194" i="61" s="1"/>
  <c r="B1195" i="61" s="1"/>
  <c r="B1196" i="61" s="1"/>
  <c r="B1197" i="61" s="1"/>
  <c r="B1198" i="61" s="1"/>
  <c r="B1199" i="61" s="1"/>
  <c r="B1200" i="61" s="1"/>
  <c r="B1201" i="61" s="1"/>
  <c r="B1202" i="61" s="1"/>
  <c r="B1203" i="61" s="1"/>
  <c r="B1204" i="61" s="1"/>
  <c r="B1205" i="61" s="1"/>
  <c r="B1206" i="61" s="1"/>
  <c r="B1207" i="61" s="1"/>
  <c r="B1208" i="61" s="1"/>
  <c r="B1209" i="61" s="1"/>
  <c r="B1210" i="61" s="1"/>
  <c r="B1211" i="61" s="1"/>
  <c r="B1212" i="61" s="1"/>
  <c r="B1213" i="61" s="1"/>
  <c r="B1214" i="61" s="1"/>
  <c r="B1215" i="61" s="1"/>
  <c r="B1216" i="61" s="1"/>
  <c r="B1217" i="61" s="1"/>
  <c r="B1218" i="61" s="1"/>
  <c r="B1219" i="61" s="1"/>
  <c r="B1220" i="61" s="1"/>
  <c r="B1221" i="61" s="1"/>
  <c r="B1222" i="61" s="1"/>
  <c r="B1223" i="61" s="1"/>
  <c r="B1224" i="61" s="1"/>
  <c r="B1225" i="61" s="1"/>
  <c r="B1226" i="61" s="1"/>
  <c r="B1227" i="61" s="1"/>
  <c r="B1228" i="61" s="1"/>
  <c r="B1229" i="61" s="1"/>
  <c r="B1230" i="61" s="1"/>
  <c r="B1231" i="61" s="1"/>
  <c r="B1232" i="61" s="1"/>
  <c r="B1233" i="61" s="1"/>
  <c r="B1234" i="61" s="1"/>
  <c r="B1235" i="61" s="1"/>
  <c r="B1236" i="61" s="1"/>
  <c r="B1237" i="61" s="1"/>
  <c r="B1238" i="61" s="1"/>
  <c r="B1239" i="61" s="1"/>
  <c r="B1240" i="61" s="1"/>
  <c r="B1241" i="61" s="1"/>
  <c r="B1242" i="61" s="1"/>
  <c r="B1243" i="61" s="1"/>
  <c r="B1244" i="61" s="1"/>
  <c r="B1245" i="61" s="1"/>
  <c r="B1246" i="61" s="1"/>
  <c r="B1247" i="61" s="1"/>
  <c r="B1248" i="61" s="1"/>
  <c r="B924" i="61"/>
  <c r="B925" i="61" s="1"/>
  <c r="B926" i="61" s="1"/>
  <c r="B927" i="61" s="1"/>
  <c r="B928" i="61" s="1"/>
  <c r="B929" i="61" s="1"/>
  <c r="B930" i="61" s="1"/>
  <c r="B931" i="61" s="1"/>
  <c r="B932" i="61" s="1"/>
  <c r="B933" i="61" s="1"/>
  <c r="B934" i="61" s="1"/>
  <c r="B935" i="61" s="1"/>
  <c r="B936" i="61" s="1"/>
  <c r="B937" i="61" s="1"/>
  <c r="B938" i="61" s="1"/>
  <c r="B939" i="61" s="1"/>
  <c r="B940" i="61" s="1"/>
  <c r="B941" i="61" s="1"/>
  <c r="B942" i="61" s="1"/>
  <c r="B943" i="61" s="1"/>
  <c r="B944" i="61" s="1"/>
  <c r="B945" i="61" s="1"/>
  <c r="B946" i="61" s="1"/>
  <c r="B947" i="61" s="1"/>
  <c r="B948" i="61" s="1"/>
  <c r="B949" i="61" s="1"/>
  <c r="B950" i="61" s="1"/>
  <c r="B951" i="61" s="1"/>
  <c r="B952" i="61" s="1"/>
  <c r="B953" i="61" s="1"/>
  <c r="B954" i="61" s="1"/>
  <c r="B955" i="61" s="1"/>
  <c r="B956" i="61" s="1"/>
  <c r="B957" i="61" s="1"/>
  <c r="B958" i="61" s="1"/>
  <c r="B959" i="61" s="1"/>
  <c r="B960" i="61" s="1"/>
  <c r="B961" i="61" s="1"/>
  <c r="B962" i="61" s="1"/>
  <c r="B963" i="61" s="1"/>
  <c r="B964" i="61" s="1"/>
  <c r="B965" i="61" s="1"/>
  <c r="B966" i="61" s="1"/>
  <c r="B967" i="61" s="1"/>
  <c r="B968" i="61" s="1"/>
  <c r="B969" i="61" s="1"/>
  <c r="B970" i="61" s="1"/>
  <c r="B971" i="61" s="1"/>
  <c r="B972" i="61" s="1"/>
  <c r="B973" i="61" s="1"/>
  <c r="B974" i="61" s="1"/>
  <c r="B975" i="61" s="1"/>
  <c r="B976" i="61" s="1"/>
  <c r="B977" i="61" s="1"/>
  <c r="B978" i="61" s="1"/>
  <c r="B979" i="61" s="1"/>
  <c r="B980" i="61" s="1"/>
  <c r="B981" i="61" s="1"/>
  <c r="B982" i="61" s="1"/>
  <c r="B983" i="61" s="1"/>
  <c r="B984" i="61" s="1"/>
  <c r="B985" i="61" s="1"/>
  <c r="B986" i="61" s="1"/>
  <c r="B987" i="61" s="1"/>
  <c r="B988" i="61" s="1"/>
  <c r="B989" i="61" s="1"/>
  <c r="B990" i="61" s="1"/>
  <c r="B991" i="61" s="1"/>
  <c r="B992" i="61" s="1"/>
  <c r="B993" i="61" s="1"/>
  <c r="B994" i="61" s="1"/>
  <c r="B995" i="61" s="1"/>
  <c r="B996" i="61" s="1"/>
  <c r="B997" i="61" s="1"/>
  <c r="B998" i="61" s="1"/>
  <c r="B999" i="61" s="1"/>
  <c r="B1000" i="61" s="1"/>
  <c r="B860" i="61"/>
  <c r="B861" i="61" s="1"/>
  <c r="B862" i="61" s="1"/>
  <c r="B863" i="61" s="1"/>
  <c r="B864" i="61" s="1"/>
  <c r="B865" i="61" s="1"/>
  <c r="B866" i="61" s="1"/>
  <c r="B867" i="61" s="1"/>
  <c r="B868" i="61" s="1"/>
  <c r="B869" i="61" s="1"/>
  <c r="B870" i="61" s="1"/>
  <c r="B871" i="61" s="1"/>
  <c r="B872" i="61" s="1"/>
  <c r="B873" i="61" s="1"/>
  <c r="B874" i="61" s="1"/>
  <c r="B875" i="61" s="1"/>
  <c r="B876" i="61" s="1"/>
  <c r="B877" i="61" s="1"/>
  <c r="B878" i="61" s="1"/>
  <c r="B879" i="61" s="1"/>
  <c r="B880" i="61" s="1"/>
  <c r="B881" i="61" s="1"/>
  <c r="B882" i="61" s="1"/>
  <c r="B883" i="61" s="1"/>
  <c r="B884" i="61" s="1"/>
  <c r="B885" i="61" s="1"/>
  <c r="B886" i="61" s="1"/>
  <c r="B887" i="61" s="1"/>
  <c r="B888" i="61" s="1"/>
  <c r="B889" i="61" s="1"/>
  <c r="B890" i="61" s="1"/>
  <c r="B891" i="61" s="1"/>
  <c r="B892" i="61" s="1"/>
  <c r="B893" i="61" s="1"/>
  <c r="B894" i="61" s="1"/>
  <c r="B895" i="61" s="1"/>
  <c r="B896" i="61" s="1"/>
  <c r="B897" i="61" s="1"/>
  <c r="B898" i="61" s="1"/>
  <c r="B899" i="61" s="1"/>
  <c r="B900" i="61" s="1"/>
  <c r="B901" i="61" s="1"/>
  <c r="B902" i="61" s="1"/>
  <c r="B903" i="61" s="1"/>
  <c r="B904" i="61" s="1"/>
  <c r="B905" i="61" s="1"/>
  <c r="B906" i="61" s="1"/>
  <c r="B907" i="61" s="1"/>
  <c r="B908" i="61" s="1"/>
  <c r="B909" i="61" s="1"/>
  <c r="B910" i="61" s="1"/>
  <c r="B911" i="61" s="1"/>
  <c r="B912" i="61" s="1"/>
  <c r="B913" i="61" s="1"/>
  <c r="B914" i="61" s="1"/>
  <c r="B915" i="61" s="1"/>
  <c r="B916" i="61" s="1"/>
  <c r="B917" i="61" s="1"/>
  <c r="B918" i="61" s="1"/>
  <c r="B1001" i="61" l="1"/>
  <c r="B1002" i="61" s="1"/>
  <c r="B1003" i="61" s="1"/>
  <c r="B1004" i="61" s="1"/>
  <c r="B1005" i="61" s="1"/>
  <c r="B1006" i="61" s="1"/>
  <c r="B1007" i="61" s="1"/>
  <c r="B1008" i="61" s="1"/>
  <c r="B1009" i="61" s="1"/>
  <c r="B1010" i="61" s="1"/>
  <c r="B1011" i="61" s="1"/>
  <c r="B1012" i="61" s="1"/>
  <c r="B1013" i="61" s="1"/>
  <c r="B1014" i="61" s="1"/>
  <c r="B1015" i="61" s="1"/>
  <c r="B1016" i="61" s="1"/>
  <c r="B1017" i="61" s="1"/>
  <c r="B1018" i="61" s="1"/>
  <c r="B1019" i="61" s="1"/>
  <c r="B1020" i="61" s="1"/>
  <c r="B1021" i="61" s="1"/>
  <c r="B1022" i="61" s="1"/>
  <c r="B1023" i="61" s="1"/>
  <c r="B1024" i="61" s="1"/>
  <c r="B1025" i="61" s="1"/>
  <c r="B1026" i="61" s="1"/>
  <c r="B1027" i="61" s="1"/>
  <c r="B1028" i="61" s="1"/>
  <c r="B1029" i="61" s="1"/>
  <c r="B1030" i="61" s="1"/>
  <c r="B1031" i="61" s="1"/>
  <c r="B1032" i="61" s="1"/>
  <c r="B1033" i="61" s="1"/>
  <c r="B1034" i="61" s="1"/>
  <c r="B1035" i="61" s="1"/>
  <c r="B1036" i="61" s="1"/>
  <c r="B1037" i="61" s="1"/>
  <c r="B1038" i="61" s="1"/>
  <c r="B1039" i="61" s="1"/>
  <c r="B1040" i="61" s="1"/>
  <c r="B1041" i="61" s="1"/>
  <c r="B1042" i="61" s="1"/>
  <c r="B1043" i="61" s="1"/>
  <c r="B1044" i="61" s="1"/>
  <c r="B1045" i="61" s="1"/>
  <c r="B1046" i="61" s="1"/>
  <c r="B1047" i="61" s="1"/>
  <c r="B1048" i="61" s="1"/>
  <c r="B1049" i="61" s="1"/>
  <c r="B1050" i="61" s="1"/>
  <c r="B1051" i="61" s="1"/>
  <c r="B1052" i="61" s="1"/>
  <c r="B1053" i="61" s="1"/>
  <c r="B1054" i="61" s="1"/>
  <c r="B1055" i="61" s="1"/>
  <c r="B1056" i="61" s="1"/>
  <c r="B1057" i="61" s="1"/>
  <c r="B1058" i="61" s="1"/>
  <c r="B1059" i="61" s="1"/>
  <c r="B1060" i="61" s="1"/>
  <c r="B1061" i="61" s="1"/>
  <c r="B1062" i="61" s="1"/>
  <c r="B568" i="61"/>
  <c r="B569" i="61" s="1"/>
  <c r="B570" i="61" s="1"/>
  <c r="B571" i="61" s="1"/>
  <c r="B572" i="61" s="1"/>
  <c r="B573" i="61" s="1"/>
  <c r="B574" i="61" s="1"/>
  <c r="B575" i="61" s="1"/>
  <c r="B576" i="61" s="1"/>
  <c r="B577" i="61" s="1"/>
  <c r="B578" i="61" s="1"/>
  <c r="B579" i="61" s="1"/>
  <c r="B580" i="61" s="1"/>
  <c r="B581" i="61" s="1"/>
  <c r="B582" i="61" s="1"/>
  <c r="B583" i="61" s="1"/>
  <c r="B539" i="61"/>
  <c r="B540" i="61" s="1"/>
  <c r="B541" i="61" s="1"/>
  <c r="B542" i="61" s="1"/>
  <c r="B543" i="61" s="1"/>
  <c r="B544" i="61" s="1"/>
  <c r="B545" i="61" s="1"/>
  <c r="B546" i="61" s="1"/>
  <c r="B547" i="61" s="1"/>
  <c r="B548" i="61" s="1"/>
  <c r="B549" i="61" s="1"/>
  <c r="B550" i="61" s="1"/>
  <c r="B551" i="61" s="1"/>
  <c r="B552" i="61" s="1"/>
  <c r="B553" i="61" s="1"/>
  <c r="B554" i="61" s="1"/>
  <c r="B555" i="61" s="1"/>
  <c r="B556" i="61" s="1"/>
  <c r="B557" i="61" s="1"/>
  <c r="B558" i="61" s="1"/>
  <c r="B559" i="61" s="1"/>
  <c r="B560" i="61" s="1"/>
  <c r="B561" i="61" s="1"/>
  <c r="B105" i="61"/>
  <c r="B106" i="61" s="1"/>
  <c r="B107" i="61" s="1"/>
  <c r="B108" i="61" s="1"/>
  <c r="B109" i="61" s="1"/>
  <c r="B110" i="61" s="1"/>
  <c r="B111" i="61" s="1"/>
  <c r="B112" i="61" s="1"/>
  <c r="B113" i="61" s="1"/>
  <c r="B114" i="61" s="1"/>
  <c r="B115" i="61" s="1"/>
  <c r="B116" i="61" s="1"/>
  <c r="B117" i="61" s="1"/>
  <c r="B118" i="61" s="1"/>
  <c r="B119" i="61" s="1"/>
  <c r="B120" i="61" s="1"/>
  <c r="B121" i="61" s="1"/>
  <c r="B122" i="61" s="1"/>
  <c r="B123" i="61" s="1"/>
  <c r="B124" i="61" s="1"/>
  <c r="B125" i="61" s="1"/>
  <c r="B126" i="61" s="1"/>
  <c r="B127" i="61" s="1"/>
  <c r="B128" i="61" s="1"/>
  <c r="B129" i="61" s="1"/>
  <c r="B130" i="61" s="1"/>
  <c r="B131" i="61" s="1"/>
  <c r="B132" i="61" s="1"/>
  <c r="B133" i="61" s="1"/>
  <c r="B134" i="61" s="1"/>
  <c r="B135" i="61" s="1"/>
  <c r="B136" i="61" s="1"/>
  <c r="B137" i="61" s="1"/>
  <c r="B138" i="61" s="1"/>
  <c r="B139" i="61" s="1"/>
  <c r="B140" i="61" s="1"/>
  <c r="B141" i="61" s="1"/>
  <c r="B142" i="61" s="1"/>
  <c r="B143" i="61" s="1"/>
  <c r="B144" i="61" s="1"/>
  <c r="B145" i="61" s="1"/>
  <c r="B146" i="61" s="1"/>
  <c r="B147" i="61" s="1"/>
  <c r="B148" i="61" s="1"/>
  <c r="B149" i="61" s="1"/>
  <c r="B150" i="61" s="1"/>
  <c r="B151" i="61" s="1"/>
  <c r="B152" i="61" s="1"/>
  <c r="B153" i="61" s="1"/>
  <c r="B154" i="61" s="1"/>
  <c r="B155" i="61" s="1"/>
  <c r="B156" i="61" s="1"/>
  <c r="B157" i="61" s="1"/>
  <c r="B158" i="61" s="1"/>
  <c r="B159" i="61" s="1"/>
  <c r="B160" i="61" s="1"/>
  <c r="B161" i="61" s="1"/>
  <c r="B162" i="61" s="1"/>
  <c r="B163" i="61" s="1"/>
  <c r="B164" i="61" s="1"/>
  <c r="B165" i="61" s="1"/>
  <c r="B166" i="61" s="1"/>
  <c r="B167" i="61" s="1"/>
  <c r="B168" i="61" s="1"/>
  <c r="B169" i="61" s="1"/>
  <c r="B170" i="61" s="1"/>
  <c r="B171" i="61" s="1"/>
  <c r="B172" i="61" s="1"/>
  <c r="B173" i="61" s="1"/>
  <c r="B174" i="61" s="1"/>
  <c r="B175" i="61" s="1"/>
  <c r="B176" i="61" s="1"/>
  <c r="B177" i="61" s="1"/>
  <c r="B178" i="61" s="1"/>
  <c r="B179" i="61" s="1"/>
  <c r="B180" i="61" s="1"/>
  <c r="B181" i="61" s="1"/>
  <c r="B182" i="61" s="1"/>
  <c r="B183" i="61" s="1"/>
  <c r="B184" i="61" s="1"/>
  <c r="B185" i="61" s="1"/>
  <c r="B186" i="61" s="1"/>
  <c r="B187" i="61" s="1"/>
  <c r="B188" i="61" s="1"/>
  <c r="B189" i="61" s="1"/>
  <c r="B190" i="61" s="1"/>
  <c r="B191" i="61" s="1"/>
  <c r="B192" i="61" s="1"/>
  <c r="B193" i="61" s="1"/>
  <c r="B194" i="61" s="1"/>
  <c r="B195" i="61" s="1"/>
  <c r="B196" i="61" s="1"/>
  <c r="B197" i="61" s="1"/>
  <c r="B198" i="61" s="1"/>
  <c r="B199" i="61" s="1"/>
  <c r="B200" i="61" s="1"/>
  <c r="B201" i="61" s="1"/>
  <c r="B202" i="61" s="1"/>
  <c r="B203" i="61" s="1"/>
  <c r="B204" i="61" s="1"/>
  <c r="B205" i="61" s="1"/>
  <c r="B206" i="61" s="1"/>
  <c r="B207" i="61" s="1"/>
  <c r="B208" i="61" s="1"/>
  <c r="B209" i="61" s="1"/>
  <c r="B210" i="61" s="1"/>
  <c r="B211" i="61" s="1"/>
  <c r="B212" i="61" s="1"/>
  <c r="B213" i="61" s="1"/>
  <c r="B214" i="61" s="1"/>
  <c r="B215" i="61" s="1"/>
  <c r="B216" i="61" s="1"/>
  <c r="B217" i="61" s="1"/>
  <c r="B218" i="61" s="1"/>
  <c r="B219" i="61" s="1"/>
  <c r="B220" i="61" s="1"/>
  <c r="B221" i="61" s="1"/>
  <c r="B222" i="61" s="1"/>
  <c r="B223" i="61" s="1"/>
  <c r="B224" i="61" s="1"/>
  <c r="B225" i="61" s="1"/>
  <c r="B226" i="61" s="1"/>
  <c r="B227" i="61" s="1"/>
  <c r="B228" i="61" s="1"/>
  <c r="B229" i="61" s="1"/>
  <c r="B230" i="61" s="1"/>
  <c r="B231" i="61" s="1"/>
  <c r="B232" i="61" s="1"/>
  <c r="B233" i="61" s="1"/>
  <c r="B234" i="61" s="1"/>
  <c r="B235" i="61" s="1"/>
  <c r="B236" i="61" s="1"/>
  <c r="B237" i="61" s="1"/>
  <c r="B238" i="61" s="1"/>
  <c r="B239" i="61" s="1"/>
  <c r="B240" i="61" s="1"/>
  <c r="B241" i="61" s="1"/>
  <c r="B242" i="61" s="1"/>
  <c r="B243" i="61" s="1"/>
  <c r="B244" i="61" s="1"/>
  <c r="B245" i="61" s="1"/>
  <c r="B246" i="61" s="1"/>
  <c r="B247" i="61" s="1"/>
  <c r="B248" i="61" s="1"/>
  <c r="B249" i="61" s="1"/>
  <c r="B250" i="61" s="1"/>
  <c r="B251" i="61" s="1"/>
  <c r="B252" i="61" s="1"/>
  <c r="B253" i="61" s="1"/>
  <c r="B254" i="61" s="1"/>
  <c r="B255" i="61" s="1"/>
  <c r="B256" i="61" s="1"/>
  <c r="B257" i="61" s="1"/>
  <c r="B258" i="61" s="1"/>
  <c r="B259" i="61" s="1"/>
  <c r="B260" i="61" s="1"/>
  <c r="B261" i="61" s="1"/>
  <c r="B262" i="61" s="1"/>
  <c r="B263" i="61" s="1"/>
  <c r="B264" i="61" s="1"/>
  <c r="B265" i="61" s="1"/>
  <c r="B266" i="61" s="1"/>
  <c r="B267" i="61" s="1"/>
  <c r="B268" i="61" s="1"/>
  <c r="B269" i="61" s="1"/>
  <c r="B270" i="61" s="1"/>
  <c r="B271" i="61" s="1"/>
  <c r="B272" i="61" s="1"/>
  <c r="B273" i="61" s="1"/>
  <c r="B274" i="61" s="1"/>
  <c r="B275" i="61" s="1"/>
  <c r="B276" i="61" s="1"/>
  <c r="B277" i="61" s="1"/>
  <c r="B278" i="61" s="1"/>
  <c r="B279" i="61" s="1"/>
  <c r="B280" i="61" s="1"/>
  <c r="B281" i="61" s="1"/>
  <c r="B282" i="61" s="1"/>
  <c r="B283" i="61" s="1"/>
  <c r="B284" i="61" s="1"/>
  <c r="B285" i="61" s="1"/>
  <c r="B286" i="61" s="1"/>
  <c r="B287" i="61" s="1"/>
  <c r="B288" i="61" s="1"/>
  <c r="B289" i="61" s="1"/>
  <c r="B290" i="61" s="1"/>
  <c r="B291" i="61" s="1"/>
  <c r="B292" i="61" s="1"/>
  <c r="B293" i="61" s="1"/>
  <c r="B294" i="61" s="1"/>
  <c r="B295" i="61" s="1"/>
  <c r="B296" i="61" s="1"/>
  <c r="B297" i="61" s="1"/>
  <c r="B298" i="61" s="1"/>
  <c r="B299" i="61" s="1"/>
  <c r="B300" i="61" s="1"/>
  <c r="B301" i="61" s="1"/>
  <c r="B302" i="61" s="1"/>
  <c r="B303" i="61" s="1"/>
  <c r="B304" i="61" s="1"/>
  <c r="B305" i="61" s="1"/>
  <c r="B306" i="61" s="1"/>
  <c r="B307" i="61" s="1"/>
  <c r="B308" i="61" s="1"/>
  <c r="B309" i="61" s="1"/>
  <c r="B310" i="61" s="1"/>
  <c r="B311" i="61" s="1"/>
  <c r="B312" i="61" s="1"/>
  <c r="B313" i="61" s="1"/>
  <c r="B314" i="61" s="1"/>
  <c r="B315" i="61" s="1"/>
  <c r="B316" i="61" s="1"/>
  <c r="B317" i="61" s="1"/>
  <c r="B318" i="61" s="1"/>
  <c r="B319" i="61" s="1"/>
  <c r="B320" i="61" s="1"/>
  <c r="B321" i="61" s="1"/>
  <c r="B322" i="61" s="1"/>
  <c r="B323" i="61" s="1"/>
  <c r="B324" i="61" s="1"/>
  <c r="B325" i="61" s="1"/>
  <c r="B326" i="61" s="1"/>
  <c r="B327" i="61" s="1"/>
  <c r="B328" i="61" s="1"/>
  <c r="B329" i="61" s="1"/>
  <c r="B330" i="61" s="1"/>
  <c r="B331" i="61" s="1"/>
  <c r="B332" i="61" s="1"/>
  <c r="B333" i="61" s="1"/>
  <c r="B334" i="61" s="1"/>
  <c r="B335" i="61" s="1"/>
  <c r="B336" i="61" s="1"/>
  <c r="B337" i="61" s="1"/>
  <c r="B338" i="61" s="1"/>
  <c r="B339" i="61" s="1"/>
  <c r="B340" i="61" s="1"/>
  <c r="B341" i="61" s="1"/>
  <c r="B342" i="61" s="1"/>
  <c r="B343" i="61" s="1"/>
  <c r="B344" i="61" s="1"/>
  <c r="B345" i="61" s="1"/>
  <c r="B346" i="61" s="1"/>
  <c r="B347" i="61" s="1"/>
  <c r="B348" i="61" s="1"/>
  <c r="B349" i="61" s="1"/>
  <c r="B350" i="61" s="1"/>
  <c r="B351" i="61" s="1"/>
  <c r="B352" i="61" s="1"/>
  <c r="B353" i="61" s="1"/>
  <c r="B354" i="61" s="1"/>
  <c r="B355" i="61" s="1"/>
  <c r="B356" i="61" s="1"/>
  <c r="B357" i="61" s="1"/>
  <c r="B358" i="61" s="1"/>
  <c r="B359" i="61" s="1"/>
  <c r="B360" i="61" s="1"/>
  <c r="B361" i="61" s="1"/>
  <c r="B362" i="61" s="1"/>
  <c r="B363" i="61" s="1"/>
  <c r="B364" i="61" s="1"/>
  <c r="B365" i="61" s="1"/>
  <c r="B366" i="61" s="1"/>
  <c r="B367" i="61" s="1"/>
  <c r="B368" i="61" s="1"/>
  <c r="B369" i="61" s="1"/>
  <c r="B370" i="61" s="1"/>
  <c r="B371" i="61" s="1"/>
  <c r="B372" i="61" s="1"/>
  <c r="B373" i="61" s="1"/>
  <c r="B374" i="61" s="1"/>
  <c r="B375" i="61" s="1"/>
  <c r="B376" i="61" s="1"/>
  <c r="B377" i="61" s="1"/>
  <c r="B378" i="61" s="1"/>
  <c r="B379" i="61" s="1"/>
  <c r="B380" i="61" s="1"/>
  <c r="B381" i="61" s="1"/>
  <c r="B382" i="61" s="1"/>
  <c r="B383" i="61" s="1"/>
  <c r="B384" i="61" s="1"/>
  <c r="B385" i="61" s="1"/>
  <c r="B386" i="61" s="1"/>
  <c r="B387" i="61" s="1"/>
  <c r="B388" i="61" s="1"/>
  <c r="B389" i="61" s="1"/>
  <c r="B390" i="61" s="1"/>
  <c r="B391" i="61" s="1"/>
  <c r="B392" i="61" s="1"/>
  <c r="B393" i="61" s="1"/>
  <c r="B394" i="61" s="1"/>
  <c r="B395" i="61" s="1"/>
  <c r="B396" i="61" s="1"/>
  <c r="B397" i="61" s="1"/>
  <c r="B398" i="61" s="1"/>
  <c r="B399" i="61" s="1"/>
  <c r="B400" i="61" s="1"/>
  <c r="B401" i="61" s="1"/>
  <c r="B402" i="61" s="1"/>
  <c r="B403" i="61" s="1"/>
  <c r="B404" i="61" s="1"/>
  <c r="B405" i="61" s="1"/>
  <c r="B406" i="61" s="1"/>
  <c r="B407" i="61" s="1"/>
  <c r="B408" i="61" s="1"/>
  <c r="B409" i="61" s="1"/>
  <c r="B410" i="61" s="1"/>
  <c r="B411" i="61" s="1"/>
  <c r="B412" i="61" s="1"/>
  <c r="B413" i="61" s="1"/>
  <c r="B414" i="61" s="1"/>
  <c r="B415" i="61" s="1"/>
  <c r="B416" i="61" s="1"/>
  <c r="B417" i="61" s="1"/>
  <c r="B418" i="61" s="1"/>
  <c r="B419" i="61" s="1"/>
  <c r="B420" i="61" s="1"/>
  <c r="B421" i="61" s="1"/>
  <c r="B422" i="61" s="1"/>
  <c r="B423" i="61" s="1"/>
  <c r="B424" i="61" s="1"/>
  <c r="B425" i="61" s="1"/>
  <c r="B426" i="61" s="1"/>
  <c r="B427" i="61" s="1"/>
  <c r="B428" i="61" s="1"/>
  <c r="B429" i="61" s="1"/>
  <c r="B430" i="61" s="1"/>
  <c r="B431" i="61" s="1"/>
  <c r="B432" i="61" s="1"/>
  <c r="B433" i="61" s="1"/>
  <c r="B434" i="61" s="1"/>
  <c r="B435" i="61" s="1"/>
  <c r="B436" i="61" s="1"/>
  <c r="B437" i="61" s="1"/>
  <c r="B438" i="61" s="1"/>
  <c r="B439" i="61" s="1"/>
  <c r="B440" i="61" s="1"/>
  <c r="B441" i="61" s="1"/>
  <c r="B442" i="61" s="1"/>
  <c r="B443" i="61" s="1"/>
  <c r="B444" i="61" s="1"/>
  <c r="B445" i="61" s="1"/>
  <c r="B446" i="61" s="1"/>
  <c r="B447" i="61" s="1"/>
  <c r="B448" i="61" s="1"/>
  <c r="B449" i="61" s="1"/>
  <c r="B450" i="61" s="1"/>
  <c r="B451" i="61" s="1"/>
  <c r="B452" i="61" s="1"/>
  <c r="B453" i="61" s="1"/>
  <c r="B454" i="61" s="1"/>
  <c r="B455" i="61" s="1"/>
  <c r="B456" i="61" s="1"/>
  <c r="B457" i="61" s="1"/>
  <c r="B458" i="61" s="1"/>
  <c r="B459" i="61" s="1"/>
  <c r="B460" i="61" s="1"/>
  <c r="B461" i="61" s="1"/>
  <c r="B462" i="61" s="1"/>
  <c r="B463" i="61" s="1"/>
  <c r="B464" i="61" s="1"/>
  <c r="B465" i="61" s="1"/>
  <c r="B466" i="61" s="1"/>
  <c r="B467" i="61" s="1"/>
  <c r="B468" i="61" s="1"/>
  <c r="B469" i="61" s="1"/>
  <c r="B470" i="61" s="1"/>
  <c r="B471" i="61" s="1"/>
  <c r="B472" i="61" s="1"/>
  <c r="B473" i="61" s="1"/>
  <c r="B474" i="61" s="1"/>
  <c r="B475" i="61" s="1"/>
  <c r="B476" i="61" s="1"/>
  <c r="B477" i="61" s="1"/>
  <c r="B478" i="61" s="1"/>
  <c r="B479" i="61" s="1"/>
  <c r="B480" i="61" s="1"/>
  <c r="B481" i="61" s="1"/>
  <c r="B482" i="61" s="1"/>
  <c r="B483" i="61" s="1"/>
  <c r="B484" i="61" s="1"/>
  <c r="B485" i="61" s="1"/>
  <c r="B486" i="61" s="1"/>
  <c r="B487" i="61" s="1"/>
  <c r="B488" i="61" s="1"/>
  <c r="B489" i="61" s="1"/>
  <c r="B490" i="61" s="1"/>
  <c r="B491" i="61" s="1"/>
  <c r="B492" i="61" s="1"/>
  <c r="B493" i="61" s="1"/>
  <c r="B494" i="61" s="1"/>
  <c r="B495" i="61" s="1"/>
  <c r="B496" i="61" s="1"/>
  <c r="B497" i="61" s="1"/>
  <c r="B498" i="61" s="1"/>
  <c r="B499" i="61" s="1"/>
  <c r="B500" i="61" s="1"/>
  <c r="B501" i="61" s="1"/>
  <c r="B502" i="61" s="1"/>
  <c r="B503" i="61" s="1"/>
  <c r="B504" i="61" s="1"/>
  <c r="B505" i="61" s="1"/>
  <c r="B506" i="61" s="1"/>
  <c r="B507" i="61" s="1"/>
  <c r="B508" i="61" s="1"/>
  <c r="B509" i="61" s="1"/>
  <c r="B510" i="61" s="1"/>
  <c r="B511" i="61" s="1"/>
  <c r="B512" i="61" s="1"/>
  <c r="B513" i="61" s="1"/>
  <c r="B514" i="61" s="1"/>
  <c r="B515" i="61" s="1"/>
  <c r="B516" i="61" s="1"/>
  <c r="B517" i="61" s="1"/>
  <c r="B518" i="61" s="1"/>
  <c r="B519" i="61" s="1"/>
  <c r="B520" i="61" s="1"/>
  <c r="B521" i="61" s="1"/>
  <c r="B522" i="61" s="1"/>
  <c r="B523" i="61" s="1"/>
  <c r="B524" i="61" s="1"/>
  <c r="B525" i="61" s="1"/>
  <c r="B526" i="61" s="1"/>
  <c r="B527" i="61" s="1"/>
  <c r="B528" i="61" s="1"/>
  <c r="B529" i="61" s="1"/>
  <c r="B530" i="61" s="1"/>
  <c r="B531" i="61" s="1"/>
  <c r="B532" i="61" s="1"/>
  <c r="B533" i="61" s="1"/>
  <c r="B534" i="61" s="1"/>
  <c r="B535" i="61" s="1"/>
  <c r="B584" i="61" l="1"/>
  <c r="B585" i="61" s="1"/>
  <c r="B586" i="61" s="1"/>
  <c r="B587" i="61" s="1"/>
  <c r="B588" i="61" s="1"/>
  <c r="B589" i="61" s="1"/>
  <c r="B590" i="61" s="1"/>
  <c r="B591" i="61" s="1"/>
  <c r="B592" i="61" s="1"/>
  <c r="B593" i="61" s="1"/>
  <c r="B594" i="61" s="1"/>
  <c r="B595" i="61" s="1"/>
  <c r="B596" i="61" s="1"/>
  <c r="B81" i="61"/>
  <c r="B82" i="61" s="1"/>
  <c r="B83" i="61" s="1"/>
  <c r="B84" i="61" s="1"/>
  <c r="B85" i="61" s="1"/>
  <c r="B86" i="61" s="1"/>
  <c r="B87" i="61" s="1"/>
  <c r="B88" i="61" s="1"/>
  <c r="B89" i="61" s="1"/>
  <c r="B90" i="61" s="1"/>
  <c r="B91" i="61" s="1"/>
  <c r="B68" i="61"/>
  <c r="B69" i="61" s="1"/>
  <c r="B70" i="61" s="1"/>
  <c r="B71" i="61" s="1"/>
  <c r="B72" i="61" s="1"/>
  <c r="B73" i="61" s="1"/>
  <c r="B74" i="61" s="1"/>
  <c r="B75" i="61" s="1"/>
  <c r="B76" i="61" s="1"/>
  <c r="B77" i="61" s="1"/>
  <c r="B78" i="61" s="1"/>
  <c r="B55" i="61"/>
  <c r="B56" i="61" s="1"/>
  <c r="B57" i="61" s="1"/>
  <c r="B58" i="61" s="1"/>
  <c r="B59" i="61" s="1"/>
  <c r="B60" i="61" s="1"/>
  <c r="B61" i="61" s="1"/>
  <c r="B62" i="61" s="1"/>
  <c r="B63" i="61" s="1"/>
  <c r="B64" i="61" s="1"/>
  <c r="B65" i="61" s="1"/>
  <c r="D145" i="22"/>
  <c r="C147" i="22"/>
  <c r="C146" i="22"/>
  <c r="B597" i="61" l="1"/>
  <c r="B598" i="61" s="1"/>
  <c r="B599" i="61" s="1"/>
  <c r="B600" i="61" s="1"/>
  <c r="B601" i="61" s="1"/>
  <c r="B602" i="61" s="1"/>
  <c r="B603" i="61" s="1"/>
  <c r="B604" i="61" s="1"/>
  <c r="B605" i="61" s="1"/>
  <c r="B606" i="61" s="1"/>
  <c r="B607" i="61" s="1"/>
  <c r="B608" i="61" s="1"/>
  <c r="B609" i="61" s="1"/>
  <c r="B610" i="61" s="1"/>
  <c r="B611" i="61" s="1"/>
  <c r="B612" i="61" s="1"/>
  <c r="B613" i="61" s="1"/>
  <c r="B614" i="61" s="1"/>
  <c r="B615" i="61" s="1"/>
  <c r="B616" i="61" s="1"/>
  <c r="B617" i="61" s="1"/>
  <c r="B618" i="61" s="1"/>
  <c r="B619" i="61" s="1"/>
  <c r="B620" i="61" s="1"/>
  <c r="B621" i="61" s="1"/>
  <c r="B622" i="61" s="1"/>
  <c r="B623" i="61" s="1"/>
  <c r="B624" i="61" s="1"/>
  <c r="B625" i="61" s="1"/>
  <c r="B626" i="61" s="1"/>
  <c r="B627" i="61" s="1"/>
  <c r="B628" i="61" s="1"/>
  <c r="B629" i="61" s="1"/>
  <c r="B630" i="61" s="1"/>
  <c r="B631" i="61" s="1"/>
  <c r="B632" i="61" s="1"/>
  <c r="B633" i="61" s="1"/>
  <c r="B634" i="61" s="1"/>
  <c r="B635" i="61" s="1"/>
  <c r="B636" i="61" s="1"/>
  <c r="B637" i="61" s="1"/>
  <c r="B638" i="61" s="1"/>
  <c r="B639" i="61" s="1"/>
  <c r="B640" i="61" s="1"/>
  <c r="B641" i="61" s="1"/>
  <c r="B642" i="61" s="1"/>
  <c r="B643" i="61" s="1"/>
  <c r="B644" i="61" s="1"/>
  <c r="B645" i="61" s="1"/>
  <c r="B646" i="61" s="1"/>
  <c r="B647" i="61" s="1"/>
  <c r="B648" i="61" s="1"/>
  <c r="B649" i="61" s="1"/>
  <c r="B650" i="61" s="1"/>
  <c r="B651" i="61" s="1"/>
  <c r="B652" i="61" s="1"/>
  <c r="B653" i="61" s="1"/>
  <c r="B654" i="61" s="1"/>
  <c r="B655" i="61" s="1"/>
  <c r="B656" i="61" s="1"/>
  <c r="B657" i="61" s="1"/>
  <c r="B658" i="61" s="1"/>
  <c r="B659" i="61" s="1"/>
  <c r="B660" i="61" s="1"/>
  <c r="B661" i="61" s="1"/>
  <c r="B662" i="61" s="1"/>
  <c r="B663" i="61" s="1"/>
  <c r="B664" i="61" s="1"/>
  <c r="B665" i="61" s="1"/>
  <c r="B666" i="61" s="1"/>
  <c r="B667" i="61" s="1"/>
  <c r="B668" i="61" s="1"/>
  <c r="B669" i="61" s="1"/>
  <c r="B670" i="61" s="1"/>
  <c r="B671" i="61" s="1"/>
  <c r="B672" i="61" s="1"/>
  <c r="B673" i="61" s="1"/>
  <c r="B674" i="61" s="1"/>
  <c r="B675" i="61" s="1"/>
  <c r="B676" i="61" s="1"/>
  <c r="B677" i="61" s="1"/>
  <c r="B678" i="61" s="1"/>
  <c r="B679" i="61" s="1"/>
  <c r="B680" i="61" s="1"/>
  <c r="B681" i="61" s="1"/>
  <c r="B682" i="61" s="1"/>
  <c r="B683" i="61" s="1"/>
  <c r="B684" i="61" s="1"/>
  <c r="B685" i="61" s="1"/>
  <c r="B686" i="61" s="1"/>
  <c r="B687" i="61" s="1"/>
  <c r="B688" i="61" s="1"/>
  <c r="B689" i="61" s="1"/>
  <c r="B690" i="61" s="1"/>
  <c r="B691" i="61" s="1"/>
  <c r="B692" i="61" s="1"/>
  <c r="B693" i="61" s="1"/>
  <c r="B694" i="61" s="1"/>
  <c r="B695" i="61" s="1"/>
  <c r="B696" i="61" s="1"/>
  <c r="B697" i="61" s="1"/>
  <c r="B698" i="61" s="1"/>
  <c r="B699" i="61" s="1"/>
  <c r="B700" i="61" s="1"/>
  <c r="B701" i="61" s="1"/>
  <c r="B702" i="61" s="1"/>
  <c r="B703" i="61" s="1"/>
  <c r="B704" i="61" s="1"/>
  <c r="B705" i="61" s="1"/>
  <c r="B706" i="61" s="1"/>
  <c r="B707" i="61" s="1"/>
  <c r="B708" i="61" s="1"/>
  <c r="B709" i="61" s="1"/>
  <c r="B710" i="61" s="1"/>
  <c r="B711" i="61" s="1"/>
  <c r="B712" i="61" s="1"/>
  <c r="B713" i="61" s="1"/>
  <c r="B714" i="61" s="1"/>
  <c r="B715" i="61" s="1"/>
  <c r="B716" i="61" s="1"/>
  <c r="B717" i="61" s="1"/>
  <c r="B718" i="61" s="1"/>
  <c r="B719" i="61" s="1"/>
  <c r="B720" i="61" s="1"/>
  <c r="B721" i="61" s="1"/>
  <c r="B722" i="61" s="1"/>
  <c r="B723" i="61" s="1"/>
  <c r="B724" i="61" s="1"/>
  <c r="B725" i="61" s="1"/>
  <c r="B726" i="61" s="1"/>
  <c r="B727" i="61" s="1"/>
  <c r="B728" i="61" s="1"/>
  <c r="B729" i="61" s="1"/>
  <c r="B730" i="61" s="1"/>
  <c r="B731" i="61" s="1"/>
  <c r="B732" i="61" s="1"/>
  <c r="B733" i="61" s="1"/>
  <c r="B734" i="61" s="1"/>
  <c r="C111" i="37"/>
  <c r="C26" i="40" l="1"/>
  <c r="D147" i="22" s="1"/>
  <c r="C24" i="40"/>
  <c r="D146" i="22" s="1"/>
  <c r="C18" i="40"/>
  <c r="C8" i="40"/>
  <c r="C11" i="40"/>
  <c r="B193" i="40"/>
  <c r="B192" i="40"/>
  <c r="B191" i="40"/>
  <c r="B190" i="40"/>
  <c r="B189" i="40"/>
  <c r="B188" i="40"/>
  <c r="B187" i="40"/>
  <c r="B186" i="40"/>
  <c r="B185" i="40"/>
  <c r="B184" i="40"/>
  <c r="B183" i="40"/>
  <c r="B182" i="40"/>
  <c r="B181" i="40"/>
  <c r="B180" i="40"/>
  <c r="B179" i="40"/>
  <c r="B178" i="40"/>
  <c r="B177" i="40"/>
  <c r="B176" i="40"/>
  <c r="B175" i="40"/>
  <c r="B174" i="40"/>
  <c r="B173" i="40"/>
  <c r="B172" i="40"/>
  <c r="B171" i="40"/>
  <c r="B170" i="40"/>
  <c r="B169" i="40"/>
  <c r="B168" i="40"/>
  <c r="B167" i="40"/>
  <c r="B166" i="40"/>
  <c r="B165" i="40"/>
  <c r="B164" i="40"/>
  <c r="B163" i="40"/>
  <c r="B162" i="40"/>
  <c r="B161" i="40"/>
  <c r="B160" i="40"/>
  <c r="B159" i="40"/>
  <c r="B158" i="40"/>
  <c r="B157" i="40"/>
  <c r="B156" i="40"/>
  <c r="B155" i="40"/>
  <c r="B154" i="40"/>
  <c r="B153" i="40"/>
  <c r="B152" i="40"/>
  <c r="B151" i="40"/>
  <c r="B150" i="40"/>
  <c r="B149" i="40"/>
  <c r="B148" i="40"/>
  <c r="B147" i="40"/>
  <c r="B146" i="40"/>
  <c r="B145" i="40"/>
  <c r="B144" i="40"/>
  <c r="B143" i="40"/>
  <c r="B142" i="40"/>
  <c r="B141" i="40"/>
  <c r="B140" i="40"/>
  <c r="B139" i="40"/>
  <c r="B138" i="40"/>
  <c r="B137" i="40"/>
  <c r="B136" i="40"/>
  <c r="B135" i="40"/>
  <c r="B134" i="40"/>
  <c r="B133" i="40"/>
  <c r="B132" i="40"/>
  <c r="B131" i="40"/>
  <c r="B130" i="40"/>
  <c r="B129" i="40"/>
  <c r="B128" i="40"/>
  <c r="B127" i="40"/>
  <c r="B126" i="40"/>
  <c r="B125" i="40"/>
  <c r="B124" i="40"/>
  <c r="B123" i="40"/>
  <c r="B122" i="40"/>
  <c r="B121" i="40"/>
  <c r="B120" i="40"/>
  <c r="B119" i="40"/>
  <c r="B118" i="40"/>
  <c r="B117" i="40"/>
  <c r="B116" i="40"/>
  <c r="B115" i="40"/>
  <c r="B114" i="40"/>
  <c r="B113" i="40"/>
  <c r="B112" i="40"/>
  <c r="B111" i="40"/>
  <c r="B110" i="40"/>
  <c r="B109" i="40"/>
  <c r="B108" i="40"/>
  <c r="B107" i="40"/>
  <c r="B106" i="40"/>
  <c r="B105" i="40"/>
  <c r="B104" i="40"/>
  <c r="B103" i="40"/>
  <c r="B102" i="40"/>
  <c r="B101" i="40"/>
  <c r="B100" i="40"/>
  <c r="B99" i="40"/>
  <c r="B98" i="40"/>
  <c r="B97" i="40"/>
  <c r="B96" i="40"/>
  <c r="B95" i="40"/>
  <c r="B94" i="40"/>
  <c r="C46" i="40"/>
  <c r="C50" i="40"/>
  <c r="C109" i="37" s="1"/>
  <c r="C54" i="40"/>
  <c r="C110" i="37" s="1"/>
  <c r="C58" i="40"/>
  <c r="C112" i="37" s="1"/>
  <c r="C62" i="40"/>
  <c r="C113" i="37" s="1"/>
  <c r="C66" i="40"/>
  <c r="C114" i="37" s="1"/>
  <c r="C70" i="40"/>
  <c r="C76" i="40"/>
  <c r="C45" i="40" l="1"/>
  <c r="C78" i="40" s="1"/>
  <c r="E56" i="58" l="1"/>
  <c r="E95" i="58" s="1"/>
  <c r="E40" i="60" l="1"/>
  <c r="D40" i="60"/>
  <c r="C40" i="60"/>
  <c r="B90" i="58"/>
  <c r="B85" i="58"/>
  <c r="C38" i="59" l="1"/>
  <c r="E20" i="60" l="1"/>
  <c r="D20" i="60"/>
  <c r="C20" i="60"/>
  <c r="E21" i="60" l="1"/>
  <c r="E49" i="60" s="1"/>
  <c r="D21" i="60"/>
  <c r="D49" i="60" s="1"/>
  <c r="C21" i="60"/>
  <c r="C49" i="60" s="1"/>
  <c r="E26" i="60" l="1"/>
  <c r="E30" i="60" s="1"/>
  <c r="C24" i="60"/>
  <c r="C28" i="60" s="1"/>
  <c r="C26" i="60"/>
  <c r="C30" i="60" s="1"/>
  <c r="C25" i="60"/>
  <c r="C29" i="60" s="1"/>
  <c r="D25" i="60"/>
  <c r="D29" i="60" s="1"/>
  <c r="D26" i="60"/>
  <c r="D30" i="60" s="1"/>
  <c r="D24" i="60"/>
  <c r="D28" i="60" s="1"/>
  <c r="E25" i="60"/>
  <c r="E29" i="60" s="1"/>
  <c r="E24" i="60"/>
  <c r="E28" i="60" s="1"/>
  <c r="C45" i="59" l="1"/>
  <c r="C44" i="59"/>
  <c r="C41" i="59"/>
  <c r="C30" i="59"/>
  <c r="C36" i="59"/>
  <c r="C35" i="59"/>
  <c r="C33" i="59"/>
  <c r="C32" i="59"/>
  <c r="C28" i="59"/>
  <c r="C24" i="59"/>
  <c r="C22" i="59"/>
  <c r="C20" i="59"/>
  <c r="C19" i="59"/>
  <c r="C18" i="59"/>
  <c r="C16" i="59"/>
  <c r="C14" i="59"/>
  <c r="C13" i="59"/>
  <c r="C11" i="59"/>
  <c r="C9" i="59"/>
  <c r="C8" i="59"/>
  <c r="F59" i="58" l="1"/>
  <c r="E59" i="58"/>
  <c r="F98" i="58"/>
  <c r="F101" i="58" s="1"/>
  <c r="E98" i="58"/>
  <c r="E101" i="58" s="1"/>
  <c r="D101" i="58"/>
  <c r="C101" i="58"/>
  <c r="F95" i="58"/>
  <c r="D56" i="58"/>
  <c r="D95" i="58" s="1"/>
  <c r="C56" i="58"/>
  <c r="C95" i="58" s="1"/>
  <c r="B91" i="58"/>
  <c r="B92" i="58"/>
  <c r="B88" i="58"/>
  <c r="B87" i="58"/>
  <c r="B86" i="58"/>
  <c r="B83" i="58"/>
  <c r="C39" i="58"/>
  <c r="C42" i="58" s="1"/>
  <c r="C34" i="58"/>
  <c r="C32" i="58"/>
  <c r="C31" i="58"/>
  <c r="C27" i="58"/>
  <c r="C26" i="58"/>
  <c r="C24" i="58"/>
  <c r="C23" i="58"/>
  <c r="C19" i="58"/>
  <c r="F11" i="58"/>
  <c r="F13" i="58"/>
  <c r="E13" i="58"/>
  <c r="F61" i="58" l="1"/>
  <c r="F67" i="58" s="1"/>
  <c r="F77" i="58" s="1"/>
  <c r="F100" i="58"/>
  <c r="C37" i="58"/>
  <c r="C100" i="58"/>
  <c r="C61" i="58"/>
  <c r="D100" i="58"/>
  <c r="D61" i="58"/>
  <c r="D67" i="58" s="1"/>
  <c r="E100" i="58"/>
  <c r="E61" i="58"/>
  <c r="F250" i="30"/>
  <c r="F118" i="22" s="1"/>
  <c r="E250" i="30"/>
  <c r="E118" i="22" s="1"/>
  <c r="D250" i="30"/>
  <c r="D118" i="22" s="1"/>
  <c r="F246" i="30"/>
  <c r="C118" i="22"/>
  <c r="B220" i="30"/>
  <c r="C112" i="22" s="1"/>
  <c r="B238" i="30"/>
  <c r="C115" i="22" s="1"/>
  <c r="F238" i="30"/>
  <c r="F115" i="22" s="1"/>
  <c r="F231" i="30"/>
  <c r="F230" i="30"/>
  <c r="N59" i="30" s="1"/>
  <c r="F220" i="30"/>
  <c r="F112" i="22" s="1"/>
  <c r="C106" i="22"/>
  <c r="F106" i="22"/>
  <c r="N374" i="30"/>
  <c r="O374" i="30" s="1"/>
  <c r="N373" i="30"/>
  <c r="O373" i="30" s="1"/>
  <c r="N370" i="30"/>
  <c r="N369" i="30"/>
  <c r="N366" i="30"/>
  <c r="O366" i="30" s="1"/>
  <c r="N365" i="30"/>
  <c r="O365" i="30" s="1"/>
  <c r="N362" i="30"/>
  <c r="N361" i="30"/>
  <c r="O358" i="30"/>
  <c r="N354" i="30"/>
  <c r="O354" i="30" s="1"/>
  <c r="N353" i="30"/>
  <c r="O353" i="30" s="1"/>
  <c r="N350" i="30"/>
  <c r="N349" i="30"/>
  <c r="O346" i="30"/>
  <c r="O337" i="30"/>
  <c r="N334" i="30"/>
  <c r="N333" i="30"/>
  <c r="N330" i="30"/>
  <c r="N329" i="30"/>
  <c r="N326" i="30"/>
  <c r="N325" i="30"/>
  <c r="N322" i="30"/>
  <c r="N321" i="30"/>
  <c r="N318" i="30"/>
  <c r="N317" i="30"/>
  <c r="N314" i="30"/>
  <c r="N313" i="30"/>
  <c r="N310" i="30"/>
  <c r="N309" i="30"/>
  <c r="N305" i="30"/>
  <c r="N304" i="30"/>
  <c r="O345" i="30" l="1"/>
  <c r="O338" i="30"/>
  <c r="O342" i="30"/>
  <c r="O357" i="30"/>
  <c r="O341" i="30"/>
  <c r="C67" i="58"/>
  <c r="C77" i="58" s="1"/>
  <c r="F66" i="58"/>
  <c r="F76" i="58" s="1"/>
  <c r="F65" i="58"/>
  <c r="F75" i="58" s="1"/>
  <c r="F72" i="58"/>
  <c r="F82" i="58" s="1"/>
  <c r="F68" i="58"/>
  <c r="F78" i="58" s="1"/>
  <c r="D72" i="58"/>
  <c r="D82" i="58" s="1"/>
  <c r="D65" i="58"/>
  <c r="D75" i="58" s="1"/>
  <c r="D77" i="58"/>
  <c r="D68" i="58"/>
  <c r="D78" i="58" s="1"/>
  <c r="D66" i="58"/>
  <c r="D76" i="58" s="1"/>
  <c r="E66" i="58"/>
  <c r="E76" i="58" s="1"/>
  <c r="E68" i="58"/>
  <c r="E78" i="58" s="1"/>
  <c r="E72" i="58"/>
  <c r="E82" i="58" s="1"/>
  <c r="E65" i="58"/>
  <c r="E75" i="58" s="1"/>
  <c r="E67" i="58"/>
  <c r="E77" i="58" s="1"/>
  <c r="C65" i="58"/>
  <c r="C75" i="58" s="1"/>
  <c r="C66" i="58"/>
  <c r="C76" i="58" s="1"/>
  <c r="C72" i="58"/>
  <c r="C82" i="58" s="1"/>
  <c r="C68" i="58"/>
  <c r="C78" i="58" s="1"/>
  <c r="N247" i="30"/>
  <c r="Q247" i="30" s="1"/>
  <c r="N246" i="30"/>
  <c r="O246" i="30" s="1"/>
  <c r="Q246" i="30" s="1"/>
  <c r="N231" i="30"/>
  <c r="O231" i="30" s="1"/>
  <c r="Q231" i="30" s="1"/>
  <c r="N116" i="30" l="1"/>
  <c r="N120" i="30"/>
  <c r="N119" i="30"/>
  <c r="N118" i="30"/>
  <c r="N114" i="30"/>
  <c r="N113" i="30"/>
  <c r="N112" i="30"/>
  <c r="N110" i="30"/>
  <c r="F293" i="30"/>
  <c r="C34" i="22"/>
  <c r="C33" i="22"/>
  <c r="C32" i="22"/>
  <c r="C31" i="22"/>
  <c r="C30" i="22"/>
  <c r="C29" i="22"/>
  <c r="C28" i="22"/>
  <c r="J136" i="32"/>
  <c r="I34" i="22" s="1"/>
  <c r="I33" i="22"/>
  <c r="I32" i="22"/>
  <c r="J130" i="32"/>
  <c r="I31" i="22" s="1"/>
  <c r="J129" i="32"/>
  <c r="I30" i="22" s="1"/>
  <c r="J128" i="32"/>
  <c r="I29" i="22" s="1"/>
  <c r="D31" i="22"/>
  <c r="D129" i="32"/>
  <c r="D30" i="22" s="1"/>
  <c r="D136" i="32"/>
  <c r="D34" i="22" s="1"/>
  <c r="D33" i="22"/>
  <c r="D32" i="22"/>
  <c r="D128" i="32"/>
  <c r="D29" i="22" s="1"/>
  <c r="J28" i="22"/>
  <c r="I28" i="22"/>
  <c r="E28" i="22"/>
  <c r="D28" i="22"/>
  <c r="O59" i="30" l="1"/>
  <c r="N230" i="30"/>
  <c r="O230" i="30" s="1"/>
  <c r="Q230" i="30" s="1"/>
  <c r="Q114" i="30"/>
  <c r="Q110" i="30"/>
  <c r="Q118" i="30"/>
  <c r="Q119" i="30"/>
  <c r="Q120" i="30"/>
  <c r="Q116" i="30"/>
  <c r="Q113" i="30"/>
  <c r="Q112" i="30"/>
  <c r="C23" i="57" l="1"/>
  <c r="C13" i="57"/>
  <c r="C12" i="57"/>
  <c r="D7" i="57"/>
  <c r="C7" i="57"/>
  <c r="C17" i="39" l="1"/>
  <c r="C28" i="57" s="1"/>
  <c r="C14" i="39"/>
  <c r="C26" i="39" s="1"/>
  <c r="C39" i="39" s="1"/>
  <c r="D39" i="39" l="1"/>
  <c r="D31" i="56"/>
  <c r="D44" i="60" l="1"/>
  <c r="C44" i="60"/>
  <c r="E44" i="60"/>
  <c r="E31" i="56"/>
  <c r="D23" i="56" l="1"/>
  <c r="D32" i="39" l="1"/>
  <c r="E71" i="56"/>
  <c r="E33" i="56"/>
  <c r="E52" i="56" s="1"/>
  <c r="D33" i="56"/>
  <c r="D52" i="56" s="1"/>
  <c r="E39" i="39" l="1"/>
  <c r="E62" i="58"/>
  <c r="D22" i="60"/>
  <c r="D62" i="58"/>
  <c r="E22" i="60"/>
  <c r="C62" i="58"/>
  <c r="C22" i="60"/>
  <c r="F62" i="58"/>
  <c r="E99" i="56"/>
  <c r="D99" i="56"/>
  <c r="D68" i="1" l="1"/>
  <c r="E68" i="1"/>
  <c r="D65" i="1"/>
  <c r="E65" i="1"/>
  <c r="E89" i="56"/>
  <c r="E100" i="56" s="1"/>
  <c r="D89" i="56"/>
  <c r="D100" i="56" s="1"/>
  <c r="D54" i="56"/>
  <c r="D58" i="56" s="1"/>
  <c r="D101" i="56" l="1"/>
  <c r="D79" i="56"/>
  <c r="D80" i="56" s="1"/>
  <c r="E101" i="56"/>
  <c r="E72" i="1" s="1"/>
  <c r="E79" i="56"/>
  <c r="E80" i="56" s="1"/>
  <c r="D73" i="1"/>
  <c r="E73" i="1"/>
  <c r="E74" i="1"/>
  <c r="D74" i="1"/>
  <c r="E54" i="56" l="1"/>
  <c r="E58" i="56" s="1"/>
  <c r="E63" i="58"/>
  <c r="D23" i="60"/>
  <c r="D63" i="58"/>
  <c r="C23" i="60"/>
  <c r="C63" i="58"/>
  <c r="F63" i="58"/>
  <c r="E23" i="60"/>
  <c r="D72" i="1"/>
  <c r="C7" i="60"/>
  <c r="E81" i="56"/>
  <c r="E59" i="56" s="1"/>
  <c r="D81" i="56"/>
  <c r="D59" i="56" s="1"/>
  <c r="D64" i="56" s="1"/>
  <c r="D64" i="1" l="1"/>
  <c r="C5" i="60"/>
  <c r="C8" i="58"/>
  <c r="E64" i="56"/>
  <c r="D81" i="58"/>
  <c r="D80" i="58"/>
  <c r="J102" i="32"/>
  <c r="D102" i="32"/>
  <c r="F80" i="58"/>
  <c r="F81" i="58"/>
  <c r="C81" i="58"/>
  <c r="C80" i="58"/>
  <c r="E80" i="58"/>
  <c r="E81" i="58"/>
  <c r="D63" i="56"/>
  <c r="D66" i="1" s="1"/>
  <c r="D82" i="56"/>
  <c r="D69" i="1"/>
  <c r="E82" i="56"/>
  <c r="E67" i="1" s="1"/>
  <c r="E69" i="1"/>
  <c r="C38" i="22"/>
  <c r="E63" i="56" l="1"/>
  <c r="E64" i="1"/>
  <c r="E63" i="1" s="1"/>
  <c r="D67" i="1"/>
  <c r="C6" i="60"/>
  <c r="C9" i="58"/>
  <c r="E44" i="39" l="1"/>
  <c r="E66" i="1"/>
  <c r="D63" i="1"/>
  <c r="D71" i="1"/>
  <c r="Q183" i="52"/>
  <c r="Q191" i="52" l="1"/>
  <c r="O191" i="52"/>
  <c r="M191" i="52"/>
  <c r="K191" i="52"/>
  <c r="I191" i="52"/>
  <c r="G191" i="52"/>
  <c r="Q190" i="52"/>
  <c r="O190" i="52"/>
  <c r="M190" i="52"/>
  <c r="K190" i="52"/>
  <c r="I190" i="52"/>
  <c r="G190" i="52"/>
  <c r="Q189" i="52"/>
  <c r="O189" i="52"/>
  <c r="M189" i="52"/>
  <c r="K189" i="52"/>
  <c r="I189" i="52"/>
  <c r="G189" i="52"/>
  <c r="Q188" i="52"/>
  <c r="O188" i="52"/>
  <c r="M188" i="52"/>
  <c r="K188" i="52"/>
  <c r="I188" i="52"/>
  <c r="G188" i="52"/>
  <c r="Q187" i="52"/>
  <c r="O187" i="52"/>
  <c r="M187" i="52"/>
  <c r="K187" i="52"/>
  <c r="I187" i="52"/>
  <c r="G187" i="52"/>
  <c r="Q186" i="52"/>
  <c r="O186" i="52"/>
  <c r="M186" i="52"/>
  <c r="K186" i="52"/>
  <c r="I186" i="52"/>
  <c r="G186" i="52"/>
  <c r="Q185" i="52"/>
  <c r="O185" i="52"/>
  <c r="M185" i="52"/>
  <c r="K185" i="52"/>
  <c r="I185" i="52"/>
  <c r="G185" i="52"/>
  <c r="Q184" i="52"/>
  <c r="O184" i="52"/>
  <c r="M184" i="52"/>
  <c r="K184" i="52"/>
  <c r="I184" i="52"/>
  <c r="G184" i="52"/>
  <c r="O183" i="52"/>
  <c r="M183" i="52"/>
  <c r="K183" i="52"/>
  <c r="I183" i="52"/>
  <c r="G183" i="52"/>
  <c r="P181" i="52"/>
  <c r="N181" i="52"/>
  <c r="L181" i="52"/>
  <c r="J181" i="52"/>
  <c r="H181" i="52"/>
  <c r="F181" i="52"/>
  <c r="H182" i="52" s="1"/>
  <c r="I193" i="52" s="1"/>
  <c r="P182" i="52" l="1"/>
  <c r="Q193" i="52" s="1"/>
  <c r="L182" i="52"/>
  <c r="M193" i="52" s="1"/>
  <c r="I195" i="52" s="1"/>
  <c r="D20" i="1" l="1"/>
  <c r="D44" i="8" l="1"/>
  <c r="H40" i="8"/>
  <c r="B104" i="37" l="1"/>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D50" i="1" l="1"/>
  <c r="H266" i="30" l="1"/>
  <c r="H265" i="30"/>
  <c r="H264" i="30"/>
  <c r="H263" i="30"/>
  <c r="H262" i="30"/>
  <c r="H260" i="30"/>
  <c r="H259" i="30"/>
  <c r="H258" i="30"/>
  <c r="H257" i="30"/>
  <c r="D44" i="39" l="1"/>
  <c r="D45" i="39"/>
  <c r="D46" i="39"/>
  <c r="C188" i="32"/>
  <c r="E46" i="39" l="1"/>
  <c r="B38" i="30"/>
  <c r="B29" i="30"/>
  <c r="B24" i="30"/>
  <c r="B7" i="30" l="1"/>
  <c r="J74" i="32" l="1"/>
  <c r="C16" i="22" l="1"/>
  <c r="C15" i="22"/>
  <c r="C14" i="22"/>
  <c r="F38" i="30" l="1"/>
  <c r="E38" i="30"/>
  <c r="D38" i="30"/>
  <c r="F29" i="30"/>
  <c r="E29" i="30"/>
  <c r="D29" i="30"/>
  <c r="F24" i="30"/>
  <c r="E24" i="30"/>
  <c r="D24" i="30"/>
  <c r="F19" i="30"/>
  <c r="E19" i="30"/>
  <c r="D19" i="30"/>
  <c r="N35" i="30"/>
  <c r="O35" i="30" s="1"/>
  <c r="N192" i="30" l="1"/>
  <c r="O192" i="30" s="1"/>
  <c r="Q192" i="30" s="1"/>
  <c r="N191" i="30"/>
  <c r="O191" i="30" s="1"/>
  <c r="Q191" i="30" s="1"/>
  <c r="N190" i="30"/>
  <c r="O190" i="30" s="1"/>
  <c r="Q190" i="30" s="1"/>
  <c r="N188" i="30"/>
  <c r="O188" i="30" s="1"/>
  <c r="Q188" i="30" s="1"/>
  <c r="N164" i="30"/>
  <c r="N168" i="30"/>
  <c r="N167" i="30"/>
  <c r="N166" i="30"/>
  <c r="N126" i="30"/>
  <c r="N125" i="30"/>
  <c r="N124" i="30"/>
  <c r="N122" i="30"/>
  <c r="N93" i="30"/>
  <c r="O93" i="30" s="1"/>
  <c r="N92" i="30"/>
  <c r="O92" i="30" s="1"/>
  <c r="N91" i="30"/>
  <c r="O91" i="30" s="1"/>
  <c r="N89" i="30"/>
  <c r="O89" i="30" s="1"/>
  <c r="Q248" i="30" l="1"/>
  <c r="N23" i="30"/>
  <c r="O23" i="30" s="1"/>
  <c r="N28" i="30"/>
  <c r="O28" i="30" s="1"/>
  <c r="D31" i="30"/>
  <c r="D30" i="30"/>
  <c r="B31" i="30"/>
  <c r="B30" i="30"/>
  <c r="B19" i="30"/>
  <c r="N16" i="30"/>
  <c r="O16" i="30" s="1"/>
  <c r="K38" i="32" l="1"/>
  <c r="E38" i="32"/>
  <c r="K31" i="32"/>
  <c r="E31" i="32"/>
  <c r="K20" i="32"/>
  <c r="E20" i="32"/>
  <c r="K18" i="32"/>
  <c r="E18" i="32"/>
  <c r="N19" i="32"/>
  <c r="M16" i="22" s="1"/>
  <c r="N17" i="32"/>
  <c r="M15" i="22" s="1"/>
  <c r="N16" i="32"/>
  <c r="M14" i="22" s="1"/>
  <c r="H19" i="32"/>
  <c r="H16" i="22" s="1"/>
  <c r="H17" i="32"/>
  <c r="H15" i="22" s="1"/>
  <c r="H16" i="32"/>
  <c r="H14" i="22" s="1"/>
  <c r="M15" i="32"/>
  <c r="L15" i="32"/>
  <c r="K15" i="32"/>
  <c r="J15" i="32"/>
  <c r="G15" i="32"/>
  <c r="F15" i="32"/>
  <c r="E15" i="32"/>
  <c r="D15" i="32"/>
  <c r="D8" i="32"/>
  <c r="E8" i="32"/>
  <c r="F8" i="32"/>
  <c r="E110" i="32" s="1"/>
  <c r="H10" i="32"/>
  <c r="H11" i="32"/>
  <c r="H12" i="32"/>
  <c r="L8" i="32"/>
  <c r="K110" i="32" s="1"/>
  <c r="D27" i="32" l="1"/>
  <c r="D40" i="30" l="1"/>
  <c r="D103" i="22" s="1"/>
  <c r="D109" i="22"/>
  <c r="D37" i="30"/>
  <c r="D101" i="22" s="1"/>
  <c r="D36" i="30"/>
  <c r="D100" i="22" s="1"/>
  <c r="D99" i="22"/>
  <c r="D98" i="22"/>
  <c r="D18" i="30"/>
  <c r="D94" i="22" s="1"/>
  <c r="D17" i="30"/>
  <c r="D93" i="22" s="1"/>
  <c r="D12" i="30"/>
  <c r="D92" i="22" s="1"/>
  <c r="D10" i="30"/>
  <c r="D91" i="22" s="1"/>
  <c r="C90" i="22"/>
  <c r="L90" i="32" l="1"/>
  <c r="K101" i="32" s="1"/>
  <c r="J101" i="32" s="1"/>
  <c r="F90" i="32"/>
  <c r="E101" i="32" s="1"/>
  <c r="D101" i="32" s="1"/>
  <c r="K90" i="32"/>
  <c r="E90" i="32"/>
  <c r="M27" i="32"/>
  <c r="G27" i="32"/>
  <c r="N8" i="30" l="1"/>
  <c r="O8" i="30" s="1"/>
  <c r="F295" i="30"/>
  <c r="F119" i="22" s="1"/>
  <c r="E295" i="30"/>
  <c r="E119" i="22" s="1"/>
  <c r="D119" i="22"/>
  <c r="B295" i="30"/>
  <c r="C119" i="22" s="1"/>
  <c r="N294" i="30"/>
  <c r="O293" i="30"/>
  <c r="N292" i="30"/>
  <c r="N291" i="30"/>
  <c r="N290" i="30"/>
  <c r="N289" i="30"/>
  <c r="N288" i="30"/>
  <c r="N284" i="30"/>
  <c r="N283" i="30"/>
  <c r="N282" i="30"/>
  <c r="N281" i="30"/>
  <c r="N280" i="30"/>
  <c r="N279" i="30"/>
  <c r="N278" i="30"/>
  <c r="O278" i="30" s="1"/>
  <c r="N277" i="30"/>
  <c r="O277" i="30" s="1"/>
  <c r="O266" i="30"/>
  <c r="Q266" i="30" s="1"/>
  <c r="O265" i="30"/>
  <c r="Q265" i="30" s="1"/>
  <c r="O264" i="30"/>
  <c r="Q264" i="30" s="1"/>
  <c r="O263" i="30"/>
  <c r="Q263" i="30" s="1"/>
  <c r="O262" i="30"/>
  <c r="Q262" i="30" s="1"/>
  <c r="O260" i="30"/>
  <c r="Q260" i="30" s="1"/>
  <c r="O259" i="30"/>
  <c r="Q259" i="30" s="1"/>
  <c r="O258" i="30"/>
  <c r="Q258" i="30" s="1"/>
  <c r="O257" i="30"/>
  <c r="Q257" i="30" s="1"/>
  <c r="O256" i="30"/>
  <c r="Q256" i="30" s="1"/>
  <c r="O255" i="30"/>
  <c r="Q255" i="30" s="1"/>
  <c r="N251" i="30"/>
  <c r="Q251" i="30" s="1"/>
  <c r="N249" i="30"/>
  <c r="Q249" i="30" s="1"/>
  <c r="N211" i="30"/>
  <c r="Q211" i="30" s="1"/>
  <c r="N204" i="30"/>
  <c r="O204" i="30" s="1"/>
  <c r="Q204" i="30" s="1"/>
  <c r="N203" i="30"/>
  <c r="O203" i="30" s="1"/>
  <c r="Q203" i="30" s="1"/>
  <c r="N202" i="30"/>
  <c r="O202" i="30" s="1"/>
  <c r="Q202" i="30" s="1"/>
  <c r="N200" i="30"/>
  <c r="O200" i="30" s="1"/>
  <c r="Q200" i="30" s="1"/>
  <c r="N198" i="30"/>
  <c r="N197" i="30"/>
  <c r="N196" i="30"/>
  <c r="N194" i="30"/>
  <c r="N186" i="30"/>
  <c r="Q186" i="30" s="1"/>
  <c r="N185" i="30"/>
  <c r="Q185" i="30" s="1"/>
  <c r="N184" i="30"/>
  <c r="Q184" i="30" s="1"/>
  <c r="N182" i="30"/>
  <c r="Q182" i="30" s="1"/>
  <c r="N174" i="30"/>
  <c r="O174" i="30" s="1"/>
  <c r="Q174" i="30" s="1"/>
  <c r="N173" i="30"/>
  <c r="O173" i="30" s="1"/>
  <c r="Q173" i="30" s="1"/>
  <c r="N172" i="30"/>
  <c r="O172" i="30" s="1"/>
  <c r="Q172" i="30" s="1"/>
  <c r="N170" i="30"/>
  <c r="O170" i="30" s="1"/>
  <c r="Q170" i="30" s="1"/>
  <c r="Q168" i="30"/>
  <c r="Q167" i="30"/>
  <c r="Q166" i="30"/>
  <c r="Q164" i="30"/>
  <c r="N144" i="30"/>
  <c r="N143" i="30"/>
  <c r="N142" i="30"/>
  <c r="N140" i="30"/>
  <c r="N138" i="30"/>
  <c r="N137" i="30"/>
  <c r="N136" i="30"/>
  <c r="N134" i="30"/>
  <c r="N132" i="30"/>
  <c r="N131" i="30"/>
  <c r="N130" i="30"/>
  <c r="N128" i="30"/>
  <c r="Q126" i="30"/>
  <c r="Q125" i="30"/>
  <c r="Q124" i="30"/>
  <c r="Q122" i="30"/>
  <c r="Q93" i="30"/>
  <c r="Q92" i="30"/>
  <c r="Q91" i="30"/>
  <c r="Q89" i="30"/>
  <c r="B87" i="30"/>
  <c r="C109" i="22" s="1"/>
  <c r="N85" i="30"/>
  <c r="O85" i="30" s="1"/>
  <c r="Q84" i="30"/>
  <c r="N76" i="30"/>
  <c r="O76" i="30" s="1"/>
  <c r="N73" i="30"/>
  <c r="O73" i="30" s="1"/>
  <c r="N72" i="30"/>
  <c r="O72" i="30" s="1"/>
  <c r="N47" i="30"/>
  <c r="O47" i="30" s="1"/>
  <c r="N46" i="30"/>
  <c r="O46" i="30" s="1"/>
  <c r="N45" i="30"/>
  <c r="O45" i="30" s="1"/>
  <c r="N44" i="30"/>
  <c r="O44" i="30" s="1"/>
  <c r="N43" i="30"/>
  <c r="O43" i="30" s="1"/>
  <c r="N41" i="30"/>
  <c r="O41" i="30" s="1"/>
  <c r="B40" i="30"/>
  <c r="C103" i="22" s="1"/>
  <c r="N39" i="30"/>
  <c r="O39" i="30" s="1"/>
  <c r="F102" i="22"/>
  <c r="E102" i="22"/>
  <c r="D102" i="22"/>
  <c r="C102" i="22"/>
  <c r="B37" i="30"/>
  <c r="C101" i="22" s="1"/>
  <c r="B36" i="30"/>
  <c r="C100" i="22" s="1"/>
  <c r="N34" i="30"/>
  <c r="O34" i="30" s="1"/>
  <c r="N33" i="30"/>
  <c r="O33" i="30" s="1"/>
  <c r="C99" i="22"/>
  <c r="C98" i="22"/>
  <c r="F97" i="22"/>
  <c r="E97" i="22"/>
  <c r="D97" i="22"/>
  <c r="C97" i="22"/>
  <c r="N27" i="30"/>
  <c r="O27" i="30" s="1"/>
  <c r="N26" i="30"/>
  <c r="O26" i="30" s="1"/>
  <c r="F96" i="22"/>
  <c r="E96" i="22"/>
  <c r="D96" i="22"/>
  <c r="C96" i="22"/>
  <c r="N22" i="30"/>
  <c r="O22" i="30" s="1"/>
  <c r="N21" i="30"/>
  <c r="O21" i="30" s="1"/>
  <c r="F95" i="22"/>
  <c r="E95" i="22"/>
  <c r="D95" i="22"/>
  <c r="C95" i="22"/>
  <c r="B18" i="30"/>
  <c r="C94" i="22" s="1"/>
  <c r="B17" i="30"/>
  <c r="C93" i="22" s="1"/>
  <c r="N15" i="30"/>
  <c r="O15" i="30" s="1"/>
  <c r="N14" i="30"/>
  <c r="O14" i="30" s="1"/>
  <c r="B12" i="30"/>
  <c r="C92" i="22" s="1"/>
  <c r="N11" i="30"/>
  <c r="O11" i="30" s="1"/>
  <c r="B10" i="30"/>
  <c r="C91" i="22" s="1"/>
  <c r="N9" i="30"/>
  <c r="O9" i="30" s="1"/>
  <c r="N6" i="30"/>
  <c r="O77" i="30" s="1"/>
  <c r="Q130" i="30" l="1"/>
  <c r="Q137" i="30"/>
  <c r="Q144" i="30"/>
  <c r="O146" i="30"/>
  <c r="Q146" i="30" s="1"/>
  <c r="O149" i="30"/>
  <c r="Q149" i="30" s="1"/>
  <c r="O152" i="30"/>
  <c r="Q152" i="30" s="1"/>
  <c r="O155" i="30"/>
  <c r="Q155" i="30" s="1"/>
  <c r="O158" i="30"/>
  <c r="Q158" i="30" s="1"/>
  <c r="O161" i="30"/>
  <c r="Q161" i="30" s="1"/>
  <c r="Q131" i="30"/>
  <c r="Q138" i="30"/>
  <c r="Q140" i="30"/>
  <c r="Q132" i="30"/>
  <c r="Q134" i="30"/>
  <c r="Q142" i="30"/>
  <c r="O148" i="30"/>
  <c r="Q148" i="30" s="1"/>
  <c r="O150" i="30"/>
  <c r="Q150" i="30" s="1"/>
  <c r="O154" i="30"/>
  <c r="Q154" i="30" s="1"/>
  <c r="O156" i="30"/>
  <c r="Q156" i="30" s="1"/>
  <c r="O160" i="30"/>
  <c r="Q160" i="30" s="1"/>
  <c r="O162" i="30"/>
  <c r="Q162" i="30" s="1"/>
  <c r="Q128" i="30"/>
  <c r="Q136" i="30"/>
  <c r="Q143" i="30"/>
  <c r="Q196" i="30"/>
  <c r="Q198" i="30"/>
  <c r="O178" i="30"/>
  <c r="Q178" i="30" s="1"/>
  <c r="Q85" i="30"/>
  <c r="O176" i="30"/>
  <c r="Q176" i="30" s="1"/>
  <c r="O179" i="30"/>
  <c r="Q179" i="30" s="1"/>
  <c r="O279" i="30"/>
  <c r="O288" i="30"/>
  <c r="O291" i="30"/>
  <c r="O281" i="30"/>
  <c r="O284" i="30"/>
  <c r="O280" i="30"/>
  <c r="O282" i="30"/>
  <c r="O289" i="30"/>
  <c r="O292" i="30"/>
  <c r="O294" i="30"/>
  <c r="O283" i="30"/>
  <c r="O290" i="30"/>
  <c r="Q197" i="30"/>
  <c r="Q194" i="30"/>
  <c r="O180" i="30"/>
  <c r="Q180" i="30" s="1"/>
  <c r="O267" i="30" l="1"/>
  <c r="J93" i="32"/>
  <c r="J92" i="32"/>
  <c r="D93" i="32"/>
  <c r="D92" i="32"/>
  <c r="O271" i="30" l="1"/>
  <c r="E27" i="22" l="1"/>
  <c r="C20" i="22"/>
  <c r="C19" i="22"/>
  <c r="C18" i="22"/>
  <c r="C13" i="22"/>
  <c r="C12" i="22"/>
  <c r="C11" i="22"/>
  <c r="L94" i="32"/>
  <c r="K94" i="32"/>
  <c r="J94" i="32"/>
  <c r="J87" i="32"/>
  <c r="K59" i="32"/>
  <c r="J59" i="32"/>
  <c r="L51" i="32"/>
  <c r="M42" i="32"/>
  <c r="L20" i="22" s="1"/>
  <c r="M41" i="32"/>
  <c r="L19" i="22" s="1"/>
  <c r="M40" i="32"/>
  <c r="L18" i="22" s="1"/>
  <c r="L39" i="32"/>
  <c r="J39" i="32"/>
  <c r="L27" i="32"/>
  <c r="N12" i="32"/>
  <c r="N11" i="32"/>
  <c r="N10" i="32"/>
  <c r="K8" i="32"/>
  <c r="K27" i="32" s="1"/>
  <c r="J8" i="32"/>
  <c r="J27" i="32" s="1"/>
  <c r="L53" i="32"/>
  <c r="K21" i="22" s="1"/>
  <c r="F94" i="32"/>
  <c r="F39" i="32"/>
  <c r="D39" i="32"/>
  <c r="J197" i="32" l="1"/>
  <c r="I38" i="22" s="1"/>
  <c r="J27" i="22"/>
  <c r="E437" i="8" l="1"/>
  <c r="D437" i="8"/>
  <c r="E436" i="8"/>
  <c r="D436" i="8"/>
  <c r="E435" i="8"/>
  <c r="D435" i="8"/>
  <c r="E434" i="8"/>
  <c r="D434" i="8"/>
  <c r="J180" i="32" l="1"/>
  <c r="J178" i="32" s="1"/>
  <c r="J173" i="32"/>
  <c r="J165" i="32"/>
  <c r="J158" i="32"/>
  <c r="D80" i="32"/>
  <c r="E59" i="32"/>
  <c r="D59" i="32"/>
  <c r="D75" i="32"/>
  <c r="D22" i="22" s="1"/>
  <c r="D87" i="32"/>
  <c r="H418" i="8"/>
  <c r="H424" i="8"/>
  <c r="D20" i="8"/>
  <c r="G68" i="8"/>
  <c r="H68" i="8" s="1"/>
  <c r="H152" i="8"/>
  <c r="H148" i="8"/>
  <c r="H144" i="8"/>
  <c r="H140" i="8"/>
  <c r="G42" i="22"/>
  <c r="F42" i="22"/>
  <c r="B403" i="8"/>
  <c r="C85" i="22" s="1"/>
  <c r="B400" i="8"/>
  <c r="C84" i="22"/>
  <c r="B397" i="8"/>
  <c r="C83" i="22" s="1"/>
  <c r="B394" i="8"/>
  <c r="C82" i="22" s="1"/>
  <c r="B391" i="8"/>
  <c r="C81" i="22" s="1"/>
  <c r="B388" i="8"/>
  <c r="C80" i="22" s="1"/>
  <c r="B385" i="8"/>
  <c r="C79" i="22" s="1"/>
  <c r="B382" i="8"/>
  <c r="C78" i="22" s="1"/>
  <c r="B379" i="8"/>
  <c r="B376" i="8"/>
  <c r="C76" i="22" s="1"/>
  <c r="B373" i="8"/>
  <c r="C75" i="22" s="1"/>
  <c r="B370" i="8"/>
  <c r="C74" i="22" s="1"/>
  <c r="B367" i="8"/>
  <c r="C73" i="22" s="1"/>
  <c r="B364" i="8"/>
  <c r="C72" i="22"/>
  <c r="B361" i="8"/>
  <c r="C71" i="22" s="1"/>
  <c r="B358" i="8"/>
  <c r="C70" i="22" s="1"/>
  <c r="B355" i="8"/>
  <c r="C69" i="22" s="1"/>
  <c r="B352" i="8"/>
  <c r="C68" i="22" s="1"/>
  <c r="B349" i="8"/>
  <c r="C67" i="22" s="1"/>
  <c r="B346" i="8"/>
  <c r="C66" i="22" s="1"/>
  <c r="B343" i="8"/>
  <c r="C65" i="22" s="1"/>
  <c r="B340" i="8"/>
  <c r="C64" i="22" s="1"/>
  <c r="B337" i="8"/>
  <c r="C63" i="22" s="1"/>
  <c r="B334" i="8"/>
  <c r="C62" i="22" s="1"/>
  <c r="B287" i="8"/>
  <c r="B284" i="8"/>
  <c r="C60" i="22" s="1"/>
  <c r="B281" i="8"/>
  <c r="C59" i="22" s="1"/>
  <c r="B278" i="8"/>
  <c r="C58" i="22" s="1"/>
  <c r="B207" i="8"/>
  <c r="C57" i="22" s="1"/>
  <c r="B204" i="8"/>
  <c r="C56" i="22" s="1"/>
  <c r="B200" i="8"/>
  <c r="C55" i="22" s="1"/>
  <c r="B197" i="8"/>
  <c r="C54" i="22" s="1"/>
  <c r="B194" i="8"/>
  <c r="C53" i="22" s="1"/>
  <c r="B190" i="8"/>
  <c r="C52" i="22" s="1"/>
  <c r="B187" i="8"/>
  <c r="C51" i="22"/>
  <c r="B184" i="8"/>
  <c r="C50" i="22" s="1"/>
  <c r="B181" i="8"/>
  <c r="C49" i="22" s="1"/>
  <c r="G318" i="8"/>
  <c r="H318" i="8" s="1"/>
  <c r="G264" i="8"/>
  <c r="H264" i="8" s="1"/>
  <c r="G263" i="8"/>
  <c r="H263" i="8" s="1"/>
  <c r="G262" i="8"/>
  <c r="H262" i="8" s="1"/>
  <c r="G261" i="8"/>
  <c r="H261" i="8" s="1"/>
  <c r="G260" i="8"/>
  <c r="H260" i="8" s="1"/>
  <c r="G259" i="8"/>
  <c r="H259" i="8" s="1"/>
  <c r="G257" i="8"/>
  <c r="H257" i="8" s="1"/>
  <c r="G256" i="8"/>
  <c r="H256" i="8" s="1"/>
  <c r="G255" i="8"/>
  <c r="H255" i="8" s="1"/>
  <c r="G254" i="8"/>
  <c r="H254" i="8" s="1"/>
  <c r="G136" i="8"/>
  <c r="H136" i="8" s="1"/>
  <c r="G134" i="8"/>
  <c r="H134" i="8" s="1"/>
  <c r="B134" i="8"/>
  <c r="G133" i="8"/>
  <c r="H133" i="8" s="1"/>
  <c r="B133" i="8"/>
  <c r="G132" i="8"/>
  <c r="H132" i="8" s="1"/>
  <c r="B132" i="8"/>
  <c r="G107" i="8"/>
  <c r="H107" i="8" s="1"/>
  <c r="G105" i="8"/>
  <c r="H105" i="8" s="1"/>
  <c r="B105" i="8"/>
  <c r="G104" i="8"/>
  <c r="H104" i="8" s="1"/>
  <c r="B104" i="8"/>
  <c r="G103" i="8"/>
  <c r="H103" i="8" s="1"/>
  <c r="B103" i="8"/>
  <c r="G72" i="8"/>
  <c r="H72" i="8" s="1"/>
  <c r="G71" i="8"/>
  <c r="H71" i="8" s="1"/>
  <c r="G70" i="8"/>
  <c r="H70" i="8" s="1"/>
  <c r="C65" i="8"/>
  <c r="G46" i="8"/>
  <c r="G43" i="8"/>
  <c r="G39" i="8"/>
  <c r="H39" i="8" s="1"/>
  <c r="G38" i="8"/>
  <c r="H38" i="8" s="1"/>
  <c r="G37" i="8"/>
  <c r="H37" i="8" s="1"/>
  <c r="H41" i="8" s="1"/>
  <c r="G34" i="8"/>
  <c r="G31" i="8"/>
  <c r="H31" i="8" s="1"/>
  <c r="G30" i="8"/>
  <c r="H30" i="8" s="1"/>
  <c r="G29" i="8"/>
  <c r="H29" i="8" s="1"/>
  <c r="G28" i="8"/>
  <c r="H28" i="8" s="1"/>
  <c r="G27" i="8"/>
  <c r="H27" i="8" s="1"/>
  <c r="G26" i="8"/>
  <c r="H26" i="8" s="1"/>
  <c r="G25" i="8"/>
  <c r="H25" i="8" s="1"/>
  <c r="G18" i="8"/>
  <c r="H18" i="8" s="1"/>
  <c r="G17" i="8"/>
  <c r="H17" i="8" s="1"/>
  <c r="G15" i="8"/>
  <c r="H15" i="8" s="1"/>
  <c r="G14" i="8"/>
  <c r="H14" i="8" s="1"/>
  <c r="G13" i="8"/>
  <c r="H13" i="8" s="1"/>
  <c r="G12" i="8"/>
  <c r="H12" i="8" s="1"/>
  <c r="G11" i="8"/>
  <c r="H11" i="8" s="1"/>
  <c r="E403" i="8"/>
  <c r="E85" i="22" s="1"/>
  <c r="D403" i="8"/>
  <c r="D85" i="22" s="1"/>
  <c r="C77" i="22"/>
  <c r="C61" i="22"/>
  <c r="J430" i="8"/>
  <c r="H430" i="8"/>
  <c r="H429" i="8"/>
  <c r="H428" i="8"/>
  <c r="H427" i="8"/>
  <c r="H426" i="8"/>
  <c r="J425" i="8"/>
  <c r="J424" i="8"/>
  <c r="H423" i="8"/>
  <c r="H422" i="8"/>
  <c r="H421" i="8"/>
  <c r="J420" i="8"/>
  <c r="J419" i="8"/>
  <c r="J418" i="8"/>
  <c r="H417" i="8"/>
  <c r="H416" i="8"/>
  <c r="J415" i="8"/>
  <c r="J414" i="8"/>
  <c r="J413" i="8"/>
  <c r="J412" i="8"/>
  <c r="H412" i="8"/>
  <c r="H411" i="8"/>
  <c r="J410" i="8"/>
  <c r="J409" i="8"/>
  <c r="J408" i="8"/>
  <c r="J407" i="8"/>
  <c r="J406" i="8"/>
  <c r="H406" i="8"/>
  <c r="J404" i="8"/>
  <c r="H404" i="8"/>
  <c r="H401" i="8"/>
  <c r="E400" i="8"/>
  <c r="E84" i="22" s="1"/>
  <c r="D400" i="8"/>
  <c r="D84" i="22" s="1"/>
  <c r="H398" i="8"/>
  <c r="E397" i="8"/>
  <c r="E83" i="22" s="1"/>
  <c r="D397" i="8"/>
  <c r="D83" i="22"/>
  <c r="H395" i="8"/>
  <c r="E394" i="8"/>
  <c r="E82" i="22" s="1"/>
  <c r="D394" i="8"/>
  <c r="D82" i="22" s="1"/>
  <c r="H392" i="8"/>
  <c r="E391" i="8"/>
  <c r="E81" i="22"/>
  <c r="D391" i="8"/>
  <c r="D81" i="22" s="1"/>
  <c r="J389" i="8"/>
  <c r="E388" i="8"/>
  <c r="E80" i="22"/>
  <c r="D388" i="8"/>
  <c r="D80" i="22" s="1"/>
  <c r="J386" i="8"/>
  <c r="H386" i="8"/>
  <c r="E385" i="8"/>
  <c r="E79" i="22" s="1"/>
  <c r="D385" i="8"/>
  <c r="D79" i="22" s="1"/>
  <c r="H383" i="8"/>
  <c r="E382" i="8"/>
  <c r="E78" i="22" s="1"/>
  <c r="D382" i="8"/>
  <c r="D78" i="22" s="1"/>
  <c r="H380" i="8"/>
  <c r="E379" i="8"/>
  <c r="E77" i="22" s="1"/>
  <c r="D379" i="8"/>
  <c r="D77" i="22" s="1"/>
  <c r="H377" i="8"/>
  <c r="E376" i="8"/>
  <c r="E76" i="22" s="1"/>
  <c r="D376" i="8"/>
  <c r="D76" i="22" s="1"/>
  <c r="J374" i="8"/>
  <c r="E373" i="8"/>
  <c r="E75" i="22" s="1"/>
  <c r="D373" i="8"/>
  <c r="D75" i="22" s="1"/>
  <c r="J371" i="8"/>
  <c r="E370" i="8"/>
  <c r="E74" i="22" s="1"/>
  <c r="D370" i="8"/>
  <c r="D74" i="22" s="1"/>
  <c r="J368" i="8"/>
  <c r="H368" i="8"/>
  <c r="E367" i="8"/>
  <c r="E73" i="22" s="1"/>
  <c r="D367" i="8"/>
  <c r="D73" i="22" s="1"/>
  <c r="H365" i="8"/>
  <c r="E364" i="8"/>
  <c r="E72" i="22" s="1"/>
  <c r="D364" i="8"/>
  <c r="D72" i="22" s="1"/>
  <c r="H362" i="8"/>
  <c r="E361" i="8"/>
  <c r="E71" i="22" s="1"/>
  <c r="D361" i="8"/>
  <c r="D71" i="22" s="1"/>
  <c r="J359" i="8"/>
  <c r="E358" i="8"/>
  <c r="E70" i="22" s="1"/>
  <c r="D358" i="8"/>
  <c r="D70" i="22" s="1"/>
  <c r="J356" i="8"/>
  <c r="E355" i="8"/>
  <c r="E69" i="22" s="1"/>
  <c r="D355" i="8"/>
  <c r="D69" i="22"/>
  <c r="J353" i="8"/>
  <c r="E352" i="8"/>
  <c r="E68" i="22" s="1"/>
  <c r="D352" i="8"/>
  <c r="D68" i="22"/>
  <c r="J350" i="8"/>
  <c r="H350" i="8"/>
  <c r="E349" i="8"/>
  <c r="E67" i="22"/>
  <c r="D349" i="8"/>
  <c r="D67" i="22" s="1"/>
  <c r="H347" i="8"/>
  <c r="E346" i="8"/>
  <c r="E66" i="22" s="1"/>
  <c r="D346" i="8"/>
  <c r="D66" i="22"/>
  <c r="J344" i="8"/>
  <c r="E343" i="8"/>
  <c r="E65" i="22" s="1"/>
  <c r="D343" i="8"/>
  <c r="D65" i="22"/>
  <c r="J341" i="8"/>
  <c r="E340" i="8"/>
  <c r="E64" i="22"/>
  <c r="D340" i="8"/>
  <c r="D64" i="22" s="1"/>
  <c r="J338" i="8"/>
  <c r="E337" i="8"/>
  <c r="E63" i="22"/>
  <c r="D337" i="8"/>
  <c r="D63" i="22" s="1"/>
  <c r="J335" i="8"/>
  <c r="E334" i="8"/>
  <c r="D334" i="8"/>
  <c r="D62" i="22" s="1"/>
  <c r="J332" i="8"/>
  <c r="J431" i="8" s="1"/>
  <c r="H332" i="8"/>
  <c r="H317" i="8"/>
  <c r="H316" i="8"/>
  <c r="H310" i="8"/>
  <c r="H309" i="8"/>
  <c r="H308" i="8"/>
  <c r="H307" i="8"/>
  <c r="H305" i="8"/>
  <c r="E246" i="8" s="1"/>
  <c r="H304" i="8"/>
  <c r="E245" i="8"/>
  <c r="H303" i="8"/>
  <c r="E244" i="8" s="1"/>
  <c r="H302" i="8"/>
  <c r="H311" i="8" s="1"/>
  <c r="B301" i="8"/>
  <c r="H296" i="8"/>
  <c r="H295" i="8"/>
  <c r="H294" i="8"/>
  <c r="H293" i="8"/>
  <c r="H292" i="8"/>
  <c r="H291" i="8"/>
  <c r="H289" i="8"/>
  <c r="H288" i="8"/>
  <c r="E287" i="8"/>
  <c r="E61" i="22" s="1"/>
  <c r="D287" i="8"/>
  <c r="D61" i="22" s="1"/>
  <c r="H285" i="8"/>
  <c r="E284" i="8"/>
  <c r="E60" i="22" s="1"/>
  <c r="D284" i="8"/>
  <c r="D60" i="22"/>
  <c r="H282" i="8"/>
  <c r="E281" i="8"/>
  <c r="E59" i="22" s="1"/>
  <c r="D281" i="8"/>
  <c r="H279" i="8"/>
  <c r="E278" i="8"/>
  <c r="E58" i="22" s="1"/>
  <c r="D278" i="8"/>
  <c r="D58" i="22" s="1"/>
  <c r="H276" i="8"/>
  <c r="H266" i="8"/>
  <c r="H265" i="8"/>
  <c r="D247" i="8"/>
  <c r="H242" i="8"/>
  <c r="H239" i="8"/>
  <c r="H238" i="8"/>
  <c r="H237" i="8"/>
  <c r="H236" i="8"/>
  <c r="H235" i="8"/>
  <c r="H234" i="8"/>
  <c r="H232" i="8"/>
  <c r="H231" i="8"/>
  <c r="H229" i="8"/>
  <c r="H228" i="8"/>
  <c r="H227" i="8"/>
  <c r="H226" i="8"/>
  <c r="H225" i="8"/>
  <c r="H223" i="8"/>
  <c r="H222" i="8"/>
  <c r="H221" i="8"/>
  <c r="H220" i="8"/>
  <c r="H219" i="8"/>
  <c r="H218" i="8"/>
  <c r="H217" i="8"/>
  <c r="H215" i="8"/>
  <c r="H214" i="8"/>
  <c r="H210" i="8"/>
  <c r="H209" i="8"/>
  <c r="E207" i="8"/>
  <c r="E57" i="22" s="1"/>
  <c r="D207" i="8"/>
  <c r="D57" i="22"/>
  <c r="H205" i="8"/>
  <c r="E204" i="8"/>
  <c r="E56" i="22" s="1"/>
  <c r="D204" i="8"/>
  <c r="D56" i="22" s="1"/>
  <c r="H202" i="8"/>
  <c r="E200" i="8"/>
  <c r="E55" i="22" s="1"/>
  <c r="D200" i="8"/>
  <c r="D55" i="22" s="1"/>
  <c r="H198" i="8"/>
  <c r="E197" i="8"/>
  <c r="D197" i="8"/>
  <c r="D54" i="22" s="1"/>
  <c r="H195" i="8"/>
  <c r="E194" i="8"/>
  <c r="E53" i="22"/>
  <c r="D194" i="8"/>
  <c r="D53" i="22" s="1"/>
  <c r="H192" i="8"/>
  <c r="H191" i="8"/>
  <c r="E190" i="8"/>
  <c r="E52" i="22" s="1"/>
  <c r="D190" i="8"/>
  <c r="D52" i="22" s="1"/>
  <c r="H188" i="8"/>
  <c r="E187" i="8"/>
  <c r="E51" i="22" s="1"/>
  <c r="D187" i="8"/>
  <c r="D51" i="22" s="1"/>
  <c r="H185" i="8"/>
  <c r="E184" i="8"/>
  <c r="E50" i="22" s="1"/>
  <c r="D184" i="8"/>
  <c r="D50" i="22" s="1"/>
  <c r="H182" i="8"/>
  <c r="E181" i="8"/>
  <c r="E49" i="22" s="1"/>
  <c r="D181" i="8"/>
  <c r="D49" i="22" s="1"/>
  <c r="H179" i="8"/>
  <c r="D175" i="8"/>
  <c r="B175" i="8"/>
  <c r="C48" i="22" s="1"/>
  <c r="D173" i="8"/>
  <c r="D47" i="22" s="1"/>
  <c r="B173" i="8"/>
  <c r="C47" i="22" s="1"/>
  <c r="D171" i="8"/>
  <c r="D46" i="22" s="1"/>
  <c r="B171" i="8"/>
  <c r="C46" i="22" s="1"/>
  <c r="H166" i="8"/>
  <c r="H165" i="8"/>
  <c r="H164" i="8"/>
  <c r="H163" i="8"/>
  <c r="H162" i="8"/>
  <c r="H161" i="8"/>
  <c r="H160" i="8"/>
  <c r="H158" i="8"/>
  <c r="H157" i="8"/>
  <c r="H154" i="8"/>
  <c r="H153" i="8"/>
  <c r="H150" i="8"/>
  <c r="H149" i="8"/>
  <c r="H146" i="8"/>
  <c r="H145" i="8"/>
  <c r="H142" i="8"/>
  <c r="H141" i="8"/>
  <c r="H137" i="8"/>
  <c r="H130" i="8"/>
  <c r="H129" i="8"/>
  <c r="H128" i="8"/>
  <c r="H127" i="8"/>
  <c r="H125" i="8"/>
  <c r="H124" i="8"/>
  <c r="H121" i="8"/>
  <c r="H120" i="8"/>
  <c r="H118" i="8"/>
  <c r="H117" i="8"/>
  <c r="H108" i="8"/>
  <c r="H101" i="8"/>
  <c r="H100" i="8"/>
  <c r="H99" i="8"/>
  <c r="H98" i="8"/>
  <c r="H96" i="8"/>
  <c r="H95" i="8"/>
  <c r="H92" i="8"/>
  <c r="H91" i="8"/>
  <c r="H89" i="8"/>
  <c r="H88" i="8"/>
  <c r="G62" i="8"/>
  <c r="G45" i="22" s="1"/>
  <c r="F62" i="8"/>
  <c r="F45" i="22" s="1"/>
  <c r="E62" i="8"/>
  <c r="E45" i="22" s="1"/>
  <c r="D62" i="8"/>
  <c r="D45" i="22" s="1"/>
  <c r="B62" i="8"/>
  <c r="C45" i="22" s="1"/>
  <c r="G59" i="8"/>
  <c r="G44" i="22" s="1"/>
  <c r="F59" i="8"/>
  <c r="F44" i="22" s="1"/>
  <c r="E59" i="8"/>
  <c r="E44" i="22" s="1"/>
  <c r="D59" i="8"/>
  <c r="D44" i="22" s="1"/>
  <c r="B59" i="8"/>
  <c r="C44" i="22" s="1"/>
  <c r="D41" i="8"/>
  <c r="D32" i="8"/>
  <c r="D9" i="8"/>
  <c r="D43" i="22" s="1"/>
  <c r="B9" i="8"/>
  <c r="C43" i="22" s="1"/>
  <c r="H8" i="8"/>
  <c r="H6" i="8"/>
  <c r="B61" i="1"/>
  <c r="F26" i="22"/>
  <c r="C17" i="22"/>
  <c r="J17" i="22"/>
  <c r="E17" i="22"/>
  <c r="E62" i="22"/>
  <c r="D59" i="22"/>
  <c r="E54" i="22"/>
  <c r="D48" i="22"/>
  <c r="F53" i="32"/>
  <c r="F21" i="22" s="1"/>
  <c r="L10" i="22"/>
  <c r="G10" i="22"/>
  <c r="D25" i="22"/>
  <c r="D24" i="22"/>
  <c r="I26" i="22"/>
  <c r="G42" i="32"/>
  <c r="G20" i="22" s="1"/>
  <c r="G41" i="32"/>
  <c r="G19" i="22" s="1"/>
  <c r="F51" i="32"/>
  <c r="M13" i="22"/>
  <c r="M12" i="22"/>
  <c r="M11" i="22"/>
  <c r="H13" i="22"/>
  <c r="H12" i="22"/>
  <c r="H11" i="22"/>
  <c r="C75" i="1"/>
  <c r="D6" i="22" s="1"/>
  <c r="C6" i="22"/>
  <c r="D4" i="22"/>
  <c r="C70" i="1"/>
  <c r="D5" i="22" s="1"/>
  <c r="C5" i="22"/>
  <c r="M10" i="22"/>
  <c r="K10" i="22"/>
  <c r="J10" i="22"/>
  <c r="I10" i="22"/>
  <c r="H10" i="22"/>
  <c r="F10" i="22"/>
  <c r="E10" i="22"/>
  <c r="D10" i="22"/>
  <c r="E42" i="22"/>
  <c r="D42" i="22"/>
  <c r="C37" i="22"/>
  <c r="C169" i="32"/>
  <c r="C35" i="22" s="1"/>
  <c r="J169" i="32"/>
  <c r="I35" i="22" s="1"/>
  <c r="J186" i="32"/>
  <c r="I36" i="22" s="1"/>
  <c r="C36" i="22"/>
  <c r="C64" i="1"/>
  <c r="C44" i="39" s="1"/>
  <c r="E5" i="62" s="1"/>
  <c r="C67" i="1"/>
  <c r="C72" i="1"/>
  <c r="K26" i="22"/>
  <c r="J26" i="22"/>
  <c r="E94" i="32"/>
  <c r="E26" i="22" s="1"/>
  <c r="D94" i="32"/>
  <c r="D26" i="22" s="1"/>
  <c r="I25" i="22"/>
  <c r="C26" i="22"/>
  <c r="C25" i="22"/>
  <c r="C24" i="22"/>
  <c r="C23" i="22"/>
  <c r="C22" i="22"/>
  <c r="C21" i="22"/>
  <c r="F27" i="32"/>
  <c r="C1" i="1"/>
  <c r="I24" i="22"/>
  <c r="G40" i="32"/>
  <c r="G18" i="22" s="1"/>
  <c r="E243" i="8"/>
  <c r="D45" i="8"/>
  <c r="D46" i="8" s="1"/>
  <c r="H46" i="8" s="1"/>
  <c r="D42" i="8"/>
  <c r="D43" i="8" s="1"/>
  <c r="D33" i="8"/>
  <c r="E247" i="8" l="1"/>
  <c r="F247" i="8" s="1"/>
  <c r="H247" i="8" s="1"/>
  <c r="H248" i="8" s="1"/>
  <c r="H251" i="8" s="1"/>
  <c r="H297" i="8"/>
  <c r="D34" i="8"/>
  <c r="H167" i="8"/>
  <c r="H211" i="8"/>
  <c r="H44" i="8"/>
  <c r="J164" i="32"/>
  <c r="J161" i="32" s="1"/>
  <c r="J157" i="32" s="1"/>
  <c r="J188" i="32" s="1"/>
  <c r="E27" i="32"/>
  <c r="D81" i="32" s="1"/>
  <c r="D23" i="22" s="1"/>
  <c r="H431" i="8"/>
  <c r="H109" i="8"/>
  <c r="H34" i="8"/>
  <c r="H32" i="8"/>
  <c r="H267" i="8"/>
  <c r="H19" i="8"/>
  <c r="H73" i="8"/>
  <c r="H75" i="8" s="1"/>
  <c r="C63" i="1"/>
  <c r="C46" i="39" s="1"/>
  <c r="C71" i="1"/>
  <c r="C45" i="39" s="1"/>
  <c r="F5" i="62" s="1"/>
  <c r="H43" i="8"/>
  <c r="H47" i="8" s="1"/>
  <c r="D47" i="8"/>
  <c r="F7" i="30"/>
  <c r="F90" i="22" s="1"/>
  <c r="H319" i="8"/>
  <c r="H323" i="8" l="1"/>
  <c r="H53" i="8"/>
  <c r="H78" i="8" s="1"/>
  <c r="H441" i="8" s="1"/>
  <c r="I37" i="22"/>
  <c r="H270" i="8"/>
  <c r="D324" i="8" s="1"/>
  <c r="H324" i="8" s="1"/>
  <c r="H21" i="8"/>
  <c r="H49" i="8" s="1"/>
  <c r="H50" i="8" s="1"/>
  <c r="H325" i="8" l="1"/>
  <c r="H442" i="8" s="1"/>
  <c r="H443" i="8" s="1"/>
  <c r="J103" i="32" l="1"/>
  <c r="D103" i="32"/>
  <c r="E71" i="1" l="1"/>
  <c r="E45" i="39" l="1"/>
  <c r="D100" i="32"/>
  <c r="D104" i="32" s="1"/>
  <c r="J100" i="32"/>
  <c r="J104" i="32" s="1"/>
  <c r="J75" i="32"/>
  <c r="I22" i="22" s="1"/>
  <c r="J80" i="32"/>
  <c r="J81" i="32" s="1"/>
  <c r="I23" i="22" s="1"/>
</calcChain>
</file>

<file path=xl/sharedStrings.xml><?xml version="1.0" encoding="utf-8"?>
<sst xmlns="http://schemas.openxmlformats.org/spreadsheetml/2006/main" count="5493" uniqueCount="1838">
  <si>
    <t>Loss of funding on covered bonds issued by the bank</t>
  </si>
  <si>
    <t>Undrawn committed credit and liquidity facilities to retail and small business customers</t>
  </si>
  <si>
    <t>Undrawn committed credit facilities to</t>
  </si>
  <si>
    <t>sovereigns, central banks, PSEs and MDBs</t>
  </si>
  <si>
    <t>Undrawn committed liquidity facilities to</t>
  </si>
  <si>
    <t>Other contractual obligations to extend funds to</t>
  </si>
  <si>
    <t>roll-over of inflows</t>
  </si>
  <si>
    <t>excess outflows</t>
  </si>
  <si>
    <t>small business customers</t>
  </si>
  <si>
    <t>other clients</t>
  </si>
  <si>
    <t>Total contractual obligations to extend funds in excess of 50% roll-over assumption</t>
  </si>
  <si>
    <t xml:space="preserve">Non-contractual obligations: </t>
  </si>
  <si>
    <t>Debt-buy back requests (incl. related conduits)</t>
  </si>
  <si>
    <t>Structured products</t>
  </si>
  <si>
    <t>Other non-contractual obligations</t>
  </si>
  <si>
    <t>Outstanding debt securities with remaining maturity &gt; 30 days</t>
  </si>
  <si>
    <t>Amount extended</t>
  </si>
  <si>
    <t>Market value of received colllateral</t>
  </si>
  <si>
    <t>Reverse repo and other secured lending or securities borrowing transactions maturing ≤ 30 days</t>
  </si>
  <si>
    <t>Total inflows on reverse repo and securities borrowing transactions</t>
  </si>
  <si>
    <t>Retail customers</t>
  </si>
  <si>
    <t>Small business customers</t>
  </si>
  <si>
    <t>Option 3 – Additional use of Level 2 assets at a higher haircut</t>
  </si>
  <si>
    <t>Option 1 – Contractual committed liquidity facilities from the relevant central bank</t>
  </si>
  <si>
    <t>Additional Tier 1</t>
  </si>
  <si>
    <t>Bank type numeric</t>
  </si>
  <si>
    <t>Without supervisory run-off rate</t>
  </si>
  <si>
    <t>Transactions backed by Level 1 assets</t>
  </si>
  <si>
    <t>Transactions backed by other collateral</t>
  </si>
  <si>
    <t>Retail deposit run-off weight</t>
  </si>
  <si>
    <t>Unsecured wholesale funding run-off weight</t>
  </si>
  <si>
    <t>Fixed-term deposits (treated as having &gt;30 day remaining maturity), with a supervisory run-off rate</t>
  </si>
  <si>
    <t>Allow treatment for jurisdictions with insufficient liquid assets</t>
  </si>
  <si>
    <t>CET1 (Basel II/III banks: before application of the transitional floor)</t>
  </si>
  <si>
    <t>Tier 1 (Basel II/III banks: before application of the transitional floor)</t>
  </si>
  <si>
    <t>Accounting</t>
  </si>
  <si>
    <t>IFRS</t>
  </si>
  <si>
    <t>US GAAP</t>
  </si>
  <si>
    <t>Other national accounting standard</t>
  </si>
  <si>
    <t>Non-financial corporates</t>
  </si>
  <si>
    <t>Financial institutions, of which</t>
  </si>
  <si>
    <t>deposits at the centralised institution of an institutional network that receive 25% run-off</t>
  </si>
  <si>
    <t>Other entities</t>
  </si>
  <si>
    <t>Total of other inflows by counterparty</t>
  </si>
  <si>
    <t>Other cash inflows</t>
  </si>
  <si>
    <t>Contractual inflows from securities maturing ≤ 30 days, not included anywhere above</t>
  </si>
  <si>
    <t>Other contractual cash inflows</t>
  </si>
  <si>
    <t xml:space="preserve">Total cash inflows before applying the cap </t>
  </si>
  <si>
    <t xml:space="preserve">Cap on cash inflows </t>
  </si>
  <si>
    <t>Total cash inflows after applying the cap</t>
  </si>
  <si>
    <t>Net cash outflows</t>
  </si>
  <si>
    <t>a) Level 1 assets</t>
  </si>
  <si>
    <t>B) Net cash outflows</t>
  </si>
  <si>
    <t>retail, small business customers, non-financials and other clients</t>
  </si>
  <si>
    <t>Total additional requirements run-off</t>
  </si>
  <si>
    <t>Total cash outlfows</t>
  </si>
  <si>
    <t>b) Other inflows by counterparty</t>
  </si>
  <si>
    <t>c) Other cash inflows</t>
  </si>
  <si>
    <t>Total of other cash inflows</t>
  </si>
  <si>
    <t>NSFR</t>
  </si>
  <si>
    <t>For portfolios subject to Basel I</t>
  </si>
  <si>
    <t>For other collateral (ie all non-Level 1 collateral)</t>
  </si>
  <si>
    <t>Other</t>
  </si>
  <si>
    <t>For standardised approach portfolios</t>
  </si>
  <si>
    <t>Panel</t>
  </si>
  <si>
    <t>Check</t>
  </si>
  <si>
    <t>Incremental risk capital charge</t>
  </si>
  <si>
    <t>Reporting date</t>
  </si>
  <si>
    <t>CET1</t>
  </si>
  <si>
    <t>Tier 2</t>
  </si>
  <si>
    <t>paid in amount plus related reserves/retained earnings owned by group gross of all deductions</t>
  </si>
  <si>
    <t>paid in amount plus related reserves/retained earnings owned by third parties gross of all deductions</t>
  </si>
  <si>
    <t>Public sector entities (PSEs); of which:</t>
  </si>
  <si>
    <t>Non-financial; of which:</t>
  </si>
  <si>
    <t>Bank type (numeric)</t>
  </si>
  <si>
    <t>Other exposures (eg equity and other non-credit obligation assets); of which:</t>
  </si>
  <si>
    <t>Securitisation exposures</t>
  </si>
  <si>
    <t>Common share dividends</t>
  </si>
  <si>
    <t>Own estimates</t>
  </si>
  <si>
    <t>Repo VaR</t>
  </si>
  <si>
    <t>CCR SFT</t>
  </si>
  <si>
    <t>Total (Basel II/III banks: before application of the transitional floor)</t>
  </si>
  <si>
    <t>Total Common Equity Tier 1 capital</t>
  </si>
  <si>
    <t>Additional Tier 1 capital</t>
  </si>
  <si>
    <t>Tier 2 capital</t>
  </si>
  <si>
    <t>Tier 3 capital</t>
  </si>
  <si>
    <t>Tier 1 capital</t>
  </si>
  <si>
    <t>Total Common Equity Tier 1 capital after the regulatory adjustments above</t>
  </si>
  <si>
    <t xml:space="preserve">Total Common Equity Tier 1 capital after the regulatory adjustments above </t>
  </si>
  <si>
    <t>Total regulatory adjustments to Additional Tier 1 capital; of which</t>
  </si>
  <si>
    <t>Conversion rate (in euros/reporting currency)</t>
  </si>
  <si>
    <t>financial institutions</t>
  </si>
  <si>
    <t>Yes/No/NA</t>
  </si>
  <si>
    <t>Transactions backed by Level 1 assets; of which:</t>
  </si>
  <si>
    <t>Transactions involving eligible liquid assets – see instructions for more detail</t>
  </si>
  <si>
    <t>Level 1 assets are lent and Level 1 assets are borrowed; of which:</t>
  </si>
  <si>
    <t>Level 1 assets are lent and other assets are borrowed; of which:</t>
  </si>
  <si>
    <t>Other assets are lent and Level 1 assets are borrowed; of which:</t>
  </si>
  <si>
    <t>Involving eligible liquid assets – see instructions for more detail</t>
  </si>
  <si>
    <t>Tier 2 buyback or repayment (gross)</t>
  </si>
  <si>
    <t>B1c</t>
  </si>
  <si>
    <t>B2a</t>
  </si>
  <si>
    <t>C</t>
  </si>
  <si>
    <t>Securitisations</t>
  </si>
  <si>
    <t>Other assets</t>
  </si>
  <si>
    <t>Reporting date (yyyy-mm-dd)</t>
  </si>
  <si>
    <t>Version</t>
  </si>
  <si>
    <t>Bank type</t>
  </si>
  <si>
    <t>RWA</t>
  </si>
  <si>
    <t>Yes</t>
  </si>
  <si>
    <t>No</t>
  </si>
  <si>
    <t>Basel I</t>
  </si>
  <si>
    <t>A) Version</t>
  </si>
  <si>
    <t>Region code</t>
  </si>
  <si>
    <t>Country code</t>
  </si>
  <si>
    <t>Bank number</t>
  </si>
  <si>
    <t>Yes/No</t>
  </si>
  <si>
    <t>Parameters</t>
  </si>
  <si>
    <t>Capital charge</t>
  </si>
  <si>
    <t>Other Tier 1 buyback or repayment (gross)</t>
  </si>
  <si>
    <t>Accounting standard</t>
  </si>
  <si>
    <t>OpRisk</t>
  </si>
  <si>
    <t>Discretionary staff compensation/bonuses</t>
  </si>
  <si>
    <t>Use capital data</t>
  </si>
  <si>
    <t>Use leverage ratio data</t>
  </si>
  <si>
    <t>Item</t>
  </si>
  <si>
    <t>Basel III para ref</t>
  </si>
  <si>
    <t xml:space="preserve">Total group Common Equity Tier 1 capital prior to regulatory adjustments </t>
  </si>
  <si>
    <t>Regulatory adjustments to be applied to Common Equity Tier 1 due to insufficient Additional Tier 1 to cover deductions</t>
  </si>
  <si>
    <t>Total non-operational deposits; of which</t>
  </si>
  <si>
    <t>provided by other financial institutions and other legal entities</t>
  </si>
  <si>
    <t>C) Collateral swaps</t>
  </si>
  <si>
    <t>Market value of collateral lent</t>
  </si>
  <si>
    <t>Market value of collateral borrowed</t>
  </si>
  <si>
    <t>Weight outflows</t>
  </si>
  <si>
    <t>Weighted amount outflows</t>
  </si>
  <si>
    <t>Weight inflows</t>
  </si>
  <si>
    <t>Weighted amount inflows</t>
  </si>
  <si>
    <t>Level 1 assets are lent and Level 1 assets are borrowed</t>
  </si>
  <si>
    <t>Check: positive Basel 2.5 VaR requires positive Basel 2.5 stressed VaR and vice versa</t>
  </si>
  <si>
    <t>Externally rated exposures</t>
  </si>
  <si>
    <t>Exposure amount</t>
  </si>
  <si>
    <t>All other off balance-sheet obligations not included in the above categories</t>
  </si>
  <si>
    <t>Check: accounting ≤ gross value</t>
  </si>
  <si>
    <t>A) General Info worksheet</t>
  </si>
  <si>
    <t>Check: notional ≥ accounting value</t>
  </si>
  <si>
    <t>Level 1 assets are lent and other assets are borrowed</t>
  </si>
  <si>
    <t>Defaulted exposures under the IRB approach</t>
  </si>
  <si>
    <t>Other assets are lent and Level 1 assets are borrowed</t>
  </si>
  <si>
    <t>Other assets are lent and other assets are borrowed</t>
  </si>
  <si>
    <t>Total outflows and total inflows from collateral swaps</t>
  </si>
  <si>
    <t>Addition</t>
  </si>
  <si>
    <t>Reduction</t>
  </si>
  <si>
    <t>Adjustments to Level 1 assets due to collateral swaps</t>
  </si>
  <si>
    <t>D) LCR</t>
  </si>
  <si>
    <t>Tier 2 regulatory adjustments which have to be deducted from Additional Tier 1 capital</t>
  </si>
  <si>
    <t>Regulatory adjustments actually made to Additional Tier 1 capital</t>
  </si>
  <si>
    <t>58, 59</t>
  </si>
  <si>
    <t>Capital raised (gross)</t>
  </si>
  <si>
    <t>Total gross provisions eligible for inclusion in Tier 2 capital</t>
  </si>
  <si>
    <t>RWA impact of applying future definition of capital rules</t>
  </si>
  <si>
    <t>Checks</t>
  </si>
  <si>
    <t>For IRB portfolios</t>
  </si>
  <si>
    <t>CVA capital charge (risk-weighted asset equivalent); of which:</t>
  </si>
  <si>
    <t>Total exposures; of which:</t>
  </si>
  <si>
    <t>Other retail exposures</t>
  </si>
  <si>
    <t>G</t>
  </si>
  <si>
    <t>Aa</t>
  </si>
  <si>
    <t>Ac</t>
  </si>
  <si>
    <t>B1b</t>
  </si>
  <si>
    <t>SME exposures</t>
  </si>
  <si>
    <t>Residential real estate exposures</t>
  </si>
  <si>
    <t>Commercial real estate</t>
  </si>
  <si>
    <t>Other corporate non-financial</t>
  </si>
  <si>
    <t>Total trading book exposures; of which:</t>
  </si>
  <si>
    <t>Total banking book exposures; of which:</t>
  </si>
  <si>
    <t>prime brokerage services</t>
  </si>
  <si>
    <t>Level 1</t>
  </si>
  <si>
    <t>correspondent banking activity</t>
  </si>
  <si>
    <t>d) Total cash inflows</t>
  </si>
  <si>
    <t>of which, can be included in the consolidated stock by the time the standard is implemented</t>
  </si>
  <si>
    <t>of which, can be brought back into the qualifying stock by the time the standard is implemented</t>
  </si>
  <si>
    <t>Amount/
market value</t>
  </si>
  <si>
    <t>Potential future exposure
(current exposure method; assume no netting or CRM)</t>
  </si>
  <si>
    <t>Comparable to the previous period</t>
  </si>
  <si>
    <t>2) LCR treatment for jurisdictions with insufficient liquid assets</t>
  </si>
  <si>
    <t>3) LCR cash outflows: additional deposit categories with higher run-off rates as specified by supervisor</t>
  </si>
  <si>
    <t>4) LCR cash outflows other contingent funding obligations</t>
  </si>
  <si>
    <t>5) LCR cash inflows</t>
  </si>
  <si>
    <t>1) LCR haircuts for high-quality liquid assets</t>
  </si>
  <si>
    <t>provided by sovereigns, central banks, PSEs and MDBs</t>
  </si>
  <si>
    <t>Permitted offsetting short positions in relation to the specific gross holdings included above</t>
  </si>
  <si>
    <t>Allocation of the deduction to Additional Tier 1 capital</t>
  </si>
  <si>
    <t>(A separate column should be completed for each subsidairy issuing capital to third parties)</t>
  </si>
  <si>
    <t>amount attributable to third parties</t>
  </si>
  <si>
    <t>Standardised approach</t>
  </si>
  <si>
    <t>Submission date (yyyy-mm-dd)</t>
  </si>
  <si>
    <t>Other contingent funding obligations</t>
  </si>
  <si>
    <t>2) Cash inflows</t>
  </si>
  <si>
    <t>Rules as at reporting date</t>
  </si>
  <si>
    <t>Income</t>
  </si>
  <si>
    <t>Profit after tax</t>
  </si>
  <si>
    <t>Profit after tax prior to the deduction of relevant (ie expensed) distributions below</t>
  </si>
  <si>
    <t>Distributions</t>
  </si>
  <si>
    <t>Other coupon/dividend payments on Tier 1 instruments</t>
  </si>
  <si>
    <t>Common stock share buybacks</t>
  </si>
  <si>
    <t>Total capital of the subsidiary held by third parties less surplus attributable to third party investors</t>
  </si>
  <si>
    <t xml:space="preserve">Prior to regulatory adjustments </t>
  </si>
  <si>
    <t>Regulatory adjustments</t>
  </si>
  <si>
    <t>Common Equity Tier 1 capital after all regulatory adjustments that do not depend on a threshold</t>
  </si>
  <si>
    <t>C) Capital distribution data (for the six months period ending on the reporting date)</t>
  </si>
  <si>
    <t>Allocation of the deduction to Tier 2 capital</t>
  </si>
  <si>
    <t>Total Common Equity Tier 1 capital attributable to parent company common shareholders</t>
  </si>
  <si>
    <t>Counterparty credit risk exposures (not including CVA charges or charges for exposures to CCPs)</t>
  </si>
  <si>
    <t>Shortfall of provisions to expeced losses to be deducted from Common Equity Tier 1 capital (gross of any tax adjustement)</t>
  </si>
  <si>
    <t>Cap for inclusion of excess provisions in Tier 2 capital (0.6% of credit risk-weighted assets)</t>
  </si>
  <si>
    <t>Excess of provisions to expected losses related to IRB portfolios to be included in Tier 2 capital</t>
  </si>
  <si>
    <t>Cap for inclusion of provisions in Tier 2 capital (1.25% of credit risk-weighted assets)</t>
  </si>
  <si>
    <t>Total provisions related to standardised approach to be included in Tier 2 capital</t>
  </si>
  <si>
    <t>Total provisions related to Basel I portfolios to be included in Tier 2 capital</t>
  </si>
  <si>
    <t>Market risk capital charge which the bank is unable to assign to one of the above categories</t>
  </si>
  <si>
    <t xml:space="preserve">Holdings of Additional Tier 1 capital net of short positions </t>
  </si>
  <si>
    <t>Holdings of Tier 2 capital net of short positions</t>
  </si>
  <si>
    <t>Amounts not deducted (to be subject to relevant risk weighting with amounts below allocated on a pro rata basis in accordance with paragraph 83 of Basel III)</t>
  </si>
  <si>
    <t>Allocation of the deduction to Common Equity Tier 1 capital</t>
  </si>
  <si>
    <t>Common Equity Tier 1 capital</t>
  </si>
  <si>
    <t>Total Common Equity Tier 1 capital of the subsidiary held by third parties less surplus attributable to third party investors</t>
  </si>
  <si>
    <t>Total Tier 1 capital</t>
  </si>
  <si>
    <t>Surplus Total Tier 1 capital of the subsidiary; of which</t>
  </si>
  <si>
    <t>Total Tier 1 capital of the subsidiary held by third parties less surplus attributable to third party investors</t>
  </si>
  <si>
    <t>Total capital</t>
  </si>
  <si>
    <t>Surplus Total capital of the subsidiary; of which</t>
  </si>
  <si>
    <t>Surplus Common Equity Tier 1 capital of the subsidiary; of which</t>
  </si>
  <si>
    <t>Amount of Common Equity Tier 1 capital held by third parties to be included in consolidated Common Equity Tier 1 capital</t>
  </si>
  <si>
    <t>Amount of Tier 1 capital held by third parties to be included in consolidated Additional Tier 1 capital</t>
  </si>
  <si>
    <t>Amount of Total capital held by third parties to be included in consolidated Tier 2 capital</t>
  </si>
  <si>
    <t>A) On-balance sheet items</t>
  </si>
  <si>
    <t>Amounts should be net of specific provisions and valuations adjustments.</t>
  </si>
  <si>
    <t xml:space="preserve">Accounting balance sheet value </t>
  </si>
  <si>
    <t>Derivatives:</t>
  </si>
  <si>
    <t>Credit derivatives (protection sold)</t>
  </si>
  <si>
    <t>Credit derivatives (protection bought)</t>
  </si>
  <si>
    <t>Financial derivatives</t>
  </si>
  <si>
    <t>Totals</t>
  </si>
  <si>
    <t>Notional amount</t>
  </si>
  <si>
    <t>B1 ) Derivatives</t>
  </si>
  <si>
    <t>B2) Off-balance sheet items</t>
  </si>
  <si>
    <t>Off-balance sheet items with a 0% CCF in the RSA; of which:</t>
  </si>
  <si>
    <t>Unconditionally cancellable credit cards commitments</t>
  </si>
  <si>
    <t>PSEs guaranteed by central government</t>
  </si>
  <si>
    <t xml:space="preserve">Other unconditionally cancellable commitments </t>
  </si>
  <si>
    <t>Off-balance sheet items with a 20% CCF in the RSA</t>
  </si>
  <si>
    <t>Total off-balance sheet items</t>
  </si>
  <si>
    <t>Accounting total assets</t>
  </si>
  <si>
    <t>Reverse out on-balance sheet netting</t>
  </si>
  <si>
    <t>Credit derivatives:</t>
  </si>
  <si>
    <t>Credit derivatives (protection sold less protection bought)</t>
  </si>
  <si>
    <t xml:space="preserve">Amount </t>
  </si>
  <si>
    <t>Total exposures</t>
  </si>
  <si>
    <t>Total exposures for the calculation of the leverage ratio</t>
  </si>
  <si>
    <t>Central banks</t>
  </si>
  <si>
    <t>Total risk-weighted assets of the subsidiary</t>
  </si>
  <si>
    <t>Other trading book exposures</t>
  </si>
  <si>
    <t>Investments in covered bonds</t>
  </si>
  <si>
    <t xml:space="preserve">Other banking book exposures; of which: </t>
  </si>
  <si>
    <t>Sovereigns; of which:</t>
  </si>
  <si>
    <t>MDBs</t>
  </si>
  <si>
    <t>Financial</t>
  </si>
  <si>
    <t>Qualifying revolving retail exposures</t>
  </si>
  <si>
    <t>Banks</t>
  </si>
  <si>
    <t>Securities with a 0% risk weight:</t>
  </si>
  <si>
    <t>Risk-weighted assets of the consolidated group that relate to the subsidiary (ie risk-weighted assets of the subsidiary excluding intra-group transactions)</t>
  </si>
  <si>
    <t>Lower of the risk-weighted assets of the subsidiary and the contribution to consolidated risk-weighted assets</t>
  </si>
  <si>
    <t>Unsecured debt issuance</t>
  </si>
  <si>
    <t>Debt-buy back requests (incl related conduits)</t>
  </si>
  <si>
    <t>Unconditionally revocable "uncommitted" credit and liquidity facilities</t>
  </si>
  <si>
    <t>Equity</t>
  </si>
  <si>
    <t>Securities financing transactions</t>
  </si>
  <si>
    <t>B) Derivatives and off-balance sheet items</t>
  </si>
  <si>
    <t>Off-balance sheet items with a 50% CCF in the RSA</t>
  </si>
  <si>
    <t>Off-balance sheet items with a 100% CCF in the RSA</t>
  </si>
  <si>
    <t>C) On- and off-balance sheet items – additional breakdown of exposures</t>
  </si>
  <si>
    <t>On-balance sheet exposures: EAD/solvency-based value</t>
  </si>
  <si>
    <t>e) Total cash outflows</t>
  </si>
  <si>
    <t xml:space="preserve">Off-balance sheet exposures: notional x regulatory CCF </t>
  </si>
  <si>
    <t>Total on- and off-balance sheet exposures belonging to the banking book (breakdown according to the effective risk weight):</t>
  </si>
  <si>
    <t>= 0%</t>
  </si>
  <si>
    <t>&gt; 0 and ≤ 12%</t>
  </si>
  <si>
    <t>&gt; 12 and ≤ 20%</t>
  </si>
  <si>
    <t>&gt; 20 and ≤ 50%</t>
  </si>
  <si>
    <t>&gt; 50 and ≤ 75%</t>
  </si>
  <si>
    <t>&gt; 75 and ≤ 100%</t>
  </si>
  <si>
    <t>&gt; 100 and ≤ 425%</t>
  </si>
  <si>
    <t>&gt; 425 and ≤ 1250%</t>
  </si>
  <si>
    <t>D) Reconciliation (following relevant accounting standards)</t>
  </si>
  <si>
    <t>Reverse out SFT netting</t>
  </si>
  <si>
    <t>Reverse out other netting and other adjustments</t>
  </si>
  <si>
    <t>Previous quarter</t>
  </si>
  <si>
    <t>Bank group</t>
  </si>
  <si>
    <t>Unit (1, 1000, 1000000)</t>
  </si>
  <si>
    <t>D</t>
  </si>
  <si>
    <t>E</t>
  </si>
  <si>
    <t>Capital ratios (actual capital, rules as of the relevant date)</t>
  </si>
  <si>
    <t>B1</t>
  </si>
  <si>
    <t>Total</t>
  </si>
  <si>
    <t>1) Reporting data</t>
  </si>
  <si>
    <t>2) Approaches to credit risk</t>
  </si>
  <si>
    <t>Basel I/Basel II</t>
  </si>
  <si>
    <t>Basel II</t>
  </si>
  <si>
    <t>Specific interest rate risk</t>
  </si>
  <si>
    <t>Specific equity position risk</t>
  </si>
  <si>
    <t>Total capital charge for market risk</t>
  </si>
  <si>
    <t>Settlement risk</t>
  </si>
  <si>
    <t>Other Pillar 1 requirements</t>
  </si>
  <si>
    <t>A</t>
  </si>
  <si>
    <t>B</t>
  </si>
  <si>
    <t>1) Cash outflows</t>
  </si>
  <si>
    <t>Provisions included in Tier 2 capital</t>
  </si>
  <si>
    <t>Sum of all net holdings where the bank does not own more than 10% of the issued share capital</t>
  </si>
  <si>
    <t>BIA</t>
  </si>
  <si>
    <t>TSA</t>
  </si>
  <si>
    <t>ASA</t>
  </si>
  <si>
    <t>AMA</t>
  </si>
  <si>
    <t>CCR OTC</t>
  </si>
  <si>
    <t>CEM</t>
  </si>
  <si>
    <t>Standardised</t>
  </si>
  <si>
    <t>IMM</t>
  </si>
  <si>
    <t>Supervisory haircuts</t>
  </si>
  <si>
    <t>Bank is a single legal entity</t>
  </si>
  <si>
    <t>issued by sovereigns</t>
  </si>
  <si>
    <t>guaranteed by sovereigns</t>
  </si>
  <si>
    <t>issued or guaranteed by central banks</t>
  </si>
  <si>
    <t>issued or guaranteed by non-central government PSEs</t>
  </si>
  <si>
    <t>Bank is a subsidiary of a banking group</t>
  </si>
  <si>
    <t>Bank is a subsidiary with a non-EU parent (EU only)</t>
  </si>
  <si>
    <t>Reporting currency (ISO code)</t>
  </si>
  <si>
    <t>retail clients</t>
  </si>
  <si>
    <t>non-financial corporates</t>
  </si>
  <si>
    <t>Total retail deposits; of which:</t>
  </si>
  <si>
    <t>A) General bank data</t>
  </si>
  <si>
    <t>Other Pillar 1 requirements for market risk</t>
  </si>
  <si>
    <t>Leverage ratio</t>
  </si>
  <si>
    <t>Amount</t>
  </si>
  <si>
    <t>52, 53</t>
  </si>
  <si>
    <t>62–64</t>
  </si>
  <si>
    <t>55, 56</t>
  </si>
  <si>
    <t>67–68</t>
  </si>
  <si>
    <t>[%]</t>
  </si>
  <si>
    <t>Advanced CVA risk capital charge</t>
  </si>
  <si>
    <t>Standardised CVA risk capital charge</t>
  </si>
  <si>
    <t>Basel II/III standardised approach</t>
  </si>
  <si>
    <t>Basel II/III FIRB approach</t>
  </si>
  <si>
    <t>Basel II/III AIRB approach</t>
  </si>
  <si>
    <t>LCR</t>
  </si>
  <si>
    <t>Weight</t>
  </si>
  <si>
    <t>Weighted amount</t>
  </si>
  <si>
    <t>part of central bank reserves that can be drawn in times of stress</t>
  </si>
  <si>
    <t>For non-0% risk-weighted sovereigns:</t>
  </si>
  <si>
    <t>sovereign or central bank debt securities issued in domestic currencies by the sovereign or central bank in the country in which the liquidity risk is being taken or in the bank’s home country</t>
  </si>
  <si>
    <t>Total stock of Level 1 assets</t>
  </si>
  <si>
    <t>Total run-off on other contingent funding obligations</t>
  </si>
  <si>
    <t>Adjustment to stock of Level 1 assets</t>
  </si>
  <si>
    <t>Adjusted amount of Level 1 assets</t>
  </si>
  <si>
    <t>Market value</t>
  </si>
  <si>
    <t>Securities with a 20% risk weight:</t>
  </si>
  <si>
    <t>issued or guaranteed by MDBs</t>
  </si>
  <si>
    <t>Non-financial corporate bonds, rated AA- or better</t>
  </si>
  <si>
    <t>Covered bonds, not self-issued, rated AA- or better</t>
  </si>
  <si>
    <t>Loss of funding on ABS and other structured financing instruments issued by the bank, excluding covered bonds</t>
  </si>
  <si>
    <t xml:space="preserve">Loss of funding on ABCP, conduits, SIVs and other such financing activities; of which: </t>
  </si>
  <si>
    <t>debt maturing ≤ 30 days</t>
  </si>
  <si>
    <t>Collateral swaps maturing ≤ 30 days:</t>
  </si>
  <si>
    <t>provided by members of the institutional networks of cooperative (or otherwise named) banks</t>
  </si>
  <si>
    <t>Level 1 assets</t>
  </si>
  <si>
    <t>Level 2 assets</t>
  </si>
  <si>
    <t>Total usage of alternative treatment (post-haircut) before applying the cap</t>
  </si>
  <si>
    <t>Cap on usage of alternative treatment</t>
  </si>
  <si>
    <t>Total usage of alternative treatment (post-haircut) after applying the cap</t>
  </si>
  <si>
    <t>Total stock of high quality liquid assets plus usage of alternative treatment</t>
  </si>
  <si>
    <t xml:space="preserve"> </t>
  </si>
  <si>
    <t>Insured deposits; of which:</t>
  </si>
  <si>
    <t>in non-transactional and non-relationship accounts</t>
  </si>
  <si>
    <t>Uninsured deposits</t>
  </si>
  <si>
    <t>Additional deposit categories with higher run-off rates as specified by supervisor</t>
  </si>
  <si>
    <t>Category 1</t>
  </si>
  <si>
    <t>Category 2</t>
  </si>
  <si>
    <t>Category 3</t>
  </si>
  <si>
    <t>With a supervisory run-off rate</t>
  </si>
  <si>
    <t>Without a supervisory run-off rate</t>
  </si>
  <si>
    <t>Total retail deposits run-off</t>
  </si>
  <si>
    <t xml:space="preserve">Total unsecured wholesale funding </t>
  </si>
  <si>
    <t>Total funding provided by small business customers; of which:</t>
  </si>
  <si>
    <t>Total operational deposits; of which:</t>
  </si>
  <si>
    <t>provided by non-financial corporates</t>
  </si>
  <si>
    <t>uninsured</t>
  </si>
  <si>
    <t>provided by banks</t>
  </si>
  <si>
    <t>≥1 year</t>
  </si>
  <si>
    <t>Derivatives, SFTs</t>
  </si>
  <si>
    <t>Other sovereign exposures</t>
  </si>
  <si>
    <t>Mutual / cooperative</t>
  </si>
  <si>
    <t>Joint stock company</t>
  </si>
  <si>
    <t>Other non-joint stock company</t>
  </si>
  <si>
    <t xml:space="preserve">Total Common Equity Tier 1 capital of the subsidiary net of deductions (if the subsidiary is not a bank, as defined in footnote 23 of the rules text, zero must be entered into this cell with the common equity to be included in the Total Tier 1 cell below); </t>
  </si>
  <si>
    <t>Total Tier 1 (CET1 + AT1) of the subsidiary net of deductions</t>
  </si>
  <si>
    <t>Total capital (CET1 + AT1 + T2) of the subsidiary net of deductions</t>
  </si>
  <si>
    <t>Additional Tier 1 instruments issued by parent company of group (and any related surplus), including any compliant capital issued via SPVs as determined by paragraph 65 of Basel III</t>
  </si>
  <si>
    <t>Tier 2 capital instruments issued by parent company of group (and any related surplus), including any compliant capital issued via SPVs as determined by paragraph 65 of Basel III</t>
  </si>
  <si>
    <t>Prior to regulatory adjustments</t>
  </si>
  <si>
    <t xml:space="preserve">Non-contractual obligations, such as: </t>
  </si>
  <si>
    <t>Managed funds</t>
  </si>
  <si>
    <t>provided by other banks</t>
  </si>
  <si>
    <t>Additional balances required to be installed in central bank reserves</t>
  </si>
  <si>
    <t>Total unsecured wholesale funding run-off</t>
  </si>
  <si>
    <t>Amount received</t>
  </si>
  <si>
    <t>Market value of extended collateral</t>
  </si>
  <si>
    <t>Total secured wholesale funding run-off</t>
  </si>
  <si>
    <t>Increased liquidity needs related to the potential for valuation changes on posted collateral securing derivative and other transactions:</t>
  </si>
  <si>
    <t>with embedded options in financing arrangements</t>
  </si>
  <si>
    <t>other potential loss of such funding</t>
  </si>
  <si>
    <t>B) Current capital applying…</t>
  </si>
  <si>
    <t>Coins and banknotes</t>
  </si>
  <si>
    <t>Total central bank reserves; of which:</t>
  </si>
  <si>
    <t>issued or guaranteed by BIS, IMF, ECB and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</si>
  <si>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</si>
  <si>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Total stock of Level 2A assets</t>
  </si>
  <si>
    <t>Adjustment to stock of Level 2A assets</t>
  </si>
  <si>
    <t>Adjusted amount of Level 2A assets</t>
  </si>
  <si>
    <t>Residential mortgage-backed securities (RMBS), rated AA or better</t>
  </si>
  <si>
    <t>54 (a)</t>
  </si>
  <si>
    <t xml:space="preserve">Non-financial corporate bonds, rated BBB- to A+ </t>
  </si>
  <si>
    <t>54 (b)</t>
  </si>
  <si>
    <t xml:space="preserve">Non-financial common equity shares </t>
  </si>
  <si>
    <t xml:space="preserve">54 (c) </t>
  </si>
  <si>
    <t>Total stock of Level 2B RMBS assets</t>
  </si>
  <si>
    <t>Adjustment to stock of Level 2B RMBS assets</t>
  </si>
  <si>
    <t>Annex 1</t>
  </si>
  <si>
    <t>Adjusted amount of Level 2B RMBS assets</t>
  </si>
  <si>
    <t>Total stock of Level 2B non-RMBS assets</t>
  </si>
  <si>
    <t xml:space="preserve">54 (b),(c) </t>
  </si>
  <si>
    <t>Adjustment to stock of Level 2B non-RMBS assets</t>
  </si>
  <si>
    <t>Adjusted amount of Level 2B non-RMBS assets</t>
  </si>
  <si>
    <t>Adjusted amount of Level 2B (RMBS and non-RMBS) assets</t>
  </si>
  <si>
    <t>47, Annex 1</t>
  </si>
  <si>
    <t>51, Annex 1</t>
  </si>
  <si>
    <t>Level 2A</t>
  </si>
  <si>
    <t>Level 2B
RMBS</t>
  </si>
  <si>
    <t>Level 2B
non-RMBS</t>
  </si>
  <si>
    <t>Assets excluded from the stock of high quality liquid assets due to operational restrictions</t>
  </si>
  <si>
    <t xml:space="preserve">Option 2 – Foreign currency HQLA; of which: </t>
  </si>
  <si>
    <t>50 (a)</t>
  </si>
  <si>
    <t xml:space="preserve">50 (c) </t>
  </si>
  <si>
    <t xml:space="preserve">50 (d) </t>
  </si>
  <si>
    <t xml:space="preserve">50 (e) </t>
  </si>
  <si>
    <t>52 (a)</t>
  </si>
  <si>
    <t>52 (b)</t>
  </si>
  <si>
    <t>52 (a),(b)</t>
  </si>
  <si>
    <t>36-37, 171-172</t>
  </si>
  <si>
    <t>31-34, 38-40</t>
  </si>
  <si>
    <t>eligible for a 3% run-off rate; of which:</t>
  </si>
  <si>
    <t>are in the reporting bank's home jurisdiction</t>
  </si>
  <si>
    <t>are not in the reporting bank's home jurisdiction</t>
  </si>
  <si>
    <t>eligible for a 5% run-off rate; of which:</t>
  </si>
  <si>
    <t>Term deposits (treated as having &gt;30 day remaining maturity); of which:</t>
  </si>
  <si>
    <t>85-111</t>
  </si>
  <si>
    <t>89-92</t>
  </si>
  <si>
    <t>89, 75-78</t>
  </si>
  <si>
    <t>89, 75, 78</t>
  </si>
  <si>
    <t>89, 78</t>
  </si>
  <si>
    <t>89, 75</t>
  </si>
  <si>
    <t>89, 79</t>
  </si>
  <si>
    <t>92, 82-84</t>
  </si>
  <si>
    <t>92, 84</t>
  </si>
  <si>
    <t>92, 82</t>
  </si>
  <si>
    <t>93-104</t>
  </si>
  <si>
    <t>93-103</t>
  </si>
  <si>
    <t>107-108</t>
  </si>
  <si>
    <t>in transactional accounts; of which:</t>
  </si>
  <si>
    <t>in non-transactional accounts with established relationships that make deposit withdrawal highly unlikely; of which:</t>
  </si>
  <si>
    <t>Term deposits (treated as having &gt;30 day maturity); of which:</t>
  </si>
  <si>
    <t>provided by non-financial corporates; of which:</t>
  </si>
  <si>
    <t>where entire amount is fully covered by an effective deposit insurance scheme</t>
  </si>
  <si>
    <t>where entire amount is not fully covered by an effective deposit insurance scheme</t>
  </si>
  <si>
    <t>provided by sovereigns, central banks, PSEs and MDBs; of which:</t>
  </si>
  <si>
    <t>excess balances in operational accounts that could be withdrawn and would leave enough funds to fulfil the clearing, custody and cash management activities</t>
  </si>
  <si>
    <t>114-115</t>
  </si>
  <si>
    <t>Backed by Level 1 assets; of which:</t>
  </si>
  <si>
    <t>Backed by Level 2A assets; of which:</t>
  </si>
  <si>
    <t>Backed by Level 2B RMBS assets; of which:</t>
  </si>
  <si>
    <t>Backed by Level 2B non-RMBS assets; of which:</t>
  </si>
  <si>
    <t>Backed by other assets</t>
  </si>
  <si>
    <t>Transactions backed by Level 2A assets; of which:</t>
  </si>
  <si>
    <t>Transactions backed by Level 2B RMBS assets; of which:</t>
  </si>
  <si>
    <t>Transactions backed by Level 2B non-RMBS assets; of which:</t>
  </si>
  <si>
    <t>Derivatives cash outflow</t>
  </si>
  <si>
    <t>Cash and Level 1 assets</t>
  </si>
  <si>
    <t>Increased liquidity needs related to excess non-segregated collateral held by the bank that could contractually be called at any time by the counterparty</t>
  </si>
  <si>
    <t>Increased liquidity needs related to contractually required collateral on transactions for which the counterparty has not yet demanded the collateral be posted</t>
  </si>
  <si>
    <t>Increased liquidity needs related to contracts that allow collateral substitution to non-HQLA assets</t>
  </si>
  <si>
    <t>Increased liquidity needs related to market valuation changes on derivative or other transactions</t>
  </si>
  <si>
    <t>Undrawn committed credit and liquidity facilities provided to banks subject to prudential supervision</t>
  </si>
  <si>
    <t>131 (d)</t>
  </si>
  <si>
    <t>Undrawn committed credit facilities provided to other FIs</t>
  </si>
  <si>
    <t xml:space="preserve">131 (e) </t>
  </si>
  <si>
    <t>Undrawn committed liquidity facilities provided to other FIs</t>
  </si>
  <si>
    <t>131 (f)</t>
  </si>
  <si>
    <t>Non-contractual obligations related to potential liquidity draws from joint ventures or minority investments in entities</t>
  </si>
  <si>
    <t>Trade finance-related obligations (including guarantees and letters of credit)</t>
  </si>
  <si>
    <t>Guarantees and letters of credit unrelated to trade finance obligations</t>
  </si>
  <si>
    <t>Non contractual obligations where customer short positions are covered by other customers’ collateral</t>
  </si>
  <si>
    <t>Bank outright short positions covered by a collateralised securities financing transaction</t>
  </si>
  <si>
    <t>Other contractual cash outflows (including those related to unsecured collateral borrowings and uncovered short positions)</t>
  </si>
  <si>
    <t>138, 139</t>
  </si>
  <si>
    <t>141, 147</t>
  </si>
  <si>
    <t>116, 117</t>
  </si>
  <si>
    <t>131 (a)</t>
  </si>
  <si>
    <t>131 (b)</t>
  </si>
  <si>
    <t>131 (c)</t>
  </si>
  <si>
    <t>131 (g)</t>
  </si>
  <si>
    <t>Transactions backed by Level 2A assets</t>
  </si>
  <si>
    <t>145-146</t>
  </si>
  <si>
    <t>Margin lending backed by non-Level 1 or non-Level 2 collateral</t>
  </si>
  <si>
    <t>Transactions backed by Level 2B RMBS assets</t>
  </si>
  <si>
    <t>Transactions backed by Level 2B non-RMBS assets</t>
  </si>
  <si>
    <t>Derivatives cash inflow</t>
  </si>
  <si>
    <t>158, 159</t>
  </si>
  <si>
    <t>69, 144</t>
  </si>
  <si>
    <t>48, 113, 146, Annex 1</t>
  </si>
  <si>
    <t>Level 1 assets are lent and Level 2A assets are borrowed; of which:</t>
  </si>
  <si>
    <t>Level 1 assets are lent and Level 2B RMBS assets are borrowed; of which:</t>
  </si>
  <si>
    <t>Level 1 assets are lent and Level 2B non-RMBS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</si>
  <si>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</si>
  <si>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</si>
  <si>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</si>
  <si>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</si>
  <si>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</si>
  <si>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1 assets are borrowed; of which:</t>
  </si>
  <si>
    <t>Level 2B RMBS assets are lent and Level 2A assets are borrowed; of which:</t>
  </si>
  <si>
    <t>Level 2B RMBS assets are lent and Level 2B RMBS assets are borrowed; of which:</t>
  </si>
  <si>
    <t>Level 2B RMBS assets are lent and Level 2B non-RMBS assets are borrowed; of which:</t>
  </si>
  <si>
    <t>Level 2B RMBS assets are lent and other assets are borrowed; of which:</t>
  </si>
  <si>
    <t>Level 2B non-RMBS assets are lent and Level 1 assets are borrowed; of which:</t>
  </si>
  <si>
    <t>Level 2B non-RMBS assets are lent and Level 2A assets are borrowed; of which:</t>
  </si>
  <si>
    <t>Level 2B non-RMBS assets are lent and Level 2B RMBS assets are borrowed; of which:</t>
  </si>
  <si>
    <t>Level 2B non-RMBS assets are lent and Level 2B non-RMBS assets are borrowed; of which:</t>
  </si>
  <si>
    <t>Level 2B non-RMBS assets are lent and other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</si>
  <si>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</si>
  <si>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</si>
  <si>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</si>
  <si>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</si>
  <si>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</si>
  <si>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</si>
  <si>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</si>
  <si>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</si>
  <si>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</si>
  <si>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</si>
  <si>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2A assets are lent and other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</si>
  <si>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</si>
  <si>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</si>
  <si>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</si>
  <si>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</si>
  <si>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RMBS assets are lent and other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</si>
  <si>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</si>
  <si>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</si>
  <si>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</si>
  <si>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</si>
  <si>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Level 2B non-RMBS assets are lent and other assets are borrowed</t>
  </si>
  <si>
    <t>Other assets are lent and Level 2A assets are borrowed</t>
  </si>
  <si>
    <t>Other assets are lent and Level 2B RMBS assets are borrowed</t>
  </si>
  <si>
    <t>Other assets are lent and Level 2B non-RMBS assets are borrowed</t>
  </si>
  <si>
    <t>Adjustments to Level 2A assets due to collateral swaps</t>
  </si>
  <si>
    <t>Adjustments to Level 2B RMBS assets due to collateral swaps</t>
  </si>
  <si>
    <t>Adjustments to Level 2B non-RMBS assets due to collateral swaps</t>
  </si>
  <si>
    <t>issued or guaranteed by BIS, IMF, ECB or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</si>
  <si>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</si>
  <si>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Level 2A assets</t>
  </si>
  <si>
    <t>Level 2B assets</t>
  </si>
  <si>
    <t>RMBS, rated AA or better</t>
  </si>
  <si>
    <t>Non-financial corporate bonds, rated BBB- to A+</t>
  </si>
  <si>
    <t>Non-financial common equity shares</t>
  </si>
  <si>
    <t xml:space="preserve">Option 2 – Foreign currency HQLA, of which: </t>
  </si>
  <si>
    <t>e) Treatment for jurisdictions with insufficient HQLA</t>
  </si>
  <si>
    <t>75, 78</t>
  </si>
  <si>
    <t>82-84</t>
  </si>
  <si>
    <t>Undrawn committed credit and liquidity facilities to other legal entities</t>
  </si>
  <si>
    <t>operational deposits</t>
  </si>
  <si>
    <t>all payments on other loans and deposits due in ≤ 30 days</t>
  </si>
  <si>
    <t>A) Stock of high quality liquid assets (HQLA)</t>
  </si>
  <si>
    <t>Paragraph nr in standards doc</t>
  </si>
  <si>
    <t>50 (b), footnote 13</t>
  </si>
  <si>
    <t>issued or guaranteed by PSEs</t>
  </si>
  <si>
    <t>Adjustment to stock of HQLA due to cap on Level 2B assets</t>
  </si>
  <si>
    <t>Adjustment to stock of HQLA due to cap on Level 2 assets</t>
  </si>
  <si>
    <t>Total stock of HQLA</t>
  </si>
  <si>
    <t>Assets held at the entity level, but excluded from the consolidated stock of HQLA</t>
  </si>
  <si>
    <t>Panel e) to be filled in in your jurisdiction:</t>
  </si>
  <si>
    <t>Option 3 – Additional use of Level 2 assets with a higher haircut</t>
  </si>
  <si>
    <t>f) Total stock of HQLA plus usage of alternative treatment</t>
  </si>
  <si>
    <t>Total stock of HQLA plus usage of alternative treatment</t>
  </si>
  <si>
    <t>105-109</t>
  </si>
  <si>
    <t>Of the non-operational deposits reported above, amounts that could be considered operational in nature but per the Basel III LCR standards have been excluded from receiving operational deposit treatment due to:</t>
  </si>
  <si>
    <t>99, footnote 42</t>
  </si>
  <si>
    <t>Transactions conducted with the bank's domestic central bank; of which:</t>
  </si>
  <si>
    <t>Transactions not conducted with the bank's domestic central bank and backed by Level 1 assets; of which:</t>
  </si>
  <si>
    <t>Transactions not conducted with the bank's domestic central bank and backed by Level 2A assets; of which:</t>
  </si>
  <si>
    <t>Transactions not conducted with the bank's domestic central bank and backed by Level 2B RMBS assets; of which:</t>
  </si>
  <si>
    <t>Counterparties are domestic sovereigns, MDBs or domestic PSEs with a 20% risk weight; of which:</t>
  </si>
  <si>
    <t>Counterparties are not domestic sovereigns, MDBs or domestic PSEs with a 20% risk weight; of which:</t>
  </si>
  <si>
    <t>Transactions not conducted with the bank's domestic central bank and backed by other assets (non-HQLA); of which:</t>
  </si>
  <si>
    <t>Counterparties are domestic sovereigns, MDBs or domestic PSEs with a 20% risk weight</t>
  </si>
  <si>
    <t>Counterparties are not domestic sovereigns, MDBs or domestic PSEs with a 20% risk weight</t>
  </si>
  <si>
    <t>Increased liquidity needs related to downgrade triggers in derviatives and other financing transactions</t>
  </si>
  <si>
    <t>Transactions not conducted with the bank's domestic central bank and backed by Level 2B non-RMBS assets; of which:</t>
  </si>
  <si>
    <t>insured, with a 3% run-off rate</t>
  </si>
  <si>
    <t>insured, with a 5% run-off rate</t>
  </si>
  <si>
    <t>Internal models approach, specific risk surcharge (2011 only)</t>
  </si>
  <si>
    <t>G-SIB surcharge</t>
  </si>
  <si>
    <t>Trade exposures (including client cleared trades)</t>
  </si>
  <si>
    <t>Default fund exposures</t>
  </si>
  <si>
    <t>Qualifying central counterparties; of which:</t>
  </si>
  <si>
    <t>Unconditionally revocable "uncommitted" liquidity facilities</t>
  </si>
  <si>
    <t>Unconditionally revocable "uncommitted" credit facilities</t>
  </si>
  <si>
    <t>Partial use</t>
  </si>
  <si>
    <t>Domestic surcharges, total capital</t>
  </si>
  <si>
    <t>Domestic surcharges, Tier 1 capital</t>
  </si>
  <si>
    <t>Domestic surcharges, CET1 capital</t>
  </si>
  <si>
    <t>Use LCR data</t>
  </si>
  <si>
    <t>Use NSFR data</t>
  </si>
  <si>
    <t>Counterparty credit risk exposure</t>
  </si>
  <si>
    <t>19−28</t>
  </si>
  <si>
    <t>Memo item: SFT exposures to QCCPs from client-cleared transactions</t>
  </si>
  <si>
    <t>36, 37</t>
  </si>
  <si>
    <t>Potential future exposure (current exposure method; apply regulatory netting)</t>
  </si>
  <si>
    <t>F) Calculation of the leverage ratio</t>
  </si>
  <si>
    <t>8, 9</t>
  </si>
  <si>
    <t>Data complete</t>
  </si>
  <si>
    <t>Total exposure data complete</t>
  </si>
  <si>
    <t>F</t>
  </si>
  <si>
    <t>LR framework para ref</t>
  </si>
  <si>
    <t>Gross value (assuming no netting or CRM)</t>
  </si>
  <si>
    <t xml:space="preserve">Capped notional amount </t>
  </si>
  <si>
    <t>Capped notional amount (same reference name)</t>
  </si>
  <si>
    <t>Capped notional amount (same reference name with no maturity mismatch)</t>
  </si>
  <si>
    <t>Adjusted gross SFT assets</t>
  </si>
  <si>
    <t>USD</t>
  </si>
  <si>
    <t>EUR</t>
  </si>
  <si>
    <t>GBP</t>
  </si>
  <si>
    <t>IDR</t>
  </si>
  <si>
    <t>Rollout</t>
  </si>
  <si>
    <t>Vendor model/other external information</t>
  </si>
  <si>
    <t>Historical data</t>
  </si>
  <si>
    <t>3) Accounting information</t>
  </si>
  <si>
    <t>Risk class</t>
  </si>
  <si>
    <t>Approval status</t>
  </si>
  <si>
    <t>Regulatory</t>
  </si>
  <si>
    <t>Management</t>
  </si>
  <si>
    <t>Commodity</t>
  </si>
  <si>
    <t xml:space="preserve">b) Level 2A assets
 </t>
  </si>
  <si>
    <t xml:space="preserve">c) Level 2B assets
</t>
  </si>
  <si>
    <t xml:space="preserve">d) Total stock of HQLA
</t>
  </si>
  <si>
    <t xml:space="preserve">a) Retail deposit run-off
</t>
  </si>
  <si>
    <t xml:space="preserve">b) Unsecured wholesale funding run-off
</t>
  </si>
  <si>
    <t xml:space="preserve">c) Secured funding run-off
</t>
  </si>
  <si>
    <t xml:space="preserve">a) Secured lending including reverse repo and securities borrowing
</t>
  </si>
  <si>
    <t xml:space="preserve">d) Additional requirements
</t>
  </si>
  <si>
    <t>A) Available stable funding</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</si>
  <si>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</si>
  <si>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</si>
  <si>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</si>
  <si>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</si>
  <si>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</si>
  <si>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Unsecured funding from central banks</t>
  </si>
  <si>
    <t>Unsecured funding from other legal entities (including financial corporates and financial institutions)</t>
  </si>
  <si>
    <t>Other deposits from members of an institutional network of cooperative banks</t>
  </si>
  <si>
    <t>Secured borrowings and liabilities (including secured term deposits); of which are from:</t>
  </si>
  <si>
    <t>Retail and small business customers</t>
  </si>
  <si>
    <t>Other legal entities (including financial corporates and financial institutions)</t>
  </si>
  <si>
    <t>Other liability and equity categories</t>
  </si>
  <si>
    <t>Total ASF</t>
  </si>
  <si>
    <t>B) Required stable funding</t>
  </si>
  <si>
    <t>1) On balance-sheet items</t>
  </si>
  <si>
    <t>RSF Factor btwn 6 months and 1 year</t>
  </si>
  <si>
    <t>RSF Factor ≥ 1 year</t>
  </si>
  <si>
    <t>Calculated RSF btwn 6 months and 1 year</t>
  </si>
  <si>
    <t>Calculated RSF ≥ 1 year</t>
  </si>
  <si>
    <t>Calculated Total RSF</t>
  </si>
  <si>
    <t>Total central bank reserves</t>
  </si>
  <si>
    <t>Unencumbered</t>
  </si>
  <si>
    <t>Securities held where the institution has an offsetting reverse repurchase transaction when the security on each transaction has the same unique identifier (eg ISIN number or CUSIP) and such securities are reported on the balance sheet of the reporting instutions</t>
  </si>
  <si>
    <t>2) Off balance-sheet items</t>
  </si>
  <si>
    <t>Irrevocable or conditionally revocable liquidity facilities</t>
  </si>
  <si>
    <t>Irrevocable or conditionally revocable credit facilities</t>
  </si>
  <si>
    <t>Total RSF</t>
  </si>
  <si>
    <t>C) NSFR</t>
  </si>
  <si>
    <t>Net stable funding ratio</t>
  </si>
  <si>
    <t>"Stable" (as defined in the LCR) demand and/or term deposits from retail and small business customers (as defined in the LCR)</t>
  </si>
  <si>
    <t>Statutory minimum deposits from members of an institutional network of cooperative (or otherwise named) banks</t>
  </si>
  <si>
    <t>All other liabilities and equity categories not included above</t>
  </si>
  <si>
    <t>ASF factor</t>
  </si>
  <si>
    <t>Calculated ASF</t>
  </si>
  <si>
    <t>&lt; 6 months</t>
  </si>
  <si>
    <t>≥ 1 year</t>
  </si>
  <si>
    <t>RSF factor</t>
  </si>
  <si>
    <t>Calculated RSF</t>
  </si>
  <si>
    <t xml:space="preserve">RSF 
factor </t>
  </si>
  <si>
    <t>Calculated total RSF</t>
  </si>
  <si>
    <t>Deferred tax liabilities (DTLs)</t>
  </si>
  <si>
    <t>Minority interest</t>
  </si>
  <si>
    <t>Slotting criteria</t>
  </si>
  <si>
    <t>External rating</t>
  </si>
  <si>
    <t>Interest rate</t>
  </si>
  <si>
    <t>Credit spread</t>
  </si>
  <si>
    <t>Foreign exchange</t>
  </si>
  <si>
    <t>Answer</t>
  </si>
  <si>
    <t>19-21, 23, 28</t>
  </si>
  <si>
    <t>Replacement cost associated with all derivatives transactions (gross of variation margin)</t>
  </si>
  <si>
    <t>25, 26</t>
  </si>
  <si>
    <t>Eligible cash variation margin offset against derivatives market values</t>
  </si>
  <si>
    <t>Exempted CCP leg of client-cleared trade exposures (replacement costs)</t>
  </si>
  <si>
    <t>33−37</t>
  </si>
  <si>
    <t>SFT agent transactions eligible for the exceptional treatment</t>
  </si>
  <si>
    <t>Accounting other assets</t>
  </si>
  <si>
    <t>Adjustments to accounting 'other assets' for the purposes of the leverage ratio</t>
  </si>
  <si>
    <t xml:space="preserve">   Grossed-up assets for derivatives collateral provided</t>
  </si>
  <si>
    <t xml:space="preserve">   Exempted CCP leg of client-cleared trade exposures (initial margin)</t>
  </si>
  <si>
    <t xml:space="preserve">   Securities received in a SFT that are recognised as an asset</t>
  </si>
  <si>
    <t xml:space="preserve">   Adjustments for SFT sales accounting transactions</t>
  </si>
  <si>
    <t xml:space="preserve">   Fiduciary assets</t>
  </si>
  <si>
    <t xml:space="preserve">   Credit derivatives (protection sold)</t>
  </si>
  <si>
    <t xml:space="preserve">   Credit derivatives (protection bought)</t>
  </si>
  <si>
    <t xml:space="preserve">   Financial derivatives</t>
  </si>
  <si>
    <t>19−22, 28</t>
  </si>
  <si>
    <t>Potential future exposure for derivatives entering the leverage ratio exposure measure</t>
  </si>
  <si>
    <t>Exempted CCP leg of client-cleared trade exposures (potential future exposure)</t>
  </si>
  <si>
    <t>E) Adjusted notional exposures for written credit derivatives</t>
  </si>
  <si>
    <t>≥ 6 months to &lt; 1 year</t>
  </si>
  <si>
    <t>Tier 1 and Tier 2 capital (Basel III 2022), before the application of capital deductions and excluding the proportion of Tier 2 instruments with residual maturity of less than one year</t>
  </si>
  <si>
    <t>Of which is non-deposit unsecured funding</t>
  </si>
  <si>
    <t>Unsecured funding from sovereigns/PSEs/MDBs/NDBs</t>
  </si>
  <si>
    <t>Sovereigns/PSEs/MDBs/NDBs</t>
  </si>
  <si>
    <t>Defaulted securities and non-performing loans</t>
  </si>
  <si>
    <t>All other assets not included in above categories that qualify for 100% treatment</t>
  </si>
  <si>
    <t>Capital instruments not included above with an effective residual maturity of one year or more</t>
  </si>
  <si>
    <t>Exposure amounts resulting from the additional treatment for credit derivatives</t>
  </si>
  <si>
    <t>Unconditionally revocable liquidity facilities</t>
  </si>
  <si>
    <t>Unconditionally revocable credit facilities</t>
  </si>
  <si>
    <t>Check: positive VaR capital charge requires VaR which is positive but smaller than the capital charge</t>
  </si>
  <si>
    <t>Check: Tier 2 adjustments should be ≤ additional Tier 2 prior to adjustments</t>
  </si>
  <si>
    <t>Check: Tier 1 adjustments should be ≤ additional Tier 1 prior to adjustments</t>
  </si>
  <si>
    <t>National rules as at reporting date</t>
  </si>
  <si>
    <t>Check: sum of other assets of which items ≤ other assets</t>
  </si>
  <si>
    <t>Check: unconditionally cancellable commitments should not exceed off-balance items with a 0% CCF</t>
  </si>
  <si>
    <t>Check: total equals total accounting values in panel A</t>
  </si>
  <si>
    <t>Check: total equals total gross values in panel A</t>
  </si>
  <si>
    <t>Check: credit derivatives (protection sold) should be the same as or less than that in panel B</t>
  </si>
  <si>
    <t>Check: credit derivatives (protection bought) should be the same as or less than that in panel B</t>
  </si>
  <si>
    <t>Check: credit derivatives purchased are consistently filled-in (see reporting instructions for more details)</t>
  </si>
  <si>
    <t>Other SFTs</t>
  </si>
  <si>
    <t>33-35</t>
  </si>
  <si>
    <t>29−31</t>
  </si>
  <si>
    <t>Question</t>
  </si>
  <si>
    <t>Closed from question: numerical answer</t>
  </si>
  <si>
    <t>Overall capital requirements and actual capital ratios</t>
  </si>
  <si>
    <t>General interest rate risk</t>
  </si>
  <si>
    <t>Credit spread risk: non-securitisations</t>
  </si>
  <si>
    <t>Equity risk</t>
  </si>
  <si>
    <t>Commodity risk</t>
  </si>
  <si>
    <t>Foreign exchange risk</t>
  </si>
  <si>
    <t>Default risk: non-securitisations</t>
  </si>
  <si>
    <t>At the risk factor class level: interest rate risk</t>
  </si>
  <si>
    <t>At the risk factor class level: credit spread risk</t>
  </si>
  <si>
    <t>At the risk factor class level: equity risk</t>
  </si>
  <si>
    <t>At the risk factor class level: commodity risk</t>
  </si>
  <si>
    <t>At the risk factor class level: foreign exchange risk</t>
  </si>
  <si>
    <t>SES; of which:</t>
  </si>
  <si>
    <t>Interest rate non-modellable risk factors</t>
  </si>
  <si>
    <t>Credit spread non-modellable risk factors</t>
  </si>
  <si>
    <t>Equity non-modellable risk factors</t>
  </si>
  <si>
    <t>Commodity non-modellable risk factors</t>
  </si>
  <si>
    <t>Assumed rho parameter</t>
  </si>
  <si>
    <t>Internal models approach, default charge</t>
  </si>
  <si>
    <t>General information (to be completed by all banks)</t>
  </si>
  <si>
    <t>Unit</t>
  </si>
  <si>
    <t>One</t>
  </si>
  <si>
    <t>Thousands</t>
  </si>
  <si>
    <t>Millions</t>
  </si>
  <si>
    <t>FIRB</t>
  </si>
  <si>
    <t>AIRB</t>
  </si>
  <si>
    <t>PD/LGD</t>
  </si>
  <si>
    <t>Market-based</t>
  </si>
  <si>
    <t>Credit risk equity</t>
  </si>
  <si>
    <t>Credit risk</t>
  </si>
  <si>
    <t>Description (name internally used)</t>
  </si>
  <si>
    <t>Desk number</t>
  </si>
  <si>
    <t>Regulatory trading desk</t>
  </si>
  <si>
    <t>Domestic cash equity</t>
  </si>
  <si>
    <t>Domestic equity derivatives</t>
  </si>
  <si>
    <t>Quantitative equity strategies</t>
  </si>
  <si>
    <t>Foreign equities</t>
  </si>
  <si>
    <t>Emerging markets equities</t>
  </si>
  <si>
    <t>Domestic interest rates and derivatives</t>
  </si>
  <si>
    <t>International interest rates and derivatives</t>
  </si>
  <si>
    <t>Spot FX</t>
  </si>
  <si>
    <t>FX derivatives</t>
  </si>
  <si>
    <t>Domestic structured products</t>
  </si>
  <si>
    <t>Global structured products</t>
  </si>
  <si>
    <t>Distressed debt</t>
  </si>
  <si>
    <t>High grade credit</t>
  </si>
  <si>
    <t>High yield credit</t>
  </si>
  <si>
    <t>Syndicated loans</t>
  </si>
  <si>
    <t>Commodities – agricultural</t>
  </si>
  <si>
    <t>Commodities – energy</t>
  </si>
  <si>
    <t>Commodities – metals</t>
  </si>
  <si>
    <t>Special opportunities</t>
  </si>
  <si>
    <t>Strategic capital</t>
  </si>
  <si>
    <t>Quantitative strategies</t>
  </si>
  <si>
    <t>List of regulatory trading desk</t>
  </si>
  <si>
    <t>Commodities risk</t>
  </si>
  <si>
    <t>At the trading book level:</t>
  </si>
  <si>
    <t>Use trading book SBA data</t>
  </si>
  <si>
    <t>A) General interest rate risk (GIRR)</t>
  </si>
  <si>
    <t>Currency</t>
  </si>
  <si>
    <t>Kb</t>
  </si>
  <si>
    <t>∑WS2</t>
  </si>
  <si>
    <t>∑rho+</t>
  </si>
  <si>
    <t>∑rho-</t>
  </si>
  <si>
    <t>JPY</t>
  </si>
  <si>
    <t>AUD</t>
  </si>
  <si>
    <t>CHF</t>
  </si>
  <si>
    <t>CAD</t>
  </si>
  <si>
    <t>HKD</t>
  </si>
  <si>
    <t>SEK</t>
  </si>
  <si>
    <t>NZD</t>
  </si>
  <si>
    <t>KRW</t>
  </si>
  <si>
    <t>SGD</t>
  </si>
  <si>
    <t>MXN</t>
  </si>
  <si>
    <t>NOK</t>
  </si>
  <si>
    <t>ZAR</t>
  </si>
  <si>
    <t>DKK</t>
  </si>
  <si>
    <t>ILS</t>
  </si>
  <si>
    <t>CNY</t>
  </si>
  <si>
    <t>RUB</t>
  </si>
  <si>
    <t>TRY</t>
  </si>
  <si>
    <t>BRI</t>
  </si>
  <si>
    <t>INR</t>
  </si>
  <si>
    <t>PLN</t>
  </si>
  <si>
    <t>TWD</t>
  </si>
  <si>
    <t>HUF</t>
  </si>
  <si>
    <t>MYR</t>
  </si>
  <si>
    <t>CZK</t>
  </si>
  <si>
    <t>THB</t>
  </si>
  <si>
    <t>CLP</t>
  </si>
  <si>
    <t>Others</t>
  </si>
  <si>
    <t>Credit quality</t>
  </si>
  <si>
    <t>Sector</t>
  </si>
  <si>
    <t>Residual</t>
  </si>
  <si>
    <t>Investment grade (IG)</t>
  </si>
  <si>
    <t>High yield (HY) and non-rated (NR)</t>
  </si>
  <si>
    <t>Technology, telecommunications</t>
  </si>
  <si>
    <t>C) Equity risk</t>
  </si>
  <si>
    <t>Region</t>
  </si>
  <si>
    <t>Size</t>
  </si>
  <si>
    <t>Large</t>
  </si>
  <si>
    <t>Small</t>
  </si>
  <si>
    <t>Telecommunications, industrials</t>
  </si>
  <si>
    <t>D) Commodity risk</t>
  </si>
  <si>
    <t>Coal</t>
  </si>
  <si>
    <t>Electricity</t>
  </si>
  <si>
    <t>Freight</t>
  </si>
  <si>
    <t>Metals</t>
  </si>
  <si>
    <t>Crude oil</t>
  </si>
  <si>
    <t>Natural gas</t>
  </si>
  <si>
    <t>Precious metals (incl gold)</t>
  </si>
  <si>
    <t>Grains &amp; oilseed</t>
  </si>
  <si>
    <t>Livestock &amp; dairy</t>
  </si>
  <si>
    <t>Softs and other agriculturals</t>
  </si>
  <si>
    <t>E) Foreign exchange risk</t>
  </si>
  <si>
    <t xml:space="preserve">Corporate </t>
  </si>
  <si>
    <t xml:space="preserve">Sovereign </t>
  </si>
  <si>
    <t>Equity and non-senior debt instruments</t>
  </si>
  <si>
    <t>Municipalities and local authorities</t>
  </si>
  <si>
    <t>Senior debt instruments</t>
  </si>
  <si>
    <t>AAA</t>
  </si>
  <si>
    <t>AA</t>
  </si>
  <si>
    <t>BBB</t>
  </si>
  <si>
    <t>BB</t>
  </si>
  <si>
    <t>CCC</t>
  </si>
  <si>
    <t>Unrated</t>
  </si>
  <si>
    <t>Defaulted</t>
  </si>
  <si>
    <t>Total default risk capital charge (non-securitisations)</t>
  </si>
  <si>
    <t>Long</t>
  </si>
  <si>
    <t>Short</t>
  </si>
  <si>
    <t>JTD amount under each category</t>
  </si>
  <si>
    <t>Same name</t>
  </si>
  <si>
    <t>Different names</t>
  </si>
  <si>
    <t>Net JTD amount</t>
  </si>
  <si>
    <t>WtS</t>
  </si>
  <si>
    <t>Sovereign or central bank debt securities, rated BBB- to BBB+</t>
  </si>
  <si>
    <t>BCBS FAQ 3(a)</t>
  </si>
  <si>
    <t>Bucket no</t>
  </si>
  <si>
    <t>C) Quantitative information about deviations from the presumption list</t>
  </si>
  <si>
    <t>Market value (assigned to trading book)</t>
  </si>
  <si>
    <t>Market value (assigned to banking book)</t>
  </si>
  <si>
    <t>net</t>
  </si>
  <si>
    <t>positive</t>
  </si>
  <si>
    <t>negative</t>
  </si>
  <si>
    <t>Instruments according to…</t>
  </si>
  <si>
    <t>Data validation only</t>
  </si>
  <si>
    <t>Exposure value when applying the Original Exposure Method</t>
  </si>
  <si>
    <t>Check: notional ≥ OEM value</t>
  </si>
  <si>
    <t>H</t>
  </si>
  <si>
    <r>
      <t xml:space="preserve">PSEs </t>
    </r>
    <r>
      <rPr>
        <b/>
        <sz val="10"/>
        <rFont val="Segoe UI"/>
        <family val="2"/>
      </rPr>
      <t>not</t>
    </r>
    <r>
      <rPr>
        <sz val="10"/>
        <rFont val="Segoe UI"/>
        <family val="2"/>
      </rPr>
      <t xml:space="preserve"> guaranteed by central government but treated as a sovereign under paragraph 229 of the Basel II framework</t>
    </r>
  </si>
  <si>
    <r>
      <t xml:space="preserve">Of which collateral is </t>
    </r>
    <r>
      <rPr>
        <b/>
        <sz val="10"/>
        <color indexed="8"/>
        <rFont val="Segoe UI"/>
        <family val="2"/>
      </rPr>
      <t>not re-used</t>
    </r>
    <r>
      <rPr>
        <sz val="10"/>
        <color indexed="8"/>
        <rFont val="Segoe UI"/>
        <family val="2"/>
      </rPr>
      <t xml:space="preserve"> (ie is not rehypothecated) to cover the reporting institution's outright short positions</t>
    </r>
  </si>
  <si>
    <r>
      <t xml:space="preserve">Of which collateral </t>
    </r>
    <r>
      <rPr>
        <b/>
        <sz val="10"/>
        <color indexed="8"/>
        <rFont val="Segoe UI"/>
        <family val="2"/>
      </rPr>
      <t>is re-used</t>
    </r>
    <r>
      <rPr>
        <sz val="10"/>
        <color indexed="8"/>
        <rFont val="Segoe UI"/>
        <family val="2"/>
      </rPr>
      <t xml:space="preserve"> (ie is rehypothecated) in transactions to cover the reporting insitution's outright short positions </t>
    </r>
  </si>
  <si>
    <r>
      <t xml:space="preserve">Of which the borrowed assets </t>
    </r>
    <r>
      <rPr>
        <b/>
        <sz val="10"/>
        <color indexed="8"/>
        <rFont val="Segoe UI"/>
        <family val="2"/>
      </rPr>
      <t>are not re-used</t>
    </r>
    <r>
      <rPr>
        <sz val="10"/>
        <color indexed="8"/>
        <rFont val="Segoe UI"/>
        <family val="2"/>
      </rPr>
      <t xml:space="preserve"> (ie are not rehypothecated) to cover short positions </t>
    </r>
  </si>
  <si>
    <r>
      <t xml:space="preserve">Of which the borrowed assets </t>
    </r>
    <r>
      <rPr>
        <b/>
        <sz val="10"/>
        <color indexed="8"/>
        <rFont val="Segoe UI"/>
        <family val="2"/>
      </rPr>
      <t>are re-used</t>
    </r>
    <r>
      <rPr>
        <sz val="10"/>
        <color indexed="8"/>
        <rFont val="Segoe UI"/>
        <family val="2"/>
      </rPr>
      <t xml:space="preserve"> (ie are rehypothecated) in transactions to cover short positions</t>
    </r>
  </si>
  <si>
    <t>Definition of capital</t>
  </si>
  <si>
    <t>A) Provisions and expected losses</t>
  </si>
  <si>
    <t>Total gross provisions eligible for inclusion in the adjustment to capital in respect of the difference between expected loss and provisions (non-defaulted assets or combined)</t>
  </si>
  <si>
    <t>Total expected loss eligible for inclusion in the adjustment to capital in respect of the difference between expected loss and provisions (non-defaulted assets or combined)</t>
  </si>
  <si>
    <t>EU</t>
  </si>
  <si>
    <t>Total amount with respect to provisions to be included in Tier 2 capital</t>
  </si>
  <si>
    <t>B) Common Equity Tier 1 capital</t>
  </si>
  <si>
    <t>1) Eligible Common Equity Tier 1 capital held</t>
  </si>
  <si>
    <t>2022 national impl.</t>
  </si>
  <si>
    <r>
      <t>Paid in capital</t>
    </r>
    <r>
      <rPr>
        <sz val="10"/>
        <rFont val="Segoe UI"/>
        <family val="2"/>
      </rPr>
      <t xml:space="preserve">
This should be equal to the sum of common stock (and </t>
    </r>
    <r>
      <rPr>
        <b/>
        <sz val="10"/>
        <rFont val="Segoe UI"/>
        <family val="2"/>
      </rPr>
      <t>related</t>
    </r>
    <r>
      <rPr>
        <sz val="10"/>
        <rFont val="Segoe UI"/>
        <family val="2"/>
      </rPr>
      <t xml:space="preserve"> surplus only) and other instruments for non joint stock companies, both of which must meet the common stock critieria. This should be net of treasury stock and other investments in own shares to the extent that these are already derecognised on the balance sheet under the relevant accounting standards. Other paid in capital elements must be excluded. All minority interest must be excluded.</t>
    </r>
  </si>
  <si>
    <r>
      <t>Retained earnings (</t>
    </r>
    <r>
      <rPr>
        <sz val="10"/>
        <rFont val="Segoe UI"/>
        <family val="2"/>
      </rPr>
      <t>full amount prior to the application of all regulatory adjustments)</t>
    </r>
  </si>
  <si>
    <r>
      <t>Accumulated other comprehensive income (and other reserves) (</t>
    </r>
    <r>
      <rPr>
        <sz val="10"/>
        <rFont val="Segoe UI"/>
        <family val="2"/>
      </rPr>
      <t>full amount prior to the application of all filters and deductions)</t>
    </r>
  </si>
  <si>
    <t>Total minority interest given recognition in Common Equity Tier 1 capital</t>
  </si>
  <si>
    <t>2) Regulatory adjustments to Common Equity Tier 1 capital</t>
  </si>
  <si>
    <t>Deduction for goodwill net of related tax liability</t>
  </si>
  <si>
    <t>Deduction for intangibles (excluding goodwill and mortgage servicing rights) net of related tax liability</t>
  </si>
  <si>
    <t>Deduction for deferred tax assets arising from carryforwards of unused tax losses, unused tax credits and all other (net of pro rata share of any DTLs)</t>
  </si>
  <si>
    <t>Deduction for investments in own shares (excluding amounts already derecognised under the relevant accounting standards)</t>
  </si>
  <si>
    <t>Deduction for reciprocal cross holdings of common equity</t>
  </si>
  <si>
    <t>Deduction for shortfall of provisions to expeced losses (gross of any tax adjustement)</t>
  </si>
  <si>
    <t>71–72</t>
  </si>
  <si>
    <t>Cash flow hedge reserve to be deducted from (or added to if negative) Common Equity Tier 1 capital</t>
  </si>
  <si>
    <t>Total cumulative net gains and (losses) in equity due to changes in the fair value of liabilities that are due to a change in the bank's own credit risk 
Amount to be deducted from (or added to if negative) capital (if gain report as positive; if loss report as negative)</t>
  </si>
  <si>
    <t>76–77</t>
  </si>
  <si>
    <t>Deduction for defined benefit pension fund assets</t>
  </si>
  <si>
    <t>Deduction for securitisation gain on sale (expected future margin income) as set out in paragraph 562 of the Basel II framework</t>
  </si>
  <si>
    <t>Deductions for prudent valuation</t>
  </si>
  <si>
    <t>Other CET1 deductions</t>
  </si>
  <si>
    <t>80–83</t>
  </si>
  <si>
    <r>
      <t xml:space="preserve">Deduction for investments in the capital of banking, financial and insurance entities that are outside the scope of regulatory consolidation and where the bank </t>
    </r>
    <r>
      <rPr>
        <sz val="10"/>
        <color rgb="FFAA322F"/>
        <rFont val="Segoe UI"/>
        <family val="2"/>
      </rPr>
      <t>does not</t>
    </r>
    <r>
      <rPr>
        <sz val="10"/>
        <rFont val="Segoe UI"/>
        <family val="2"/>
      </rPr>
      <t xml:space="preserve"> own more than 10% of the issued common share capital (excluding amounts held for underwriting purposes only if held for 5 working days or less)</t>
    </r>
  </si>
  <si>
    <t>84–86</t>
  </si>
  <si>
    <t>Deduction for significant investments in the capital of banking, financial and insurance entities that are outside the scope of regulatory consolidation (ie where the bank owns more than 10% of the issued common share capital or where the entity is an affiliate), excluding amounts held for underwriting purposes only if held for 5 working days or less</t>
  </si>
  <si>
    <t>Deduction for mortgage servicing rights</t>
  </si>
  <si>
    <t>Deduction for deferred tax assets due to temporary differences (amount above 10% threshold)</t>
  </si>
  <si>
    <t>Aggregate of items subject to the 15% limit (significant investments in financial institutions, mortgage servicing rights and DTAs that arise from temporary differences)</t>
  </si>
  <si>
    <t>Total regulatory adjustments to Common Equity Tier 1 capital</t>
  </si>
  <si>
    <t>Common Equity Tier 1 capital net of regulatory adjustments</t>
  </si>
  <si>
    <t>C) Additional Tier 1 capital</t>
  </si>
  <si>
    <t>1) Eligible additional Tier 1 capital held</t>
  </si>
  <si>
    <t>2) Regulatory adjustments to additional Tier 1 capital</t>
  </si>
  <si>
    <t>Deduction for reciprocal cross holdings of Tier 2 capital</t>
  </si>
  <si>
    <t>Other deductions from additional Tier 1 capital</t>
  </si>
  <si>
    <t>Additional Tier 1 capital net of regulatory adjustments</t>
  </si>
  <si>
    <t>D) Tier 2 capital</t>
  </si>
  <si>
    <t>1) Eligible Tier 2 capital held</t>
  </si>
  <si>
    <t>Instruments that meet the Tier 2 criteria issued by subsidiaries to third parties that are given recogntion in Tier 2 capital</t>
  </si>
  <si>
    <t>Total Tier 2 capital prior to regulatory adjustments</t>
  </si>
  <si>
    <t>2) Regulatory adjustments to Tier 2 capital</t>
  </si>
  <si>
    <t>Deduction for reciprocal cross holdings of additional Tier 1 capital</t>
  </si>
  <si>
    <t>Other deductions from Tier 2 capital</t>
  </si>
  <si>
    <t>Total regulatory adjustments to Tier 2 capital; of which</t>
  </si>
  <si>
    <t>Regulatory adjustments actually made to Tier 2 capital</t>
  </si>
  <si>
    <t>Tier 2 capital net of regulatory adjustments</t>
  </si>
  <si>
    <t>2022 Basel III pure</t>
  </si>
  <si>
    <r>
      <t xml:space="preserve">Total risk-weighted assets (Basel II/III banks: </t>
    </r>
    <r>
      <rPr>
        <b/>
        <sz val="10"/>
        <rFont val="Segoe UI"/>
        <family val="2"/>
      </rPr>
      <t>before</t>
    </r>
    <r>
      <rPr>
        <sz val="10"/>
        <rFont val="Segoe UI"/>
        <family val="2"/>
      </rPr>
      <t xml:space="preserve"> application of the transitional floors)</t>
    </r>
  </si>
  <si>
    <t>RWA impact pure</t>
  </si>
  <si>
    <t>Incremental RWA impact of applying 2022 Basel III pure rather than national implementation</t>
  </si>
  <si>
    <t>Basel III national impl.</t>
  </si>
  <si>
    <t>Basel III pure</t>
  </si>
  <si>
    <r>
      <t xml:space="preserve">Total gross provisions eligible for inclusion in the adjustment to capital in respect of the difference between expected loss and provisions (defaulted assets, </t>
    </r>
    <r>
      <rPr>
        <b/>
        <sz val="10"/>
        <color rgb="FFAA322F"/>
        <rFont val="Segoe UI"/>
        <family val="2"/>
      </rPr>
      <t>only to be filled in if EU rules apply</t>
    </r>
    <r>
      <rPr>
        <sz val="10"/>
        <rFont val="Segoe UI"/>
        <family val="2"/>
      </rPr>
      <t>)</t>
    </r>
  </si>
  <si>
    <r>
      <t xml:space="preserve">Total expected loss eligible for inclusion in the adjustment to capital in respect of the difference between expected loss and provisions (defaulted assets, </t>
    </r>
    <r>
      <rPr>
        <b/>
        <sz val="10"/>
        <color rgb="FFAA322F"/>
        <rFont val="Segoe UI"/>
        <family val="2"/>
      </rPr>
      <t>only to be filled in if EU rules apply</t>
    </r>
    <r>
      <rPr>
        <sz val="10"/>
        <rFont val="Segoe UI"/>
        <family val="2"/>
      </rPr>
      <t>)</t>
    </r>
  </si>
  <si>
    <t>Deductions for securitisation positions which can alternatively be subject to a 1,250% risk weight</t>
  </si>
  <si>
    <t>Deductions for free deliveries which can alternatively be subject to a 1,250% risk weight</t>
  </si>
  <si>
    <t>Deductions for positions in a basket for which an institution cannot determine a risk weight under IRB and can alternatively be subject to a 1,250% risk weight</t>
  </si>
  <si>
    <t>Deductions for equity exposures under the IRB approach which can alternatively be subject to a 1,250% risk weight</t>
  </si>
  <si>
    <t>Deduction for investments in own additional Tier 1 capital (excluding amounts already derecognised under the relevant accounting standards)</t>
  </si>
  <si>
    <t>Deduction for investments in own Tier 2 capital (excluding amounts already derecognised under the relevant accounting standards)</t>
  </si>
  <si>
    <r>
      <t>ES</t>
    </r>
    <r>
      <rPr>
        <vertAlign val="subscript"/>
        <sz val="10"/>
        <rFont val="Segoe UI"/>
        <family val="2"/>
      </rPr>
      <t>R,S</t>
    </r>
  </si>
  <si>
    <r>
      <t>ES</t>
    </r>
    <r>
      <rPr>
        <vertAlign val="subscript"/>
        <sz val="10"/>
        <rFont val="Segoe UI"/>
        <family val="2"/>
      </rPr>
      <t>F,C</t>
    </r>
  </si>
  <si>
    <r>
      <t>ES</t>
    </r>
    <r>
      <rPr>
        <vertAlign val="subscript"/>
        <sz val="10"/>
        <rFont val="Segoe UI"/>
        <family val="2"/>
      </rPr>
      <t>R,C</t>
    </r>
  </si>
  <si>
    <t>Other items</t>
  </si>
  <si>
    <t>RWA impact of national phase-in arrangements for CVA if any</t>
  </si>
  <si>
    <t>RWA impact of any other national phase-in arrangements</t>
  </si>
  <si>
    <t>Credit risk (including CCR and non-trading credit risk); of which:</t>
  </si>
  <si>
    <t>Market risk</t>
  </si>
  <si>
    <t>C) Total risk-weighted assets and capital ratios</t>
  </si>
  <si>
    <t>B) RWA effects from Basel III definition of capital and other national phase-in arrangements</t>
  </si>
  <si>
    <t>Data in green cells can typically be provided by national supervisors based on regulatory reporting data. However, filling in the data allows for the calculation of the capital ratios in the reporting template.</t>
  </si>
  <si>
    <t>Unrated exposuresd</t>
  </si>
  <si>
    <t>Total RWA before application of the transitional floors</t>
  </si>
  <si>
    <t>Exposures currently subject to IRB approaches</t>
  </si>
  <si>
    <t>Exposures currently subject to the standardised approach</t>
  </si>
  <si>
    <t>1) Counterparty credit risk</t>
  </si>
  <si>
    <t>IRB approaches</t>
  </si>
  <si>
    <t>Using the proposed new standardised approach to credit risk and SA-CCR for counterparty credit risk</t>
  </si>
  <si>
    <t>Using the current approaches to credit and counterparty credit risk</t>
  </si>
  <si>
    <t>2) Securitisation</t>
  </si>
  <si>
    <t>Current risk-weighted assets; of which:</t>
  </si>
  <si>
    <t>Subject to standardised approach</t>
  </si>
  <si>
    <t>Subject to IRB approach</t>
  </si>
  <si>
    <t>RWA equivalent of exposures subject to deduction treatment</t>
  </si>
  <si>
    <t>Risk-weighted assets under the revised hierarchy of approaches</t>
  </si>
  <si>
    <t>External ratings-based approach</t>
  </si>
  <si>
    <t>Internal ratings-based approach</t>
  </si>
  <si>
    <t>Risk-weighted assets when applying the standardised approach to all exposures</t>
  </si>
  <si>
    <t>3) CCPs</t>
  </si>
  <si>
    <t>4) CVA</t>
  </si>
  <si>
    <t>Capital charge for trade exposures (including client cleared trades)</t>
  </si>
  <si>
    <t>Using the current approaches</t>
  </si>
  <si>
    <t>Using SA-CCR</t>
  </si>
  <si>
    <t>CVA capital charge (risk-weighted asset equivalent)</t>
  </si>
  <si>
    <t>Impact of the revised floors</t>
  </si>
  <si>
    <t>Use floors data</t>
  </si>
  <si>
    <t>Operational risk capital charge (risk-weighted asset equivalent)</t>
  </si>
  <si>
    <t>Using the basic indicator approach (BIA)</t>
  </si>
  <si>
    <t>Using the standardised approach (TSA)</t>
  </si>
  <si>
    <t>Using the alternative standardised approach (ASA)</t>
  </si>
  <si>
    <t>Using the advanced measurement approach (AMA)</t>
  </si>
  <si>
    <t>Reverse out derivatives netting and other derivatives adjustments</t>
  </si>
  <si>
    <t>G) Alternative methods for derivative exposures</t>
  </si>
  <si>
    <t>SA-CCR without modification</t>
  </si>
  <si>
    <t>Modified 
SA-CCR</t>
  </si>
  <si>
    <t>Sum of trade-level gross add-ons</t>
  </si>
  <si>
    <t>Check: PFE with netting should not be greater than trade-level gross add-ons</t>
  </si>
  <si>
    <t>H) Alternative currency criteria for eligible cash variation margin in derivative transactions</t>
  </si>
  <si>
    <t>Check: Amount of receivables for eligible cash variation margin provided under criterion 1 cannot be greater than under Q1 of the FAQs</t>
  </si>
  <si>
    <t>Check: Amount of receivables for eligible cash variation margin provided under criterion 2 cannot be greater than under Q1 of the FAQs</t>
  </si>
  <si>
    <t>Eligible cash variation margin received and offset against market values of derivative transactions</t>
  </si>
  <si>
    <t>Receivables for eligible cash variation margin provided in derivatives transactions</t>
  </si>
  <si>
    <t>Criterion 1</t>
  </si>
  <si>
    <t>Criterion 2</t>
  </si>
  <si>
    <t>Non-financial entities that are not systemically important</t>
  </si>
  <si>
    <t xml:space="preserve">NSFR derivative liabilities (derivative liabilities less total collateral posted as variation margin on derivative liabilities) </t>
  </si>
  <si>
    <t>Sovereigns/central banks/MDBs/BIS</t>
  </si>
  <si>
    <t>21(a)</t>
  </si>
  <si>
    <t>21(b)</t>
  </si>
  <si>
    <t>21(c), 22</t>
  </si>
  <si>
    <t>21(c), 23</t>
  </si>
  <si>
    <t>21(c), 24(a)</t>
  </si>
  <si>
    <t>21(c), 24(b), 24(d), 25(a)</t>
  </si>
  <si>
    <t>21(c), 24(c)</t>
  </si>
  <si>
    <t>25(b)</t>
  </si>
  <si>
    <t>25(d)</t>
  </si>
  <si>
    <t>21(c), 24(d), 25(a), 25(b)</t>
  </si>
  <si>
    <t>Interdependent liabilities</t>
  </si>
  <si>
    <t>Trade date payables</t>
  </si>
  <si>
    <t>I</t>
  </si>
  <si>
    <t>J</t>
  </si>
  <si>
    <t>Encumbered; of which:</t>
  </si>
  <si>
    <t>Loans to financial institutions, of which:</t>
  </si>
  <si>
    <t>All other secured loans to financial institutions, of which:</t>
  </si>
  <si>
    <t>Unsecured loans to financial institutions, of which:</t>
  </si>
  <si>
    <t>NSFR derivative assets (derivative assets less cash collateral received as variation margin on derivative assets)</t>
  </si>
  <si>
    <t>Required stable funding associated with initial margin posted and cash or other assets provided to contribute to the default fund of a CCP</t>
  </si>
  <si>
    <t>Items deducted from regulatory capital</t>
  </si>
  <si>
    <t>Interdependent assets</t>
  </si>
  <si>
    <t>Variation margin received, of which:</t>
  </si>
  <si>
    <t>Required stable funding associated with derivative liabilities</t>
  </si>
  <si>
    <t>Initial margin posted on bank's own positions, of which:</t>
  </si>
  <si>
    <t>Initial margin posted in the form of cash</t>
  </si>
  <si>
    <t>Initial margin posted in the form of Level 1 securities</t>
  </si>
  <si>
    <t>Cash or other assets provided to contribute to the default fund of a CCP</t>
  </si>
  <si>
    <t>36(a)</t>
  </si>
  <si>
    <t>36(b)</t>
  </si>
  <si>
    <t>31, 40(e), 43(a)</t>
  </si>
  <si>
    <t>31, 38, 40(c), 43(a), 43(c)</t>
  </si>
  <si>
    <t>31, 39(b), 40(c), 43(a), 43(c)</t>
  </si>
  <si>
    <t>31, 37, 40(b), 43(a)</t>
  </si>
  <si>
    <t>31, 39(a), 40(b), 43(a)</t>
  </si>
  <si>
    <t>31, 40(a), 40(b), 43(a)</t>
  </si>
  <si>
    <t>31, 40(d), 43(a)</t>
  </si>
  <si>
    <t>31, 40(e), 41, 43(a)</t>
  </si>
  <si>
    <t>31, 40(e), 41(a), 43(a)</t>
  </si>
  <si>
    <t>31, 41(b), 43(a)</t>
  </si>
  <si>
    <t>31, 40(e), 42(b), 43(a), FN19</t>
  </si>
  <si>
    <t>31, 42(c), 43(a)</t>
  </si>
  <si>
    <t>31, 40(e), 42(c), 43(a)</t>
  </si>
  <si>
    <t>31, 42(d), 43(a)</t>
  </si>
  <si>
    <t>43(c), FN19</t>
  </si>
  <si>
    <t>35, FN 16</t>
  </si>
  <si>
    <t>42(a)</t>
  </si>
  <si>
    <t>See FN 18</t>
  </si>
  <si>
    <t>43(c)</t>
  </si>
  <si>
    <t>36(d)</t>
  </si>
  <si>
    <t>new row</t>
  </si>
  <si>
    <t>FN10</t>
  </si>
  <si>
    <t>E) For completion only by banks with assets encumbered for exceptional central bank liquidity operations and where the supervisor and central bank have agreed to a reduced RSF factor</t>
  </si>
  <si>
    <t>31, FN15</t>
  </si>
  <si>
    <t>Encumbered for exceptional central bank liquidity operations; of which:</t>
  </si>
  <si>
    <t>Secured by Level 1 collateral and where the bank has the ability to freely rehypthecate the received collateral for the life of the loan, of which</t>
  </si>
  <si>
    <t>Unsecured, of which:</t>
  </si>
  <si>
    <t xml:space="preserve">   Receivables for eligible cash variation margin provided in derivatives transactions</t>
  </si>
  <si>
    <t>130−145</t>
  </si>
  <si>
    <t>Check: Eligible cash variation margin received under criterion 1 cannot be greater than under Q1 of the FAQs</t>
  </si>
  <si>
    <t>Check: Eligible cash variation margin received under criterion 2 cannot be greater than under Q1 of the FAQs</t>
  </si>
  <si>
    <t>Check: Eligible cash variation margin received under criterion 2 cannot be greater than under criterion 1</t>
  </si>
  <si>
    <t>Check: Eligible cash variation margin provided under criterion 2 cannot be greater than under criterion 1</t>
  </si>
  <si>
    <t>External TLAC (to be completed for each resolution group of a G-SIB)</t>
  </si>
  <si>
    <t>Is the resolution entity a Holding Company or Intermediate Holding Company?</t>
  </si>
  <si>
    <t>A) Regulatory capital</t>
  </si>
  <si>
    <t xml:space="preserve">Of which issued externally out of non-resolution entities </t>
  </si>
  <si>
    <t xml:space="preserve">(only for MPE groups) 
Of which held by entities in other resolution groups </t>
  </si>
  <si>
    <t>Total Common Equity Tier 1 capital (after regulatory adjustments)</t>
  </si>
  <si>
    <t>B) Unsecured liabilities</t>
  </si>
  <si>
    <t>&lt; 1 Y</t>
  </si>
  <si>
    <t xml:space="preserve">(only for MPE groups) Total subordinated unsecured liabilities excluding regulatory capital, issued by the resolution entity, meeting the Term Sheet criteria not taking into consideration the criterion of not being funded directly by a related party (Section 12c), ie such liabilities held by entities in other resolution groups </t>
  </si>
  <si>
    <t xml:space="preserve">(only for MPE groups) Total senior unsecured liabilities issued by the resolution entity, meeting the Term Sheet criteria not taking into consideration the subordination criterion (Section 13) and  the criterion of not being funded directly by a related party (Section 12c), ie such liabilities held by entities in other resolution groups </t>
  </si>
  <si>
    <t>C) Deductions</t>
  </si>
  <si>
    <t>Net of short positions</t>
  </si>
  <si>
    <t>Amount by which the sum of all holdings exceeds 10% of the Common Equity Tier 1 capital of the bank after all deductions that do not depend on a threshold (this is the amount to be deducted from regulatory capital and TLAC)</t>
  </si>
  <si>
    <t>Case A: Deduction from TLAC eligible liabilities</t>
  </si>
  <si>
    <t>Allocation of the deduction to unsecured liabilities in each case</t>
  </si>
  <si>
    <t>Case B: Deduction from Tier 2</t>
  </si>
  <si>
    <t>Case A above</t>
  </si>
  <si>
    <t>Holdings of unsecured liabilities in each case, net of short positions</t>
  </si>
  <si>
    <t>Case B above</t>
  </si>
  <si>
    <t>Holdings of Tier 2 capital and unsecured liabilities in each case, net of short positions</t>
  </si>
  <si>
    <t>3) Significant investments in unsecured liabilities in each case issued by other G-SIBs (or subsidiaries of G-SIBs) that are outside the scope of regulatory consolidation and where the bank owns more than 10% of the issued common share capital or where the entity is an affiliate (excluding amounts held for underwriting purposes only if held for 5 working days or less)</t>
  </si>
  <si>
    <t xml:space="preserve">Case A: Deduction from TLAC eligible liabilities </t>
  </si>
  <si>
    <t>Total Additional Tier 1 instruments (after regulatory adjustments); of which:</t>
  </si>
  <si>
    <r>
      <t xml:space="preserve">Total Tier 2 instruments issued by subsidiaries (after amortisation) eligible to count towards the consolidated Tier 2 capital of the resolution group with a residual maturity </t>
    </r>
    <r>
      <rPr>
        <sz val="10"/>
        <rFont val="Segoe UI"/>
        <family val="2"/>
      </rPr>
      <t>≥</t>
    </r>
    <r>
      <rPr>
        <sz val="10"/>
        <rFont val="Segoe UI"/>
        <family val="2"/>
      </rPr>
      <t xml:space="preserve"> 1 year</t>
    </r>
  </si>
  <si>
    <t>≥ 1 Y to &lt; 2 Y</t>
  </si>
  <si>
    <t>≥ 2 Y to &lt; 5 Y</t>
  </si>
  <si>
    <t>≥5 Y</t>
  </si>
  <si>
    <t>Sum (residual maturity ≥ 1yr)</t>
  </si>
  <si>
    <t>not paid-in</t>
  </si>
  <si>
    <t>with credit sensitive feature</t>
  </si>
  <si>
    <t>with a right of acceleration of the principal and interest outstanding in respect of the instrument outside liquidation</t>
  </si>
  <si>
    <t xml:space="preserve">including an incentive to redeem </t>
  </si>
  <si>
    <t>subordinated uninsured deposits</t>
  </si>
  <si>
    <t>issued by the resolution entity</t>
  </si>
  <si>
    <t>currently issued by an operating bank immediately below a resolution entity that is a holding company</t>
  </si>
  <si>
    <r>
      <t xml:space="preserve">1) Investments in the capital of banking, financial and insurance entities that are outside the scope of regulatory consolidation and where the bank </t>
    </r>
    <r>
      <rPr>
        <b/>
        <sz val="12"/>
        <color rgb="FFC00000"/>
        <rFont val="Segoe UI"/>
        <family val="2"/>
      </rPr>
      <t>does not</t>
    </r>
    <r>
      <rPr>
        <b/>
        <sz val="12"/>
        <rFont val="Segoe UI"/>
        <family val="2"/>
      </rPr>
      <t xml:space="preserve"> own more than 10% of the issued common share capital (excluding amount held for underwriting purposes only if held for 5 working days or less)</t>
    </r>
  </si>
  <si>
    <r>
      <t xml:space="preserve">2) Investments in unsecured liabilities in each case issued by other G-SIBs (or subsidiaries of G-SIBs) that are outside the scope of regulatory consolidation and where the bank </t>
    </r>
    <r>
      <rPr>
        <b/>
        <sz val="12"/>
        <color rgb="FFC00000"/>
        <rFont val="Segoe UI"/>
        <family val="2"/>
      </rPr>
      <t>does not</t>
    </r>
    <r>
      <rPr>
        <b/>
        <sz val="12"/>
        <rFont val="Segoe UI"/>
        <family val="2"/>
      </rPr>
      <t xml:space="preserve"> own more than 10% of the issued common share capital (excluding amount held for underwriting purposes only if held for 5 working days or less)</t>
    </r>
  </si>
  <si>
    <t>See the Term Sheet Sections 20-23 (a separate column should be completed for each material subsidiary as defined in the Term Sheet Section 21).</t>
  </si>
  <si>
    <t>Material subsidiary number</t>
  </si>
  <si>
    <t>Resolution group number to which the material subsidiary belongs (only for MPE)</t>
  </si>
  <si>
    <t>B)  Unsecured liabilities excluding regulatory capital</t>
  </si>
  <si>
    <t>Case 1: Term Sheet criteria</t>
  </si>
  <si>
    <t>C) Collateralised guarantees</t>
  </si>
  <si>
    <t>Collateralised guarantees provided by the resolution entity to the material subsidiary (meeting conditions in the Term Sheet Section 23)</t>
  </si>
  <si>
    <t>D) Denominator</t>
  </si>
  <si>
    <t xml:space="preserve">Sum </t>
  </si>
  <si>
    <t>Total Common Equity Tier 1 capital of the subsidiary (after regulatory adjustments - see instructions); of which:</t>
  </si>
  <si>
    <t>issued to external investors but counting towards the resolution group's consolidated capital requirements (as per Section 20)</t>
  </si>
  <si>
    <t>Total Additional Tier 1 of the subsidiary (after regulatory adjustments - see instructions); of which:</t>
  </si>
  <si>
    <t>Total Tier 2 of the subsidiary (after regulatory adjustments - see instructions); of which:</t>
  </si>
  <si>
    <t>Holdings of TLAC (to be completed for non-G-SIBs)</t>
  </si>
  <si>
    <t>Use TLAC holdings data</t>
  </si>
  <si>
    <t>Use G-SIB TLAC data</t>
  </si>
  <si>
    <t>All questions refer to the consolidated data based on national rules fully phased-in as in 2022.</t>
  </si>
  <si>
    <t xml:space="preserve">Total Common Equity Tier 1 capital after all regulatory adjustments </t>
  </si>
  <si>
    <t xml:space="preserve">Total Additional Tier 1 instruments after all regulatory adjustments </t>
  </si>
  <si>
    <t>Total Tier 2 instruments after all regulatory adjustments</t>
  </si>
  <si>
    <t>B) Holdings of TLAC eligible instruments</t>
  </si>
  <si>
    <t>Gross holdings of unsecured liabilities in each case, excluding regulatory capital, issued by G-SIBs</t>
  </si>
  <si>
    <t>Amount by which the sum of all holdings exceeds 10% of the Common Equity Tier 1 capital of the bank after all deductions that do not depend on a threshold (this is the amount to be deducted from regulatory capital)</t>
  </si>
  <si>
    <t>3) Significant investments in unsecured liabilities in each case excluding regulatory capital, issued by G-SIBs that are outside the scope of regulatory consolidation and where the bank owns more than 10% of the issued common share capital or where the entity is an affiliate (excluding amounts held for underwriting purposes only if held for 5 working days or less)</t>
  </si>
  <si>
    <t>Case 1 above</t>
  </si>
  <si>
    <t>Case 2 above</t>
  </si>
  <si>
    <t>Case 3 above</t>
  </si>
  <si>
    <t xml:space="preserve">Gross holdings of unsecured liabilities in each case, excluding regulatory capital, issued by G-SIBs </t>
  </si>
  <si>
    <t>Amount to be deducted from Tier 2</t>
  </si>
  <si>
    <t>C) Risk weight</t>
  </si>
  <si>
    <t>D) Total amount</t>
  </si>
  <si>
    <t>Total holdings of TLAC instruments</t>
  </si>
  <si>
    <r>
      <t xml:space="preserve">2) Investments in unsecured liabilities in each case excluding regulatory capital, issued by G-SIBs that are outside the scope of regulatory consolidation and where the bank </t>
    </r>
    <r>
      <rPr>
        <b/>
        <sz val="12"/>
        <color rgb="FFC00000"/>
        <rFont val="Segoe UI"/>
        <family val="2"/>
      </rPr>
      <t>does not</t>
    </r>
    <r>
      <rPr>
        <b/>
        <sz val="12"/>
        <rFont val="Segoe UI"/>
        <family val="2"/>
      </rPr>
      <t xml:space="preserve"> own more than 10% of the issued common share capital (excluding amount held for underwriting purposes only if held for 5 working days or less)</t>
    </r>
  </si>
  <si>
    <t>Total risk-weighted assets on a group consolidated basis</t>
  </si>
  <si>
    <t>All questions refer to the consolidated assets / liabilities of the resolution group unless specified otherwise and should be calculated based on national rules fully phased-in as in 2022.
For SPE firms the resolution group is the consolidated group. MPE firms should fill in this template for the aggregate consolidated group and the MPE-specific workbooks for each resolution group.</t>
  </si>
  <si>
    <t>Total Tier 2 instruments issued by the resolution entity (prior to amortisation, ie nominal amount) with a residual maturity ≥ 1 year (after other regulatory adjustments, eg corresponding deduction); of which:</t>
  </si>
  <si>
    <t>currently issued by other subsidiaries</t>
  </si>
  <si>
    <t>containing a contractual trigger or being subject to a statutory mechanism which permits the relevant resolution authority to expose TLAC to loss or convert to equity in resolution (Section 17)</t>
  </si>
  <si>
    <t>of which held by the resolution entity</t>
  </si>
  <si>
    <t>Case 2: Term Sheet criteria not taking into consideration the subordination criterion (Section 13)</t>
  </si>
  <si>
    <t>Deposits</t>
  </si>
  <si>
    <t>Holdings of Common Equity Tier 1 net of short positions</t>
  </si>
  <si>
    <t>Risk weighted assets related to above, included in total risk-weighted assets</t>
  </si>
  <si>
    <t>Total risk weighted assets of amounts not deducted (set out in rows 28 to 30); of which amounts that relate to:</t>
  </si>
  <si>
    <t>Holdings of Common Equity Tier 1 net of short positions (ie risk weighted assets of exposures in row 28)</t>
  </si>
  <si>
    <t>Holdings of Additional Tier 1 capital net of short positions (ie risk weighted assets of exposures in row 29)</t>
  </si>
  <si>
    <t>Holdings of Tier 2 capital and unsecured liabilities in each case, net of short positions (ie risk weighted assets of exposures in row 30)</t>
  </si>
  <si>
    <t xml:space="preserve">Risk-weighted assets related to the unsecured liabilities in each case, excluding regulatory capital, issued by G-SIBs, included in row 44 </t>
  </si>
  <si>
    <t>Of which</t>
  </si>
  <si>
    <t>Not governed by home law and with no equivalent binding statutory or contractual provision for cross-border recognition of resolution actions and ≥ 1yr (Section 16)</t>
  </si>
  <si>
    <t>Contractually subordinated and ≥ 1yr (Section 13 a)</t>
  </si>
  <si>
    <t>Structurally subordinated and ≥ 1yr (Section 13 c)</t>
  </si>
  <si>
    <t>uninsured deposits</t>
  </si>
  <si>
    <t>issued under third country law without any contractual bail-in clause and no equivalent binding statutory provision for cross-border recognition of resolution actions (before regulatory adjustments)</t>
  </si>
  <si>
    <t>Tier 2 instruments issued under third country law without any contractual bail-in clause and no equivalent binding statutory provision for cross-border recognition of resolution actions (prior to regulatory adjustments)</t>
  </si>
  <si>
    <t>Total Tier 2 instruments (after amortisation) with a residual maturity &lt; 1 year</t>
  </si>
  <si>
    <t>structured notes</t>
  </si>
  <si>
    <t>Average residual maturity 
(years)</t>
  </si>
  <si>
    <t>A) Names and risk assessment of each desk</t>
  </si>
  <si>
    <t>Asset class</t>
  </si>
  <si>
    <t>Revised model</t>
  </si>
  <si>
    <t>Current model</t>
  </si>
  <si>
    <t>SBA</t>
  </si>
  <si>
    <t>sVaR</t>
  </si>
  <si>
    <t>Interest rate risk</t>
  </si>
  <si>
    <t>B) Asset class level comparison of the risk measures based on the portfolio under model permission</t>
  </si>
  <si>
    <t>Trading book QIS internal models approach</t>
  </si>
  <si>
    <t>Trading book QIS: General</t>
  </si>
  <si>
    <t>A) Current market risk capital charge under the revised boundary</t>
  </si>
  <si>
    <t>Standardised measurement method, of which:</t>
  </si>
  <si>
    <t>Outright products:</t>
  </si>
  <si>
    <t>General equity position risk</t>
  </si>
  <si>
    <t>Specific interest rate and equity position risk; of which:</t>
  </si>
  <si>
    <t>Options:</t>
  </si>
  <si>
    <t>Simplified approach</t>
  </si>
  <si>
    <t>Delta-plus method, of which</t>
  </si>
  <si>
    <t>Vega</t>
  </si>
  <si>
    <t>Gamma</t>
  </si>
  <si>
    <t>Scenario approach</t>
  </si>
  <si>
    <t>General interest rate and equity position risk; of which:</t>
  </si>
  <si>
    <t>D) Closed-form questions</t>
  </si>
  <si>
    <t>Use trading book general data</t>
  </si>
  <si>
    <t>Use trading book IMA data</t>
  </si>
  <si>
    <t>Foreign exchange non-modellable risk factors</t>
  </si>
  <si>
    <r>
      <t xml:space="preserve">Internal models approach </t>
    </r>
    <r>
      <rPr>
        <b/>
        <sz val="10"/>
        <rFont val="Segoe UI"/>
        <family val="2"/>
      </rPr>
      <t>without</t>
    </r>
    <r>
      <rPr>
        <sz val="10"/>
        <color theme="1"/>
        <rFont val="Segoe UI"/>
        <family val="2"/>
      </rPr>
      <t xml:space="preserve"> the specific risk surcharge, </t>
    </r>
    <r>
      <rPr>
        <b/>
        <sz val="10"/>
        <rFont val="Segoe UI"/>
        <family val="2"/>
      </rPr>
      <t>actual capital charge</t>
    </r>
  </si>
  <si>
    <r>
      <t>Current 10-day 99% value-at-risk (</t>
    </r>
    <r>
      <rPr>
        <b/>
        <sz val="10"/>
        <rFont val="Segoe UI"/>
        <family val="2"/>
      </rPr>
      <t>without</t>
    </r>
    <r>
      <rPr>
        <sz val="10"/>
        <color theme="1"/>
        <rFont val="Segoe UI"/>
        <family val="2"/>
      </rPr>
      <t xml:space="preserve"> applying the multiplier)</t>
    </r>
  </si>
  <si>
    <r>
      <t>10-day 99% stressed value-at-risk (</t>
    </r>
    <r>
      <rPr>
        <b/>
        <sz val="10"/>
        <rFont val="Segoe UI"/>
        <family val="2"/>
      </rPr>
      <t>without</t>
    </r>
    <r>
      <rPr>
        <sz val="10"/>
        <color theme="1"/>
        <rFont val="Segoe UI"/>
        <family val="2"/>
      </rPr>
      <t xml:space="preserve"> applying the multiplier)</t>
    </r>
  </si>
  <si>
    <t>Senior deposits; of which:</t>
  </si>
  <si>
    <t>covered by a deposit guarantee scheme under Directive 2014/49/EU</t>
  </si>
  <si>
    <t>that part of deposits eligible for coverage but in excess of the coverage limit</t>
  </si>
  <si>
    <t>would be eligible for coverage were they not made through branches outside the Union</t>
  </si>
  <si>
    <t>Average residual maturity 
[years]</t>
  </si>
  <si>
    <t>1) TB general</t>
  </si>
  <si>
    <t>Buckets for revised SA</t>
  </si>
  <si>
    <t>For IRB banks</t>
  </si>
  <si>
    <t>Estimation of losses</t>
  </si>
  <si>
    <t>Row code</t>
  </si>
  <si>
    <t>A) Sovereigns, PSEs, MDBs</t>
  </si>
  <si>
    <t>1) Exposures to sovereigns</t>
  </si>
  <si>
    <t>AAA to AA- (0%)</t>
  </si>
  <si>
    <t>A+ to A- (20%)</t>
  </si>
  <si>
    <t>BBB+ to BBB- (50%)</t>
  </si>
  <si>
    <t>BB+ to B- (100%)</t>
  </si>
  <si>
    <t>Below B- (150%)</t>
  </si>
  <si>
    <t>Unrated (100%)</t>
  </si>
  <si>
    <t>ECA risk score 0-1</t>
  </si>
  <si>
    <t>ECA risk score 2</t>
  </si>
  <si>
    <t>ECA risk score 3</t>
  </si>
  <si>
    <t>ECA risk score 4-6</t>
  </si>
  <si>
    <t>ECA risk score 7</t>
  </si>
  <si>
    <t>Eligible under paragraph 7</t>
  </si>
  <si>
    <t>Exposure on IRB</t>
  </si>
  <si>
    <t>Average RW for IRB exposures</t>
  </si>
  <si>
    <t>Average PD</t>
  </si>
  <si>
    <t>Average LGD</t>
  </si>
  <si>
    <t>Current standardised approach</t>
  </si>
  <si>
    <t>Proposed standardised approach</t>
  </si>
  <si>
    <t>Post-CCF pre-CRM exposure</t>
  </si>
  <si>
    <t>Post-CCF post-CRM exposure</t>
  </si>
  <si>
    <t>Value</t>
  </si>
  <si>
    <t>Option 1: AAA to AA- (20%)</t>
  </si>
  <si>
    <t>Option 1: A+ to A- (50%)</t>
  </si>
  <si>
    <t>Option 1: BBB+ to BBB- (100%)</t>
  </si>
  <si>
    <t>Option 1: BB+ to B- (100%)</t>
  </si>
  <si>
    <t>Option 1: Below B- (150%)</t>
  </si>
  <si>
    <t>Option 1: Unrated (100%)</t>
  </si>
  <si>
    <t>Option 2: AAA to AA- (20%)</t>
  </si>
  <si>
    <t>Option 2: A+ to A- (50%)</t>
  </si>
  <si>
    <t>Option 2: BBB+ to BBB- (50%)</t>
  </si>
  <si>
    <t>Option 2: BB+ to B- (100%)</t>
  </si>
  <si>
    <t>Option 2: Below B- (150%)</t>
  </si>
  <si>
    <t>Option 2: Unrated (50%)</t>
  </si>
  <si>
    <t>2) Exposures to PSEs</t>
  </si>
  <si>
    <t>3) Exposures to PSEs treated as sovereigns as per paragraph 9</t>
  </si>
  <si>
    <t>4) Exposures to MDBs</t>
  </si>
  <si>
    <t>AAA to AA- (20%)</t>
  </si>
  <si>
    <t>A+ to A- (50%)</t>
  </si>
  <si>
    <t>Unrated (50%)</t>
  </si>
  <si>
    <t>B) Exposures to banks</t>
  </si>
  <si>
    <t>&lt; 4.5%</t>
  </si>
  <si>
    <t>&gt;12%</t>
  </si>
  <si>
    <t>&lt; 1%</t>
  </si>
  <si>
    <t>&gt; 3%</t>
  </si>
  <si>
    <t>CET1 ratio</t>
  </si>
  <si>
    <t>Net NPA ratio</t>
  </si>
  <si>
    <t>Original maturity</t>
  </si>
  <si>
    <t>&gt; 3 months</t>
  </si>
  <si>
    <t>5.5%−7%</t>
  </si>
  <si>
    <t>7%−9.5%</t>
  </si>
  <si>
    <t>9.5%−12%</t>
  </si>
  <si>
    <t>Bucket: existing standardised approach risk weight bucket</t>
  </si>
  <si>
    <t>1) Exposures for which obligor's disclosure is sufficient</t>
  </si>
  <si>
    <t>2) Exposures for which obligor's disclosure is insufficient</t>
  </si>
  <si>
    <t>Category</t>
  </si>
  <si>
    <t>Obligor's disclosures insufficient</t>
  </si>
  <si>
    <t>C) Exposures to corporates</t>
  </si>
  <si>
    <t>Revenue bucket</t>
  </si>
  <si>
    <t>Leverage bucket</t>
  </si>
  <si>
    <t>&gt; 5x</t>
  </si>
  <si>
    <t>Zero/negative equity</t>
  </si>
  <si>
    <t>3x−5x</t>
  </si>
  <si>
    <t>BBB+ to BBB- (100%)</t>
  </si>
  <si>
    <t>BB+ to BB- (100%)</t>
  </si>
  <si>
    <t>Below BB- (150%)</t>
  </si>
  <si>
    <t>New company &lt; 1 year old</t>
  </si>
  <si>
    <t>No leverage/revenue data</t>
  </si>
  <si>
    <t>Project finance</t>
  </si>
  <si>
    <t>Object finance</t>
  </si>
  <si>
    <t>Commodities finance</t>
  </si>
  <si>
    <t>IPRE</t>
  </si>
  <si>
    <t>ADC</t>
  </si>
  <si>
    <t>Publically traded equity (300%)</t>
  </si>
  <si>
    <t>Other equity holdings (400%)</t>
  </si>
  <si>
    <t>Suboordinated debt and other capital instruments (250%)</t>
  </si>
  <si>
    <t>LTV</t>
  </si>
  <si>
    <t>DSC</t>
  </si>
  <si>
    <t>&lt; 20%</t>
  </si>
  <si>
    <t>&gt; 100%</t>
  </si>
  <si>
    <t>&lt; 25%</t>
  </si>
  <si>
    <t>&gt; 50%</t>
  </si>
  <si>
    <t>Currency of main income</t>
  </si>
  <si>
    <t>Other currency</t>
  </si>
  <si>
    <t>30%−35%</t>
  </si>
  <si>
    <t>35%−40%</t>
  </si>
  <si>
    <t>40%−50%</t>
  </si>
  <si>
    <t>20%−30%</t>
  </si>
  <si>
    <t>30%−40%</t>
  </si>
  <si>
    <t>50%−60%</t>
  </si>
  <si>
    <t>60%−70%</t>
  </si>
  <si>
    <t>70%−80%</t>
  </si>
  <si>
    <t>80%−90%</t>
  </si>
  <si>
    <t>90%−100%</t>
  </si>
  <si>
    <t>RW applicable for an unsecured loan to the same borrower under revised SA</t>
  </si>
  <si>
    <t>Type of CRE</t>
  </si>
  <si>
    <t>&lt;60%</t>
  </si>
  <si>
    <t>Office/multipurpose</t>
  </si>
  <si>
    <t>&gt; 140%</t>
  </si>
  <si>
    <t>&lt; 40%</t>
  </si>
  <si>
    <t>&gt; 75%</t>
  </si>
  <si>
    <t>60%−75%</t>
  </si>
  <si>
    <t>80%−100%</t>
  </si>
  <si>
    <t>100%−120%</t>
  </si>
  <si>
    <t>120%−140%</t>
  </si>
  <si>
    <t>F) Retail exposures</t>
  </si>
  <si>
    <t>Security</t>
  </si>
  <si>
    <t>Unsecured</t>
  </si>
  <si>
    <t>Secured</t>
  </si>
  <si>
    <t>Maturity</t>
  </si>
  <si>
    <t>&lt; 1 year</t>
  </si>
  <si>
    <t>&gt; 5 years</t>
  </si>
  <si>
    <t>Length of established relationship</t>
  </si>
  <si>
    <t>2−3 years</t>
  </si>
  <si>
    <t>3−4 years</t>
  </si>
  <si>
    <t>4−5 years</t>
  </si>
  <si>
    <t>Use banking book SA data</t>
  </si>
  <si>
    <t>Revised standardised approach for the banking book: additional data</t>
  </si>
  <si>
    <t>Revised standardised approach for the banking book general data</t>
  </si>
  <si>
    <t>A) Exposures to banks</t>
  </si>
  <si>
    <t>.</t>
  </si>
  <si>
    <t>Total loans and leases</t>
  </si>
  <si>
    <t>Total debt securities</t>
  </si>
  <si>
    <t>Interest bearing balances</t>
  </si>
  <si>
    <t>Reporting bank</t>
  </si>
  <si>
    <t>Reporting bank (if not completed in other parts of this reporting template)</t>
  </si>
  <si>
    <t>Provisions on non-performing debt securities and other interest bearing balances</t>
  </si>
  <si>
    <t>Non-performing debt securities and other interest bearing balances</t>
  </si>
  <si>
    <t>NPL and leases</t>
  </si>
  <si>
    <t>Provisions on NPLs and leases</t>
  </si>
  <si>
    <t>As reported</t>
  </si>
  <si>
    <t>Reporting bank estimate of counterparty's net NPA ratio</t>
  </si>
  <si>
    <t>Top 20 counterparties</t>
  </si>
  <si>
    <t>Share of all reporting bank's exposures</t>
  </si>
  <si>
    <t>B) Residential real estate exposures</t>
  </si>
  <si>
    <t>net basis</t>
  </si>
  <si>
    <t>gross basis</t>
  </si>
  <si>
    <t>E) Exposures secured by commercial real estate</t>
  </si>
  <si>
    <t>Basel III leverage ratio (reporting date)</t>
  </si>
  <si>
    <t>Replacement cost (RC)</t>
  </si>
  <si>
    <t>Receivables for cash collateral provided and taken into account in C or NICA</t>
  </si>
  <si>
    <t>Potential future exposure of all margined netting sets w/o collateral</t>
  </si>
  <si>
    <t>Potential future exposure of all unmargined netting sets w/o collateral</t>
  </si>
  <si>
    <r>
      <t>146</t>
    </r>
    <r>
      <rPr>
        <sz val="10"/>
        <rFont val="Segoe UI"/>
        <family val="2"/>
      </rPr>
      <t>−</t>
    </r>
    <r>
      <rPr>
        <sz val="10"/>
        <rFont val="Segoe UI"/>
        <family val="2"/>
      </rPr>
      <t>187</t>
    </r>
  </si>
  <si>
    <t>J) Business model categorisation</t>
  </si>
  <si>
    <r>
      <t xml:space="preserve">K) EU-specific </t>
    </r>
    <r>
      <rPr>
        <b/>
        <sz val="12"/>
        <color rgb="FFAA322F"/>
        <rFont val="Segoe UI"/>
        <family val="2"/>
      </rPr>
      <t>(only to be completed by banks in the European Union)</t>
    </r>
  </si>
  <si>
    <t>Deduction for qualifying holdings outside the financial sector which can alternatively be subject to a 1,250% risk weight</t>
  </si>
  <si>
    <t>Deposits from members of the same cooperative network of  banks subject to national discretion as defined in FN 10</t>
  </si>
  <si>
    <t>See FN 10</t>
  </si>
  <si>
    <t>See FN 17</t>
  </si>
  <si>
    <t xml:space="preserve">Of which are required central bank reserves </t>
  </si>
  <si>
    <t>Deposits held at other banks which are members of the same cooperative network of banks and which are subject to national discretion according to FN 10</t>
  </si>
  <si>
    <t>Remaining period of encumbrance &lt; 6 months</t>
  </si>
  <si>
    <t>Encumbered, of which:</t>
  </si>
  <si>
    <t>Remaining period of encumbrance ≥ 6 months to &lt; 1 year</t>
  </si>
  <si>
    <t>Remaining period of encumbrance ≥ 1 year</t>
  </si>
  <si>
    <t>FN 10, 43(c)</t>
  </si>
  <si>
    <t>Loans to financial institutions secured by Level 1 collateral and where the bank has the ability to freely rehypthecate the received collateral for the life of the loan; of which:</t>
  </si>
  <si>
    <t>Deposits held at financial institutions for operational purposes; of which:</t>
  </si>
  <si>
    <t>Loans to sovereigns, PSEs, MDBs and NDBs with a residual maturity of less than one year; of which:</t>
  </si>
  <si>
    <t>Residential mortgages of any maturity that would qualify for the 35% or lower risk weight under the Basel II standardised approach for credit risk; of which:</t>
  </si>
  <si>
    <t>Other loans, excluding loans to financial insitutions, with a residual maturity of one year or greater that would qualify for the 35% or lower risk weight under the Basel II standardised approach for credit risk; of which:</t>
  </si>
  <si>
    <t>Loans to retail and small business customers (excluding residential mortgages reported above) with a residual maturity of less than one year; of which:</t>
  </si>
  <si>
    <t>Performing loans (except loans to financial institutions and loans reported in above categories) with risk weights greater than 35% under the Basel II standardised approach for credit risk; of which:</t>
  </si>
  <si>
    <t>Non-HQLA exchange traded equities; of which:</t>
  </si>
  <si>
    <t>Non-HQLA securities not in default; of which:</t>
  </si>
  <si>
    <t xml:space="preserve">    Total variation margin posted</t>
  </si>
  <si>
    <t>Of which is posted to counterparties exempted from BCBS-IOSCO margin requirements; of which:</t>
  </si>
  <si>
    <t>Total initial margin received, in the form of any collateral type, according to residual maturity of associated derivative contract(s)</t>
  </si>
  <si>
    <t>Trade date receivables</t>
  </si>
  <si>
    <t>D) For completion only by banks in jurisdictions where deposits between banks within the same cooperative network are required by law to be placed at the central organisation and are legally constrained within the cooperative bank network as minimum deposit requirements</t>
  </si>
  <si>
    <t>NSFR derivative liabilities</t>
  </si>
  <si>
    <t xml:space="preserve">Note: Include only assets that are both (a) encumbered for exceptional central bank liquidity operations, and (b) where the supervisor and central bank have agreed to a reduced RSF factor.
Values reported in this section should not be reported in panel B)1) above. </t>
  </si>
  <si>
    <t>7) NSFR RSF off-balance sheet items</t>
  </si>
  <si>
    <t>Loans to financial institutions; of which:</t>
  </si>
  <si>
    <t>All other secured loans to financial institutions; of which:</t>
  </si>
  <si>
    <t>added paragraph reference in column C</t>
  </si>
  <si>
    <t>Changed category title, text in column J, K</t>
  </si>
  <si>
    <t>Changed category title</t>
  </si>
  <si>
    <t>changed category title</t>
  </si>
  <si>
    <t>changed category title, added paragraph reference</t>
  </si>
  <si>
    <t>changed formula</t>
  </si>
  <si>
    <t>chagned to volunatary cells</t>
  </si>
  <si>
    <t>changed to voluntary cells, changed category title, new formula in H403</t>
  </si>
  <si>
    <t>B) Leverage ratio worksheet</t>
  </si>
  <si>
    <t>C) LCR worksheet</t>
  </si>
  <si>
    <t>D) NSFR worksheet</t>
  </si>
  <si>
    <t>≤ 3 months</t>
  </si>
  <si>
    <t>Profitability bucket</t>
  </si>
  <si>
    <t>1) Senior corporate exposures</t>
  </si>
  <si>
    <r>
      <t xml:space="preserve">a) </t>
    </r>
    <r>
      <rPr>
        <b/>
        <sz val="12"/>
        <color rgb="FFC00000"/>
        <rFont val="Segoe UI"/>
        <family val="2"/>
      </rPr>
      <t>Option A</t>
    </r>
  </si>
  <si>
    <r>
      <t xml:space="preserve">b) </t>
    </r>
    <r>
      <rPr>
        <b/>
        <sz val="12"/>
        <color rgb="FFC00000"/>
        <rFont val="Segoe UI"/>
        <family val="2"/>
      </rPr>
      <t>Option B</t>
    </r>
  </si>
  <si>
    <t>2) Other senior corporate exposures, specialised lending, subordinated debt and equity</t>
  </si>
  <si>
    <r>
      <t xml:space="preserve">1) </t>
    </r>
    <r>
      <rPr>
        <b/>
        <sz val="12"/>
        <color rgb="FFC00000"/>
        <rFont val="Segoe UI"/>
        <family val="2"/>
      </rPr>
      <t>Option A</t>
    </r>
  </si>
  <si>
    <r>
      <t xml:space="preserve">2) </t>
    </r>
    <r>
      <rPr>
        <b/>
        <sz val="12"/>
        <color rgb="FFC00000"/>
        <rFont val="Segoe UI"/>
        <family val="2"/>
      </rPr>
      <t>Option B</t>
    </r>
  </si>
  <si>
    <t>DTI</t>
  </si>
  <si>
    <t>3x−4x</t>
  </si>
  <si>
    <t>4x−5x</t>
  </si>
  <si>
    <r>
      <t xml:space="preserve">3) </t>
    </r>
    <r>
      <rPr>
        <b/>
        <sz val="12"/>
        <color rgb="FFC00000"/>
        <rFont val="Segoe UI"/>
        <family val="2"/>
      </rPr>
      <t>Option C</t>
    </r>
  </si>
  <si>
    <r>
      <t xml:space="preserve">3) </t>
    </r>
    <r>
      <rPr>
        <b/>
        <sz val="12"/>
        <color rgb="FFC00000"/>
        <rFont val="Segoe UI"/>
        <family val="2"/>
      </rPr>
      <t>Option D</t>
    </r>
  </si>
  <si>
    <t>H) Other exposures</t>
  </si>
  <si>
    <t>Provisions</t>
  </si>
  <si>
    <t>G) Past due exposures</t>
  </si>
  <si>
    <t>Additional Tier 1 instruments issued under third country law without any contractual bail-in clause and no equivalent binding statutory provision for cross-border recognition of resolution actions (prior to regulatory adjustments)</t>
  </si>
  <si>
    <t>Case 4 (i): Total subordinated unsecured liabilities excluding i) regulatory capital, ii) those arising from derivatives, iii) those arising not through contract (Section 12e) and iv) deposits; of which:</t>
  </si>
  <si>
    <t>Case 4 (ii): Total senior unsecured liabilities excluding i) those arising from derivatives, ii) those arising not through contract (Section 12e) and iii) deposits; of which</t>
  </si>
  <si>
    <t>Of which issued in the form of debt (not shares)</t>
  </si>
  <si>
    <t>Of which issued in the form of debt (liabilities in balance sheet)</t>
  </si>
  <si>
    <t>Basel III leverage ratio</t>
  </si>
  <si>
    <t>Potential future exposure:</t>
  </si>
  <si>
    <t>a. Amount of the cash initial margin that the bank passes on to an account in the name of the CCP</t>
  </si>
  <si>
    <t>i. Amount of the cash initial margin that remains on the bank’s balance sheet</t>
  </si>
  <si>
    <t>b. Amount of the cash initial margin that is segregated from the bank’s other assets</t>
  </si>
  <si>
    <t>c. Amount of the cash initial margin that is not segregated from the bank’s other assets</t>
  </si>
  <si>
    <t>a. Initial margin in the form of securities that a bank includes in its total Basel III leverage ratio exposure measure</t>
  </si>
  <si>
    <t>b. Initial margin in the form of cash that a bank includes in its total  Basel III leverage ratio exposure measure</t>
  </si>
  <si>
    <t xml:space="preserve">Initial margin that a bank includes in its total  Basel III leverage ratio exposure measure </t>
  </si>
  <si>
    <t>Office/multipurpose (tranche over 60% LTV)</t>
  </si>
  <si>
    <t>D) Exposures secured by residential real estate</t>
  </si>
  <si>
    <t>On balance sheet exposures</t>
  </si>
  <si>
    <t>Off balance sheet exposures 
(pre-CCF)</t>
  </si>
  <si>
    <t>Tier 1 ratio (reporting date)</t>
  </si>
  <si>
    <t>CET1 ratio (reporting date)</t>
  </si>
  <si>
    <t>Type of CRE (including tranche where relevant)</t>
  </si>
  <si>
    <t>FN10, 21(c)</t>
  </si>
  <si>
    <t>Other deposits from members of a cooperative network of banks</t>
  </si>
  <si>
    <t>21(c), 24, 25(a)</t>
  </si>
  <si>
    <t>Added paragraph reference</t>
  </si>
  <si>
    <t>Derivative liabilities, gross of variation margin posted</t>
  </si>
  <si>
    <t>Of which are derivative liabilities where the counterparty is exempt from BCBS-IOSCO margin requirements; of which:</t>
  </si>
  <si>
    <t>19, 20, FN 6</t>
  </si>
  <si>
    <t>Initial margin received, in the form of any collateral type, from counterparties exempt from BCBS-IOSCO margin requirements; of which:</t>
  </si>
  <si>
    <t>Securities held where the institution has an offsetting reverse repurchase transaction when the security on each transaction has the same unique identifier (eg ISIN number or CUSIP) and such securities are reported on the balance sheet of the reporting instutions; of which:</t>
  </si>
  <si>
    <t>Securities eligible as Level 1 HQLA for the LCR, of which:</t>
  </si>
  <si>
    <t>Securities eligible for Level 2A HQLA for the LCR, of which:</t>
  </si>
  <si>
    <t xml:space="preserve">Securities eligible for Level 2B HQLA for the LCR, of which: </t>
  </si>
  <si>
    <t>Physical traded commodities including gold; of which:</t>
  </si>
  <si>
    <t>Of which are derivative assets where the counterparty is exempt from BCBS-IOSCO margin requirements; of which:</t>
  </si>
  <si>
    <t>Cash variation margin received, meeting conditions as specified in paragraph 25 of the Basel III leverage ratio framework and disclosure requirements</t>
  </si>
  <si>
    <t>Of which is received from counterparties exempted from BCBS-IOSCO margin requirements; of which:</t>
  </si>
  <si>
    <t>Of which is received from counterparties exempted from BCBS-IOSCO margin requirements</t>
  </si>
  <si>
    <t>Other variation margin received</t>
  </si>
  <si>
    <t>Initial margin posted on bank's own behalf, in the form of any collateral type, according to residual maturity of associated derivative contract(s)</t>
  </si>
  <si>
    <t>Initial margin posted on bank’s own behalf, in the form of any collateral type, to counterparties exempt from BCBS-IOSCO margin requirements; of which:</t>
  </si>
  <si>
    <t xml:space="preserve">Securities eligible for Level 2A HQLA for the LCR, of which: </t>
  </si>
  <si>
    <t>Loans to retail and small- and medium-sized entities (SME) (excluding residential mortgages reported above) with a residual maturity of less than one year; of which:</t>
  </si>
  <si>
    <t>Holdings of Common Equity Tier 1 net of short positions subject to risk weighting treatment</t>
  </si>
  <si>
    <t>Holdings of Additional Tier 1 capital net of short positions subject to risk weighting treatment</t>
  </si>
  <si>
    <t>Holdings of Tier 2 capital net of short positions subject to risk weighting treatment</t>
  </si>
  <si>
    <r>
      <t xml:space="preserve">D) Deposit breakdown for EU banks </t>
    </r>
    <r>
      <rPr>
        <b/>
        <sz val="12"/>
        <color rgb="FFAA322F"/>
        <rFont val="Segoe UI"/>
        <family val="2"/>
      </rPr>
      <t>(EU banks only</t>
    </r>
    <r>
      <rPr>
        <b/>
        <sz val="12"/>
        <rFont val="Segoe UI"/>
        <family val="2"/>
      </rPr>
      <t>, see BRRD Article 108</t>
    </r>
    <r>
      <rPr>
        <b/>
        <sz val="12"/>
        <color rgb="FFAA322F"/>
        <rFont val="Segoe UI"/>
        <family val="2"/>
      </rPr>
      <t>)</t>
    </r>
  </si>
  <si>
    <t>Trading book QIS internal models approach: P&amp;L attribution</t>
  </si>
  <si>
    <t>A) Hypothetical P&amp;L at desk level</t>
  </si>
  <si>
    <t>Date</t>
  </si>
  <si>
    <t>T</t>
  </si>
  <si>
    <t>Sec-IRBA</t>
  </si>
  <si>
    <t>Sec-ERBA</t>
  </si>
  <si>
    <t>Sec-SA</t>
  </si>
  <si>
    <t>Approach of the hierarchy</t>
  </si>
  <si>
    <t>Location of External TLAC issuance (to be completed for a G-SIB)</t>
  </si>
  <si>
    <t>Unsecured liabilities</t>
  </si>
  <si>
    <t>Residual maturity</t>
  </si>
  <si>
    <t xml:space="preserve">Location of issuance      
</t>
  </si>
  <si>
    <t>US</t>
  </si>
  <si>
    <t>UK</t>
  </si>
  <si>
    <t>JP</t>
  </si>
  <si>
    <t>HK</t>
  </si>
  <si>
    <t>of which EU home country</t>
  </si>
  <si>
    <t>EU (excl UK)</t>
  </si>
  <si>
    <t>total</t>
  </si>
  <si>
    <t>Case</t>
  </si>
  <si>
    <t>Average original maturity</t>
  </si>
  <si>
    <t>Not governed by home law and with no equivalent binding statutory or contractual provision for cross-border recognition of resolution actions (Sect. 16)</t>
  </si>
  <si>
    <t>Contractually subordinated (Section 13 a)</t>
  </si>
  <si>
    <t>Structurally subordinated (Section 13 c)</t>
  </si>
  <si>
    <t>Total subordinated liabilities excluding regulatory capital, issued by the resolution entity, meeting the Term Sheet criteria</t>
  </si>
  <si>
    <t>Total senior liabilities excluding regulatory capital, issued by the resolution entity, meeting the Term Sheet criteria not taking into consideration the subordination criteria (Section 13a, 13b and 13c)</t>
  </si>
  <si>
    <t>1b</t>
  </si>
  <si>
    <t>3b</t>
  </si>
  <si>
    <t>5b</t>
  </si>
  <si>
    <t xml:space="preserve">Unsecured liabilities with remaining maturity less than 1 year </t>
  </si>
  <si>
    <t>Case 1 - subordinated meeting all Term Sheet criteria</t>
  </si>
  <si>
    <t>Case 3 - senior not subordinated issued by the resolution entity</t>
  </si>
  <si>
    <t>&lt; 1 yr</t>
  </si>
  <si>
    <t>(a)</t>
  </si>
  <si>
    <t>(b)</t>
  </si>
  <si>
    <t>(c)</t>
  </si>
  <si>
    <r>
      <rPr>
        <sz val="10"/>
        <rFont val="Arial"/>
        <family val="2"/>
      </rPr>
      <t>≥</t>
    </r>
    <r>
      <rPr>
        <sz val="10"/>
        <rFont val="Segoe UI"/>
        <family val="2"/>
      </rPr>
      <t xml:space="preserve"> 1 yr</t>
    </r>
  </si>
  <si>
    <r>
      <t xml:space="preserve">Trading book QIS standardised approach − </t>
    </r>
    <r>
      <rPr>
        <b/>
        <sz val="20"/>
        <color rgb="FFAA322F"/>
        <rFont val="Segoe UI"/>
        <family val="2"/>
      </rPr>
      <t>revised</t>
    </r>
    <r>
      <rPr>
        <b/>
        <sz val="20"/>
        <rFont val="Segoe UI"/>
        <family val="2"/>
      </rPr>
      <t xml:space="preserve"> boundary</t>
    </r>
  </si>
  <si>
    <t>Delta risks</t>
  </si>
  <si>
    <t>∑1</t>
  </si>
  <si>
    <t>∑(1-x)</t>
  </si>
  <si>
    <t>∑rho+(1+x)</t>
  </si>
  <si>
    <t>∑rho-(1-x)</t>
  </si>
  <si>
    <r>
      <t>0.25yr</t>
    </r>
    <r>
      <rPr>
        <b/>
        <sz val="10"/>
        <rFont val="Arial"/>
        <family val="2"/>
      </rPr>
      <t>−</t>
    </r>
    <r>
      <rPr>
        <b/>
        <sz val="10"/>
        <rFont val="Segoe UI"/>
        <family val="2"/>
      </rPr>
      <t>0.5yr</t>
    </r>
  </si>
  <si>
    <t>0.25yr−1yr</t>
  </si>
  <si>
    <t>0.25yr−2yr</t>
  </si>
  <si>
    <t>0.25yr−3yr</t>
  </si>
  <si>
    <t>0.25yr−5yr</t>
  </si>
  <si>
    <t>0.25yr−10yr</t>
  </si>
  <si>
    <t>0.25yr−15yr</t>
  </si>
  <si>
    <t>0.25yr−20yr</t>
  </si>
  <si>
    <t>0.25yr−30yr</t>
  </si>
  <si>
    <t>0.25yr−inflation</t>
  </si>
  <si>
    <t>0.5yr−1yr</t>
  </si>
  <si>
    <t>0.5yr−2yr</t>
  </si>
  <si>
    <t>0.5yr−3yr</t>
  </si>
  <si>
    <t>0.5yr−5yr</t>
  </si>
  <si>
    <t>0.5yr−10yr</t>
  </si>
  <si>
    <t>0.5yr−15yr</t>
  </si>
  <si>
    <t>0.5yr−20yr</t>
  </si>
  <si>
    <t>0.5yr−30yr</t>
  </si>
  <si>
    <t>0.5yr−inflation</t>
  </si>
  <si>
    <t>1yr−5yr</t>
  </si>
  <si>
    <t>1yr−3yr</t>
  </si>
  <si>
    <t>1yr−2yr</t>
  </si>
  <si>
    <t>1yr−10yr</t>
  </si>
  <si>
    <t>1yr−15yr</t>
  </si>
  <si>
    <t>1yr−20yr</t>
  </si>
  <si>
    <t>1yr−30yr</t>
  </si>
  <si>
    <t>1yr−inflation</t>
  </si>
  <si>
    <t>2yr−3yr</t>
  </si>
  <si>
    <t>2yr−5yr</t>
  </si>
  <si>
    <t>2yr−10yr</t>
  </si>
  <si>
    <t>2yr−15yr</t>
  </si>
  <si>
    <t>2yr−20yr</t>
  </si>
  <si>
    <t>2yr−30yr</t>
  </si>
  <si>
    <t>2yr−inflation</t>
  </si>
  <si>
    <t>3yr−5yr</t>
  </si>
  <si>
    <t>3yr−10yr</t>
  </si>
  <si>
    <t>3yr−15yr</t>
  </si>
  <si>
    <t>3yr−20yr</t>
  </si>
  <si>
    <t>3yr−30yr</t>
  </si>
  <si>
    <t>3yr−inflation</t>
  </si>
  <si>
    <t>5yr−10yr</t>
  </si>
  <si>
    <t>5yr−15yr</t>
  </si>
  <si>
    <t>5yr−20yr</t>
  </si>
  <si>
    <t>5yr−30yr</t>
  </si>
  <si>
    <t>5yr−inflation</t>
  </si>
  <si>
    <t>10yr−15yr</t>
  </si>
  <si>
    <t>10yr−20yr</t>
  </si>
  <si>
    <t>10yr−30yr</t>
  </si>
  <si>
    <t>10yr−inflation</t>
  </si>
  <si>
    <t>15yr−20yr</t>
  </si>
  <si>
    <t>15yr−30yr</t>
  </si>
  <si>
    <t>15yr−inflation</t>
  </si>
  <si>
    <t>20yr−30yr</t>
  </si>
  <si>
    <t>20yr−inflation</t>
  </si>
  <si>
    <t>30yr−inflation</t>
  </si>
  <si>
    <t>Vega risks</t>
  </si>
  <si>
    <t>Curvature risks</t>
  </si>
  <si>
    <t>Scope</t>
  </si>
  <si>
    <r>
      <rPr>
        <b/>
        <sz val="10"/>
        <color rgb="FFAA322F"/>
        <rFont val="Segoe UI"/>
        <family val="2"/>
      </rPr>
      <t>listed</t>
    </r>
    <r>
      <rPr>
        <b/>
        <sz val="10"/>
        <rFont val="Segoe UI"/>
        <family val="2"/>
      </rPr>
      <t xml:space="preserve"> currencies</t>
    </r>
  </si>
  <si>
    <r>
      <rPr>
        <b/>
        <sz val="10"/>
        <color rgb="FFAA322F"/>
        <rFont val="Segoe UI"/>
        <family val="2"/>
      </rPr>
      <t>all</t>
    </r>
    <r>
      <rPr>
        <b/>
        <sz val="10"/>
        <rFont val="Segoe UI"/>
        <family val="2"/>
      </rPr>
      <t xml:space="preserve"> 
currencies</t>
    </r>
  </si>
  <si>
    <t>F) Default risk non-securitisations</t>
  </si>
  <si>
    <t>Use trading book IMA P&amp;L attribution data</t>
  </si>
  <si>
    <t>CRR Art.275</t>
  </si>
  <si>
    <t>Operational risk</t>
  </si>
  <si>
    <t>Total additional Tier 1 capital prior to regulatory adjustments</t>
  </si>
  <si>
    <t>Instruments that meet the additional Tier 1 criteria issued by subsidiaries to third parties that are given recognition in group Additional Tier 1 capital</t>
  </si>
  <si>
    <t>including an incentive to redeem (where the effective maturity date is the date of the incentive to redeem)</t>
  </si>
  <si>
    <t>Other CET1 deductions to be made before the threshold deductions</t>
  </si>
  <si>
    <t>Total liabilities excluding regulatory capital, issued directly or indirectly to the resolution entity, meeting the Term Sheet criteria</t>
  </si>
  <si>
    <t>Total liabilities excluding regulatory capital, issued directly or indirectly to the resolution entity, meeting the Term Sheet criteria not taking into consideration the subordination criterion (Section 13a, b, c)</t>
  </si>
  <si>
    <t>Case 3 (i): Total subordinated unsecured liabilities excluding regulatory capital, liabilities arising through derivatives, liabilities not arising through contract and deposits</t>
  </si>
  <si>
    <t>Total subordinated unsecured liabilities excluding regulatory capital, liabilities arising through derivatives, liabilities not arising through contract and deposits</t>
  </si>
  <si>
    <t>Case 3 (ii): Total senior unsecured liabilities excluding regulatory capital, liabilities arising through derivatives, liabilities not arising through contract and deposits</t>
  </si>
  <si>
    <t>Total senior unsecured liabilities excluding regulatory capital, liabilities arising through derivatives, liabilities not arising through contract and deposits</t>
  </si>
  <si>
    <t>Case 1: Total subordinated liabilities excluding regulatory capital, issued by the resolution entity, meeting the Term Sheet criteria not taking into consideration instruments qualifying by way of the last two paragraphs of section 13 of the term sheet; of which:</t>
  </si>
  <si>
    <t>Case 3: Total subordinated liabilities excluding regulatory capital issued by the resolution entity, meeting the Term Sheet (same as Case 1) plus senior liabilities meeting the term sheet except the subordination criterion (Section 13a, 13b, 13c); of which:</t>
  </si>
  <si>
    <t>Gross holdings of unsecured liabilities in each case, issued by other G-SIBs (or subsidiaries of G-SIBs), not taking into consideration instruments counting towards TLAC by way of the last two paragraphs of section 13 of the term sheet</t>
  </si>
  <si>
    <t>Gross holdings of unsecured liabilities in each case, issued by other G-SIBs (or subsidiaries of G-SIBs), not taking into consideration instruments qualifying as TLAC by way of the last two paragraphs of section 13 of the term sheet</t>
  </si>
  <si>
    <t>Weighted average z-spread (at end-2014, in basis points)</t>
  </si>
  <si>
    <t>(d)</t>
  </si>
  <si>
    <t>Retail exposures; of which:</t>
  </si>
  <si>
    <t>Corporate; of which:</t>
  </si>
  <si>
    <t>Check: securitisation exposures should be lower than or equal total other exposures</t>
  </si>
  <si>
    <t>Memo item: Trade finance exposures</t>
  </si>
  <si>
    <t>∑(rho+)²</t>
  </si>
  <si>
    <r>
      <t>∑max(CVR,0)</t>
    </r>
    <r>
      <rPr>
        <b/>
        <vertAlign val="superscript"/>
        <sz val="10"/>
        <rFont val="Segoe UI"/>
        <family val="2"/>
      </rPr>
      <t>2</t>
    </r>
  </si>
  <si>
    <t>Less than 1 year' to 
'1 year to 3 year'</t>
  </si>
  <si>
    <t>Less than 1 year' to 
'More than 3 year'</t>
  </si>
  <si>
    <t>Different - '1 year to 3 year' to 
'More than 3 year'</t>
  </si>
  <si>
    <t>∑(rho-)²</t>
  </si>
  <si>
    <r>
      <t xml:space="preserve">owned </t>
    </r>
    <r>
      <rPr>
        <b/>
        <sz val="10"/>
        <rFont val="Segoe UI"/>
        <family val="2"/>
      </rPr>
      <t xml:space="preserve">directly </t>
    </r>
    <r>
      <rPr>
        <sz val="10"/>
        <rFont val="Segoe UI"/>
        <family val="2"/>
      </rPr>
      <t xml:space="preserve">by the </t>
    </r>
    <r>
      <rPr>
        <b/>
        <sz val="10"/>
        <rFont val="Segoe UI"/>
        <family val="2"/>
      </rPr>
      <t>resolution entity</t>
    </r>
    <r>
      <rPr>
        <sz val="10"/>
        <rFont val="Segoe UI"/>
        <family val="2"/>
      </rPr>
      <t xml:space="preserve"> (before regulatory adjustments)</t>
    </r>
  </si>
  <si>
    <r>
      <t xml:space="preserve">issued to external investors but counting towards the resolution group's consolidated capital requirements (as per Section 20) (before regulatory adjustments but </t>
    </r>
    <r>
      <rPr>
        <b/>
        <sz val="10"/>
        <rFont val="Segoe UI"/>
        <family val="2"/>
      </rPr>
      <t>after</t>
    </r>
    <r>
      <rPr>
        <sz val="10"/>
        <rFont val="Segoe UI"/>
        <family val="2"/>
      </rPr>
      <t xml:space="preserve"> amortisation</t>
    </r>
    <r>
      <rPr>
        <u/>
        <sz val="10"/>
        <rFont val="Segoe UI"/>
        <family val="2"/>
      </rPr>
      <t>)</t>
    </r>
  </si>
  <si>
    <r>
      <t xml:space="preserve">issued under third country law without any contractual bail-in clause and no equivalent binding statutory provision for cross-border recognition of resolution actions (before regulatory adjustments but </t>
    </r>
    <r>
      <rPr>
        <b/>
        <sz val="10"/>
        <rFont val="Segoe UI"/>
        <family val="2"/>
      </rPr>
      <t>after</t>
    </r>
    <r>
      <rPr>
        <sz val="10"/>
        <rFont val="Segoe UI"/>
        <family val="2"/>
      </rPr>
      <t xml:space="preserve"> amortisation)</t>
    </r>
  </si>
  <si>
    <t>1%−3%</t>
  </si>
  <si>
    <t>4.5%−5.5%</t>
  </si>
  <si>
    <t>1x−3x</t>
  </si>
  <si>
    <t>25%−30%</t>
  </si>
  <si>
    <t>60%−80%</t>
  </si>
  <si>
    <t>1−2 years</t>
  </si>
  <si>
    <t>Office/multipurpose (tranche ≤  60% LTV)</t>
  </si>
  <si>
    <t>Total nominal amount outstanding (at end-2014)</t>
  </si>
  <si>
    <t>Number of G-SIB groups represented in the exposure above</t>
  </si>
  <si>
    <t>Basel III 2022 pure definition of capital minority interest calculation</t>
  </si>
  <si>
    <t>43(d)</t>
  </si>
  <si>
    <t>new row; Paragraph reference added</t>
  </si>
  <si>
    <t>Total initial margin posted; of which:</t>
  </si>
  <si>
    <t>718cxii</t>
  </si>
  <si>
    <r>
      <t xml:space="preserve">E) Memo item: Investments in the capital of banking, financial and insurance entities that are outside the scope of regulatory consolidation and </t>
    </r>
    <r>
      <rPr>
        <b/>
        <sz val="13"/>
        <color rgb="FFC00000"/>
        <rFont val="Segoe UI"/>
        <family val="2"/>
      </rPr>
      <t>below the threshold for deduction</t>
    </r>
  </si>
  <si>
    <t>Sovereign exposures; of which</t>
  </si>
  <si>
    <t>Domestic sovereign exposures</t>
  </si>
  <si>
    <r>
      <t xml:space="preserve">A) Risk-weighted assets according to the framework in place </t>
    </r>
    <r>
      <rPr>
        <b/>
        <sz val="13"/>
        <color rgb="FFAA322F"/>
        <rFont val="Segoe UI"/>
        <family val="2"/>
      </rPr>
      <t>at the reporting date</t>
    </r>
  </si>
  <si>
    <t>Sovereign exposures in the trading book; of which</t>
  </si>
  <si>
    <t>Domestic sovereign exposures in the trading book</t>
  </si>
  <si>
    <t>Total initial margin received</t>
  </si>
  <si>
    <t>Of which, initial margin received in the form of cash</t>
  </si>
  <si>
    <t>Of which, initial margin received in the form of Level 1 securities</t>
  </si>
  <si>
    <t>Of which, initial margin received in the form of all other collateral</t>
  </si>
  <si>
    <t>Of which, is initial margin posted on behalf of a customer</t>
  </si>
  <si>
    <t>Total subordinated liabilities excluding regulatory capital, issued by subsidiaries different from the resolution entity, meeting the Term Sheet criteria not taking into consideration the issuer criteria (Section 9)</t>
  </si>
  <si>
    <t>4(i)</t>
  </si>
  <si>
    <t>4(ii)</t>
  </si>
  <si>
    <t>Structured notes issued by the resolution entity</t>
  </si>
  <si>
    <t>4(i)b</t>
  </si>
  <si>
    <t>Case 4(i) - other subordinated liabilities issued by the resolution entity</t>
  </si>
  <si>
    <t>Case 4(ii) - other senior not subordinated liabilities issued by the resolution entity</t>
  </si>
  <si>
    <t>Case 5 - structured notes issued by the resolution entity</t>
  </si>
  <si>
    <t>Maximum residual yield to maturity (the highest yield to maturity among the securities included in each item, at end-2014, as a percentage)</t>
  </si>
  <si>
    <t>Weighted average residual yield to naturity (at end-2014, as a percentage)</t>
  </si>
  <si>
    <t>Other subordinated liabilities issued by the resolution entity, excluding (i) regulatory capital, (ii) liabilities arising not through contract (Section 12e), (iii) deposits and (iv) all liabilities reported in Case 1 and arising from derivatives</t>
  </si>
  <si>
    <t>Other senior liabilities issued by the resolution entity, excluding (i) regulatory capital, (ii) liabilities arising not through contract (Section 12e), (iii) deposits and (iv) all liabilities reported in Case 3 and arising from derivatives</t>
  </si>
  <si>
    <t xml:space="preserve">Location of resolution entity, if different from US, EU, JP or HK </t>
  </si>
  <si>
    <t>Non-maturity deposits</t>
  </si>
  <si>
    <t>weight cells greyed out; INPUT CELLS MOVED</t>
  </si>
  <si>
    <t>Case 2: Term Sheet criteria not taking into consideration  the subordination criterion (Section 13)</t>
  </si>
  <si>
    <t>Case 3: Total unsecured liabilities excluding regulatory capital, excluding those arising from derivatives, those arising not through contract (Section 12e) and deposits</t>
  </si>
  <si>
    <t>NPL amount</t>
  </si>
  <si>
    <t>&lt; EUR 1m</t>
  </si>
  <si>
    <t>EUR 1m−EUR 5m</t>
  </si>
  <si>
    <r>
      <rPr>
        <sz val="11"/>
        <color theme="1"/>
        <rFont val="Segoe UI"/>
        <family val="2"/>
      </rPr>
      <t xml:space="preserve">EUR </t>
    </r>
    <r>
      <rPr>
        <sz val="10"/>
        <color theme="1"/>
        <rFont val="Segoe UI"/>
        <family val="2"/>
      </rPr>
      <t>5m−</t>
    </r>
    <r>
      <rPr>
        <sz val="11"/>
        <color theme="1"/>
        <rFont val="Segoe UI"/>
        <family val="2"/>
      </rPr>
      <t xml:space="preserve">EUR </t>
    </r>
    <r>
      <rPr>
        <sz val="10"/>
        <color theme="1"/>
        <rFont val="Segoe UI"/>
        <family val="2"/>
      </rPr>
      <t>50m</t>
    </r>
  </si>
  <si>
    <r>
      <rPr>
        <sz val="11"/>
        <color theme="1"/>
        <rFont val="Segoe UI"/>
        <family val="2"/>
      </rPr>
      <t xml:space="preserve">EUR </t>
    </r>
    <r>
      <rPr>
        <sz val="10"/>
        <color theme="1"/>
        <rFont val="Segoe UI"/>
        <family val="2"/>
      </rPr>
      <t>50m−</t>
    </r>
    <r>
      <rPr>
        <sz val="11"/>
        <color theme="1"/>
        <rFont val="Segoe UI"/>
        <family val="2"/>
      </rPr>
      <t xml:space="preserve">EUR </t>
    </r>
    <r>
      <rPr>
        <sz val="10"/>
        <color theme="1"/>
        <rFont val="Segoe UI"/>
        <family val="2"/>
      </rPr>
      <t>100m</t>
    </r>
  </si>
  <si>
    <r>
      <rPr>
        <sz val="11"/>
        <color theme="1"/>
        <rFont val="Segoe UI"/>
        <family val="2"/>
      </rPr>
      <t xml:space="preserve">EUR </t>
    </r>
    <r>
      <rPr>
        <sz val="10"/>
        <color theme="1"/>
        <rFont val="Segoe UI"/>
        <family val="2"/>
      </rPr>
      <t>100m−</t>
    </r>
    <r>
      <rPr>
        <sz val="11"/>
        <color theme="1"/>
        <rFont val="Segoe UI"/>
        <family val="2"/>
      </rPr>
      <t>EUR 5</t>
    </r>
    <r>
      <rPr>
        <sz val="10"/>
        <color theme="1"/>
        <rFont val="Segoe UI"/>
        <family val="2"/>
      </rPr>
      <t>00m</t>
    </r>
  </si>
  <si>
    <t>EUR 500m−EUR 1bn</t>
  </si>
  <si>
    <t>&gt; EUR 1bn</t>
  </si>
  <si>
    <t>&lt; 0%</t>
  </si>
  <si>
    <t>10% &lt;</t>
  </si>
  <si>
    <t>Not audited</t>
  </si>
  <si>
    <t>0%−5%</t>
  </si>
  <si>
    <t>5%−10%</t>
  </si>
  <si>
    <t>40%−45%</t>
  </si>
  <si>
    <t>45%−50%</t>
  </si>
  <si>
    <t>≤ 3x</t>
  </si>
  <si>
    <t>5x−6x</t>
  </si>
  <si>
    <t>&gt; 6x</t>
  </si>
  <si>
    <t>Simple leverage ratio: 
Tier 1/(Total assets)</t>
  </si>
  <si>
    <t>Legal entity</t>
  </si>
  <si>
    <t>Securities firm</t>
  </si>
  <si>
    <t>Top tier holding company</t>
  </si>
  <si>
    <t>Depository institution</t>
  </si>
  <si>
    <t>Decile by DSR (net basis)</t>
  </si>
  <si>
    <t>For exposures with a currency mismatch</t>
  </si>
  <si>
    <t xml:space="preserve">Weighted average PD </t>
  </si>
  <si>
    <t>Weighted average LGD</t>
  </si>
  <si>
    <t>Residential real estate</t>
  </si>
  <si>
    <t>Retail exposures</t>
  </si>
  <si>
    <t>Weighted average PD given stressed scenario with…</t>
  </si>
  <si>
    <t>40% currency depreciation</t>
  </si>
  <si>
    <t>77% currency depreciation</t>
  </si>
  <si>
    <t>Weighted average LGD given stressed scenario with…</t>
  </si>
  <si>
    <t>Total limit (facility) granted (drawn + undrawn exposures)</t>
  </si>
  <si>
    <t>average CCF (%)</t>
  </si>
  <si>
    <t>5) Commitments that are unconditionally cancellable at any time by the bank without prior notice, or that effectively provide for automatic cancellation due to deterioration in a borrower’s creditworthiness</t>
  </si>
  <si>
    <t>C) Exposures with a currency mismatch</t>
  </si>
  <si>
    <t>D) CCFs applied by AIRB banks</t>
  </si>
  <si>
    <t>Undrawn exposures 
(pre CCF)</t>
  </si>
  <si>
    <t>1) Note issuance facilities (NIFs) and revolving underwriting facilities (RUFs) regardless of the maturity of the underlying facility</t>
  </si>
  <si>
    <t>1a) Note issuance facilities (NIFs) and revolving underwriting facilities (RUFs) with an original maturity over one year</t>
  </si>
  <si>
    <t>1b) Note issuance facilities (NIFs) and revolving underwriting facilities (RUFs) with an original maturity of less than one year</t>
  </si>
  <si>
    <t>2) Commitments regardless of the maturity, except  those unconditionally cancellable</t>
  </si>
  <si>
    <t>2a) Commitments with an orginial maturity over one year, except those unconditionally cancellable</t>
  </si>
  <si>
    <t>2b) Commitments with an orginial maturity up to  one year, except those unconditionally cancellable</t>
  </si>
  <si>
    <t>3) Certain transaction-related contingent items (e.g. performance bonds, bid bonds, warranties and standby letters of credit related to particular transactions)</t>
  </si>
  <si>
    <t>4) short-term self-liquidating trade letters of credit arising from the movement of goods (e.g. documentary credits collateralised by the underlying shipment), to both issuing and confirming banks</t>
  </si>
  <si>
    <t>Exposures subject to partial use of the SA</t>
  </si>
  <si>
    <t>Average RW for partial use exposures exposures</t>
  </si>
  <si>
    <t>Portfolio</t>
  </si>
  <si>
    <t>Internal TLAC (to be completed for a G-SIB)</t>
  </si>
  <si>
    <t>Total risk-weighted assets of the material subsidiary (sub-consolidated basis)</t>
  </si>
  <si>
    <t>Basel leverage exposure measure of the material subsidiary (sub-consolidated basis)</t>
  </si>
  <si>
    <t>Total risk-weighted assets of the material subsidiary (stand-alone basis)</t>
  </si>
  <si>
    <t>Basel leverage exposure measure of the material subsidiary (stand-alone basis)</t>
  </si>
  <si>
    <t xml:space="preserve">I) Memo items related to initial margin for centrally cleared derivative transactions </t>
  </si>
  <si>
    <t>Amount (not deducted)</t>
  </si>
  <si>
    <t>RWA (for amount not deducted)</t>
  </si>
  <si>
    <t>issued, via subsidiary of the material subsidiary, to external investors but counting towards the resolution group’s consolidated capital requirements (as per Section 20)</t>
  </si>
  <si>
    <t>C) National discretion items LCR</t>
  </si>
  <si>
    <t>D) Supervisory parameters trading book</t>
  </si>
  <si>
    <t>E) Drop-down menus</t>
  </si>
  <si>
    <t>B) Reporting discretion definition of capital</t>
  </si>
  <si>
    <t>Provide 2022 national implementation</t>
  </si>
  <si>
    <t>Provide 2022 Basel III pure</t>
  </si>
  <si>
    <t>Data to be provided in the relevant column</t>
  </si>
  <si>
    <r>
      <t xml:space="preserve">owned </t>
    </r>
    <r>
      <rPr>
        <b/>
        <sz val="10"/>
        <rFont val="Segoe UI"/>
        <family val="2"/>
      </rPr>
      <t xml:space="preserve">directly </t>
    </r>
    <r>
      <rPr>
        <sz val="10"/>
        <rFont val="Segoe UI"/>
        <family val="2"/>
      </rPr>
      <t xml:space="preserve">by the </t>
    </r>
    <r>
      <rPr>
        <b/>
        <sz val="10"/>
        <rFont val="Segoe UI"/>
        <family val="2"/>
      </rPr>
      <t>resolution entity</t>
    </r>
    <r>
      <rPr>
        <sz val="10"/>
        <rFont val="Segoe UI"/>
        <family val="2"/>
      </rPr>
      <t xml:space="preserve"> (before regulatory adjustments) ie no intermediate entities</t>
    </r>
  </si>
  <si>
    <r>
      <t xml:space="preserve">issued </t>
    </r>
    <r>
      <rPr>
        <b/>
        <sz val="10"/>
        <rFont val="Segoe UI"/>
        <family val="2"/>
      </rPr>
      <t>indirectly</t>
    </r>
    <r>
      <rPr>
        <sz val="10"/>
        <rFont val="Segoe UI"/>
        <family val="2"/>
      </rPr>
      <t xml:space="preserve"> to the resolution entity via intermediate entities (before regulatory adjustments). Note that if the intermediate entity is itself another material subsidiary then it should not populate the amount in rows 9 and 10 to avoid double counting of internal TLAC </t>
    </r>
  </si>
  <si>
    <r>
      <t xml:space="preserve">issued </t>
    </r>
    <r>
      <rPr>
        <b/>
        <sz val="10"/>
        <rFont val="Segoe UI"/>
        <family val="2"/>
      </rPr>
      <t>indirectly</t>
    </r>
    <r>
      <rPr>
        <sz val="10"/>
        <rFont val="Segoe UI"/>
        <family val="2"/>
      </rPr>
      <t xml:space="preserve"> to the resolution entity via intermediate entities (before regulatory adjustments). Note that if the intermediate entity is itself another material subsidiary then it should not populate the amount in rows 14 and 15 to avoid double counting of internal TLAC </t>
    </r>
  </si>
  <si>
    <r>
      <t xml:space="preserve">issued </t>
    </r>
    <r>
      <rPr>
        <b/>
        <sz val="10"/>
        <rFont val="Segoe UI"/>
        <family val="2"/>
      </rPr>
      <t>indirectly</t>
    </r>
    <r>
      <rPr>
        <sz val="10"/>
        <rFont val="Segoe UI"/>
        <family val="2"/>
      </rPr>
      <t xml:space="preserve"> to the resolution entity via intermediate entities (before regulatory adjustments). Note that if the intermediate entity is itself another resolution entity then it should not populate the amount in rows 20 and 21 to avoid double counting of internal TLAC </t>
    </r>
  </si>
  <si>
    <t>EL amount</t>
  </si>
  <si>
    <r>
      <t xml:space="preserve">Summary information on </t>
    </r>
    <r>
      <rPr>
        <b/>
        <sz val="12"/>
        <color rgb="FFC00000"/>
        <rFont val="Segoe UI"/>
        <family val="2"/>
      </rPr>
      <t>whole</t>
    </r>
    <r>
      <rPr>
        <b/>
        <sz val="12"/>
        <rFont val="Segoe UI"/>
        <family val="2"/>
      </rPr>
      <t xml:space="preserve"> credit risk portfolio</t>
    </r>
  </si>
  <si>
    <r>
      <t xml:space="preserve">Summary of data provided </t>
    </r>
    <r>
      <rPr>
        <b/>
        <sz val="12"/>
        <color rgb="FFC00000"/>
        <rFont val="Segoe UI"/>
        <family val="2"/>
      </rPr>
      <t>in breakdown panels below</t>
    </r>
  </si>
  <si>
    <t>F) Trading book</t>
  </si>
  <si>
    <t>G) G-SIB TLAC External</t>
  </si>
  <si>
    <t>H) TLAC holdings (non-GSIB)</t>
  </si>
  <si>
    <t>E) Banking book standardised approach</t>
  </si>
  <si>
    <t>1) BB SA general</t>
  </si>
  <si>
    <t>Highly-rated MDBs</t>
  </si>
  <si>
    <r>
      <t xml:space="preserve">C) Theoretical P&amp;L at desk level </t>
    </r>
    <r>
      <rPr>
        <b/>
        <sz val="12"/>
        <rFont val="Arial"/>
        <family val="2"/>
      </rPr>
      <t>−</t>
    </r>
    <r>
      <rPr>
        <b/>
        <sz val="12"/>
        <rFont val="Segoe UI"/>
        <family val="2"/>
      </rPr>
      <t xml:space="preserve"> </t>
    </r>
    <r>
      <rPr>
        <b/>
        <sz val="12"/>
        <color rgb="FFC00000"/>
        <rFont val="Segoe UI"/>
        <family val="2"/>
      </rPr>
      <t>sensitivities based approach</t>
    </r>
  </si>
  <si>
    <r>
      <t xml:space="preserve">B) Theoretical P&amp;L at desk level </t>
    </r>
    <r>
      <rPr>
        <b/>
        <sz val="12"/>
        <rFont val="Arial"/>
        <family val="2"/>
      </rPr>
      <t>−</t>
    </r>
    <r>
      <rPr>
        <b/>
        <sz val="12"/>
        <rFont val="Segoe UI"/>
        <family val="2"/>
      </rPr>
      <t xml:space="preserve"> </t>
    </r>
    <r>
      <rPr>
        <b/>
        <sz val="12"/>
        <color rgb="FFC00000"/>
        <rFont val="Segoe UI"/>
        <family val="2"/>
      </rPr>
      <t>internal models approach</t>
    </r>
  </si>
  <si>
    <t>1) Trading portfolio</t>
  </si>
  <si>
    <t>Risks not in VaR</t>
  </si>
  <si>
    <t>∑∑(a)</t>
  </si>
  <si>
    <t>∑∑(b)</t>
  </si>
  <si>
    <t>∑∑(c)</t>
  </si>
  <si>
    <t>Scenario a</t>
  </si>
  <si>
    <t>Scenario b</t>
  </si>
  <si>
    <t>Scenario c</t>
  </si>
  <si>
    <t>not eligible for coverage</t>
  </si>
  <si>
    <t>Treated as a bank or according to Basel II paragraph 6</t>
  </si>
  <si>
    <t>Corporates</t>
  </si>
  <si>
    <t>Other deposits at other banks which are members of the same cooperative network of banks; of which:</t>
  </si>
  <si>
    <t>Loans to non-financial corporate clients with a residual maturity of less than one year; of which:</t>
  </si>
  <si>
    <t>Loans to central banks with a residual maturity of less than one year; of which:</t>
  </si>
  <si>
    <t xml:space="preserve">Other short-term unsecured instruments and transactions with a residual maturity of less than one year, of which: </t>
  </si>
  <si>
    <t>Derivative assets, gross of variation margin received</t>
  </si>
  <si>
    <t>Initial margin posted in the form of all other collateral</t>
  </si>
  <si>
    <t>Use operatinal risk data</t>
  </si>
  <si>
    <t>A) Credit risk</t>
  </si>
  <si>
    <t>B) Operational risk</t>
  </si>
  <si>
    <t>1) Current approaches</t>
  </si>
  <si>
    <t>2) New standardised approach (SA)</t>
  </si>
  <si>
    <t>a) Balance sheet and other items</t>
  </si>
  <si>
    <t>b) Income statement</t>
  </si>
  <si>
    <t>Year</t>
  </si>
  <si>
    <t>Total assets</t>
  </si>
  <si>
    <t xml:space="preserve">Interest-earning assets </t>
  </si>
  <si>
    <t xml:space="preserve">Interest-bearing liabilities </t>
  </si>
  <si>
    <t>Gross income</t>
  </si>
  <si>
    <t>Interest income</t>
  </si>
  <si>
    <t>Interest expenses</t>
  </si>
  <si>
    <t>Fee and commission income</t>
  </si>
  <si>
    <t>Fee and commission expenses</t>
  </si>
  <si>
    <t>Net profit (loss) on financial operations (trading book)</t>
  </si>
  <si>
    <t>Net profit (loss) on financial operations (non-trading book)</t>
  </si>
  <si>
    <t>Other operating income; of which:</t>
  </si>
  <si>
    <t>Other operating expenses: of which:</t>
  </si>
  <si>
    <t>Dividend income</t>
  </si>
  <si>
    <t>due to operating leasing</t>
  </si>
  <si>
    <t>Data should be calculated on a resolution entity consolidated basis.</t>
  </si>
  <si>
    <t>ii. Amount of the cash initial margin that is off the bank’s balance sheet but continues to 
           create an off-balance sheet exposure of the bank</t>
  </si>
  <si>
    <t>31, 36(c), 40(c), 43(a)</t>
  </si>
  <si>
    <t>Initial margin in the form of securities that a bank receives from clients for centrally cleared derivative transactions</t>
  </si>
  <si>
    <t>Initial margin in the form of cash that a bank receives from clients for centrally cleared derivative transactions</t>
  </si>
  <si>
    <r>
      <t xml:space="preserve">owned </t>
    </r>
    <r>
      <rPr>
        <b/>
        <sz val="10"/>
        <rFont val="Segoe UI"/>
        <family val="2"/>
      </rPr>
      <t>directly</t>
    </r>
    <r>
      <rPr>
        <sz val="10"/>
        <rFont val="Segoe UI"/>
        <family val="2"/>
      </rPr>
      <t xml:space="preserve"> by</t>
    </r>
    <r>
      <rPr>
        <b/>
        <sz val="10"/>
        <rFont val="Segoe UI"/>
        <family val="2"/>
      </rPr>
      <t xml:space="preserve"> the resolution entity</t>
    </r>
    <r>
      <rPr>
        <sz val="10"/>
        <rFont val="Segoe UI"/>
        <family val="2"/>
      </rPr>
      <t xml:space="preserve"> (before regulatory adjustments and prior to amortisation)</t>
    </r>
  </si>
  <si>
    <t>SA-CCR para ref</t>
  </si>
  <si>
    <t>Total on- and off-balance sheet exposures. Amounts shown should be the LR exposure measure values.</t>
  </si>
  <si>
    <t>2) Other Pillar 1 capital requirements</t>
  </si>
  <si>
    <t>Paragraph 15a</t>
  </si>
  <si>
    <t>Paragraph 15b</t>
  </si>
  <si>
    <t>Paragraph 15c</t>
  </si>
  <si>
    <t>Paragraph 15d</t>
  </si>
  <si>
    <t>Paragraph 15e</t>
  </si>
  <si>
    <t>50 (b), footnote 12</t>
  </si>
  <si>
    <t>73-84</t>
  </si>
  <si>
    <t>75-78</t>
  </si>
  <si>
    <t>∑WS</t>
  </si>
  <si>
    <t>∑rho+.(1+x)</t>
  </si>
  <si>
    <t>∑rho-.(1-x)</t>
  </si>
  <si>
    <t>∑CVR</t>
  </si>
  <si>
    <t>B) Credit spread risk (CSR): non-securitisations</t>
  </si>
  <si>
    <t>Sovereigns including central banks; multilateral development banks</t>
  </si>
  <si>
    <t>Financials including government-backed financials; real estate activities</t>
  </si>
  <si>
    <t>Basic materials, energy, industrials, agriculture, manufacturing, mining and quarrying</t>
  </si>
  <si>
    <t>Consumer goods and services, transportation and storage, administrative and support service activities</t>
  </si>
  <si>
    <t>Health care, utilities, local gov’t, gov’t-backed corporates (non-financial), education, public administration, professional and technical activities</t>
  </si>
  <si>
    <t>Sovereigns including central banks, multilateral development banks</t>
  </si>
  <si>
    <t>Emerging market economies</t>
  </si>
  <si>
    <t>Advanced economies</t>
  </si>
  <si>
    <t>Consumer goods and services, transportation and storage, administrative and support service activities, utilities</t>
  </si>
  <si>
    <t>Basic materials, energy, agriculture, manufacturing, mining and quarrying</t>
  </si>
  <si>
    <t>Financials including gov’t-backed financials, real estate activities, technology</t>
  </si>
  <si>
    <t>All sectors</t>
  </si>
  <si>
    <t>B) Proposed market risk capital charge under the revised boundary</t>
  </si>
  <si>
    <t>Revised standardised approach, SBA; of which:</t>
  </si>
  <si>
    <r>
      <t xml:space="preserve">Revised internal models approach, expected shortfall; of which 
</t>
    </r>
    <r>
      <rPr>
        <b/>
        <sz val="10"/>
        <rFont val="Segoe UI"/>
        <family val="2"/>
      </rPr>
      <t>(ie ACC</t>
    </r>
    <r>
      <rPr>
        <b/>
        <vertAlign val="subscript"/>
        <sz val="10"/>
        <rFont val="Segoe UI"/>
        <family val="2"/>
      </rPr>
      <t>t-1</t>
    </r>
    <r>
      <rPr>
        <b/>
        <sz val="10"/>
        <rFont val="Segoe UI"/>
        <family val="2"/>
      </rPr>
      <t xml:space="preserve"> as defined in paragraph 176 (j)):</t>
    </r>
  </si>
  <si>
    <t>8) NSFR Exceptional central bank liquidity operations</t>
  </si>
  <si>
    <t>F) Capital issued out of subsidiaries to third parties (paragraphs 62−65)</t>
  </si>
  <si>
    <t>SR-relevant</t>
  </si>
  <si>
    <t>6) NSFR RSF on-balance sheet items</t>
  </si>
  <si>
    <t>Average DSC</t>
  </si>
  <si>
    <t>2 (i)</t>
  </si>
  <si>
    <t>2 (ii)</t>
  </si>
  <si>
    <t>Total senior liabilities excluding regulatory capital, issued by subsidiaries different from the resolution entity, meeting the Term Sheet criteria not taking into consideration the issuer criteria (Section 9)</t>
  </si>
  <si>
    <t>2 (i) b</t>
  </si>
  <si>
    <t>2 (ii) b</t>
  </si>
  <si>
    <t>Case 2 (i) - subordinated not issued by the resolution entity</t>
  </si>
  <si>
    <t>Case 2 (ii) - senior not issued by the resolution entity</t>
  </si>
  <si>
    <t>4(ii)b</t>
  </si>
  <si>
    <t xml:space="preserve">The Basel III implementation monitoring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</si>
  <si>
    <t>S2</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</si>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</sst>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Sfr.&quot;* #,##0_-;\-&quot;Sfr.&quot;* #,##0_-;_-&quot;Sfr.&quot;* &quot;-&quot;_-;_-@_-"/>
    <numFmt numFmtId="41" formatCode="_-* #,##0_-;\-* #,##0_-;_-* &quot;-&quot;_-;_-@_-"/>
    <numFmt numFmtId="44" formatCode="_-&quot;Sfr.&quot;* #,##0.00_-;\-&quot;Sfr.&quot;* #,##0.00_-;_-&quot;Sfr.&quot;* &quot;-&quot;??_-;_-@_-"/>
    <numFmt numFmtId="43" formatCode="_-* #,##0.00_-;\-* #,##0.00_-;_-* &quot;-&quot;??_-;_-@_-"/>
    <numFmt numFmtId="164" formatCode="0.0"/>
    <numFmt numFmtId="165" formatCode="0.00000"/>
    <numFmt numFmtId="166" formatCode="0.0000"/>
    <numFmt numFmtId="167" formatCode="0.0000%"/>
    <numFmt numFmtId="168" formatCode="yyyy\-mm\-dd;@"/>
    <numFmt numFmtId="169" formatCode="[&gt;0]General"/>
    <numFmt numFmtId="170" formatCode="&quot;Yes&quot;;[Red]&quot;No&quot;"/>
    <numFmt numFmtId="171" formatCode="0.0%"/>
  </numFmts>
  <fonts count="56" x14ac:knownFonts="1">
    <font>
      <sz val="10"/>
      <name val="Segoe UI"/>
      <family val="2"/>
    </font>
    <font>
      <sz val="11"/>
      <color theme="1"/>
      <name val="Arial"/>
      <family val="2"/>
    </font>
    <font>
      <sz val="10"/>
      <name val="Arial"/>
      <family val="2"/>
    </font>
    <font>
      <b/>
      <sz val="12"/>
      <name val="Arial"/>
      <family val="2"/>
    </font>
    <font>
      <b/>
      <sz val="10"/>
      <name val="Arial"/>
      <family val="2"/>
    </font>
    <font>
      <sz val="8"/>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0"/>
      <color rgb="FFAA322F"/>
      <name val="Arial"/>
      <family val="2"/>
    </font>
    <font>
      <sz val="11"/>
      <color theme="0"/>
      <name val="Arial"/>
      <family val="2"/>
    </font>
    <font>
      <b/>
      <sz val="20"/>
      <name val="Segoe UI"/>
      <family val="2"/>
    </font>
    <font>
      <sz val="14"/>
      <name val="Segoe UI"/>
      <family val="2"/>
    </font>
    <font>
      <sz val="10"/>
      <name val="Segoe UI"/>
      <family val="2"/>
    </font>
    <font>
      <b/>
      <sz val="12"/>
      <name val="Segoe UI"/>
      <family val="2"/>
    </font>
    <font>
      <b/>
      <sz val="10"/>
      <name val="Segoe UI"/>
      <family val="2"/>
    </font>
    <font>
      <sz val="10"/>
      <color rgb="FFAA322F"/>
      <name val="Segoe UI"/>
      <family val="2"/>
    </font>
    <font>
      <sz val="10"/>
      <color rgb="FF008000"/>
      <name val="Segoe UI"/>
      <family val="2"/>
    </font>
    <font>
      <b/>
      <sz val="10"/>
      <color rgb="FFAA322F"/>
      <name val="Segoe UI"/>
      <family val="2"/>
    </font>
    <font>
      <b/>
      <sz val="12"/>
      <color rgb="FFAA322F"/>
      <name val="Segoe UI"/>
      <family val="2"/>
    </font>
    <font>
      <b/>
      <sz val="10"/>
      <color indexed="8"/>
      <name val="Segoe UI"/>
      <family val="2"/>
    </font>
    <font>
      <b/>
      <i/>
      <u/>
      <sz val="10"/>
      <color indexed="8"/>
      <name val="Segoe UI"/>
      <family val="2"/>
    </font>
    <font>
      <sz val="10"/>
      <color indexed="8"/>
      <name val="Segoe UI"/>
      <family val="2"/>
    </font>
    <font>
      <b/>
      <sz val="11"/>
      <color rgb="FFAA322F"/>
      <name val="Segoe UI"/>
      <family val="2"/>
    </font>
    <font>
      <b/>
      <i/>
      <sz val="10"/>
      <color indexed="8"/>
      <name val="Segoe UI"/>
      <family val="2"/>
    </font>
    <font>
      <b/>
      <sz val="12"/>
      <color indexed="8"/>
      <name val="Segoe UI"/>
      <family val="2"/>
    </font>
    <font>
      <b/>
      <sz val="13"/>
      <name val="Segoe UI"/>
      <family val="2"/>
    </font>
    <font>
      <sz val="10"/>
      <color indexed="9"/>
      <name val="Segoe UI"/>
      <family val="2"/>
    </font>
    <font>
      <b/>
      <sz val="20"/>
      <color rgb="FFAA322F"/>
      <name val="Segoe UI"/>
      <family val="2"/>
    </font>
    <font>
      <b/>
      <vertAlign val="subscript"/>
      <sz val="10"/>
      <name val="Segoe UI"/>
      <family val="2"/>
    </font>
    <font>
      <vertAlign val="subscript"/>
      <sz val="10"/>
      <name val="Segoe UI"/>
      <family val="2"/>
    </font>
    <font>
      <b/>
      <sz val="13"/>
      <color theme="3"/>
      <name val="Arial"/>
      <family val="2"/>
    </font>
    <font>
      <sz val="13"/>
      <name val="Segoe UI"/>
      <family val="2"/>
    </font>
    <font>
      <b/>
      <sz val="10"/>
      <color rgb="FFAA322F"/>
      <name val="Cambria"/>
      <family val="1"/>
    </font>
    <font>
      <b/>
      <sz val="12"/>
      <color rgb="FFC00000"/>
      <name val="Segoe UI"/>
      <family val="2"/>
    </font>
    <font>
      <b/>
      <sz val="10"/>
      <name val="Cambria"/>
      <family val="1"/>
    </font>
    <font>
      <u/>
      <sz val="10"/>
      <name val="Segoe UI"/>
      <family val="2"/>
    </font>
    <font>
      <sz val="10"/>
      <color theme="1"/>
      <name val="Segoe UI"/>
      <family val="2"/>
    </font>
    <font>
      <sz val="11"/>
      <color theme="0"/>
      <name val="Calibri"/>
      <family val="2"/>
      <scheme val="minor"/>
    </font>
    <font>
      <b/>
      <sz val="13"/>
      <color rgb="FFC00000"/>
      <name val="Segoe UI"/>
      <family val="2"/>
    </font>
    <font>
      <sz val="10"/>
      <color rgb="FFFF0000"/>
      <name val="Segoe UI"/>
      <family val="2"/>
    </font>
    <font>
      <b/>
      <vertAlign val="superscript"/>
      <sz val="10"/>
      <name val="Segoe UI"/>
      <family val="2"/>
    </font>
    <font>
      <b/>
      <sz val="13"/>
      <color rgb="FFAA322F"/>
      <name val="Segoe UI"/>
      <family val="2"/>
    </font>
    <font>
      <sz val="11"/>
      <color theme="1"/>
      <name val="Segoe UI"/>
      <family val="2"/>
    </font>
    <font>
      <b/>
      <sz val="10"/>
      <name val="Segoe UI Semibold"/>
      <family val="2"/>
    </font>
    <font>
      <sz val="10"/>
      <color theme="0"/>
      <name val="Segoe UI"/>
      <family val="2"/>
    </font>
    <font>
      <b/>
      <sz val="16"/>
      <name val="Arial"/>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D5D6D2"/>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C72"/>
        <bgColor indexed="64"/>
      </patternFill>
    </fill>
    <fill>
      <patternFill patternType="solid">
        <fgColor rgb="FFFFEC72"/>
        <bgColor indexed="45"/>
      </patternFill>
    </fill>
    <fill>
      <patternFill patternType="solid">
        <fgColor rgb="FFEAA121"/>
        <bgColor indexed="64"/>
      </patternFill>
    </fill>
    <fill>
      <patternFill patternType="solid">
        <fgColor rgb="FFD8E4BC"/>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indexed="47"/>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rgb="FFBCBDBC"/>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indexed="64"/>
      </right>
      <top style="thin">
        <color indexed="64"/>
      </top>
      <bottom style="thin">
        <color indexed="64"/>
      </bottom>
      <diagonal/>
    </border>
    <border>
      <left style="thin">
        <color indexed="64"/>
      </left>
      <right style="thin">
        <color rgb="FFBCBDBC"/>
      </right>
      <top style="thin">
        <color indexed="64"/>
      </top>
      <bottom style="thin">
        <color rgb="FFBCBDBC"/>
      </bottom>
      <diagonal/>
    </border>
    <border>
      <left style="thin">
        <color rgb="FFBCBDBC"/>
      </left>
      <right style="thin">
        <color rgb="FFBCBDBC"/>
      </right>
      <top style="thin">
        <color indexed="64"/>
      </top>
      <bottom style="thin">
        <color rgb="FFBCBDBC"/>
      </bottom>
      <diagonal/>
    </border>
    <border>
      <left style="thin">
        <color indexed="64"/>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rgb="FFBCBDBC"/>
      </bottom>
      <diagonal/>
    </border>
    <border>
      <left style="thin">
        <color indexed="64"/>
      </left>
      <right style="thin">
        <color rgb="FFBCBDBC"/>
      </right>
      <top style="thin">
        <color rgb="FFBCBDBC"/>
      </top>
      <bottom style="thin">
        <color indexed="64"/>
      </bottom>
      <diagonal/>
    </border>
    <border>
      <left style="thin">
        <color rgb="FFBCBDBC"/>
      </left>
      <right style="thin">
        <color rgb="FFBCBDBC"/>
      </right>
      <top style="thin">
        <color rgb="FFBCBDBC"/>
      </top>
      <bottom style="thin">
        <color indexed="64"/>
      </bottom>
      <diagonal/>
    </border>
    <border>
      <left style="thin">
        <color rgb="FFBCBDBC"/>
      </left>
      <right style="thin">
        <color rgb="FFBCBDBC"/>
      </right>
      <top/>
      <bottom style="thin">
        <color rgb="FFBCBDBC"/>
      </bottom>
      <diagonal/>
    </border>
    <border>
      <left/>
      <right style="thin">
        <color rgb="FFBCBDBC"/>
      </right>
      <top style="thin">
        <color indexed="64"/>
      </top>
      <bottom style="thin">
        <color indexed="64"/>
      </bottom>
      <diagonal/>
    </border>
    <border>
      <left/>
      <right style="thin">
        <color rgb="FFBCBDBC"/>
      </right>
      <top style="thin">
        <color indexed="64"/>
      </top>
      <bottom style="thin">
        <color rgb="FFBCBDBC"/>
      </bottom>
      <diagonal/>
    </border>
    <border>
      <left/>
      <right style="thin">
        <color rgb="FFBCBDBC"/>
      </right>
      <top style="thin">
        <color rgb="FFBCBDBC"/>
      </top>
      <bottom style="thin">
        <color rgb="FFBCBDBC"/>
      </bottom>
      <diagonal/>
    </border>
    <border>
      <left/>
      <right style="thin">
        <color rgb="FFBCBDBC"/>
      </right>
      <top style="thin">
        <color rgb="FFBCBDBC"/>
      </top>
      <bottom style="thin">
        <color indexed="64"/>
      </bottom>
      <diagonal/>
    </border>
    <border>
      <left/>
      <right/>
      <top style="thin">
        <color indexed="64"/>
      </top>
      <bottom style="thin">
        <color rgb="FFBCBDBC"/>
      </bottom>
      <diagonal/>
    </border>
    <border>
      <left/>
      <right/>
      <top style="thin">
        <color rgb="FFBCBDBC"/>
      </top>
      <bottom style="thin">
        <color rgb="FFBCBDBC"/>
      </bottom>
      <diagonal/>
    </border>
    <border>
      <left/>
      <right/>
      <top style="thin">
        <color rgb="FFBCBDBC"/>
      </top>
      <bottom style="thin">
        <color indexed="64"/>
      </bottom>
      <diagonal/>
    </border>
    <border>
      <left style="thin">
        <color rgb="FFBCBDBC"/>
      </left>
      <right/>
      <top style="thin">
        <color indexed="64"/>
      </top>
      <bottom style="thin">
        <color indexed="64"/>
      </bottom>
      <diagonal/>
    </border>
    <border>
      <left style="thin">
        <color rgb="FFBCBDBC"/>
      </left>
      <right/>
      <top style="thin">
        <color indexed="64"/>
      </top>
      <bottom style="thin">
        <color rgb="FFBCBDBC"/>
      </bottom>
      <diagonal/>
    </border>
    <border>
      <left style="thin">
        <color rgb="FFBCBDBC"/>
      </left>
      <right/>
      <top style="thin">
        <color rgb="FFBCBDBC"/>
      </top>
      <bottom style="thin">
        <color indexed="64"/>
      </bottom>
      <diagonal/>
    </border>
    <border>
      <left/>
      <right style="thin">
        <color rgb="FFBCBDBC"/>
      </right>
      <top style="thin">
        <color indexed="64"/>
      </top>
      <bottom/>
      <diagonal/>
    </border>
    <border>
      <left/>
      <right style="thin">
        <color rgb="FFBCBDBC"/>
      </right>
      <top/>
      <bottom style="thin">
        <color indexed="64"/>
      </bottom>
      <diagonal/>
    </border>
    <border>
      <left style="thin">
        <color rgb="FFBCBDBC"/>
      </left>
      <right/>
      <top style="thin">
        <color rgb="FFBCBDBC"/>
      </top>
      <bottom style="thin">
        <color rgb="FFBCBDBC"/>
      </bottom>
      <diagonal/>
    </border>
    <border>
      <left style="thin">
        <color rgb="FFBCBDBC"/>
      </left>
      <right/>
      <top/>
      <bottom style="thin">
        <color rgb="FFBCBDBC"/>
      </bottom>
      <diagonal/>
    </border>
    <border>
      <left/>
      <right style="thin">
        <color rgb="FFBCBDBC"/>
      </right>
      <top/>
      <bottom style="thin">
        <color rgb="FFBCBDBC"/>
      </bottom>
      <diagonal/>
    </border>
    <border>
      <left/>
      <right/>
      <top style="thin">
        <color rgb="FFBCBDBC"/>
      </top>
      <bottom/>
      <diagonal/>
    </border>
    <border>
      <left style="thin">
        <color rgb="FFBCBDBC"/>
      </left>
      <right style="thin">
        <color rgb="FFBCBDBC"/>
      </right>
      <top style="thin">
        <color rgb="FFBCBDBC"/>
      </top>
      <bottom/>
      <diagonal/>
    </border>
    <border>
      <left/>
      <right style="thin">
        <color rgb="FFBCBDBC"/>
      </right>
      <top style="thin">
        <color rgb="FFBCBDBC"/>
      </top>
      <bottom/>
      <diagonal/>
    </border>
    <border>
      <left style="thin">
        <color rgb="FFBCBDBC"/>
      </left>
      <right/>
      <top style="thin">
        <color rgb="FFBCBDBC"/>
      </top>
      <bottom/>
      <diagonal/>
    </border>
    <border>
      <left style="thin">
        <color rgb="FFBCBDBC"/>
      </left>
      <right style="thin">
        <color rgb="FFBCBDBC"/>
      </right>
      <top style="thin">
        <color indexed="64"/>
      </top>
      <bottom/>
      <diagonal/>
    </border>
    <border>
      <left style="thin">
        <color rgb="FFBCBDBC"/>
      </left>
      <right style="thin">
        <color rgb="FFBCBDBC"/>
      </right>
      <top/>
      <bottom style="thin">
        <color indexed="64"/>
      </bottom>
      <diagonal/>
    </border>
    <border>
      <left style="thin">
        <color rgb="FFBCBDBC"/>
      </left>
      <right/>
      <top style="thin">
        <color indexed="64"/>
      </top>
      <bottom/>
      <diagonal/>
    </border>
    <border>
      <left style="thin">
        <color rgb="FFBCBDBC"/>
      </left>
      <right/>
      <top/>
      <bottom style="thin">
        <color indexed="64"/>
      </bottom>
      <diagonal/>
    </border>
    <border>
      <left style="thin">
        <color rgb="FFBCBDBC"/>
      </left>
      <right style="thin">
        <color rgb="FFBCBDBC"/>
      </right>
      <top/>
      <bottom/>
      <diagonal/>
    </border>
    <border>
      <left style="thin">
        <color rgb="FFBCBDBC"/>
      </left>
      <right/>
      <top/>
      <bottom/>
      <diagonal/>
    </border>
    <border>
      <left/>
      <right/>
      <top/>
      <bottom style="thin">
        <color rgb="FFBCBDBC"/>
      </bottom>
      <diagonal/>
    </border>
    <border>
      <left style="thin">
        <color theme="0" tint="-0.24994659260841701"/>
      </left>
      <right style="thin">
        <color rgb="FFBCBDBC"/>
      </right>
      <top style="thin">
        <color indexed="64"/>
      </top>
      <bottom style="thin">
        <color rgb="FFBCBDBC"/>
      </bottom>
      <diagonal/>
    </border>
    <border>
      <left style="thin">
        <color theme="0" tint="-0.24994659260841701"/>
      </left>
      <right style="thin">
        <color rgb="FFBCBDBC"/>
      </right>
      <top style="thin">
        <color rgb="FFBCBDBC"/>
      </top>
      <bottom style="thin">
        <color rgb="FFBCBDBC"/>
      </bottom>
      <diagonal/>
    </border>
    <border>
      <left style="thin">
        <color theme="0" tint="-0.24994659260841701"/>
      </left>
      <right style="thin">
        <color rgb="FFBCBDBC"/>
      </right>
      <top style="thin">
        <color rgb="FFBCBDBC"/>
      </top>
      <bottom style="thin">
        <color indexed="64"/>
      </bottom>
      <diagonal/>
    </border>
    <border>
      <left/>
      <right style="thin">
        <color rgb="FFBCBDBC"/>
      </right>
      <top/>
      <bottom/>
      <diagonal/>
    </border>
    <border>
      <left style="thin">
        <color rgb="FFBCBDBC"/>
      </left>
      <right style="thin">
        <color indexed="64"/>
      </right>
      <top style="thin">
        <color indexed="64"/>
      </top>
      <bottom/>
      <diagonal/>
    </border>
    <border>
      <left style="thin">
        <color rgb="FFBCBDBC"/>
      </left>
      <right style="thin">
        <color indexed="64"/>
      </right>
      <top style="thin">
        <color indexed="64"/>
      </top>
      <bottom style="thin">
        <color rgb="FFBCBDBC"/>
      </bottom>
      <diagonal/>
    </border>
    <border>
      <left style="thin">
        <color rgb="FFBCBDBC"/>
      </left>
      <right style="thin">
        <color indexed="64"/>
      </right>
      <top style="thin">
        <color rgb="FFBCBDBC"/>
      </top>
      <bottom style="thin">
        <color rgb="FFBCBDBC"/>
      </bottom>
      <diagonal/>
    </border>
    <border>
      <left style="thin">
        <color rgb="FFBCBDBC"/>
      </left>
      <right style="thin">
        <color indexed="64"/>
      </right>
      <top style="thin">
        <color rgb="FFBCBDBC"/>
      </top>
      <bottom style="thin">
        <color indexed="64"/>
      </bottom>
      <diagonal/>
    </border>
    <border>
      <left style="thin">
        <color indexed="64"/>
      </left>
      <right style="thin">
        <color rgb="FFBCBDBC"/>
      </right>
      <top style="thin">
        <color indexed="64"/>
      </top>
      <bottom/>
      <diagonal/>
    </border>
    <border>
      <left style="thin">
        <color auto="1"/>
      </left>
      <right style="thin">
        <color rgb="FFBCBDBC"/>
      </right>
      <top/>
      <bottom style="thin">
        <color indexed="64"/>
      </bottom>
      <diagonal/>
    </border>
    <border>
      <left style="thin">
        <color rgb="FFBCBDBC"/>
      </left>
      <right style="thin">
        <color auto="1"/>
      </right>
      <top/>
      <bottom style="thin">
        <color indexed="64"/>
      </bottom>
      <diagonal/>
    </border>
    <border>
      <left style="thin">
        <color indexed="64"/>
      </left>
      <right style="thin">
        <color rgb="FFBCBDBC"/>
      </right>
      <top style="thin">
        <color rgb="FFBCBDBC"/>
      </top>
      <bottom/>
      <diagonal/>
    </border>
    <border>
      <left style="thin">
        <color rgb="FFBCBDBC"/>
      </left>
      <right style="thin">
        <color indexed="64"/>
      </right>
      <top style="thin">
        <color rgb="FFBCBDBC"/>
      </top>
      <bottom/>
      <diagonal/>
    </border>
    <border>
      <left/>
      <right/>
      <top/>
      <bottom style="thick">
        <color theme="4" tint="0.499984740745262"/>
      </bottom>
      <diagonal/>
    </border>
    <border>
      <left style="thin">
        <color theme="0" tint="-0.24994659260841701"/>
      </left>
      <right/>
      <top style="thin">
        <color rgb="FFBCBDBC"/>
      </top>
      <bottom style="thin">
        <color rgb="FFBCBDBC"/>
      </bottom>
      <diagonal/>
    </border>
    <border>
      <left style="thin">
        <color rgb="FFBCBDBC"/>
      </left>
      <right style="thin">
        <color rgb="FFBCBDBC"/>
      </right>
      <top style="thin">
        <color rgb="FFBCBDBC"/>
      </top>
      <bottom style="double">
        <color indexed="64"/>
      </bottom>
      <diagonal/>
    </border>
    <border>
      <left style="thin">
        <color rgb="FFBCBDBC"/>
      </left>
      <right/>
      <top style="thin">
        <color rgb="FFBCBDBC"/>
      </top>
      <bottom style="double">
        <color indexed="64"/>
      </bottom>
      <diagonal/>
    </border>
    <border>
      <left/>
      <right style="thin">
        <color rgb="FFBCBDBC"/>
      </right>
      <top style="thin">
        <color rgb="FFBCBDBC"/>
      </top>
      <bottom style="double">
        <color indexed="64"/>
      </bottom>
      <diagonal/>
    </border>
    <border>
      <left style="thin">
        <color rgb="FFBCBDBC"/>
      </left>
      <right style="thin">
        <color auto="1"/>
      </right>
      <top/>
      <bottom style="thin">
        <color rgb="FFBCBDBC"/>
      </bottom>
      <diagonal/>
    </border>
    <border>
      <left style="thin">
        <color rgb="FFBCBDBC"/>
      </left>
      <right style="thin">
        <color auto="1"/>
      </right>
      <top/>
      <bottom/>
      <diagonal/>
    </border>
    <border>
      <left style="thin">
        <color rgb="FFBCBDBC"/>
      </left>
      <right style="thin">
        <color auto="1"/>
      </right>
      <top style="thin">
        <color rgb="FFBCBDBC"/>
      </top>
      <bottom style="double">
        <color indexed="64"/>
      </bottom>
      <diagonal/>
    </border>
    <border>
      <left/>
      <right style="thin">
        <color indexed="64"/>
      </right>
      <top style="thin">
        <color rgb="FFBCBDBC"/>
      </top>
      <bottom style="thin">
        <color indexed="64"/>
      </bottom>
      <diagonal/>
    </border>
    <border>
      <left/>
      <right style="thin">
        <color indexed="64"/>
      </right>
      <top style="thin">
        <color rgb="FFBCBDBC"/>
      </top>
      <bottom style="thin">
        <color rgb="FFBCBDBC"/>
      </bottom>
      <diagonal/>
    </border>
  </borders>
  <cellStyleXfs count="119">
    <xf numFmtId="0" fontId="0" fillId="7" borderId="0">
      <alignment vertical="center"/>
    </xf>
    <xf numFmtId="3" fontId="18" fillId="7" borderId="1" applyProtection="0">
      <alignment horizontal="right" vertical="center"/>
    </xf>
    <xf numFmtId="0" fontId="2" fillId="7" borderId="1">
      <alignment horizontal="center" vertical="center"/>
    </xf>
    <xf numFmtId="0" fontId="2" fillId="14" borderId="1" applyNumberFormat="0" applyFont="0" applyBorder="0">
      <alignment horizontal="center" vertical="center"/>
    </xf>
    <xf numFmtId="0" fontId="20" fillId="2" borderId="2" applyNumberFormat="0" applyFill="0" applyBorder="0" applyAlignment="0" applyProtection="0">
      <alignment horizontal="left"/>
    </xf>
    <xf numFmtId="0" fontId="4" fillId="7" borderId="3" applyFont="0" applyBorder="0">
      <alignment horizontal="center" wrapText="1"/>
    </xf>
    <xf numFmtId="3" fontId="2" fillId="44" borderId="25" applyFont="0" applyProtection="0">
      <alignment horizontal="right" vertical="center"/>
    </xf>
    <xf numFmtId="10" fontId="2" fillId="44" borderId="25" applyFont="0" applyProtection="0">
      <alignment horizontal="right" vertical="center"/>
    </xf>
    <xf numFmtId="9" fontId="2" fillId="44" borderId="25" applyFont="0" applyProtection="0">
      <alignment horizontal="right" vertical="center"/>
    </xf>
    <xf numFmtId="0" fontId="2" fillId="44" borderId="25" applyNumberFormat="0" applyFont="0" applyProtection="0">
      <alignment horizontal="left" vertical="center"/>
    </xf>
    <xf numFmtId="168" fontId="2" fillId="42" borderId="25" applyFont="0">
      <alignment vertical="center"/>
      <protection locked="0"/>
    </xf>
    <xf numFmtId="3" fontId="2" fillId="42" borderId="25" applyFont="0">
      <alignment horizontal="right" vertical="center"/>
      <protection locked="0"/>
    </xf>
    <xf numFmtId="164" fontId="2" fillId="42" borderId="25" applyFont="0">
      <alignment horizontal="right" vertical="center"/>
      <protection locked="0"/>
    </xf>
    <xf numFmtId="166" fontId="2" fillId="43" borderId="25" applyFont="0">
      <alignment vertical="center"/>
      <protection locked="0"/>
    </xf>
    <xf numFmtId="10" fontId="2" fillId="42" borderId="25" applyFont="0">
      <alignment horizontal="right" vertical="center"/>
      <protection locked="0"/>
    </xf>
    <xf numFmtId="9" fontId="2" fillId="42" borderId="25" applyFont="0">
      <alignment horizontal="right" vertical="center"/>
      <protection locked="0"/>
    </xf>
    <xf numFmtId="167" fontId="2" fillId="42" borderId="25" applyFont="0">
      <alignment horizontal="right" vertical="center"/>
      <protection locked="0"/>
    </xf>
    <xf numFmtId="171" fontId="2" fillId="42" borderId="25" applyFont="0">
      <alignment horizontal="right" vertical="center"/>
      <protection locked="0"/>
    </xf>
    <xf numFmtId="0" fontId="2" fillId="42" borderId="25" applyFont="0">
      <alignment horizontal="center" vertical="center" wrapText="1"/>
      <protection locked="0"/>
    </xf>
    <xf numFmtId="49" fontId="2" fillId="42" borderId="25" applyFont="0">
      <alignment vertical="center"/>
      <protection locked="0"/>
    </xf>
    <xf numFmtId="3" fontId="2" fillId="15" borderId="25" applyFont="0">
      <alignment horizontal="right" vertical="center"/>
      <protection locked="0"/>
    </xf>
    <xf numFmtId="164" fontId="2" fillId="15" borderId="25" applyFont="0">
      <alignment horizontal="right" vertical="center"/>
      <protection locked="0"/>
    </xf>
    <xf numFmtId="10" fontId="2" fillId="15" borderId="25" applyFont="0">
      <alignment horizontal="right" vertical="center"/>
      <protection locked="0"/>
    </xf>
    <xf numFmtId="9" fontId="2" fillId="15" borderId="25" applyFont="0">
      <alignment horizontal="right" vertical="center"/>
      <protection locked="0"/>
    </xf>
    <xf numFmtId="167" fontId="2" fillId="15" borderId="25" applyFont="0">
      <alignment horizontal="right" vertical="center"/>
      <protection locked="0"/>
    </xf>
    <xf numFmtId="171" fontId="2" fillId="15" borderId="25" applyFont="0">
      <alignment horizontal="right" vertical="center"/>
      <protection locked="0"/>
    </xf>
    <xf numFmtId="0" fontId="2" fillId="15" borderId="25" applyFont="0">
      <alignment horizontal="center" vertical="center" wrapText="1"/>
      <protection locked="0"/>
    </xf>
    <xf numFmtId="0" fontId="2" fillId="15" borderId="25" applyNumberFormat="0" applyFont="0">
      <alignment horizontal="center" vertical="center" wrapText="1"/>
      <protection locked="0"/>
    </xf>
    <xf numFmtId="3" fontId="2" fillId="4" borderId="1" applyFont="0">
      <alignment horizontal="right" vertical="center"/>
      <protection locked="0"/>
    </xf>
    <xf numFmtId="170" fontId="2" fillId="7" borderId="1" applyFont="0">
      <alignment horizontal="center" vertical="center"/>
    </xf>
    <xf numFmtId="3" fontId="2" fillId="7" borderId="1" applyFont="0">
      <alignment horizontal="right" vertical="center"/>
    </xf>
    <xf numFmtId="165" fontId="2" fillId="7" borderId="1" applyFont="0">
      <alignment horizontal="right" vertical="center"/>
    </xf>
    <xf numFmtId="164" fontId="2" fillId="7" borderId="1" applyFont="0">
      <alignment horizontal="right" vertical="center"/>
    </xf>
    <xf numFmtId="10" fontId="2" fillId="7" borderId="1" applyFont="0">
      <alignment horizontal="right" vertical="center"/>
    </xf>
    <xf numFmtId="9" fontId="2" fillId="7" borderId="1" applyFont="0">
      <alignment horizontal="right" vertical="center"/>
    </xf>
    <xf numFmtId="169" fontId="2" fillId="7" borderId="1" applyFont="0">
      <alignment horizontal="center" vertical="center" wrapText="1"/>
    </xf>
    <xf numFmtId="168" fontId="2" fillId="5" borderId="1" applyFont="0">
      <alignment vertical="center"/>
    </xf>
    <xf numFmtId="1" fontId="2" fillId="5" borderId="1" applyFont="0">
      <alignment horizontal="right" vertical="center"/>
    </xf>
    <xf numFmtId="166" fontId="2" fillId="5" borderId="1" applyFont="0">
      <alignment vertical="center"/>
    </xf>
    <xf numFmtId="9" fontId="2" fillId="5" borderId="1" applyFont="0">
      <alignment horizontal="right" vertical="center"/>
    </xf>
    <xf numFmtId="167" fontId="2" fillId="5" borderId="1" applyFont="0">
      <alignment horizontal="right" vertical="center"/>
    </xf>
    <xf numFmtId="10" fontId="2" fillId="5" borderId="1" applyFont="0">
      <alignment horizontal="right" vertical="center"/>
    </xf>
    <xf numFmtId="0" fontId="2" fillId="5" borderId="1" applyFont="0">
      <alignment horizontal="center" vertical="center" wrapText="1"/>
    </xf>
    <xf numFmtId="49" fontId="2" fillId="5" borderId="1" applyFont="0">
      <alignment vertical="center"/>
    </xf>
    <xf numFmtId="166" fontId="2" fillId="6" borderId="1" applyFont="0">
      <alignment vertical="center"/>
    </xf>
    <xf numFmtId="9" fontId="2" fillId="6" borderId="1" applyFont="0">
      <alignment horizontal="right" vertical="center"/>
    </xf>
    <xf numFmtId="168" fontId="2" fillId="17" borderId="1">
      <alignment vertical="center"/>
    </xf>
    <xf numFmtId="166" fontId="2" fillId="16" borderId="1" applyFont="0">
      <alignment horizontal="right" vertical="center"/>
    </xf>
    <xf numFmtId="1" fontId="2" fillId="16" borderId="1" applyFont="0">
      <alignment horizontal="right" vertical="center"/>
    </xf>
    <xf numFmtId="166" fontId="2" fillId="16" borderId="1" applyFont="0">
      <alignment vertical="center"/>
    </xf>
    <xf numFmtId="164" fontId="2" fillId="16" borderId="1" applyFont="0">
      <alignment vertical="center"/>
    </xf>
    <xf numFmtId="10" fontId="2" fillId="16" borderId="1" applyFont="0">
      <alignment horizontal="right" vertical="center"/>
    </xf>
    <xf numFmtId="9" fontId="2" fillId="16" borderId="1" applyFont="0">
      <alignment horizontal="right" vertical="center"/>
    </xf>
    <xf numFmtId="167" fontId="2" fillId="16" borderId="1" applyFont="0">
      <alignment horizontal="right" vertical="center"/>
    </xf>
    <xf numFmtId="10" fontId="2" fillId="16" borderId="4" applyFont="0">
      <alignment horizontal="right" vertical="center"/>
    </xf>
    <xf numFmtId="0" fontId="2" fillId="16" borderId="1" applyFont="0">
      <alignment horizontal="center" vertical="center" wrapText="1"/>
    </xf>
    <xf numFmtId="49" fontId="2" fillId="16" borderId="1" applyFont="0">
      <alignment vertical="center"/>
    </xf>
    <xf numFmtId="0" fontId="6" fillId="0" borderId="0" applyNumberFormat="0" applyFill="0" applyBorder="0" applyAlignment="0" applyProtection="0"/>
    <xf numFmtId="0" fontId="7" fillId="0" borderId="13" applyNumberFormat="0" applyFill="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14" applyNumberFormat="0" applyAlignment="0" applyProtection="0"/>
    <xf numFmtId="0" fontId="12" fillId="12" borderId="15" applyNumberFormat="0" applyAlignment="0" applyProtection="0"/>
    <xf numFmtId="0" fontId="13" fillId="12" borderId="14" applyNumberFormat="0" applyAlignment="0" applyProtection="0"/>
    <xf numFmtId="0" fontId="14" fillId="0" borderId="16" applyNumberFormat="0" applyFill="0" applyAlignment="0" applyProtection="0"/>
    <xf numFmtId="0" fontId="15" fillId="13" borderId="17" applyNumberFormat="0" applyAlignment="0" applyProtection="0"/>
    <xf numFmtId="0" fontId="16" fillId="0" borderId="0" applyNumberFormat="0" applyFill="0" applyBorder="0" applyAlignment="0" applyProtection="0"/>
    <xf numFmtId="0" fontId="17" fillId="0" borderId="18" applyNumberFormat="0" applyFill="0" applyAlignment="0" applyProtection="0"/>
    <xf numFmtId="0" fontId="6" fillId="0" borderId="0" applyNumberFormat="0" applyFill="0" applyBorder="0" applyAlignment="0" applyProtection="0"/>
    <xf numFmtId="0" fontId="7" fillId="0" borderId="13" applyNumberFormat="0" applyFill="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14" applyNumberFormat="0" applyAlignment="0" applyProtection="0"/>
    <xf numFmtId="0" fontId="12" fillId="12" borderId="15" applyNumberFormat="0" applyAlignment="0" applyProtection="0"/>
    <xf numFmtId="0" fontId="13" fillId="12" borderId="14" applyNumberFormat="0" applyAlignment="0" applyProtection="0"/>
    <xf numFmtId="0" fontId="14" fillId="0" borderId="16" applyNumberFormat="0" applyFill="0" applyAlignment="0" applyProtection="0"/>
    <xf numFmtId="0" fontId="15" fillId="13" borderId="17" applyNumberFormat="0" applyAlignment="0" applyProtection="0"/>
    <xf numFmtId="0" fontId="16" fillId="0" borderId="0" applyNumberFormat="0" applyFill="0" applyBorder="0" applyAlignment="0" applyProtection="0"/>
    <xf numFmtId="0" fontId="17" fillId="0" borderId="18" applyNumberFormat="0" applyFill="0" applyAlignment="0" applyProtection="0"/>
    <xf numFmtId="0" fontId="18" fillId="0" borderId="0" applyNumberFormat="0" applyFill="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9" fillId="41" borderId="0" applyNumberFormat="0" applyBorder="0" applyAlignment="0" applyProtection="0"/>
    <xf numFmtId="41" fontId="2" fillId="0" borderId="0" applyFont="0" applyFill="0" applyBorder="0" applyAlignment="0" applyProtection="0"/>
    <xf numFmtId="42" fontId="2" fillId="0" borderId="0" applyFont="0" applyFill="0" applyBorder="0" applyAlignment="0" applyProtection="0"/>
    <xf numFmtId="168" fontId="2" fillId="45" borderId="20">
      <alignment vertical="center"/>
      <protection locked="0"/>
    </xf>
    <xf numFmtId="0" fontId="35" fillId="7"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0" fillId="0" borderId="68" applyNumberFormat="0" applyFill="0" applyAlignment="0" applyProtection="0"/>
    <xf numFmtId="0" fontId="47" fillId="18" borderId="0" applyNumberFormat="0" applyBorder="0" applyAlignment="0" applyProtection="0"/>
    <xf numFmtId="0" fontId="35" fillId="7" borderId="0" applyNumberFormat="0" applyFill="0" applyBorder="0" applyAlignment="0" applyProtection="0"/>
    <xf numFmtId="10" fontId="2" fillId="16" borderId="4" applyFont="0">
      <alignment horizontal="right" vertical="center"/>
    </xf>
  </cellStyleXfs>
  <cellXfs count="1987">
    <xf numFmtId="0" fontId="0" fillId="2" borderId="0" xfId="0" applyFill="1">
      <alignment vertical="center"/>
    </xf>
    <xf numFmtId="0" fontId="22" fillId="2" borderId="31" xfId="0" applyFont="1" applyFill="1" applyBorder="1" applyAlignment="1" applyProtection="1">
      <alignment horizontal="left" vertical="center" wrapText="1" indent="4"/>
    </xf>
    <xf numFmtId="0" fontId="23" fillId="2" borderId="2" xfId="0" applyFont="1" applyFill="1" applyBorder="1" applyAlignment="1" applyProtection="1">
      <alignment horizontal="left"/>
    </xf>
    <xf numFmtId="0" fontId="22" fillId="2" borderId="0" xfId="0" applyFont="1" applyFill="1" applyBorder="1" applyAlignment="1" applyProtection="1">
      <alignment vertical="center"/>
    </xf>
    <xf numFmtId="0" fontId="22" fillId="2" borderId="0" xfId="0" applyFont="1" applyFill="1" applyBorder="1" applyAlignment="1">
      <alignment vertical="center"/>
    </xf>
    <xf numFmtId="0" fontId="22" fillId="2" borderId="0" xfId="0" applyFont="1" applyFill="1" applyAlignment="1">
      <alignment vertical="center"/>
    </xf>
    <xf numFmtId="49" fontId="22" fillId="16" borderId="37" xfId="56" applyFont="1" applyBorder="1" applyAlignment="1">
      <alignment horizontal="center" vertical="center"/>
    </xf>
    <xf numFmtId="0" fontId="22" fillId="14" borderId="50" xfId="0" applyFont="1" applyFill="1" applyBorder="1" applyAlignment="1">
      <alignment vertical="center"/>
    </xf>
    <xf numFmtId="1" fontId="22" fillId="16" borderId="41" xfId="48" applyFont="1" applyBorder="1" applyAlignment="1">
      <alignment horizontal="center" vertical="center"/>
    </xf>
    <xf numFmtId="0" fontId="22" fillId="14" borderId="53" xfId="0" applyFont="1" applyFill="1" applyBorder="1" applyAlignment="1">
      <alignment vertical="center"/>
    </xf>
    <xf numFmtId="0" fontId="22" fillId="16" borderId="41" xfId="55" applyFont="1" applyBorder="1">
      <alignment horizontal="center" vertical="center" wrapText="1"/>
    </xf>
    <xf numFmtId="1" fontId="22" fillId="16" borderId="41" xfId="48" applyFont="1" applyBorder="1">
      <alignment horizontal="right" vertical="center"/>
    </xf>
    <xf numFmtId="10" fontId="22" fillId="16" borderId="41" xfId="54" applyFont="1" applyBorder="1">
      <alignment horizontal="right" vertical="center"/>
    </xf>
    <xf numFmtId="166" fontId="22" fillId="16" borderId="41" xfId="49" applyFont="1" applyBorder="1">
      <alignment vertical="center"/>
    </xf>
    <xf numFmtId="168" fontId="22" fillId="17" borderId="41" xfId="46" applyFont="1" applyBorder="1">
      <alignment vertical="center"/>
    </xf>
    <xf numFmtId="3" fontId="22" fillId="14" borderId="41" xfId="3" applyNumberFormat="1" applyFont="1" applyBorder="1" applyAlignment="1" applyProtection="1">
      <alignment horizontal="center" vertical="center"/>
    </xf>
    <xf numFmtId="168" fontId="22" fillId="42" borderId="41" xfId="10" applyFont="1" applyBorder="1" applyAlignment="1" applyProtection="1">
      <alignment vertical="center"/>
      <protection locked="0"/>
    </xf>
    <xf numFmtId="0" fontId="22" fillId="14" borderId="42" xfId="0" applyFont="1" applyFill="1" applyBorder="1" applyAlignment="1">
      <alignment vertical="center"/>
    </xf>
    <xf numFmtId="3" fontId="22" fillId="42" borderId="41" xfId="18" applyNumberFormat="1" applyFont="1" applyBorder="1">
      <alignment horizontal="center" vertical="center" wrapText="1"/>
      <protection locked="0"/>
    </xf>
    <xf numFmtId="3" fontId="22" fillId="7" borderId="41" xfId="30" applyFont="1" applyBorder="1">
      <alignment horizontal="right" vertical="center"/>
    </xf>
    <xf numFmtId="0" fontId="22" fillId="42" borderId="38" xfId="18" applyFont="1" applyBorder="1" applyAlignment="1" applyProtection="1">
      <alignment horizontal="center" vertical="center" wrapText="1"/>
      <protection locked="0"/>
    </xf>
    <xf numFmtId="0" fontId="22" fillId="14" borderId="38" xfId="0" applyFont="1" applyFill="1" applyBorder="1" applyAlignment="1">
      <alignment vertical="center"/>
    </xf>
    <xf numFmtId="0" fontId="22" fillId="42" borderId="37" xfId="18" applyFont="1" applyBorder="1" applyAlignment="1" applyProtection="1">
      <alignment horizontal="center" vertical="center" wrapText="1"/>
      <protection locked="0"/>
    </xf>
    <xf numFmtId="0" fontId="22" fillId="42" borderId="41" xfId="18" applyFont="1" applyBorder="1" applyAlignment="1" applyProtection="1">
      <alignment horizontal="center" vertical="center" wrapText="1"/>
      <protection locked="0"/>
    </xf>
    <xf numFmtId="3" fontId="22" fillId="42" borderId="36" xfId="11" applyFont="1" applyBorder="1" applyAlignment="1">
      <alignment horizontal="right" vertical="center"/>
      <protection locked="0"/>
    </xf>
    <xf numFmtId="0" fontId="22" fillId="2" borderId="8" xfId="0" applyFont="1" applyFill="1" applyBorder="1" applyAlignment="1">
      <alignment vertical="center"/>
    </xf>
    <xf numFmtId="0" fontId="22" fillId="2" borderId="6" xfId="0" applyFont="1" applyFill="1" applyBorder="1" applyAlignment="1" applyProtection="1">
      <alignment vertical="center"/>
    </xf>
    <xf numFmtId="3" fontId="22" fillId="42" borderId="25" xfId="11" applyFont="1" applyBorder="1" applyAlignment="1" applyProtection="1">
      <alignment horizontal="right" vertical="center"/>
      <protection locked="0"/>
    </xf>
    <xf numFmtId="3" fontId="22" fillId="7" borderId="25" xfId="1" applyFont="1" applyBorder="1" applyAlignment="1" applyProtection="1">
      <alignment horizontal="center" vertical="center"/>
    </xf>
    <xf numFmtId="0" fontId="22" fillId="2" borderId="5" xfId="0" applyFont="1" applyFill="1" applyBorder="1" applyAlignment="1">
      <alignment vertical="center"/>
    </xf>
    <xf numFmtId="3" fontId="22" fillId="14" borderId="42" xfId="3" applyNumberFormat="1" applyFont="1" applyBorder="1" applyProtection="1">
      <alignment horizontal="center" vertical="center"/>
    </xf>
    <xf numFmtId="3" fontId="22" fillId="42" borderId="41" xfId="11" applyFont="1" applyBorder="1" applyAlignment="1" applyProtection="1">
      <alignment horizontal="right" vertical="center"/>
      <protection locked="0"/>
    </xf>
    <xf numFmtId="0" fontId="22" fillId="2" borderId="32" xfId="0" applyFont="1" applyFill="1" applyBorder="1" applyAlignment="1" applyProtection="1">
      <alignment horizontal="left" vertical="center" indent="1"/>
    </xf>
    <xf numFmtId="3" fontId="22" fillId="42" borderId="38" xfId="11" applyFont="1" applyBorder="1" applyAlignment="1" applyProtection="1">
      <alignment horizontal="right" vertical="center"/>
      <protection locked="0"/>
    </xf>
    <xf numFmtId="0" fontId="22" fillId="2" borderId="0" xfId="0" applyFont="1" applyFill="1" applyProtection="1">
      <alignment vertical="center"/>
    </xf>
    <xf numFmtId="0" fontId="22" fillId="2" borderId="23" xfId="0" applyFont="1" applyFill="1" applyBorder="1" applyAlignment="1">
      <alignment vertical="center"/>
    </xf>
    <xf numFmtId="3" fontId="22" fillId="7" borderId="23" xfId="30" applyFont="1" applyBorder="1">
      <alignment horizontal="right" vertical="center"/>
    </xf>
    <xf numFmtId="0" fontId="22" fillId="14" borderId="23" xfId="3" applyFont="1" applyBorder="1">
      <alignment horizontal="center" vertical="center"/>
    </xf>
    <xf numFmtId="0" fontId="22" fillId="14" borderId="37" xfId="3" applyFont="1" applyBorder="1">
      <alignment horizontal="center" vertical="center"/>
    </xf>
    <xf numFmtId="3" fontId="22" fillId="7" borderId="30" xfId="30" applyFont="1" applyBorder="1">
      <alignment horizontal="right" vertical="center"/>
    </xf>
    <xf numFmtId="0" fontId="22" fillId="2" borderId="25" xfId="0" applyFont="1" applyFill="1" applyBorder="1" applyAlignment="1">
      <alignment horizontal="left" vertical="center" indent="1"/>
    </xf>
    <xf numFmtId="3" fontId="22" fillId="14" borderId="28" xfId="3" applyNumberFormat="1" applyFont="1" applyBorder="1">
      <alignment horizontal="center" vertical="center"/>
    </xf>
    <xf numFmtId="3" fontId="22" fillId="42" borderId="28" xfId="11" applyFont="1" applyBorder="1">
      <alignment horizontal="right" vertical="center"/>
      <protection locked="0"/>
    </xf>
    <xf numFmtId="0" fontId="22" fillId="14" borderId="28" xfId="3" applyFont="1" applyBorder="1">
      <alignment horizontal="center" vertical="center"/>
    </xf>
    <xf numFmtId="0" fontId="22" fillId="14" borderId="42" xfId="3" applyFont="1" applyBorder="1">
      <alignment horizontal="center" vertical="center"/>
    </xf>
    <xf numFmtId="3" fontId="22" fillId="14" borderId="43" xfId="3" applyNumberFormat="1" applyFont="1" applyBorder="1">
      <alignment horizontal="center" vertical="center"/>
    </xf>
    <xf numFmtId="0" fontId="22" fillId="14" borderId="31" xfId="3" applyFont="1" applyBorder="1" applyAlignment="1" applyProtection="1">
      <alignment vertical="center" wrapText="1"/>
    </xf>
    <xf numFmtId="3" fontId="22" fillId="15" borderId="25" xfId="20" applyFont="1" applyBorder="1">
      <alignment horizontal="right" vertical="center"/>
      <protection locked="0"/>
    </xf>
    <xf numFmtId="0" fontId="22" fillId="14" borderId="25" xfId="3" applyFont="1" applyBorder="1">
      <alignment horizontal="center" vertical="center"/>
    </xf>
    <xf numFmtId="3" fontId="22" fillId="7" borderId="41" xfId="1" applyFont="1" applyBorder="1" applyAlignment="1" applyProtection="1">
      <alignment horizontal="center" vertical="center"/>
    </xf>
    <xf numFmtId="3" fontId="22" fillId="15" borderId="31" xfId="20" applyFont="1" applyBorder="1">
      <alignment horizontal="right" vertical="center"/>
      <protection locked="0"/>
    </xf>
    <xf numFmtId="3" fontId="22" fillId="14" borderId="25" xfId="3" applyNumberFormat="1" applyFont="1" applyBorder="1">
      <alignment horizontal="center" vertical="center"/>
    </xf>
    <xf numFmtId="3" fontId="22" fillId="42" borderId="25" xfId="11" applyFont="1">
      <alignment horizontal="right" vertical="center"/>
      <protection locked="0"/>
    </xf>
    <xf numFmtId="3" fontId="22" fillId="14" borderId="42" xfId="3" applyNumberFormat="1" applyFont="1" applyBorder="1">
      <alignment horizontal="center" vertical="center"/>
    </xf>
    <xf numFmtId="3" fontId="22" fillId="14" borderId="27" xfId="3" applyNumberFormat="1" applyFont="1" applyBorder="1">
      <alignment horizontal="center" vertical="center"/>
    </xf>
    <xf numFmtId="3" fontId="22" fillId="42" borderId="27" xfId="11" applyFont="1" applyBorder="1">
      <alignment horizontal="right" vertical="center"/>
      <protection locked="0"/>
    </xf>
    <xf numFmtId="0" fontId="22" fillId="14" borderId="27" xfId="3" applyFont="1" applyBorder="1">
      <alignment horizontal="center" vertical="center"/>
    </xf>
    <xf numFmtId="0" fontId="22" fillId="14" borderId="38" xfId="3" applyFont="1" applyBorder="1">
      <alignment horizontal="center" vertical="center"/>
    </xf>
    <xf numFmtId="3" fontId="22" fillId="14" borderId="32" xfId="3" applyNumberFormat="1" applyFont="1" applyBorder="1">
      <alignment horizontal="center" vertical="center"/>
    </xf>
    <xf numFmtId="0" fontId="22" fillId="14" borderId="53" xfId="3" applyFont="1" applyBorder="1">
      <alignment horizontal="center" vertical="center"/>
    </xf>
    <xf numFmtId="3" fontId="22" fillId="42" borderId="25" xfId="11" applyFont="1" applyBorder="1">
      <alignment horizontal="right" vertical="center"/>
      <protection locked="0"/>
    </xf>
    <xf numFmtId="0" fontId="22" fillId="2" borderId="32" xfId="0" applyFont="1" applyFill="1" applyBorder="1" applyAlignment="1">
      <alignment horizontal="center" vertical="center"/>
    </xf>
    <xf numFmtId="3" fontId="22" fillId="15" borderId="27" xfId="20" applyFont="1" applyBorder="1">
      <alignment horizontal="right" vertical="center"/>
      <protection locked="0"/>
    </xf>
    <xf numFmtId="3" fontId="22" fillId="7" borderId="38" xfId="1" applyFont="1" applyBorder="1" applyAlignment="1" applyProtection="1">
      <alignment horizontal="center" vertical="center"/>
    </xf>
    <xf numFmtId="3" fontId="22" fillId="15" borderId="32" xfId="20" applyFont="1" applyBorder="1">
      <alignment horizontal="right" vertical="center"/>
      <protection locked="0"/>
    </xf>
    <xf numFmtId="0" fontId="22" fillId="14" borderId="43" xfId="3" applyFont="1" applyBorder="1">
      <alignment horizontal="center" vertical="center"/>
    </xf>
    <xf numFmtId="0" fontId="22" fillId="14" borderId="31" xfId="3" applyFont="1" applyBorder="1">
      <alignment horizontal="center" vertical="center"/>
    </xf>
    <xf numFmtId="0" fontId="22" fillId="14" borderId="41" xfId="3" applyFont="1" applyBorder="1">
      <alignment horizontal="center" vertical="center"/>
    </xf>
    <xf numFmtId="0" fontId="22" fillId="14" borderId="45" xfId="3" applyFont="1" applyBorder="1">
      <alignment horizontal="center" vertical="center"/>
    </xf>
    <xf numFmtId="0" fontId="22" fillId="14" borderId="47" xfId="3" applyFont="1" applyBorder="1">
      <alignment horizontal="center" vertical="center"/>
    </xf>
    <xf numFmtId="0" fontId="22" fillId="14" borderId="46" xfId="3" applyFont="1" applyBorder="1">
      <alignment horizontal="center" vertical="center"/>
    </xf>
    <xf numFmtId="3" fontId="22" fillId="42" borderId="45" xfId="11" applyFont="1" applyBorder="1">
      <alignment horizontal="right" vertical="center"/>
      <protection locked="0"/>
    </xf>
    <xf numFmtId="0" fontId="22" fillId="14" borderId="29" xfId="3" applyFont="1" applyBorder="1" applyAlignment="1" applyProtection="1">
      <alignment vertical="center" wrapText="1"/>
    </xf>
    <xf numFmtId="0" fontId="22" fillId="44" borderId="20" xfId="9" applyFont="1" applyBorder="1">
      <alignment horizontal="left" vertical="center"/>
    </xf>
    <xf numFmtId="3" fontId="22" fillId="44" borderId="20" xfId="6" applyFont="1" applyBorder="1">
      <alignment horizontal="right" vertical="center"/>
    </xf>
    <xf numFmtId="0" fontId="22" fillId="14" borderId="36" xfId="3" applyFont="1" applyBorder="1">
      <alignment horizontal="center" vertical="center"/>
    </xf>
    <xf numFmtId="3" fontId="22" fillId="44" borderId="29" xfId="6" applyFont="1" applyBorder="1">
      <alignment horizontal="right" vertical="center"/>
    </xf>
    <xf numFmtId="0" fontId="22" fillId="14" borderId="20" xfId="3" applyFont="1" applyBorder="1">
      <alignment horizontal="center" vertical="center"/>
    </xf>
    <xf numFmtId="3" fontId="22" fillId="15" borderId="20" xfId="20" applyFont="1" applyBorder="1">
      <alignment horizontal="right" vertical="center"/>
      <protection locked="0"/>
    </xf>
    <xf numFmtId="3" fontId="22" fillId="15" borderId="36" xfId="20" applyFont="1" applyBorder="1">
      <alignment horizontal="right" vertical="center"/>
      <protection locked="0"/>
    </xf>
    <xf numFmtId="0" fontId="22" fillId="14" borderId="29" xfId="3" applyFont="1" applyBorder="1">
      <alignment horizontal="center" vertical="center"/>
    </xf>
    <xf numFmtId="0" fontId="22" fillId="2" borderId="9" xfId="0" applyFont="1" applyFill="1" applyBorder="1" applyAlignment="1">
      <alignment vertical="center"/>
    </xf>
    <xf numFmtId="0" fontId="22" fillId="2" borderId="5" xfId="0" applyFont="1" applyFill="1" applyBorder="1" applyAlignment="1" applyProtection="1">
      <alignment vertical="center"/>
    </xf>
    <xf numFmtId="0" fontId="22" fillId="14" borderId="30" xfId="3" applyFont="1" applyBorder="1">
      <alignment horizontal="center" vertical="center"/>
    </xf>
    <xf numFmtId="0" fontId="22" fillId="2" borderId="28" xfId="0" applyFont="1" applyFill="1" applyBorder="1" applyAlignment="1">
      <alignment vertical="center"/>
    </xf>
    <xf numFmtId="3" fontId="22" fillId="7" borderId="25" xfId="30" applyFont="1" applyBorder="1">
      <alignment horizontal="right" vertical="center"/>
    </xf>
    <xf numFmtId="0" fontId="22" fillId="14" borderId="46" xfId="3" applyFont="1" applyBorder="1" applyAlignment="1" applyProtection="1">
      <alignment vertical="center" wrapText="1"/>
    </xf>
    <xf numFmtId="0" fontId="22" fillId="2" borderId="45" xfId="0" applyFont="1" applyFill="1" applyBorder="1" applyAlignment="1">
      <alignment vertical="center"/>
    </xf>
    <xf numFmtId="0" fontId="24" fillId="2" borderId="49" xfId="5" applyFont="1" applyFill="1" applyBorder="1" applyAlignment="1">
      <alignment horizontal="center" vertical="center" wrapText="1"/>
    </xf>
    <xf numFmtId="0" fontId="24" fillId="2" borderId="51" xfId="5" applyFont="1" applyFill="1" applyBorder="1" applyAlignment="1">
      <alignment horizontal="center" vertical="center" wrapText="1"/>
    </xf>
    <xf numFmtId="0" fontId="22" fillId="2" borderId="43" xfId="0" applyFont="1" applyFill="1" applyBorder="1" applyAlignment="1">
      <alignment horizontal="center" vertical="center"/>
    </xf>
    <xf numFmtId="0" fontId="22" fillId="2" borderId="28" xfId="0" applyFont="1" applyFill="1" applyBorder="1" applyAlignment="1">
      <alignment vertical="center" wrapText="1"/>
    </xf>
    <xf numFmtId="3" fontId="22" fillId="7" borderId="42" xfId="30" applyFont="1" applyBorder="1">
      <alignment horizontal="right" vertical="center"/>
    </xf>
    <xf numFmtId="3" fontId="22" fillId="15" borderId="41" xfId="20" applyFont="1" applyBorder="1">
      <alignment horizontal="right" vertical="center"/>
      <protection locked="0"/>
    </xf>
    <xf numFmtId="0" fontId="22" fillId="14" borderId="32" xfId="3" applyFont="1" applyBorder="1" applyAlignment="1" applyProtection="1">
      <alignment vertical="center" wrapText="1"/>
    </xf>
    <xf numFmtId="3" fontId="22" fillId="15" borderId="38" xfId="20" applyFont="1" applyBorder="1">
      <alignment horizontal="right" vertical="center"/>
      <protection locked="0"/>
    </xf>
    <xf numFmtId="0" fontId="22" fillId="14" borderId="43" xfId="3" applyFont="1" applyBorder="1" applyAlignment="1" applyProtection="1">
      <alignment vertical="center" wrapText="1"/>
    </xf>
    <xf numFmtId="3" fontId="22" fillId="15" borderId="42" xfId="20" applyFont="1" applyBorder="1">
      <alignment horizontal="right" vertical="center"/>
      <protection locked="0"/>
    </xf>
    <xf numFmtId="3" fontId="22" fillId="7" borderId="34" xfId="1" applyFont="1" applyBorder="1" applyAlignment="1" applyProtection="1">
      <alignment horizontal="center" vertical="center"/>
    </xf>
    <xf numFmtId="3" fontId="22" fillId="15" borderId="54" xfId="20" applyFont="1" applyBorder="1">
      <alignment horizontal="right" vertical="center"/>
      <protection locked="0"/>
    </xf>
    <xf numFmtId="3" fontId="22" fillId="15" borderId="47" xfId="20" applyFont="1" applyBorder="1">
      <alignment horizontal="right" vertical="center"/>
      <protection locked="0"/>
    </xf>
    <xf numFmtId="0" fontId="22" fillId="14" borderId="30" xfId="3" applyFont="1" applyBorder="1" applyAlignment="1" applyProtection="1">
      <alignment vertical="center" wrapText="1"/>
    </xf>
    <xf numFmtId="0" fontId="22" fillId="44" borderId="23" xfId="9" applyFont="1" applyBorder="1">
      <alignment horizontal="left" vertical="center"/>
    </xf>
    <xf numFmtId="3" fontId="22" fillId="44" borderId="37" xfId="6" applyFont="1" applyBorder="1">
      <alignment horizontal="right" vertical="center"/>
    </xf>
    <xf numFmtId="3" fontId="22" fillId="44" borderId="33" xfId="6" applyFont="1" applyBorder="1">
      <alignment horizontal="right" vertical="center"/>
    </xf>
    <xf numFmtId="3" fontId="22" fillId="7" borderId="35" xfId="1" applyFont="1" applyBorder="1" applyAlignment="1" applyProtection="1">
      <alignment horizontal="center" vertical="center"/>
    </xf>
    <xf numFmtId="3" fontId="22" fillId="42" borderId="31" xfId="11" applyFont="1" applyBorder="1">
      <alignment horizontal="right" vertical="center"/>
      <protection locked="0"/>
    </xf>
    <xf numFmtId="3" fontId="22" fillId="42" borderId="41" xfId="11" applyFont="1" applyBorder="1">
      <alignment horizontal="right" vertical="center"/>
      <protection locked="0"/>
    </xf>
    <xf numFmtId="0" fontId="22" fillId="2" borderId="27" xfId="0" applyFont="1" applyFill="1" applyBorder="1" applyAlignment="1">
      <alignment horizontal="left" vertical="center" indent="1"/>
    </xf>
    <xf numFmtId="3" fontId="22" fillId="7" borderId="38" xfId="30" applyFont="1" applyBorder="1">
      <alignment horizontal="right" vertical="center"/>
    </xf>
    <xf numFmtId="0" fontId="22" fillId="14" borderId="32" xfId="3" applyFont="1" applyBorder="1">
      <alignment horizontal="center" vertical="center"/>
    </xf>
    <xf numFmtId="0" fontId="25" fillId="2" borderId="23" xfId="83" applyFont="1" applyFill="1" applyBorder="1" applyAlignment="1">
      <alignment vertical="center" wrapText="1"/>
    </xf>
    <xf numFmtId="3" fontId="22" fillId="7" borderId="37" xfId="1" applyFont="1" applyBorder="1" applyAlignment="1" applyProtection="1">
      <alignment horizontal="center" vertical="center"/>
    </xf>
    <xf numFmtId="3" fontId="22" fillId="7" borderId="30" xfId="1" applyFont="1" applyBorder="1" applyAlignment="1" applyProtection="1">
      <alignment horizontal="center" vertical="center"/>
    </xf>
    <xf numFmtId="0" fontId="25" fillId="2" borderId="25" xfId="83" applyFont="1" applyFill="1" applyBorder="1" applyAlignment="1">
      <alignment vertical="center" wrapText="1"/>
    </xf>
    <xf numFmtId="3" fontId="22" fillId="7" borderId="31" xfId="1" applyFont="1" applyBorder="1" applyAlignment="1" applyProtection="1">
      <alignment horizontal="center" vertical="center"/>
    </xf>
    <xf numFmtId="0" fontId="25" fillId="2" borderId="27" xfId="83" applyFont="1" applyFill="1" applyBorder="1" applyAlignment="1">
      <alignment vertical="center" wrapText="1"/>
    </xf>
    <xf numFmtId="3" fontId="22" fillId="7" borderId="32" xfId="1" applyFont="1" applyBorder="1" applyAlignment="1" applyProtection="1">
      <alignment horizontal="center" vertical="center"/>
    </xf>
    <xf numFmtId="3" fontId="22" fillId="7" borderId="28" xfId="30" quotePrefix="1" applyFont="1" applyBorder="1">
      <alignment horizontal="right" vertical="center"/>
    </xf>
    <xf numFmtId="3" fontId="22" fillId="7" borderId="25" xfId="30" quotePrefix="1" applyFont="1" applyBorder="1">
      <alignment horizontal="right" vertical="center"/>
    </xf>
    <xf numFmtId="3" fontId="22" fillId="7" borderId="31" xfId="30" quotePrefix="1" applyFont="1" applyBorder="1">
      <alignment horizontal="right" vertical="center"/>
    </xf>
    <xf numFmtId="3" fontId="22" fillId="7" borderId="45" xfId="30" quotePrefix="1" applyFont="1" applyBorder="1">
      <alignment horizontal="right" vertical="center"/>
    </xf>
    <xf numFmtId="3" fontId="22" fillId="7" borderId="46" xfId="30" quotePrefix="1" applyFont="1" applyBorder="1">
      <alignment horizontal="right" vertical="center"/>
    </xf>
    <xf numFmtId="0" fontId="22" fillId="2" borderId="29" xfId="0" applyFont="1" applyFill="1" applyBorder="1" applyAlignment="1">
      <alignment horizontal="center" vertical="center"/>
    </xf>
    <xf numFmtId="10" fontId="22" fillId="44" borderId="20" xfId="7" applyFont="1" applyBorder="1">
      <alignment horizontal="right" vertical="center"/>
    </xf>
    <xf numFmtId="10" fontId="22" fillId="44" borderId="29" xfId="7" applyFont="1" applyBorder="1">
      <alignment horizontal="right" vertical="center"/>
    </xf>
    <xf numFmtId="0" fontId="22" fillId="7" borderId="37" xfId="0" applyFont="1" applyBorder="1" applyAlignment="1">
      <alignment vertical="center"/>
    </xf>
    <xf numFmtId="0" fontId="22" fillId="2" borderId="33" xfId="0" applyFont="1" applyFill="1" applyBorder="1" applyAlignment="1">
      <alignment vertical="center"/>
    </xf>
    <xf numFmtId="0" fontId="22" fillId="2" borderId="30" xfId="0" applyFont="1" applyFill="1" applyBorder="1" applyAlignment="1">
      <alignment vertical="center"/>
    </xf>
    <xf numFmtId="3" fontId="22" fillId="7" borderId="37" xfId="30" applyFont="1" applyBorder="1">
      <alignment horizontal="right" vertical="center"/>
    </xf>
    <xf numFmtId="0" fontId="22" fillId="7" borderId="41" xfId="0" applyFont="1" applyBorder="1" applyAlignment="1">
      <alignment horizontal="left" vertical="top" wrapText="1" indent="1"/>
    </xf>
    <xf numFmtId="0" fontId="22" fillId="2" borderId="34" xfId="0" applyFont="1" applyFill="1" applyBorder="1">
      <alignment vertical="center"/>
    </xf>
    <xf numFmtId="0" fontId="22" fillId="2" borderId="31" xfId="0" applyFont="1" applyFill="1" applyBorder="1">
      <alignment vertical="center"/>
    </xf>
    <xf numFmtId="0" fontId="22" fillId="7" borderId="41" xfId="0" applyFont="1" applyBorder="1" applyAlignment="1">
      <alignment horizontal="left" vertical="top" wrapText="1" indent="2"/>
    </xf>
    <xf numFmtId="0" fontId="22" fillId="7" borderId="41" xfId="0" applyFont="1" applyBorder="1" applyAlignment="1">
      <alignment horizontal="left" vertical="top" wrapText="1" indent="3"/>
    </xf>
    <xf numFmtId="0" fontId="22" fillId="7" borderId="41" xfId="0" applyFont="1" applyBorder="1" applyAlignment="1">
      <alignment horizontal="left" vertical="top" wrapText="1" indent="4"/>
    </xf>
    <xf numFmtId="0" fontId="25" fillId="0" borderId="41" xfId="83" applyFont="1" applyBorder="1" applyAlignment="1">
      <alignment horizontal="left" vertical="top" indent="5"/>
    </xf>
    <xf numFmtId="0" fontId="22" fillId="0" borderId="41" xfId="0" applyFont="1" applyFill="1" applyBorder="1" applyAlignment="1">
      <alignment horizontal="left" vertical="top" wrapText="1" indent="4"/>
    </xf>
    <xf numFmtId="0" fontId="22" fillId="0" borderId="41" xfId="0" applyFont="1" applyFill="1" applyBorder="1" applyAlignment="1">
      <alignment horizontal="left" vertical="top" wrapText="1" indent="3"/>
    </xf>
    <xf numFmtId="0" fontId="25" fillId="0" borderId="41" xfId="83" applyFont="1" applyBorder="1" applyAlignment="1">
      <alignment horizontal="left" vertical="top" indent="4"/>
    </xf>
    <xf numFmtId="0" fontId="25" fillId="0" borderId="38" xfId="83" applyFont="1" applyBorder="1" applyAlignment="1">
      <alignment vertical="top"/>
    </xf>
    <xf numFmtId="0" fontId="22" fillId="2" borderId="35" xfId="0" applyFont="1" applyFill="1" applyBorder="1">
      <alignment vertical="center"/>
    </xf>
    <xf numFmtId="0" fontId="22" fillId="2" borderId="32" xfId="0" applyFont="1" applyFill="1" applyBorder="1">
      <alignment vertical="center"/>
    </xf>
    <xf numFmtId="0" fontId="22" fillId="2" borderId="29" xfId="0" applyFont="1" applyFill="1" applyBorder="1">
      <alignment vertical="center"/>
    </xf>
    <xf numFmtId="0" fontId="22" fillId="2" borderId="58" xfId="0" applyFont="1" applyFill="1" applyBorder="1" applyAlignment="1">
      <alignment vertical="center"/>
    </xf>
    <xf numFmtId="0" fontId="22" fillId="2" borderId="33" xfId="0" applyFont="1" applyFill="1" applyBorder="1">
      <alignment vertical="center"/>
    </xf>
    <xf numFmtId="0" fontId="20" fillId="2" borderId="12" xfId="4" applyFont="1" applyFill="1" applyBorder="1" applyAlignment="1" applyProtection="1"/>
    <xf numFmtId="0" fontId="20" fillId="2" borderId="5" xfId="4" applyFont="1" applyFill="1" applyBorder="1" applyAlignment="1" applyProtection="1"/>
    <xf numFmtId="0" fontId="22" fillId="2" borderId="6" xfId="0" applyFont="1" applyFill="1" applyBorder="1" applyProtection="1">
      <alignment vertical="center"/>
    </xf>
    <xf numFmtId="0" fontId="22" fillId="2" borderId="9" xfId="0" applyFont="1" applyFill="1" applyBorder="1" applyProtection="1">
      <alignment vertical="center"/>
    </xf>
    <xf numFmtId="0" fontId="22" fillId="2" borderId="4" xfId="0" applyFont="1" applyFill="1" applyBorder="1" applyProtection="1">
      <alignment vertical="center"/>
    </xf>
    <xf numFmtId="0" fontId="23" fillId="2" borderId="0" xfId="0" applyFont="1" applyFill="1" applyBorder="1" applyAlignment="1" applyProtection="1">
      <alignment horizontal="left"/>
    </xf>
    <xf numFmtId="0" fontId="20" fillId="2" borderId="0" xfId="0" applyFont="1" applyFill="1" applyBorder="1" applyProtection="1">
      <alignment vertical="center"/>
    </xf>
    <xf numFmtId="3" fontId="22" fillId="2" borderId="0" xfId="30" applyFont="1" applyFill="1" applyBorder="1" applyProtection="1">
      <alignment horizontal="right" vertical="center"/>
    </xf>
    <xf numFmtId="0" fontId="24" fillId="2" borderId="29" xfId="0" applyFont="1" applyFill="1" applyBorder="1" applyAlignment="1" applyProtection="1">
      <alignment vertical="center"/>
    </xf>
    <xf numFmtId="0" fontId="24" fillId="2" borderId="20" xfId="5" applyFont="1" applyFill="1" applyBorder="1" applyAlignment="1" applyProtection="1">
      <alignment horizontal="center" vertical="center" wrapText="1"/>
    </xf>
    <xf numFmtId="0" fontId="22" fillId="14" borderId="20" xfId="3" applyFont="1" applyBorder="1" applyProtection="1">
      <alignment horizontal="center" vertical="center"/>
    </xf>
    <xf numFmtId="0" fontId="24" fillId="2" borderId="36" xfId="5" applyFont="1" applyFill="1" applyBorder="1" applyAlignment="1" applyProtection="1">
      <alignment horizontal="center" vertical="center" wrapText="1"/>
    </xf>
    <xf numFmtId="0" fontId="31" fillId="2" borderId="2" xfId="0" applyFont="1" applyFill="1" applyBorder="1" applyAlignment="1" applyProtection="1">
      <alignment horizontal="left"/>
    </xf>
    <xf numFmtId="3" fontId="31" fillId="42" borderId="23" xfId="11" applyFont="1" applyBorder="1" applyProtection="1">
      <alignment horizontal="right" vertical="center"/>
      <protection locked="0"/>
    </xf>
    <xf numFmtId="0" fontId="22" fillId="14" borderId="23" xfId="3" applyFont="1" applyBorder="1" applyProtection="1">
      <alignment horizontal="center" vertical="center"/>
    </xf>
    <xf numFmtId="3" fontId="31" fillId="42" borderId="25" xfId="11" applyFont="1" applyBorder="1" applyProtection="1">
      <alignment horizontal="right" vertical="center"/>
      <protection locked="0"/>
    </xf>
    <xf numFmtId="2" fontId="31" fillId="7" borderId="25" xfId="31" applyNumberFormat="1" applyFont="1" applyBorder="1" applyProtection="1">
      <alignment horizontal="right" vertical="center"/>
    </xf>
    <xf numFmtId="3" fontId="31" fillId="7" borderId="41" xfId="30" applyFont="1" applyBorder="1" applyProtection="1">
      <alignment horizontal="right" vertical="center"/>
    </xf>
    <xf numFmtId="0" fontId="22" fillId="7" borderId="25" xfId="2" applyFont="1" applyBorder="1">
      <alignment horizontal="center" vertical="center"/>
    </xf>
    <xf numFmtId="2" fontId="29" fillId="14" borderId="25" xfId="3" applyNumberFormat="1" applyFont="1" applyBorder="1" applyAlignment="1" applyProtection="1">
      <alignment horizontal="center" wrapText="1"/>
    </xf>
    <xf numFmtId="0" fontId="31" fillId="2" borderId="45" xfId="0" applyFont="1" applyFill="1" applyBorder="1" applyAlignment="1" applyProtection="1">
      <alignment horizontal="center" vertical="center" wrapText="1"/>
    </xf>
    <xf numFmtId="3" fontId="31" fillId="42" borderId="45" xfId="11" applyFont="1" applyBorder="1" applyProtection="1">
      <alignment horizontal="right" vertical="center"/>
      <protection locked="0"/>
    </xf>
    <xf numFmtId="0" fontId="22" fillId="14" borderId="45" xfId="3" applyFont="1" applyBorder="1" applyProtection="1">
      <alignment horizontal="center" vertical="center"/>
    </xf>
    <xf numFmtId="0" fontId="31" fillId="2" borderId="27" xfId="0" applyFont="1" applyFill="1" applyBorder="1" applyAlignment="1" applyProtection="1">
      <alignment horizontal="center" vertical="center" wrapText="1"/>
    </xf>
    <xf numFmtId="2" fontId="29" fillId="14" borderId="23" xfId="3" applyNumberFormat="1" applyFont="1" applyBorder="1" applyAlignment="1" applyProtection="1">
      <alignment horizontal="center" wrapText="1"/>
    </xf>
    <xf numFmtId="3" fontId="29" fillId="14" borderId="37" xfId="3" applyNumberFormat="1" applyFont="1" applyBorder="1" applyAlignment="1" applyProtection="1">
      <alignment horizontal="center" wrapText="1"/>
    </xf>
    <xf numFmtId="3" fontId="31" fillId="42" borderId="25" xfId="11" applyNumberFormat="1" applyFont="1" applyBorder="1" applyAlignment="1" applyProtection="1">
      <alignment horizontal="right" vertical="center"/>
      <protection locked="0"/>
    </xf>
    <xf numFmtId="3" fontId="31" fillId="42" borderId="27" xfId="11" applyNumberFormat="1" applyFont="1" applyBorder="1" applyAlignment="1" applyProtection="1">
      <alignment horizontal="right" vertical="center"/>
      <protection locked="0"/>
    </xf>
    <xf numFmtId="2" fontId="31" fillId="14" borderId="23" xfId="3" applyNumberFormat="1" applyFont="1" applyBorder="1">
      <alignment horizontal="center" vertical="center"/>
    </xf>
    <xf numFmtId="2" fontId="31" fillId="14" borderId="25" xfId="3" applyNumberFormat="1" applyFont="1" applyBorder="1">
      <alignment horizontal="center" vertical="center"/>
    </xf>
    <xf numFmtId="2" fontId="31" fillId="14" borderId="41" xfId="3" applyNumberFormat="1" applyFont="1" applyBorder="1">
      <alignment horizontal="center" vertical="center"/>
    </xf>
    <xf numFmtId="3" fontId="31" fillId="15" borderId="23" xfId="20" applyFont="1" applyBorder="1">
      <alignment horizontal="right" vertical="center"/>
      <protection locked="0"/>
    </xf>
    <xf numFmtId="3" fontId="31" fillId="15" borderId="25" xfId="20" applyFont="1" applyBorder="1">
      <alignment horizontal="right" vertical="center"/>
      <protection locked="0"/>
    </xf>
    <xf numFmtId="3" fontId="31" fillId="7" borderId="41" xfId="30" applyFont="1" applyBorder="1" applyAlignment="1" applyProtection="1">
      <alignment horizontal="right" vertical="center"/>
    </xf>
    <xf numFmtId="3" fontId="29" fillId="7" borderId="41" xfId="11" applyNumberFormat="1" applyFont="1" applyFill="1" applyBorder="1" applyAlignment="1" applyProtection="1">
      <alignment horizontal="right" vertical="center"/>
    </xf>
    <xf numFmtId="3" fontId="31" fillId="7" borderId="25" xfId="30" applyFont="1" applyBorder="1">
      <alignment horizontal="right" vertical="center"/>
    </xf>
    <xf numFmtId="2" fontId="31" fillId="7" borderId="25" xfId="31" applyNumberFormat="1" applyFont="1" applyFill="1" applyBorder="1" applyProtection="1">
      <alignment horizontal="right" vertical="center"/>
    </xf>
    <xf numFmtId="3" fontId="31" fillId="7" borderId="41" xfId="30" applyFont="1" applyFill="1" applyBorder="1" applyProtection="1">
      <alignment horizontal="right" vertical="center"/>
    </xf>
    <xf numFmtId="3" fontId="31" fillId="7" borderId="41" xfId="30" applyFont="1" applyFill="1" applyBorder="1" applyAlignment="1" applyProtection="1">
      <alignment horizontal="right" vertical="center"/>
    </xf>
    <xf numFmtId="2" fontId="31" fillId="14" borderId="27" xfId="3" applyNumberFormat="1" applyFont="1" applyBorder="1">
      <alignment horizontal="center" vertical="center"/>
    </xf>
    <xf numFmtId="3" fontId="31" fillId="7" borderId="38" xfId="11" applyNumberFormat="1" applyFont="1" applyFill="1" applyBorder="1" applyAlignment="1" applyProtection="1">
      <alignment horizontal="right" vertical="center"/>
    </xf>
    <xf numFmtId="0" fontId="22" fillId="2" borderId="2" xfId="0" applyFont="1" applyFill="1" applyBorder="1" applyProtection="1">
      <alignment vertical="center"/>
    </xf>
    <xf numFmtId="3" fontId="31" fillId="7" borderId="37" xfId="30" applyFont="1" applyFill="1" applyBorder="1" applyProtection="1">
      <alignment horizontal="right" vertical="center"/>
    </xf>
    <xf numFmtId="3" fontId="31" fillId="7" borderId="38" xfId="30" applyFont="1" applyFill="1" applyBorder="1" applyProtection="1">
      <alignment horizontal="right" vertical="center"/>
    </xf>
    <xf numFmtId="2" fontId="31" fillId="14" borderId="20" xfId="3" applyNumberFormat="1" applyFont="1" applyBorder="1">
      <alignment horizontal="center" vertical="center"/>
    </xf>
    <xf numFmtId="2" fontId="31" fillId="14" borderId="36" xfId="3" applyNumberFormat="1" applyFont="1" applyBorder="1">
      <alignment horizontal="center" vertical="center"/>
    </xf>
    <xf numFmtId="3" fontId="31" fillId="42" borderId="23" xfId="11" applyNumberFormat="1" applyFont="1" applyBorder="1" applyAlignment="1" applyProtection="1">
      <alignment horizontal="right" vertical="center"/>
      <protection locked="0"/>
    </xf>
    <xf numFmtId="3" fontId="31" fillId="15" borderId="23" xfId="20" applyFont="1" applyBorder="1" applyAlignment="1">
      <alignment horizontal="right" vertical="center"/>
      <protection locked="0"/>
    </xf>
    <xf numFmtId="2" fontId="31" fillId="14" borderId="37" xfId="3" applyNumberFormat="1" applyFont="1" applyBorder="1">
      <alignment horizontal="center" vertical="center"/>
    </xf>
    <xf numFmtId="3" fontId="31" fillId="15" borderId="25" xfId="20" applyFont="1" applyBorder="1" applyAlignment="1">
      <alignment horizontal="right" vertical="center"/>
      <protection locked="0"/>
    </xf>
    <xf numFmtId="0" fontId="22" fillId="7" borderId="27" xfId="2" applyFont="1" applyBorder="1">
      <alignment horizontal="center" vertical="center"/>
    </xf>
    <xf numFmtId="2" fontId="31" fillId="14" borderId="38" xfId="3" applyNumberFormat="1" applyFont="1" applyBorder="1">
      <alignment horizontal="center" vertical="center"/>
    </xf>
    <xf numFmtId="3" fontId="31" fillId="15" borderId="28" xfId="20" applyFont="1" applyBorder="1">
      <alignment horizontal="right" vertical="center"/>
      <protection locked="0"/>
    </xf>
    <xf numFmtId="2" fontId="29" fillId="14" borderId="25" xfId="3" applyNumberFormat="1" applyFont="1" applyBorder="1">
      <alignment horizontal="center" vertical="center"/>
    </xf>
    <xf numFmtId="2" fontId="29" fillId="3" borderId="25" xfId="3" applyNumberFormat="1" applyFont="1" applyFill="1" applyBorder="1" applyAlignment="1" applyProtection="1">
      <alignment horizontal="center" wrapText="1"/>
    </xf>
    <xf numFmtId="2" fontId="29" fillId="3" borderId="41" xfId="3" applyNumberFormat="1" applyFont="1" applyFill="1" applyBorder="1" applyAlignment="1" applyProtection="1">
      <alignment horizontal="center" wrapText="1"/>
    </xf>
    <xf numFmtId="3" fontId="31" fillId="15" borderId="41" xfId="20" applyFont="1" applyBorder="1">
      <alignment horizontal="right" vertical="center"/>
      <protection locked="0"/>
    </xf>
    <xf numFmtId="2" fontId="29" fillId="14" borderId="27" xfId="3" applyNumberFormat="1" applyFont="1" applyBorder="1">
      <alignment horizontal="center" vertical="center"/>
    </xf>
    <xf numFmtId="2" fontId="29" fillId="3" borderId="27" xfId="3" applyNumberFormat="1" applyFont="1" applyFill="1" applyBorder="1" applyAlignment="1" applyProtection="1">
      <alignment horizontal="center" wrapText="1"/>
    </xf>
    <xf numFmtId="0" fontId="31" fillId="44" borderId="9" xfId="9" applyFont="1" applyBorder="1" applyProtection="1">
      <alignment horizontal="left" vertical="center"/>
    </xf>
    <xf numFmtId="2" fontId="31" fillId="44" borderId="9" xfId="9" applyNumberFormat="1" applyFont="1" applyBorder="1" applyProtection="1">
      <alignment horizontal="left" vertical="center"/>
    </xf>
    <xf numFmtId="3" fontId="31" fillId="44" borderId="36" xfId="6" applyFont="1" applyBorder="1" applyProtection="1">
      <alignment horizontal="right" vertical="center"/>
    </xf>
    <xf numFmtId="3" fontId="31" fillId="14" borderId="23" xfId="3" applyNumberFormat="1" applyFont="1" applyBorder="1">
      <alignment horizontal="center" vertical="center"/>
    </xf>
    <xf numFmtId="3" fontId="31" fillId="14" borderId="23" xfId="3" applyNumberFormat="1" applyFont="1" applyBorder="1" applyAlignment="1">
      <alignment horizontal="right" vertical="center"/>
    </xf>
    <xf numFmtId="0" fontId="22" fillId="14" borderId="23" xfId="3" applyFont="1" applyBorder="1" applyAlignment="1">
      <alignment horizontal="right" vertical="center"/>
    </xf>
    <xf numFmtId="0" fontId="31" fillId="14" borderId="23" xfId="3" applyFont="1" applyBorder="1" applyAlignment="1">
      <alignment horizontal="right" vertical="center"/>
    </xf>
    <xf numFmtId="0" fontId="31" fillId="14" borderId="37" xfId="3" applyFont="1" applyBorder="1" applyAlignment="1">
      <alignment horizontal="right" vertical="center"/>
    </xf>
    <xf numFmtId="3" fontId="31" fillId="14" borderId="25" xfId="3" applyNumberFormat="1" applyFont="1" applyBorder="1">
      <alignment horizontal="center" vertical="center"/>
    </xf>
    <xf numFmtId="3" fontId="31" fillId="14" borderId="25" xfId="3" applyNumberFormat="1" applyFont="1" applyBorder="1" applyAlignment="1">
      <alignment horizontal="right" vertical="center"/>
    </xf>
    <xf numFmtId="0" fontId="22" fillId="14" borderId="25" xfId="3" applyFont="1" applyBorder="1" applyAlignment="1">
      <alignment horizontal="right" vertical="center"/>
    </xf>
    <xf numFmtId="0" fontId="31" fillId="14" borderId="25" xfId="3" applyFont="1" applyBorder="1" applyAlignment="1">
      <alignment horizontal="right" vertical="center"/>
    </xf>
    <xf numFmtId="0" fontId="31" fillId="14" borderId="41" xfId="3" applyFont="1" applyBorder="1" applyAlignment="1">
      <alignment horizontal="right" vertical="center"/>
    </xf>
    <xf numFmtId="0" fontId="22" fillId="2" borderId="31" xfId="0" applyFont="1" applyFill="1" applyBorder="1" applyAlignment="1" applyProtection="1">
      <alignment horizontal="left" vertical="center" wrapText="1" indent="3"/>
    </xf>
    <xf numFmtId="3" fontId="29" fillId="14" borderId="25" xfId="3" applyNumberFormat="1" applyFont="1" applyBorder="1" applyAlignment="1">
      <alignment horizontal="right" vertical="center"/>
    </xf>
    <xf numFmtId="0" fontId="29" fillId="14" borderId="25" xfId="3" applyFont="1" applyBorder="1" applyAlignment="1">
      <alignment horizontal="right" vertical="center"/>
    </xf>
    <xf numFmtId="0" fontId="22" fillId="14" borderId="25" xfId="3" applyFont="1" applyBorder="1" applyAlignment="1" applyProtection="1">
      <alignment horizontal="right" vertical="center"/>
    </xf>
    <xf numFmtId="2" fontId="31" fillId="7" borderId="25" xfId="31" applyNumberFormat="1" applyFont="1" applyBorder="1" applyAlignment="1" applyProtection="1">
      <alignment horizontal="right" vertical="center"/>
    </xf>
    <xf numFmtId="3" fontId="31" fillId="7" borderId="41" xfId="30" applyFont="1" applyBorder="1" applyAlignment="1">
      <alignment horizontal="right" vertical="center"/>
    </xf>
    <xf numFmtId="3" fontId="29" fillId="14" borderId="25" xfId="3" applyNumberFormat="1" applyFont="1" applyBorder="1" applyAlignment="1" applyProtection="1">
      <alignment horizontal="right" vertical="center" wrapText="1"/>
    </xf>
    <xf numFmtId="0" fontId="29" fillId="14" borderId="25" xfId="3" applyFont="1" applyBorder="1" applyAlignment="1" applyProtection="1">
      <alignment horizontal="right" vertical="center" wrapText="1"/>
    </xf>
    <xf numFmtId="3" fontId="31" fillId="14" borderId="25" xfId="3" applyNumberFormat="1" applyFont="1" applyBorder="1" applyAlignment="1" applyProtection="1">
      <alignment horizontal="right" vertical="center" wrapText="1"/>
    </xf>
    <xf numFmtId="3" fontId="29" fillId="14" borderId="25" xfId="3" applyNumberFormat="1" applyFont="1" applyBorder="1" applyAlignment="1" applyProtection="1">
      <alignment horizontal="right" wrapText="1"/>
    </xf>
    <xf numFmtId="2" fontId="31" fillId="14" borderId="25" xfId="3" applyNumberFormat="1" applyFont="1" applyBorder="1" applyAlignment="1">
      <alignment horizontal="right" vertical="center"/>
    </xf>
    <xf numFmtId="2" fontId="31" fillId="14" borderId="41" xfId="3" applyNumberFormat="1" applyFont="1" applyBorder="1" applyAlignment="1">
      <alignment horizontal="right" vertical="center"/>
    </xf>
    <xf numFmtId="3" fontId="29" fillId="14" borderId="25" xfId="3" applyNumberFormat="1" applyFont="1" applyBorder="1" applyProtection="1">
      <alignment horizontal="center" vertical="center"/>
    </xf>
    <xf numFmtId="0" fontId="22" fillId="14" borderId="27" xfId="3" applyFont="1" applyBorder="1" applyAlignment="1" applyProtection="1">
      <alignment horizontal="right" vertical="center"/>
    </xf>
    <xf numFmtId="2" fontId="31" fillId="7" borderId="27" xfId="31" applyNumberFormat="1" applyFont="1" applyBorder="1" applyAlignment="1" applyProtection="1">
      <alignment horizontal="right" vertical="center"/>
    </xf>
    <xf numFmtId="3" fontId="31" fillId="7" borderId="38" xfId="30" applyFont="1" applyBorder="1" applyAlignment="1">
      <alignment horizontal="right" vertical="center"/>
    </xf>
    <xf numFmtId="3" fontId="29" fillId="14" borderId="20" xfId="3" applyNumberFormat="1" applyFont="1" applyBorder="1" applyProtection="1">
      <alignment horizontal="center" vertical="center"/>
    </xf>
    <xf numFmtId="3" fontId="29" fillId="14" borderId="20" xfId="3" applyNumberFormat="1" applyFont="1" applyBorder="1" applyAlignment="1" applyProtection="1">
      <alignment horizontal="right" vertical="center" wrapText="1"/>
    </xf>
    <xf numFmtId="0" fontId="22" fillId="14" borderId="20" xfId="3" applyFont="1" applyBorder="1" applyAlignment="1" applyProtection="1">
      <alignment horizontal="right" vertical="center"/>
    </xf>
    <xf numFmtId="0" fontId="29" fillId="14" borderId="20" xfId="3" applyFont="1" applyBorder="1" applyAlignment="1" applyProtection="1">
      <alignment horizontal="right" vertical="center" wrapText="1"/>
    </xf>
    <xf numFmtId="3" fontId="29" fillId="14" borderId="23" xfId="3" applyNumberFormat="1" applyFont="1" applyBorder="1" applyAlignment="1" applyProtection="1">
      <alignment horizontal="right" vertical="center"/>
    </xf>
    <xf numFmtId="0" fontId="22" fillId="14" borderId="23" xfId="3" applyFont="1" applyBorder="1" applyAlignment="1" applyProtection="1">
      <alignment horizontal="right" vertical="center"/>
    </xf>
    <xf numFmtId="3" fontId="29" fillId="14" borderId="37" xfId="3" applyNumberFormat="1" applyFont="1" applyBorder="1" applyAlignment="1" applyProtection="1">
      <alignment horizontal="right" vertical="center"/>
    </xf>
    <xf numFmtId="3" fontId="31" fillId="7" borderId="25" xfId="3" applyNumberFormat="1" applyFont="1" applyFill="1" applyBorder="1" applyProtection="1">
      <alignment horizontal="center" vertical="center"/>
    </xf>
    <xf numFmtId="3" fontId="29" fillId="14" borderId="25" xfId="3" applyNumberFormat="1" applyFont="1" applyBorder="1" applyAlignment="1" applyProtection="1">
      <alignment horizontal="right" vertical="center"/>
    </xf>
    <xf numFmtId="3" fontId="29" fillId="14" borderId="41" xfId="3" applyNumberFormat="1" applyFont="1" applyBorder="1" applyAlignment="1" applyProtection="1">
      <alignment horizontal="right" vertical="center"/>
    </xf>
    <xf numFmtId="3" fontId="31" fillId="42" borderId="25" xfId="11" applyFont="1" applyBorder="1" applyAlignment="1" applyProtection="1">
      <alignment horizontal="right" vertical="center"/>
      <protection locked="0"/>
    </xf>
    <xf numFmtId="3" fontId="29" fillId="14" borderId="41" xfId="3" applyNumberFormat="1" applyFont="1" applyBorder="1" applyAlignment="1">
      <alignment horizontal="right" vertical="center"/>
    </xf>
    <xf numFmtId="3" fontId="29" fillId="14" borderId="27" xfId="3" applyNumberFormat="1" applyFont="1" applyBorder="1">
      <alignment horizontal="center" vertical="center"/>
    </xf>
    <xf numFmtId="3" fontId="31" fillId="42" borderId="27" xfId="11" applyFont="1" applyBorder="1" applyAlignment="1" applyProtection="1">
      <alignment horizontal="right" vertical="center"/>
      <protection locked="0"/>
    </xf>
    <xf numFmtId="3" fontId="29" fillId="14" borderId="20" xfId="3" applyNumberFormat="1" applyFont="1" applyBorder="1">
      <alignment horizontal="center" vertical="center"/>
    </xf>
    <xf numFmtId="3" fontId="31" fillId="14" borderId="20" xfId="3" applyNumberFormat="1" applyFont="1" applyBorder="1" applyAlignment="1">
      <alignment horizontal="right" vertical="center"/>
    </xf>
    <xf numFmtId="2" fontId="31" fillId="14" borderId="20" xfId="3" applyNumberFormat="1" applyFont="1" applyBorder="1" applyAlignment="1">
      <alignment horizontal="right" vertical="center"/>
    </xf>
    <xf numFmtId="3" fontId="29" fillId="14" borderId="23" xfId="3" applyNumberFormat="1" applyFont="1" applyBorder="1" applyProtection="1">
      <alignment horizontal="center" vertical="center"/>
    </xf>
    <xf numFmtId="3" fontId="29" fillId="14" borderId="27" xfId="3" applyNumberFormat="1" applyFont="1" applyBorder="1" applyProtection="1">
      <alignment horizontal="center" vertical="center"/>
    </xf>
    <xf numFmtId="3" fontId="31" fillId="14" borderId="20" xfId="3" applyNumberFormat="1" applyFont="1" applyBorder="1">
      <alignment horizontal="center" vertical="center"/>
    </xf>
    <xf numFmtId="3" fontId="29" fillId="14" borderId="23" xfId="3" applyNumberFormat="1" applyFont="1" applyBorder="1" applyAlignment="1">
      <alignment horizontal="right" vertical="center"/>
    </xf>
    <xf numFmtId="2" fontId="31" fillId="14" borderId="37" xfId="3" applyNumberFormat="1" applyFont="1" applyBorder="1" applyAlignment="1">
      <alignment horizontal="right" vertical="center"/>
    </xf>
    <xf numFmtId="3" fontId="31" fillId="42" borderId="27" xfId="11" applyNumberFormat="1" applyFont="1" applyBorder="1" applyAlignment="1" applyProtection="1">
      <alignment horizontal="right"/>
      <protection locked="0"/>
    </xf>
    <xf numFmtId="3" fontId="31" fillId="14" borderId="27" xfId="3" applyNumberFormat="1" applyFont="1" applyBorder="1" applyAlignment="1">
      <alignment horizontal="right" vertical="center"/>
    </xf>
    <xf numFmtId="3" fontId="29" fillId="14" borderId="20" xfId="3" applyNumberFormat="1" applyFont="1" applyBorder="1" applyAlignment="1" applyProtection="1">
      <alignment horizontal="right" vertical="center"/>
    </xf>
    <xf numFmtId="3" fontId="31" fillId="42" borderId="28" xfId="11" applyFont="1" applyBorder="1" applyAlignment="1" applyProtection="1">
      <alignment horizontal="right" vertical="center"/>
      <protection locked="0"/>
    </xf>
    <xf numFmtId="0" fontId="22" fillId="14" borderId="28" xfId="3" applyFont="1" applyBorder="1" applyAlignment="1">
      <alignment horizontal="right" vertical="center"/>
    </xf>
    <xf numFmtId="2" fontId="29" fillId="14" borderId="25" xfId="3" applyNumberFormat="1" applyFont="1" applyBorder="1" applyAlignment="1" applyProtection="1">
      <alignment horizontal="right" vertical="center" wrapText="1"/>
    </xf>
    <xf numFmtId="2" fontId="29" fillId="14" borderId="41" xfId="3" applyNumberFormat="1" applyFont="1" applyBorder="1" applyAlignment="1" applyProtection="1">
      <alignment horizontal="right" vertical="center" wrapText="1"/>
    </xf>
    <xf numFmtId="0" fontId="22" fillId="14" borderId="27" xfId="3" applyFont="1" applyBorder="1" applyAlignment="1">
      <alignment horizontal="right" vertical="center"/>
    </xf>
    <xf numFmtId="3" fontId="31" fillId="42" borderId="23" xfId="11" applyFont="1" applyBorder="1" applyAlignment="1" applyProtection="1">
      <alignment horizontal="right" vertical="center"/>
      <protection locked="0"/>
    </xf>
    <xf numFmtId="3" fontId="22" fillId="14" borderId="23" xfId="3" applyNumberFormat="1" applyFont="1" applyBorder="1" applyAlignment="1" applyProtection="1">
      <alignment horizontal="right" vertical="center"/>
    </xf>
    <xf numFmtId="3" fontId="31" fillId="7" borderId="25" xfId="30" applyFont="1" applyBorder="1" applyAlignment="1">
      <alignment horizontal="right" vertical="center"/>
    </xf>
    <xf numFmtId="3" fontId="22" fillId="14" borderId="25" xfId="3" applyNumberFormat="1" applyFont="1" applyBorder="1" applyAlignment="1" applyProtection="1">
      <alignment horizontal="right" vertical="center"/>
    </xf>
    <xf numFmtId="2" fontId="31" fillId="14" borderId="25" xfId="3" applyNumberFormat="1" applyFont="1" applyBorder="1" applyAlignment="1" applyProtection="1">
      <alignment horizontal="right" vertical="center"/>
    </xf>
    <xf numFmtId="0" fontId="31" fillId="14" borderId="41" xfId="3" applyFont="1" applyBorder="1" applyAlignment="1" applyProtection="1">
      <alignment horizontal="right" vertical="center"/>
    </xf>
    <xf numFmtId="3" fontId="29" fillId="14" borderId="49" xfId="3" applyNumberFormat="1" applyFont="1" applyBorder="1" applyProtection="1">
      <alignment horizontal="center" vertical="center"/>
    </xf>
    <xf numFmtId="3" fontId="31" fillId="14" borderId="49" xfId="3" applyNumberFormat="1" applyFont="1" applyBorder="1" applyAlignment="1" applyProtection="1">
      <alignment horizontal="right" vertical="center"/>
    </xf>
    <xf numFmtId="2" fontId="29" fillId="14" borderId="34" xfId="3" applyNumberFormat="1" applyFont="1" applyBorder="1" applyAlignment="1" applyProtection="1">
      <alignment horizontal="right" vertical="center" wrapText="1"/>
    </xf>
    <xf numFmtId="2" fontId="29" fillId="14" borderId="20" xfId="3" applyNumberFormat="1" applyFont="1" applyBorder="1" applyAlignment="1" applyProtection="1">
      <alignment horizontal="right" vertical="center" wrapText="1"/>
    </xf>
    <xf numFmtId="0" fontId="31" fillId="44" borderId="29" xfId="9" applyFont="1" applyBorder="1" applyProtection="1">
      <alignment horizontal="left" vertical="center"/>
    </xf>
    <xf numFmtId="3" fontId="22" fillId="14" borderId="20" xfId="3" applyNumberFormat="1" applyFont="1" applyBorder="1" applyProtection="1">
      <alignment horizontal="center" vertical="center"/>
    </xf>
    <xf numFmtId="3" fontId="29" fillId="14" borderId="28" xfId="3" applyNumberFormat="1" applyFont="1" applyBorder="1" applyAlignment="1" applyProtection="1">
      <alignment horizontal="right" vertical="center" wrapText="1"/>
    </xf>
    <xf numFmtId="3" fontId="22" fillId="14" borderId="28" xfId="3" applyNumberFormat="1" applyFont="1" applyBorder="1" applyAlignment="1" applyProtection="1">
      <alignment horizontal="right" vertical="center"/>
    </xf>
    <xf numFmtId="3" fontId="29" fillId="14" borderId="42" xfId="3" applyNumberFormat="1" applyFont="1" applyBorder="1" applyAlignment="1" applyProtection="1">
      <alignment horizontal="right" vertical="center" wrapText="1"/>
    </xf>
    <xf numFmtId="3" fontId="29" fillId="14" borderId="41" xfId="3" applyNumberFormat="1" applyFont="1" applyBorder="1" applyAlignment="1" applyProtection="1">
      <alignment horizontal="right" vertical="center" wrapText="1"/>
    </xf>
    <xf numFmtId="3" fontId="22" fillId="14" borderId="25" xfId="3" applyNumberFormat="1" applyFont="1" applyBorder="1" applyProtection="1">
      <alignment horizontal="center" vertical="center"/>
    </xf>
    <xf numFmtId="3" fontId="29" fillId="14" borderId="41" xfId="3" applyNumberFormat="1" applyFont="1" applyBorder="1" applyAlignment="1" applyProtection="1">
      <alignment horizontal="right" wrapText="1"/>
    </xf>
    <xf numFmtId="3" fontId="22" fillId="14" borderId="25" xfId="3" applyNumberFormat="1" applyFont="1" applyBorder="1" applyAlignment="1" applyProtection="1">
      <alignment horizontal="center" vertical="center"/>
    </xf>
    <xf numFmtId="3" fontId="29" fillId="14" borderId="25" xfId="3" applyNumberFormat="1" applyFont="1" applyBorder="1" applyAlignment="1" applyProtection="1">
      <alignment horizontal="left" vertical="center"/>
    </xf>
    <xf numFmtId="3" fontId="31" fillId="42" borderId="45" xfId="11" applyNumberFormat="1" applyFont="1" applyBorder="1" applyAlignment="1" applyProtection="1">
      <alignment horizontal="right" vertical="center"/>
      <protection locked="0"/>
    </xf>
    <xf numFmtId="3" fontId="22" fillId="14" borderId="45" xfId="3" applyNumberFormat="1" applyFont="1" applyBorder="1" applyAlignment="1" applyProtection="1">
      <alignment horizontal="center" vertical="center"/>
    </xf>
    <xf numFmtId="2" fontId="31" fillId="7" borderId="45" xfId="31" applyNumberFormat="1" applyFont="1" applyBorder="1" applyAlignment="1" applyProtection="1">
      <alignment horizontal="right" vertical="center"/>
    </xf>
    <xf numFmtId="3" fontId="31" fillId="7" borderId="47" xfId="30" applyFont="1" applyBorder="1" applyAlignment="1" applyProtection="1">
      <alignment horizontal="right" vertical="center"/>
    </xf>
    <xf numFmtId="3" fontId="29" fillId="14" borderId="20" xfId="3" applyNumberFormat="1" applyFont="1" applyBorder="1" applyAlignment="1" applyProtection="1">
      <alignment horizontal="left" vertical="center"/>
    </xf>
    <xf numFmtId="3" fontId="22" fillId="14" borderId="20" xfId="3" applyNumberFormat="1" applyFont="1" applyBorder="1" applyAlignment="1" applyProtection="1">
      <alignment horizontal="center" vertical="center"/>
    </xf>
    <xf numFmtId="3" fontId="29" fillId="7" borderId="36" xfId="30" applyFont="1" applyBorder="1" applyAlignment="1" applyProtection="1">
      <alignment horizontal="right" vertical="center"/>
    </xf>
    <xf numFmtId="3" fontId="29" fillId="14" borderId="23" xfId="3" applyNumberFormat="1" applyFont="1" applyBorder="1" applyAlignment="1" applyProtection="1">
      <alignment horizontal="right" vertical="center" wrapText="1"/>
    </xf>
    <xf numFmtId="0" fontId="22" fillId="14" borderId="23" xfId="3" applyFont="1" applyBorder="1" applyAlignment="1" applyProtection="1">
      <alignment horizontal="center" vertical="center"/>
    </xf>
    <xf numFmtId="3" fontId="29" fillId="14" borderId="37" xfId="3" applyNumberFormat="1" applyFont="1" applyBorder="1" applyAlignment="1" applyProtection="1">
      <alignment horizontal="right" vertical="center" wrapText="1"/>
    </xf>
    <xf numFmtId="0" fontId="22" fillId="14" borderId="25" xfId="3" applyFont="1" applyBorder="1" applyAlignment="1" applyProtection="1">
      <alignment horizontal="center" vertical="center"/>
    </xf>
    <xf numFmtId="0" fontId="22" fillId="14" borderId="27" xfId="3" applyFont="1" applyBorder="1" applyAlignment="1" applyProtection="1">
      <alignment horizontal="center" vertical="center"/>
    </xf>
    <xf numFmtId="0" fontId="22" fillId="14" borderId="20" xfId="3" applyFont="1" applyBorder="1" applyAlignment="1" applyProtection="1">
      <alignment horizontal="center" vertical="center"/>
    </xf>
    <xf numFmtId="0" fontId="31" fillId="44" borderId="20" xfId="9" applyFont="1" applyBorder="1" applyAlignment="1" applyProtection="1">
      <alignment horizontal="center" vertical="center"/>
    </xf>
    <xf numFmtId="0" fontId="31" fillId="44" borderId="20" xfId="9" applyFont="1" applyBorder="1" applyAlignment="1" applyProtection="1">
      <alignment horizontal="left" vertical="center"/>
    </xf>
    <xf numFmtId="3" fontId="31" fillId="44" borderId="36" xfId="6" applyFont="1" applyBorder="1" applyAlignment="1" applyProtection="1">
      <alignment horizontal="right" vertical="center"/>
    </xf>
    <xf numFmtId="3" fontId="31" fillId="14" borderId="28" xfId="3" applyNumberFormat="1" applyFont="1" applyBorder="1">
      <alignment horizontal="center" vertical="center"/>
    </xf>
    <xf numFmtId="4" fontId="31" fillId="14" borderId="28" xfId="3" applyNumberFormat="1" applyFont="1" applyBorder="1">
      <alignment horizontal="center" vertical="center"/>
    </xf>
    <xf numFmtId="3" fontId="31" fillId="14" borderId="42" xfId="3" applyNumberFormat="1" applyFont="1" applyBorder="1">
      <alignment horizontal="center" vertical="center"/>
    </xf>
    <xf numFmtId="3" fontId="29" fillId="14" borderId="25" xfId="3" applyNumberFormat="1" applyFont="1" applyBorder="1">
      <alignment horizontal="center" vertical="center"/>
    </xf>
    <xf numFmtId="4" fontId="31" fillId="14" borderId="25" xfId="3" applyNumberFormat="1" applyFont="1" applyBorder="1">
      <alignment horizontal="center" vertical="center"/>
    </xf>
    <xf numFmtId="3" fontId="31" fillId="14" borderId="41" xfId="3" applyNumberFormat="1" applyFont="1" applyBorder="1">
      <alignment horizontal="center" vertical="center"/>
    </xf>
    <xf numFmtId="3" fontId="31" fillId="14" borderId="25" xfId="3" applyNumberFormat="1" applyFont="1" applyBorder="1" applyAlignment="1">
      <alignment horizontal="center" vertical="center"/>
    </xf>
    <xf numFmtId="4" fontId="31" fillId="7" borderId="25" xfId="31" applyNumberFormat="1" applyFont="1" applyBorder="1" applyAlignment="1" applyProtection="1">
      <alignment horizontal="right" vertical="center"/>
    </xf>
    <xf numFmtId="3" fontId="22" fillId="14" borderId="25" xfId="3" applyNumberFormat="1" applyFont="1" applyBorder="1" applyAlignment="1">
      <alignment horizontal="center" vertical="center"/>
    </xf>
    <xf numFmtId="2" fontId="31" fillId="14" borderId="25" xfId="3" applyNumberFormat="1" applyFont="1" applyBorder="1" applyAlignment="1">
      <alignment horizontal="center" vertical="center"/>
    </xf>
    <xf numFmtId="4" fontId="31" fillId="14" borderId="25" xfId="3" applyNumberFormat="1" applyFont="1" applyBorder="1" applyAlignment="1">
      <alignment horizontal="center" vertical="center"/>
    </xf>
    <xf numFmtId="3" fontId="31" fillId="14" borderId="41" xfId="3" applyNumberFormat="1" applyFont="1" applyBorder="1" applyAlignment="1">
      <alignment horizontal="center" vertical="center"/>
    </xf>
    <xf numFmtId="1" fontId="31" fillId="14" borderId="25" xfId="3" applyNumberFormat="1" applyFont="1" applyBorder="1">
      <alignment horizontal="center" vertical="center"/>
    </xf>
    <xf numFmtId="3" fontId="31" fillId="7" borderId="41" xfId="30" applyFont="1" applyBorder="1">
      <alignment horizontal="right" vertical="center"/>
    </xf>
    <xf numFmtId="4" fontId="31" fillId="14" borderId="25" xfId="3" applyNumberFormat="1" applyFont="1" applyBorder="1" applyAlignment="1" applyProtection="1">
      <alignment horizontal="right" vertical="center" wrapText="1"/>
    </xf>
    <xf numFmtId="3" fontId="31" fillId="14" borderId="41" xfId="3" applyNumberFormat="1" applyFont="1" applyBorder="1" applyAlignment="1" applyProtection="1">
      <alignment horizontal="right" wrapText="1"/>
    </xf>
    <xf numFmtId="1" fontId="31" fillId="14" borderId="41" xfId="3" applyNumberFormat="1" applyFont="1" applyBorder="1">
      <alignment horizontal="center" vertical="center"/>
    </xf>
    <xf numFmtId="4" fontId="31" fillId="7" borderId="25" xfId="31" applyNumberFormat="1" applyFont="1" applyFill="1" applyBorder="1" applyAlignment="1" applyProtection="1">
      <alignment horizontal="right" vertical="center"/>
    </xf>
    <xf numFmtId="2" fontId="31" fillId="7" borderId="25" xfId="3" applyNumberFormat="1" applyFont="1" applyFill="1" applyBorder="1" applyAlignment="1" applyProtection="1">
      <alignment horizontal="right" vertical="center" wrapText="1"/>
    </xf>
    <xf numFmtId="4" fontId="31" fillId="7" borderId="25" xfId="3" applyNumberFormat="1" applyFont="1" applyFill="1" applyBorder="1" applyAlignment="1" applyProtection="1">
      <alignment horizontal="right" vertical="center" wrapText="1"/>
    </xf>
    <xf numFmtId="3" fontId="22" fillId="14" borderId="25" xfId="3" applyNumberFormat="1" applyFont="1" applyBorder="1" applyAlignment="1">
      <alignment horizontal="right" vertical="center"/>
    </xf>
    <xf numFmtId="1" fontId="31" fillId="14" borderId="25" xfId="3" applyNumberFormat="1" applyFont="1" applyBorder="1" applyAlignment="1">
      <alignment horizontal="right" vertical="center"/>
    </xf>
    <xf numFmtId="4" fontId="31" fillId="14" borderId="25" xfId="3" applyNumberFormat="1" applyFont="1" applyBorder="1" applyAlignment="1">
      <alignment horizontal="right" vertical="center"/>
    </xf>
    <xf numFmtId="1" fontId="31" fillId="14" borderId="41" xfId="3" applyNumberFormat="1" applyFont="1" applyBorder="1" applyAlignment="1">
      <alignment horizontal="right" vertical="center"/>
    </xf>
    <xf numFmtId="2" fontId="31" fillId="7" borderId="25" xfId="31" applyNumberFormat="1" applyFont="1" applyFill="1" applyBorder="1" applyAlignment="1" applyProtection="1">
      <alignment horizontal="right" vertical="center"/>
    </xf>
    <xf numFmtId="3" fontId="31" fillId="42" borderId="45" xfId="11" applyFont="1" applyBorder="1" applyAlignment="1" applyProtection="1">
      <alignment horizontal="right" vertical="center"/>
      <protection locked="0"/>
    </xf>
    <xf numFmtId="3" fontId="31" fillId="14" borderId="45" xfId="3" applyNumberFormat="1" applyFont="1" applyBorder="1" applyAlignment="1">
      <alignment horizontal="right" vertical="center"/>
    </xf>
    <xf numFmtId="3" fontId="31" fillId="7" borderId="45" xfId="30" applyFont="1" applyBorder="1" applyAlignment="1">
      <alignment horizontal="right" vertical="center"/>
    </xf>
    <xf numFmtId="4" fontId="31" fillId="7" borderId="45" xfId="31" applyNumberFormat="1" applyFont="1" applyBorder="1" applyAlignment="1" applyProtection="1">
      <alignment horizontal="right" vertical="center"/>
    </xf>
    <xf numFmtId="3" fontId="31" fillId="7" borderId="47" xfId="30" applyFont="1" applyBorder="1" applyAlignment="1">
      <alignment horizontal="right" vertical="center"/>
    </xf>
    <xf numFmtId="3" fontId="29" fillId="14" borderId="20" xfId="3" applyNumberFormat="1" applyFont="1" applyBorder="1" applyAlignment="1" applyProtection="1">
      <alignment horizontal="right" wrapText="1"/>
    </xf>
    <xf numFmtId="3" fontId="22" fillId="14" borderId="20" xfId="3" applyNumberFormat="1" applyFont="1" applyBorder="1" applyAlignment="1">
      <alignment horizontal="right" vertical="center"/>
    </xf>
    <xf numFmtId="3" fontId="29" fillId="7" borderId="20" xfId="30" applyFont="1" applyBorder="1">
      <alignment horizontal="right" vertical="center"/>
    </xf>
    <xf numFmtId="3" fontId="29" fillId="7" borderId="36" xfId="30" applyFont="1" applyBorder="1">
      <alignment horizontal="right" vertical="center"/>
    </xf>
    <xf numFmtId="0" fontId="31" fillId="7" borderId="30" xfId="0" applyFont="1" applyFill="1" applyBorder="1" applyAlignment="1" applyProtection="1">
      <alignment horizontal="left" vertical="center" wrapText="1"/>
    </xf>
    <xf numFmtId="3" fontId="29" fillId="14" borderId="23" xfId="3" applyNumberFormat="1" applyFont="1" applyBorder="1">
      <alignment horizontal="center" vertical="center"/>
    </xf>
    <xf numFmtId="3" fontId="31" fillId="7" borderId="23" xfId="30" applyFont="1" applyFill="1" applyBorder="1">
      <alignment horizontal="right" vertical="center"/>
    </xf>
    <xf numFmtId="3" fontId="31" fillId="14" borderId="37" xfId="3" applyNumberFormat="1" applyFont="1" applyBorder="1">
      <alignment horizontal="center" vertical="center"/>
    </xf>
    <xf numFmtId="0" fontId="31" fillId="7" borderId="31" xfId="0" applyFont="1" applyFill="1" applyBorder="1" applyAlignment="1" applyProtection="1">
      <alignment horizontal="left" vertical="center" wrapText="1"/>
    </xf>
    <xf numFmtId="3" fontId="31" fillId="7" borderId="25" xfId="30" applyFont="1" applyFill="1" applyBorder="1">
      <alignment horizontal="right" vertical="center"/>
    </xf>
    <xf numFmtId="0" fontId="31" fillId="7" borderId="32" xfId="0" applyFont="1" applyFill="1" applyBorder="1" applyAlignment="1" applyProtection="1">
      <alignment horizontal="left" vertical="center" wrapText="1"/>
    </xf>
    <xf numFmtId="3" fontId="31" fillId="7" borderId="27" xfId="30" applyFont="1" applyFill="1" applyBorder="1">
      <alignment horizontal="right" vertical="center"/>
    </xf>
    <xf numFmtId="3" fontId="31" fillId="14" borderId="27" xfId="3" applyNumberFormat="1" applyFont="1" applyBorder="1">
      <alignment horizontal="center" vertical="center"/>
    </xf>
    <xf numFmtId="3" fontId="31" fillId="14" borderId="38" xfId="3" applyNumberFormat="1" applyFont="1" applyBorder="1">
      <alignment horizontal="center" vertical="center"/>
    </xf>
    <xf numFmtId="0" fontId="22" fillId="2" borderId="5" xfId="0" applyFont="1" applyFill="1" applyBorder="1" applyProtection="1">
      <alignment vertical="center"/>
    </xf>
    <xf numFmtId="0" fontId="31" fillId="44" borderId="20" xfId="9" applyFont="1" applyBorder="1" applyProtection="1">
      <alignment horizontal="left" vertical="center"/>
    </xf>
    <xf numFmtId="9" fontId="31" fillId="44" borderId="36" xfId="8" applyFont="1" applyBorder="1" applyProtection="1">
      <alignment horizontal="right" vertical="center"/>
    </xf>
    <xf numFmtId="0" fontId="22" fillId="2" borderId="10" xfId="0" applyFont="1" applyFill="1" applyBorder="1" applyProtection="1">
      <alignment vertical="center"/>
    </xf>
    <xf numFmtId="0" fontId="22" fillId="2" borderId="8" xfId="0" applyFont="1" applyFill="1" applyBorder="1" applyProtection="1">
      <alignment vertical="center"/>
    </xf>
    <xf numFmtId="0" fontId="22" fillId="2" borderId="7" xfId="0" applyFont="1" applyFill="1" applyBorder="1" applyProtection="1">
      <alignment vertical="center"/>
    </xf>
    <xf numFmtId="0" fontId="23" fillId="2" borderId="12" xfId="0" applyFont="1" applyFill="1" applyBorder="1" applyAlignment="1" applyProtection="1"/>
    <xf numFmtId="0" fontId="22" fillId="7" borderId="29" xfId="5" applyFont="1" applyBorder="1">
      <alignment horizontal="center" wrapText="1"/>
    </xf>
    <xf numFmtId="0" fontId="22" fillId="7" borderId="20" xfId="5" applyFont="1" applyBorder="1">
      <alignment horizontal="center" wrapText="1"/>
    </xf>
    <xf numFmtId="0" fontId="22" fillId="7" borderId="36" xfId="5" applyFont="1" applyBorder="1">
      <alignment horizontal="center" wrapText="1"/>
    </xf>
    <xf numFmtId="0" fontId="22" fillId="2" borderId="43" xfId="0" applyFont="1" applyFill="1" applyBorder="1" applyAlignment="1" applyProtection="1">
      <alignment vertical="center" wrapText="1"/>
    </xf>
    <xf numFmtId="3" fontId="31" fillId="42" borderId="37" xfId="11" applyFont="1" applyBorder="1" applyProtection="1">
      <alignment horizontal="right" vertical="center"/>
      <protection locked="0"/>
    </xf>
    <xf numFmtId="0" fontId="22" fillId="14" borderId="30" xfId="3" applyFont="1" applyBorder="1" applyProtection="1">
      <alignment horizontal="center" vertical="center"/>
    </xf>
    <xf numFmtId="2" fontId="22" fillId="7" borderId="37" xfId="32" applyNumberFormat="1" applyFont="1" applyBorder="1">
      <alignment horizontal="right" vertical="center"/>
    </xf>
    <xf numFmtId="0" fontId="25" fillId="2" borderId="31" xfId="83" applyFont="1" applyFill="1" applyBorder="1" applyAlignment="1" applyProtection="1">
      <alignment horizontal="left" vertical="center" wrapText="1" indent="1"/>
    </xf>
    <xf numFmtId="0" fontId="22" fillId="7" borderId="41" xfId="2" applyFont="1" applyBorder="1">
      <alignment horizontal="center" vertical="center"/>
    </xf>
    <xf numFmtId="0" fontId="22" fillId="14" borderId="31" xfId="3" applyFont="1" applyBorder="1" applyProtection="1">
      <alignment horizontal="center" vertical="center"/>
    </xf>
    <xf numFmtId="0" fontId="22" fillId="2" borderId="31" xfId="0" applyFont="1" applyFill="1" applyBorder="1" applyAlignment="1" applyProtection="1">
      <alignment vertical="center" wrapText="1"/>
    </xf>
    <xf numFmtId="2" fontId="22" fillId="7" borderId="41" xfId="32" applyNumberFormat="1" applyFont="1" applyBorder="1">
      <alignment horizontal="right" vertical="center"/>
    </xf>
    <xf numFmtId="2" fontId="22" fillId="7" borderId="25" xfId="32" applyNumberFormat="1" applyFont="1" applyBorder="1">
      <alignment horizontal="right" vertical="center"/>
    </xf>
    <xf numFmtId="0" fontId="22" fillId="0" borderId="31" xfId="0" applyFont="1" applyFill="1" applyBorder="1" applyAlignment="1" applyProtection="1">
      <alignment vertical="center" wrapText="1"/>
    </xf>
    <xf numFmtId="2" fontId="22" fillId="0" borderId="31" xfId="32" applyNumberFormat="1" applyFont="1" applyFill="1" applyBorder="1">
      <alignment horizontal="right" vertical="center"/>
    </xf>
    <xf numFmtId="0" fontId="22" fillId="14" borderId="43" xfId="3" applyFont="1" applyBorder="1" applyProtection="1">
      <alignment horizontal="center" vertical="center"/>
    </xf>
    <xf numFmtId="0" fontId="22" fillId="14" borderId="28" xfId="3" applyFont="1" applyBorder="1" applyProtection="1">
      <alignment horizontal="center" vertical="center"/>
    </xf>
    <xf numFmtId="0" fontId="22" fillId="14" borderId="38" xfId="3" applyFont="1" applyBorder="1" applyProtection="1">
      <alignment horizontal="center" vertical="center"/>
    </xf>
    <xf numFmtId="0" fontId="22" fillId="14" borderId="35" xfId="3" applyFont="1" applyBorder="1" applyProtection="1">
      <alignment horizontal="center" vertical="center"/>
    </xf>
    <xf numFmtId="0" fontId="22" fillId="14" borderId="8" xfId="3" applyFont="1" applyBorder="1" applyProtection="1">
      <alignment horizontal="center" vertical="center"/>
    </xf>
    <xf numFmtId="0" fontId="22" fillId="44" borderId="9" xfId="9" applyFont="1" applyBorder="1" applyProtection="1">
      <alignment horizontal="left" vertical="center"/>
    </xf>
    <xf numFmtId="3" fontId="22" fillId="44" borderId="51" xfId="6" applyFont="1" applyBorder="1">
      <alignment horizontal="right" vertical="center"/>
    </xf>
    <xf numFmtId="0" fontId="22" fillId="2" borderId="34" xfId="0" applyFont="1" applyFill="1" applyBorder="1" applyAlignment="1" applyProtection="1">
      <alignment vertical="center" wrapText="1"/>
    </xf>
    <xf numFmtId="3" fontId="31" fillId="42" borderId="55" xfId="11" applyFont="1" applyBorder="1" applyProtection="1">
      <alignment horizontal="right" vertical="center"/>
      <protection locked="0"/>
    </xf>
    <xf numFmtId="2" fontId="22" fillId="14" borderId="28" xfId="3" applyNumberFormat="1" applyFont="1" applyBorder="1" applyProtection="1">
      <alignment horizontal="center" vertical="center"/>
    </xf>
    <xf numFmtId="2" fontId="22" fillId="14" borderId="42" xfId="3" applyNumberFormat="1" applyFont="1" applyBorder="1" applyProtection="1">
      <alignment horizontal="center" vertical="center"/>
    </xf>
    <xf numFmtId="0" fontId="22" fillId="14" borderId="42" xfId="3" applyFont="1" applyBorder="1" applyProtection="1">
      <alignment horizontal="center" vertical="center"/>
    </xf>
    <xf numFmtId="3" fontId="31" fillId="42" borderId="56" xfId="11" applyFont="1" applyBorder="1" applyProtection="1">
      <alignment horizontal="right" vertical="center"/>
      <protection locked="0"/>
    </xf>
    <xf numFmtId="0" fontId="25" fillId="2" borderId="34" xfId="83" applyFont="1" applyFill="1" applyBorder="1" applyAlignment="1" applyProtection="1">
      <alignment horizontal="left" vertical="center" wrapText="1" indent="1"/>
    </xf>
    <xf numFmtId="0" fontId="22" fillId="7" borderId="56" xfId="2" applyFont="1" applyBorder="1">
      <alignment horizontal="center" vertical="center"/>
    </xf>
    <xf numFmtId="0" fontId="22" fillId="14" borderId="56" xfId="3" applyFont="1" applyBorder="1" applyProtection="1">
      <alignment horizontal="center" vertical="center"/>
    </xf>
    <xf numFmtId="2" fontId="22" fillId="2" borderId="41" xfId="0" applyNumberFormat="1" applyFont="1" applyFill="1" applyBorder="1" applyProtection="1">
      <alignment vertical="center"/>
    </xf>
    <xf numFmtId="2" fontId="22" fillId="2" borderId="31" xfId="0" applyNumberFormat="1" applyFont="1" applyFill="1" applyBorder="1" applyProtection="1">
      <alignment vertical="center"/>
    </xf>
    <xf numFmtId="2" fontId="22" fillId="2" borderId="25" xfId="0" applyNumberFormat="1" applyFont="1" applyFill="1" applyBorder="1" applyProtection="1">
      <alignment vertical="center"/>
    </xf>
    <xf numFmtId="0" fontId="22" fillId="14" borderId="32" xfId="3" applyFont="1" applyBorder="1" applyProtection="1">
      <alignment horizontal="center" vertical="center"/>
    </xf>
    <xf numFmtId="0" fontId="24" fillId="7" borderId="9" xfId="5" applyFont="1" applyBorder="1">
      <alignment horizontal="center" wrapText="1"/>
    </xf>
    <xf numFmtId="3" fontId="31" fillId="42" borderId="42" xfId="11" applyFont="1" applyBorder="1" applyProtection="1">
      <alignment horizontal="right" vertical="center"/>
      <protection locked="0"/>
    </xf>
    <xf numFmtId="2" fontId="22" fillId="7" borderId="54" xfId="32" applyNumberFormat="1" applyFont="1" applyBorder="1">
      <alignment horizontal="right" vertical="center"/>
    </xf>
    <xf numFmtId="2" fontId="22" fillId="7" borderId="34" xfId="32" applyNumberFormat="1" applyFont="1" applyBorder="1">
      <alignment horizontal="right" vertical="center"/>
    </xf>
    <xf numFmtId="0" fontId="22" fillId="2" borderId="0" xfId="0" applyFont="1" applyFill="1" applyBorder="1" applyAlignment="1" applyProtection="1">
      <alignment horizontal="left" vertical="center" indent="1"/>
    </xf>
    <xf numFmtId="3" fontId="31" fillId="42" borderId="38" xfId="11" applyFont="1" applyBorder="1" applyProtection="1">
      <alignment horizontal="right" vertical="center"/>
      <protection locked="0"/>
    </xf>
    <xf numFmtId="2" fontId="22" fillId="7" borderId="35" xfId="32" applyNumberFormat="1" applyFont="1" applyBorder="1">
      <alignment horizontal="right" vertical="center"/>
    </xf>
    <xf numFmtId="0" fontId="22" fillId="14" borderId="51" xfId="3" applyFont="1" applyBorder="1" applyProtection="1">
      <alignment horizontal="center" vertical="center"/>
    </xf>
    <xf numFmtId="0" fontId="22" fillId="14" borderId="40" xfId="3" applyFont="1" applyBorder="1" applyProtection="1">
      <alignment horizontal="center" vertical="center"/>
    </xf>
    <xf numFmtId="0" fontId="22" fillId="44" borderId="8" xfId="9" applyFont="1" applyBorder="1" applyProtection="1">
      <alignment horizontal="left" vertical="center"/>
    </xf>
    <xf numFmtId="0" fontId="22" fillId="44" borderId="40" xfId="9" applyFont="1" applyBorder="1" applyProtection="1">
      <alignment horizontal="left" vertical="center"/>
    </xf>
    <xf numFmtId="0" fontId="22" fillId="44" borderId="29" xfId="9" applyFont="1" applyBorder="1" applyProtection="1">
      <alignment horizontal="left" vertical="center"/>
    </xf>
    <xf numFmtId="9" fontId="22" fillId="44" borderId="36" xfId="8" applyFont="1" applyBorder="1">
      <alignment horizontal="right" vertical="center"/>
    </xf>
    <xf numFmtId="0" fontId="22" fillId="2" borderId="33" xfId="0" applyFont="1" applyFill="1" applyBorder="1" applyAlignment="1" applyProtection="1">
      <alignment vertical="center" wrapText="1"/>
    </xf>
    <xf numFmtId="0" fontId="25" fillId="2" borderId="35" xfId="83" applyFont="1" applyFill="1" applyBorder="1" applyAlignment="1" applyProtection="1">
      <alignment horizontal="left" vertical="center" wrapText="1"/>
    </xf>
    <xf numFmtId="0" fontId="22" fillId="7" borderId="38" xfId="2" applyFont="1" applyBorder="1">
      <alignment horizontal="center" vertical="center"/>
    </xf>
    <xf numFmtId="0" fontId="22" fillId="14" borderId="49" xfId="3" applyFont="1" applyBorder="1" applyProtection="1">
      <alignment horizontal="center" vertical="center"/>
    </xf>
    <xf numFmtId="0" fontId="22" fillId="14" borderId="37" xfId="3" applyFont="1" applyBorder="1" applyProtection="1">
      <alignment horizontal="center" vertical="center"/>
    </xf>
    <xf numFmtId="0" fontId="22" fillId="2" borderId="11" xfId="0" applyFont="1" applyFill="1" applyBorder="1" applyAlignment="1" applyProtection="1">
      <alignment vertical="center"/>
    </xf>
    <xf numFmtId="0" fontId="20" fillId="2" borderId="3" xfId="0" applyFont="1" applyFill="1" applyBorder="1" applyAlignment="1"/>
    <xf numFmtId="0" fontId="20" fillId="2" borderId="9" xfId="0" applyFont="1" applyFill="1" applyBorder="1" applyAlignment="1"/>
    <xf numFmtId="15" fontId="21" fillId="2" borderId="9" xfId="0" applyNumberFormat="1" applyFont="1" applyFill="1" applyBorder="1" applyAlignment="1"/>
    <xf numFmtId="0" fontId="22" fillId="2" borderId="0" xfId="0" applyFont="1" applyFill="1">
      <alignment vertical="center"/>
    </xf>
    <xf numFmtId="0" fontId="35" fillId="7" borderId="12" xfId="111" applyFont="1" applyFill="1" applyBorder="1" applyAlignment="1">
      <alignment vertical="center"/>
    </xf>
    <xf numFmtId="0" fontId="20" fillId="7" borderId="5" xfId="0" applyFont="1" applyFill="1" applyBorder="1" applyAlignment="1">
      <alignment vertical="center"/>
    </xf>
    <xf numFmtId="0" fontId="20" fillId="7" borderId="11" xfId="0" applyFont="1" applyFill="1" applyBorder="1" applyAlignment="1">
      <alignment vertical="center"/>
    </xf>
    <xf numFmtId="0" fontId="20" fillId="7" borderId="0" xfId="0" applyFont="1" applyFill="1" applyBorder="1" applyAlignment="1" applyProtection="1">
      <alignment vertical="center"/>
    </xf>
    <xf numFmtId="0" fontId="22" fillId="2" borderId="6" xfId="0" applyFont="1" applyFill="1" applyBorder="1">
      <alignment vertical="center"/>
    </xf>
    <xf numFmtId="0" fontId="35" fillId="14" borderId="31" xfId="3" applyFont="1" applyBorder="1">
      <alignment horizontal="center" vertical="center"/>
    </xf>
    <xf numFmtId="3" fontId="22" fillId="42" borderId="47" xfId="11" applyFont="1" applyBorder="1">
      <alignment horizontal="right" vertical="center"/>
      <protection locked="0"/>
    </xf>
    <xf numFmtId="0" fontId="35" fillId="14" borderId="29" xfId="3" applyFont="1" applyBorder="1">
      <alignment horizontal="center" vertical="center"/>
    </xf>
    <xf numFmtId="0" fontId="0" fillId="44" borderId="20" xfId="9" applyFont="1" applyBorder="1" applyProtection="1">
      <alignment horizontal="left" vertical="center"/>
    </xf>
    <xf numFmtId="0" fontId="22" fillId="7" borderId="2" xfId="0" applyFont="1" applyFill="1" applyBorder="1" applyAlignment="1">
      <alignment vertical="center"/>
    </xf>
    <xf numFmtId="0" fontId="22" fillId="7" borderId="0" xfId="0" applyFont="1" applyFill="1" applyBorder="1" applyAlignment="1" applyProtection="1">
      <alignment horizontal="center" vertical="center" wrapText="1"/>
    </xf>
    <xf numFmtId="0" fontId="22" fillId="7" borderId="0" xfId="0" applyFont="1" applyFill="1" applyBorder="1" applyAlignment="1" applyProtection="1">
      <alignment horizontal="left" vertical="center" indent="1"/>
    </xf>
    <xf numFmtId="0" fontId="22" fillId="7" borderId="0" xfId="0" applyFont="1" applyFill="1" applyBorder="1" applyAlignment="1">
      <alignment horizontal="right" vertical="center"/>
    </xf>
    <xf numFmtId="0" fontId="22" fillId="7" borderId="6" xfId="0" applyFont="1" applyFill="1" applyBorder="1" applyAlignment="1">
      <alignment vertical="center"/>
    </xf>
    <xf numFmtId="0" fontId="22" fillId="7" borderId="0" xfId="0" applyFont="1" applyFill="1" applyAlignment="1">
      <alignment vertical="center"/>
    </xf>
    <xf numFmtId="0" fontId="35" fillId="7" borderId="2" xfId="111" applyFont="1" applyFill="1" applyBorder="1" applyAlignment="1">
      <alignment vertical="center"/>
    </xf>
    <xf numFmtId="0" fontId="20" fillId="7" borderId="0" xfId="0" applyFont="1" applyFill="1" applyBorder="1" applyAlignment="1">
      <alignment vertical="center"/>
    </xf>
    <xf numFmtId="0" fontId="20" fillId="7" borderId="6" xfId="0" applyFont="1" applyFill="1" applyBorder="1" applyAlignment="1">
      <alignment vertical="center"/>
    </xf>
    <xf numFmtId="0" fontId="24" fillId="2" borderId="39" xfId="0" applyFont="1" applyFill="1" applyBorder="1" applyAlignment="1">
      <alignment horizontal="center" wrapText="1"/>
    </xf>
    <xf numFmtId="0" fontId="24" fillId="2" borderId="48" xfId="0" applyFont="1" applyFill="1" applyBorder="1" applyAlignment="1">
      <alignment horizontal="center" wrapText="1"/>
    </xf>
    <xf numFmtId="0" fontId="24" fillId="2" borderId="48" xfId="0" applyFont="1" applyFill="1" applyBorder="1" applyAlignment="1" applyProtection="1">
      <alignment horizontal="center" wrapText="1"/>
    </xf>
    <xf numFmtId="0" fontId="22" fillId="2" borderId="30" xfId="0" applyFont="1" applyFill="1" applyBorder="1" applyAlignment="1">
      <alignment horizontal="center" vertical="center"/>
    </xf>
    <xf numFmtId="3" fontId="22" fillId="42" borderId="23" xfId="11" applyFont="1" applyBorder="1">
      <alignment horizontal="right" vertical="center"/>
      <protection locked="0"/>
    </xf>
    <xf numFmtId="3" fontId="22" fillId="42" borderId="37" xfId="11" applyFont="1" applyBorder="1">
      <alignment horizontal="right" vertical="center"/>
      <protection locked="0"/>
    </xf>
    <xf numFmtId="0" fontId="22" fillId="2" borderId="31" xfId="0" applyFont="1" applyFill="1" applyBorder="1" applyAlignment="1">
      <alignment horizontal="center" vertical="center"/>
    </xf>
    <xf numFmtId="0" fontId="22" fillId="2" borderId="46" xfId="0" applyFont="1" applyFill="1" applyBorder="1" applyAlignment="1">
      <alignment horizontal="center" vertical="center"/>
    </xf>
    <xf numFmtId="0" fontId="22" fillId="44" borderId="20" xfId="9" applyFont="1" applyBorder="1" applyProtection="1">
      <alignment horizontal="left" vertical="center"/>
    </xf>
    <xf numFmtId="0" fontId="22" fillId="2" borderId="25" xfId="0" applyFont="1" applyFill="1" applyBorder="1" applyAlignment="1" applyProtection="1">
      <alignment vertical="center" wrapText="1"/>
    </xf>
    <xf numFmtId="0" fontId="22" fillId="2" borderId="25" xfId="0" applyFont="1" applyFill="1" applyBorder="1" applyAlignment="1" applyProtection="1">
      <alignment vertical="center"/>
    </xf>
    <xf numFmtId="0" fontId="22" fillId="2" borderId="25" xfId="0" applyFont="1" applyFill="1" applyBorder="1" applyAlignment="1">
      <alignment vertical="center" wrapText="1"/>
    </xf>
    <xf numFmtId="0" fontId="22" fillId="2" borderId="25" xfId="0" applyFont="1" applyFill="1" applyBorder="1" applyAlignment="1">
      <alignment vertical="center"/>
    </xf>
    <xf numFmtId="3" fontId="22" fillId="15" borderId="25" xfId="20" applyFont="1">
      <alignment horizontal="right" vertical="center"/>
      <protection locked="0"/>
    </xf>
    <xf numFmtId="0" fontId="35" fillId="14" borderId="46" xfId="3" applyFont="1" applyBorder="1">
      <alignment horizontal="center" vertical="center"/>
    </xf>
    <xf numFmtId="3" fontId="22" fillId="15" borderId="45" xfId="20" applyFont="1" applyBorder="1">
      <alignment horizontal="right" vertical="center"/>
      <protection locked="0"/>
    </xf>
    <xf numFmtId="0" fontId="35" fillId="14" borderId="32" xfId="3" applyFont="1" applyBorder="1">
      <alignment horizontal="center" vertical="center"/>
    </xf>
    <xf numFmtId="0" fontId="22" fillId="7" borderId="0" xfId="0" applyFont="1" applyFill="1" applyBorder="1" applyAlignment="1" applyProtection="1">
      <alignment vertical="center" wrapText="1"/>
    </xf>
    <xf numFmtId="0" fontId="24" fillId="7" borderId="0" xfId="0" applyFont="1" applyFill="1" applyBorder="1" applyAlignment="1" applyProtection="1">
      <alignment horizontal="left" vertical="center" wrapText="1"/>
    </xf>
    <xf numFmtId="3" fontId="22" fillId="7" borderId="0" xfId="11" applyFont="1" applyFill="1" applyBorder="1">
      <alignment horizontal="right" vertical="center"/>
      <protection locked="0"/>
    </xf>
    <xf numFmtId="3" fontId="22" fillId="42" borderId="48" xfId="11" applyFont="1" applyBorder="1">
      <alignment horizontal="right" vertical="center"/>
      <protection locked="0"/>
    </xf>
    <xf numFmtId="3" fontId="22" fillId="42" borderId="50" xfId="11" applyFont="1" applyBorder="1">
      <alignment horizontal="right" vertical="center"/>
      <protection locked="0"/>
    </xf>
    <xf numFmtId="0" fontId="22" fillId="2" borderId="23" xfId="0" applyFont="1" applyFill="1" applyBorder="1" applyAlignment="1" applyProtection="1">
      <alignment vertical="center"/>
    </xf>
    <xf numFmtId="0" fontId="35" fillId="14" borderId="39" xfId="3" applyFont="1" applyBorder="1">
      <alignment horizontal="center" vertical="center"/>
    </xf>
    <xf numFmtId="0" fontId="0" fillId="44" borderId="23" xfId="9" applyFont="1" applyBorder="1" applyProtection="1">
      <alignment horizontal="left" vertical="center"/>
    </xf>
    <xf numFmtId="0" fontId="22" fillId="7" borderId="10" xfId="0" applyFont="1" applyFill="1" applyBorder="1" applyAlignment="1">
      <alignment vertical="center"/>
    </xf>
    <xf numFmtId="0" fontId="22" fillId="7" borderId="8" xfId="0" applyFont="1" applyFill="1" applyBorder="1" applyAlignment="1" applyProtection="1">
      <alignment vertical="center" wrapText="1"/>
    </xf>
    <xf numFmtId="0" fontId="24" fillId="7" borderId="8" xfId="0" applyFont="1" applyFill="1" applyBorder="1" applyAlignment="1" applyProtection="1">
      <alignment horizontal="left" vertical="center" wrapText="1"/>
    </xf>
    <xf numFmtId="3" fontId="22" fillId="7" borderId="8" xfId="11" applyFont="1" applyFill="1" applyBorder="1">
      <alignment horizontal="right" vertical="center"/>
      <protection locked="0"/>
    </xf>
    <xf numFmtId="0" fontId="22" fillId="7" borderId="7" xfId="0" applyFont="1" applyFill="1" applyBorder="1" applyAlignment="1">
      <alignment vertical="center"/>
    </xf>
    <xf numFmtId="3" fontId="22" fillId="14" borderId="37" xfId="3" applyNumberFormat="1" applyFont="1" applyBorder="1" applyAlignment="1" applyProtection="1">
      <alignment horizontal="center" vertical="center"/>
    </xf>
    <xf numFmtId="3" fontId="22" fillId="14" borderId="47" xfId="3" applyNumberFormat="1" applyFont="1" applyBorder="1" applyAlignment="1" applyProtection="1">
      <alignment horizontal="center" vertical="center"/>
    </xf>
    <xf numFmtId="3" fontId="22" fillId="14" borderId="36" xfId="3" applyNumberFormat="1" applyFont="1" applyBorder="1" applyAlignment="1" applyProtection="1">
      <alignment horizontal="center" vertical="center"/>
    </xf>
    <xf numFmtId="3" fontId="22" fillId="42" borderId="45" xfId="11" applyFont="1" applyBorder="1" applyAlignment="1" applyProtection="1">
      <alignment horizontal="right" vertical="center"/>
      <protection locked="0"/>
    </xf>
    <xf numFmtId="3" fontId="22" fillId="14" borderId="41" xfId="3" applyNumberFormat="1" applyFont="1" applyBorder="1">
      <alignment horizontal="center" vertical="center"/>
    </xf>
    <xf numFmtId="3" fontId="22" fillId="44" borderId="27" xfId="6" applyFont="1" applyBorder="1">
      <alignment horizontal="right" vertical="center"/>
    </xf>
    <xf numFmtId="3" fontId="22" fillId="44" borderId="38" xfId="6" applyFont="1" applyBorder="1" applyAlignment="1">
      <alignment horizontal="right" vertical="center"/>
    </xf>
    <xf numFmtId="10" fontId="22" fillId="44" borderId="28" xfId="7" applyFont="1" applyBorder="1">
      <alignment horizontal="right" vertical="center"/>
    </xf>
    <xf numFmtId="10" fontId="22" fillId="44" borderId="42" xfId="7" applyFont="1" applyBorder="1">
      <alignment horizontal="right" vertical="center"/>
    </xf>
    <xf numFmtId="10" fontId="22" fillId="44" borderId="25" xfId="7" applyFont="1" applyBorder="1">
      <alignment horizontal="right" vertical="center"/>
    </xf>
    <xf numFmtId="10" fontId="22" fillId="44" borderId="41" xfId="7" applyFont="1" applyBorder="1">
      <alignment horizontal="right" vertical="center"/>
    </xf>
    <xf numFmtId="10" fontId="22" fillId="44" borderId="27" xfId="7" applyFont="1" applyBorder="1">
      <alignment horizontal="right" vertical="center"/>
    </xf>
    <xf numFmtId="10" fontId="22" fillId="44" borderId="38" xfId="7" applyFont="1" applyBorder="1">
      <alignment horizontal="right" vertical="center"/>
    </xf>
    <xf numFmtId="3" fontId="22" fillId="44" borderId="20" xfId="6" applyFont="1" applyBorder="1" applyAlignment="1">
      <alignment horizontal="center"/>
    </xf>
    <xf numFmtId="3" fontId="22" fillId="44" borderId="36" xfId="6" applyFont="1" applyBorder="1" applyAlignment="1">
      <alignment horizontal="center"/>
    </xf>
    <xf numFmtId="0" fontId="22" fillId="14" borderId="23" xfId="3" applyFont="1" applyBorder="1" applyAlignment="1" applyProtection="1">
      <alignment vertical="center" wrapText="1"/>
    </xf>
    <xf numFmtId="0" fontId="22" fillId="14" borderId="25" xfId="3" applyFont="1" applyBorder="1" applyAlignment="1" applyProtection="1">
      <alignment vertical="center" wrapText="1"/>
    </xf>
    <xf numFmtId="0" fontId="22" fillId="14" borderId="31" xfId="3" applyFont="1" applyBorder="1" applyAlignment="1" applyProtection="1">
      <alignment horizontal="center" vertical="center" wrapText="1"/>
    </xf>
    <xf numFmtId="0" fontId="22" fillId="14" borderId="41" xfId="3" applyFont="1" applyBorder="1" applyAlignment="1" applyProtection="1">
      <alignment vertical="center" wrapText="1"/>
    </xf>
    <xf numFmtId="0" fontId="22" fillId="14" borderId="32" xfId="3" applyFont="1" applyBorder="1" applyAlignment="1" applyProtection="1">
      <alignment horizontal="center" vertical="center" wrapText="1"/>
    </xf>
    <xf numFmtId="0" fontId="22" fillId="14" borderId="27" xfId="3" applyFont="1" applyBorder="1" applyAlignment="1" applyProtection="1">
      <alignment vertical="center" wrapText="1"/>
    </xf>
    <xf numFmtId="0" fontId="22" fillId="14" borderId="30" xfId="3" applyFont="1" applyBorder="1" applyAlignment="1" applyProtection="1">
      <alignment horizontal="center" vertical="center" wrapText="1"/>
    </xf>
    <xf numFmtId="3" fontId="24" fillId="44" borderId="23" xfId="6" applyFont="1" applyBorder="1" applyProtection="1">
      <alignment horizontal="right" vertical="center"/>
    </xf>
    <xf numFmtId="3" fontId="24" fillId="44" borderId="25" xfId="6" applyFont="1" applyBorder="1" applyProtection="1">
      <alignment horizontal="right" vertical="center"/>
    </xf>
    <xf numFmtId="3" fontId="24" fillId="44" borderId="27" xfId="6" applyFont="1" applyBorder="1" applyProtection="1">
      <alignment horizontal="right" vertical="center"/>
    </xf>
    <xf numFmtId="3" fontId="22" fillId="44" borderId="23" xfId="6" applyFont="1" applyBorder="1" applyProtection="1">
      <alignment horizontal="right" vertical="center"/>
    </xf>
    <xf numFmtId="3" fontId="22" fillId="44" borderId="37" xfId="6" applyFont="1" applyBorder="1" applyProtection="1">
      <alignment horizontal="right" vertical="center"/>
    </xf>
    <xf numFmtId="3" fontId="22" fillId="44" borderId="27" xfId="6" applyFont="1" applyBorder="1" applyProtection="1">
      <alignment horizontal="right" vertical="center"/>
    </xf>
    <xf numFmtId="3" fontId="22" fillId="44" borderId="38" xfId="6" applyFont="1" applyBorder="1" applyProtection="1">
      <alignment horizontal="right" vertical="center"/>
    </xf>
    <xf numFmtId="3" fontId="22" fillId="44" borderId="20" xfId="6" applyFont="1" applyBorder="1" applyProtection="1">
      <alignment horizontal="right" vertical="center"/>
    </xf>
    <xf numFmtId="3" fontId="22" fillId="44" borderId="36" xfId="6" applyFont="1" applyBorder="1" applyProtection="1">
      <alignment horizontal="right" vertical="center"/>
    </xf>
    <xf numFmtId="0" fontId="22" fillId="2" borderId="41" xfId="0" applyFont="1" applyFill="1" applyBorder="1" applyAlignment="1" applyProtection="1">
      <alignment horizontal="left" vertical="center" wrapText="1"/>
    </xf>
    <xf numFmtId="3" fontId="22" fillId="42" borderId="52" xfId="11" applyFont="1" applyBorder="1">
      <alignment horizontal="right" vertical="center"/>
      <protection locked="0"/>
    </xf>
    <xf numFmtId="3" fontId="22" fillId="42" borderId="53" xfId="11" applyFont="1" applyBorder="1">
      <alignment horizontal="right" vertical="center"/>
      <protection locked="0"/>
    </xf>
    <xf numFmtId="0" fontId="24" fillId="2" borderId="50" xfId="0" applyFont="1" applyFill="1" applyBorder="1" applyAlignment="1" applyProtection="1">
      <alignment horizontal="center" wrapText="1"/>
    </xf>
    <xf numFmtId="0" fontId="22" fillId="2" borderId="0" xfId="0" applyFont="1" applyFill="1" applyBorder="1">
      <alignment vertical="center"/>
    </xf>
    <xf numFmtId="0" fontId="22" fillId="2" borderId="47" xfId="0" applyFont="1" applyFill="1" applyBorder="1" applyAlignment="1" applyProtection="1">
      <alignment horizontal="left" vertical="center" wrapText="1"/>
    </xf>
    <xf numFmtId="3" fontId="22" fillId="7" borderId="41" xfId="30" applyFont="1" applyBorder="1" applyProtection="1">
      <alignment horizontal="right" vertical="center"/>
    </xf>
    <xf numFmtId="3" fontId="22" fillId="44" borderId="25" xfId="6" applyFont="1" applyBorder="1" applyProtection="1">
      <alignment horizontal="right" vertical="center"/>
    </xf>
    <xf numFmtId="3" fontId="22" fillId="44" borderId="41" xfId="6" applyFont="1" applyBorder="1" applyProtection="1">
      <alignment horizontal="right" vertical="center"/>
    </xf>
    <xf numFmtId="3" fontId="22" fillId="14" borderId="35" xfId="3" applyNumberFormat="1" applyFont="1" applyBorder="1" applyAlignment="1" applyProtection="1">
      <alignment horizontal="center" vertical="center"/>
    </xf>
    <xf numFmtId="3" fontId="22" fillId="44" borderId="50" xfId="6" applyFont="1" applyBorder="1" applyProtection="1">
      <alignment horizontal="right" vertical="center"/>
    </xf>
    <xf numFmtId="0" fontId="24" fillId="7" borderId="5" xfId="0" applyFont="1" applyFill="1" applyBorder="1" applyAlignment="1">
      <alignment vertical="center"/>
    </xf>
    <xf numFmtId="0" fontId="24" fillId="7" borderId="0" xfId="0" applyFont="1" applyFill="1" applyBorder="1" applyAlignment="1">
      <alignment vertical="center"/>
    </xf>
    <xf numFmtId="0" fontId="22" fillId="2" borderId="0" xfId="0" applyFont="1" applyFill="1" applyAlignment="1">
      <alignment vertical="center"/>
    </xf>
    <xf numFmtId="0" fontId="22" fillId="2" borderId="43" xfId="0" applyFont="1" applyFill="1" applyBorder="1">
      <alignment vertical="center"/>
    </xf>
    <xf numFmtId="0" fontId="22" fillId="2" borderId="30" xfId="0" applyFont="1" applyFill="1" applyBorder="1">
      <alignment vertical="center"/>
    </xf>
    <xf numFmtId="3" fontId="22" fillId="42" borderId="38" xfId="11" applyFont="1" applyBorder="1">
      <alignment horizontal="right" vertical="center"/>
      <protection locked="0"/>
    </xf>
    <xf numFmtId="3" fontId="22" fillId="42" borderId="36" xfId="11" applyFont="1" applyBorder="1">
      <alignment horizontal="right" vertical="center"/>
      <protection locked="0"/>
    </xf>
    <xf numFmtId="0" fontId="22" fillId="14" borderId="36" xfId="3" applyFont="1" applyBorder="1" applyProtection="1">
      <alignment horizontal="center" vertical="center"/>
    </xf>
    <xf numFmtId="0" fontId="22" fillId="44" borderId="9" xfId="9" applyFont="1" applyBorder="1" applyAlignment="1">
      <alignment vertical="center"/>
    </xf>
    <xf numFmtId="3" fontId="22" fillId="42" borderId="67" xfId="11" applyFont="1" applyBorder="1" applyAlignment="1" applyProtection="1">
      <alignment horizontal="right" vertical="center"/>
      <protection locked="0"/>
    </xf>
    <xf numFmtId="3" fontId="22" fillId="42" borderId="66" xfId="11" applyFont="1" applyBorder="1" applyAlignment="1" applyProtection="1">
      <alignment horizontal="right" vertical="center"/>
      <protection locked="0"/>
    </xf>
    <xf numFmtId="0" fontId="22" fillId="14" borderId="9" xfId="3" applyFont="1" applyBorder="1" applyProtection="1">
      <alignment horizontal="center" vertical="center"/>
    </xf>
    <xf numFmtId="3" fontId="22" fillId="42" borderId="46" xfId="11" applyFont="1" applyBorder="1" applyAlignment="1" applyProtection="1">
      <alignment horizontal="right" vertical="center"/>
      <protection locked="0"/>
    </xf>
    <xf numFmtId="3" fontId="22" fillId="14" borderId="23" xfId="3" applyNumberFormat="1" applyFont="1" applyBorder="1">
      <alignment horizontal="center" vertical="center"/>
    </xf>
    <xf numFmtId="3" fontId="22" fillId="14" borderId="60" xfId="3" applyNumberFormat="1" applyFont="1" applyBorder="1">
      <alignment horizontal="center" vertical="center"/>
    </xf>
    <xf numFmtId="3" fontId="22" fillId="7" borderId="22" xfId="30" applyFont="1" applyBorder="1">
      <alignment horizontal="right" vertical="center"/>
    </xf>
    <xf numFmtId="3" fontId="22" fillId="14" borderId="37" xfId="3" applyNumberFormat="1" applyFont="1" applyBorder="1">
      <alignment horizontal="center" vertical="center"/>
    </xf>
    <xf numFmtId="3" fontId="22" fillId="14" borderId="61" xfId="3" applyNumberFormat="1" applyFont="1" applyBorder="1">
      <alignment horizontal="center" vertical="center"/>
    </xf>
    <xf numFmtId="3" fontId="22" fillId="14" borderId="24" xfId="3" applyNumberFormat="1" applyFont="1" applyBorder="1">
      <alignment horizontal="center" vertical="center"/>
    </xf>
    <xf numFmtId="3" fontId="22" fillId="14" borderId="26" xfId="3" applyNumberFormat="1" applyFont="1" applyBorder="1">
      <alignment horizontal="center" vertical="center"/>
    </xf>
    <xf numFmtId="3" fontId="22" fillId="7" borderId="21" xfId="30" applyFont="1" applyBorder="1">
      <alignment horizontal="right" vertical="center"/>
    </xf>
    <xf numFmtId="0" fontId="20" fillId="2" borderId="4" xfId="4" applyFont="1" applyFill="1" applyBorder="1" applyAlignment="1"/>
    <xf numFmtId="0" fontId="22" fillId="2" borderId="31" xfId="0" applyFont="1" applyFill="1" applyBorder="1" applyAlignment="1" applyProtection="1">
      <alignment horizontal="left" vertical="center" indent="2"/>
    </xf>
    <xf numFmtId="0" fontId="22" fillId="42" borderId="41" xfId="18" applyFont="1" applyBorder="1">
      <alignment horizontal="center" vertical="center" wrapText="1"/>
      <protection locked="0"/>
    </xf>
    <xf numFmtId="0" fontId="22" fillId="42" borderId="38" xfId="18" applyFont="1" applyBorder="1">
      <alignment horizontal="center" vertical="center" wrapText="1"/>
      <protection locked="0"/>
    </xf>
    <xf numFmtId="0" fontId="22" fillId="42" borderId="42" xfId="18" applyFont="1" applyBorder="1">
      <alignment horizontal="center" vertical="center" wrapText="1"/>
      <protection locked="0"/>
    </xf>
    <xf numFmtId="3" fontId="22" fillId="42" borderId="42" xfId="11" applyFont="1" applyBorder="1">
      <alignment horizontal="right" vertical="center"/>
      <protection locked="0"/>
    </xf>
    <xf numFmtId="3" fontId="22" fillId="42" borderId="49" xfId="11" applyFont="1" applyBorder="1">
      <alignment horizontal="right" vertical="center"/>
      <protection locked="0"/>
    </xf>
    <xf numFmtId="3" fontId="22" fillId="15" borderId="23" xfId="20" applyFont="1" applyBorder="1">
      <alignment horizontal="right" vertical="center"/>
      <protection locked="0"/>
    </xf>
    <xf numFmtId="0" fontId="24" fillId="2" borderId="20" xfId="0" applyFont="1" applyFill="1" applyBorder="1" applyAlignment="1">
      <alignment vertical="center"/>
    </xf>
    <xf numFmtId="0" fontId="22" fillId="2" borderId="23" xfId="0" applyFont="1" applyFill="1" applyBorder="1" applyAlignment="1">
      <alignment vertical="center" wrapText="1"/>
    </xf>
    <xf numFmtId="0" fontId="22" fillId="2" borderId="27" xfId="0" applyFont="1" applyFill="1" applyBorder="1" applyAlignment="1">
      <alignment vertical="center" wrapText="1"/>
    </xf>
    <xf numFmtId="0" fontId="22" fillId="14" borderId="37" xfId="3" applyFont="1" applyBorder="1" applyAlignment="1" applyProtection="1">
      <alignment horizontal="center" vertical="center"/>
    </xf>
    <xf numFmtId="0" fontId="22" fillId="14" borderId="41" xfId="3" applyFont="1" applyBorder="1" applyAlignment="1" applyProtection="1">
      <alignment horizontal="center" vertical="center"/>
    </xf>
    <xf numFmtId="170" fontId="22" fillId="7" borderId="9" xfId="29" applyFont="1" applyBorder="1">
      <alignment horizontal="center" vertical="center"/>
    </xf>
    <xf numFmtId="170" fontId="24" fillId="7" borderId="36" xfId="29" applyFont="1" applyBorder="1">
      <alignment horizontal="center" vertical="center"/>
    </xf>
    <xf numFmtId="0" fontId="22" fillId="14" borderId="28" xfId="3" applyFont="1" applyBorder="1" applyAlignment="1" applyProtection="1">
      <alignment horizontal="center" vertical="center"/>
    </xf>
    <xf numFmtId="3" fontId="22" fillId="7" borderId="28" xfId="1" applyFont="1" applyBorder="1" applyAlignment="1" applyProtection="1">
      <alignment horizontal="center" vertical="center"/>
    </xf>
    <xf numFmtId="170" fontId="22" fillId="7" borderId="42" xfId="29" applyFont="1" applyBorder="1">
      <alignment horizontal="center" vertical="center"/>
    </xf>
    <xf numFmtId="170" fontId="22" fillId="7" borderId="41" xfId="29" applyFont="1" applyBorder="1">
      <alignment horizontal="center" vertical="center"/>
    </xf>
    <xf numFmtId="3" fontId="22" fillId="7" borderId="27" xfId="1" applyFont="1" applyBorder="1" applyAlignment="1" applyProtection="1">
      <alignment horizontal="center" vertical="center"/>
    </xf>
    <xf numFmtId="0" fontId="22" fillId="7" borderId="28" xfId="2" applyFont="1" applyBorder="1">
      <alignment horizontal="center" vertical="center"/>
    </xf>
    <xf numFmtId="0" fontId="22" fillId="14" borderId="42" xfId="3" applyFont="1" applyBorder="1" applyAlignment="1" applyProtection="1">
      <alignment horizontal="center" vertical="center"/>
    </xf>
    <xf numFmtId="0" fontId="22" fillId="7" borderId="42" xfId="2" applyFont="1" applyBorder="1">
      <alignment horizontal="center" vertical="center"/>
    </xf>
    <xf numFmtId="0" fontId="22" fillId="2" borderId="8" xfId="0" applyFont="1" applyFill="1" applyBorder="1" applyAlignment="1">
      <alignment horizontal="center" vertical="center"/>
    </xf>
    <xf numFmtId="0" fontId="22" fillId="2" borderId="8" xfId="0" applyFont="1" applyFill="1" applyBorder="1" applyAlignment="1">
      <alignment vertical="center" wrapText="1"/>
    </xf>
    <xf numFmtId="0" fontId="22" fillId="7" borderId="8" xfId="2" applyFont="1" applyBorder="1">
      <alignment horizontal="center" vertical="center"/>
    </xf>
    <xf numFmtId="3" fontId="22" fillId="7" borderId="41" xfId="2" applyNumberFormat="1" applyFont="1" applyBorder="1" applyAlignment="1">
      <alignment horizontal="left" vertical="center" wrapText="1"/>
    </xf>
    <xf numFmtId="3" fontId="22" fillId="7" borderId="38" xfId="2" applyNumberFormat="1" applyFont="1" applyBorder="1" applyAlignment="1">
      <alignment horizontal="left" vertical="center" wrapText="1"/>
    </xf>
    <xf numFmtId="0" fontId="23" fillId="2" borderId="2" xfId="0" applyFont="1" applyFill="1" applyBorder="1" applyAlignment="1"/>
    <xf numFmtId="1" fontId="22" fillId="5" borderId="20" xfId="37" applyFont="1" applyBorder="1" applyAlignment="1">
      <alignment horizontal="center" vertical="center"/>
    </xf>
    <xf numFmtId="1" fontId="22" fillId="16" borderId="36" xfId="48" applyFont="1" applyBorder="1" applyAlignment="1">
      <alignment horizontal="center" vertical="center"/>
    </xf>
    <xf numFmtId="2" fontId="22" fillId="16" borderId="41" xfId="49" applyNumberFormat="1" applyFont="1" applyBorder="1" applyAlignment="1">
      <alignment vertical="center"/>
    </xf>
    <xf numFmtId="2" fontId="22" fillId="16" borderId="38" xfId="49" applyNumberFormat="1" applyFont="1" applyBorder="1" applyAlignment="1">
      <alignment vertical="center"/>
    </xf>
    <xf numFmtId="0" fontId="22" fillId="16" borderId="36" xfId="55" applyFont="1" applyBorder="1">
      <alignment horizontal="center" vertical="center" wrapText="1"/>
    </xf>
    <xf numFmtId="2" fontId="22" fillId="16" borderId="37" xfId="49" applyNumberFormat="1" applyFont="1" applyBorder="1">
      <alignment vertical="center"/>
    </xf>
    <xf numFmtId="2" fontId="22" fillId="16" borderId="41" xfId="49" applyNumberFormat="1" applyFont="1" applyBorder="1">
      <alignment vertical="center"/>
    </xf>
    <xf numFmtId="2" fontId="22" fillId="16" borderId="38" xfId="49" applyNumberFormat="1" applyFont="1" applyBorder="1">
      <alignment vertical="center"/>
    </xf>
    <xf numFmtId="49" fontId="22" fillId="16" borderId="33" xfId="56" applyFont="1" applyBorder="1">
      <alignment vertical="center"/>
    </xf>
    <xf numFmtId="0" fontId="22" fillId="14" borderId="33" xfId="3" applyFont="1" applyBorder="1">
      <alignment horizontal="center" vertical="center"/>
    </xf>
    <xf numFmtId="2" fontId="22" fillId="16" borderId="23" xfId="49" applyNumberFormat="1" applyFont="1" applyBorder="1">
      <alignment vertical="center"/>
    </xf>
    <xf numFmtId="49" fontId="22" fillId="16" borderId="34" xfId="56" applyFont="1" applyBorder="1">
      <alignment vertical="center"/>
    </xf>
    <xf numFmtId="0" fontId="22" fillId="14" borderId="34" xfId="3" applyFont="1" applyBorder="1">
      <alignment horizontal="center" vertical="center"/>
    </xf>
    <xf numFmtId="2" fontId="22" fillId="16" borderId="25" xfId="49" applyNumberFormat="1" applyFont="1" applyBorder="1">
      <alignment vertical="center"/>
    </xf>
    <xf numFmtId="2" fontId="22" fillId="16" borderId="27" xfId="49" applyNumberFormat="1" applyFont="1" applyBorder="1">
      <alignment vertical="center"/>
    </xf>
    <xf numFmtId="2" fontId="22" fillId="16" borderId="36" xfId="49" applyNumberFormat="1" applyFont="1" applyBorder="1">
      <alignment vertical="center"/>
    </xf>
    <xf numFmtId="166" fontId="22" fillId="16" borderId="36" xfId="49" applyFont="1" applyBorder="1">
      <alignment vertical="center"/>
    </xf>
    <xf numFmtId="0" fontId="22" fillId="2" borderId="40" xfId="0" applyFont="1" applyFill="1" applyBorder="1" applyProtection="1">
      <alignment vertical="center"/>
    </xf>
    <xf numFmtId="3" fontId="22" fillId="44" borderId="49" xfId="6" applyFont="1" applyBorder="1" applyProtection="1">
      <alignment horizontal="right" vertical="center"/>
    </xf>
    <xf numFmtId="3" fontId="22" fillId="44" borderId="51" xfId="6" applyFont="1" applyBorder="1" applyProtection="1">
      <alignment horizontal="right" vertical="center"/>
    </xf>
    <xf numFmtId="0" fontId="22" fillId="14" borderId="58" xfId="3" applyFont="1" applyBorder="1">
      <alignment horizontal="center" vertical="center"/>
    </xf>
    <xf numFmtId="0" fontId="0" fillId="2" borderId="53" xfId="0" applyFont="1" applyFill="1" applyBorder="1" applyAlignment="1" applyProtection="1">
      <alignment horizontal="left" vertical="center" wrapText="1"/>
    </xf>
    <xf numFmtId="0" fontId="35" fillId="14" borderId="30" xfId="3" applyFont="1" applyBorder="1">
      <alignment horizontal="center" vertical="center"/>
    </xf>
    <xf numFmtId="0" fontId="22" fillId="44" borderId="23" xfId="9" applyFont="1" applyBorder="1" applyProtection="1">
      <alignment horizontal="left" vertical="center"/>
    </xf>
    <xf numFmtId="0" fontId="22" fillId="44" borderId="27" xfId="9" applyFont="1" applyBorder="1" applyProtection="1">
      <alignment horizontal="left" vertical="center"/>
    </xf>
    <xf numFmtId="0" fontId="22" fillId="44" borderId="45" xfId="9" applyFont="1" applyBorder="1" applyAlignment="1" applyProtection="1">
      <alignment horizontal="left" vertical="center" indent="1"/>
    </xf>
    <xf numFmtId="3" fontId="22" fillId="44" borderId="45" xfId="6" applyFont="1" applyBorder="1" applyProtection="1">
      <alignment horizontal="right" vertical="center"/>
    </xf>
    <xf numFmtId="3" fontId="22" fillId="44" borderId="47" xfId="6" applyFont="1" applyBorder="1" applyProtection="1">
      <alignment horizontal="right" vertical="center"/>
    </xf>
    <xf numFmtId="0" fontId="0" fillId="44" borderId="45" xfId="9" applyFont="1" applyBorder="1" applyAlignment="1" applyProtection="1">
      <alignment horizontal="left" vertical="center" indent="1"/>
    </xf>
    <xf numFmtId="0" fontId="0" fillId="44" borderId="27" xfId="9" applyFont="1" applyBorder="1" applyProtection="1">
      <alignment horizontal="left" vertical="center"/>
    </xf>
    <xf numFmtId="3" fontId="22" fillId="14" borderId="44" xfId="3" applyNumberFormat="1" applyFont="1" applyBorder="1" applyAlignment="1" applyProtection="1">
      <alignment horizontal="center" vertical="center"/>
    </xf>
    <xf numFmtId="3" fontId="22" fillId="14" borderId="34" xfId="3" applyNumberFormat="1" applyFont="1" applyBorder="1" applyAlignment="1" applyProtection="1">
      <alignment horizontal="center" vertical="center"/>
    </xf>
    <xf numFmtId="3" fontId="22" fillId="14" borderId="30" xfId="3" applyNumberFormat="1" applyFont="1" applyBorder="1" applyAlignment="1" applyProtection="1">
      <alignment horizontal="center" vertical="center"/>
    </xf>
    <xf numFmtId="3" fontId="22" fillId="14" borderId="29" xfId="3" applyNumberFormat="1" applyFont="1" applyBorder="1" applyAlignment="1" applyProtection="1">
      <alignment horizontal="center" vertical="center"/>
    </xf>
    <xf numFmtId="3" fontId="22" fillId="14" borderId="31" xfId="3" applyNumberFormat="1" applyFont="1" applyBorder="1" applyAlignment="1" applyProtection="1">
      <alignment horizontal="center" vertical="center"/>
    </xf>
    <xf numFmtId="3" fontId="22" fillId="14" borderId="46" xfId="3" applyNumberFormat="1" applyFont="1" applyBorder="1" applyAlignment="1" applyProtection="1">
      <alignment horizontal="center" vertical="center"/>
    </xf>
    <xf numFmtId="3" fontId="22" fillId="14" borderId="33" xfId="3" applyNumberFormat="1" applyFont="1" applyBorder="1" applyAlignment="1" applyProtection="1">
      <alignment horizontal="center" vertical="center"/>
    </xf>
    <xf numFmtId="0" fontId="22" fillId="2" borderId="32" xfId="0" applyFont="1" applyFill="1" applyBorder="1" applyProtection="1">
      <alignment vertical="center"/>
    </xf>
    <xf numFmtId="3" fontId="22" fillId="14" borderId="27" xfId="3" applyNumberFormat="1" applyFont="1" applyBorder="1" applyAlignment="1" applyProtection="1">
      <alignment horizontal="center" vertical="center"/>
    </xf>
    <xf numFmtId="0" fontId="22" fillId="2" borderId="29" xfId="0" applyFont="1" applyFill="1" applyBorder="1" applyProtection="1">
      <alignment vertical="center"/>
    </xf>
    <xf numFmtId="3" fontId="22" fillId="14" borderId="23" xfId="3" applyNumberFormat="1" applyFont="1" applyBorder="1" applyAlignment="1" applyProtection="1">
      <alignment horizontal="center" vertical="center"/>
    </xf>
    <xf numFmtId="0" fontId="20" fillId="7" borderId="6" xfId="0" applyFont="1" applyFill="1" applyBorder="1" applyAlignment="1" applyProtection="1">
      <alignment vertical="center"/>
    </xf>
    <xf numFmtId="0" fontId="24" fillId="2" borderId="9" xfId="5" applyFont="1" applyFill="1" applyBorder="1" applyAlignment="1">
      <alignment horizontal="center" vertical="center" wrapText="1"/>
    </xf>
    <xf numFmtId="0" fontId="24" fillId="7" borderId="36" xfId="5" applyFont="1" applyBorder="1">
      <alignment horizontal="center" wrapText="1"/>
    </xf>
    <xf numFmtId="0" fontId="22" fillId="2" borderId="34" xfId="0" applyFont="1" applyFill="1" applyBorder="1" applyAlignment="1" applyProtection="1">
      <alignment horizontal="left" vertical="center" wrapText="1"/>
    </xf>
    <xf numFmtId="0" fontId="22" fillId="2" borderId="35" xfId="0" applyFont="1" applyFill="1" applyBorder="1" applyAlignment="1" applyProtection="1">
      <alignment horizontal="left" vertical="center" wrapText="1"/>
    </xf>
    <xf numFmtId="0" fontId="24" fillId="2" borderId="20" xfId="0" applyFont="1" applyFill="1" applyBorder="1" applyAlignment="1">
      <alignment horizontal="center" vertical="center"/>
    </xf>
    <xf numFmtId="0" fontId="24" fillId="2" borderId="59" xfId="0" applyFont="1" applyFill="1" applyBorder="1" applyAlignment="1" applyProtection="1">
      <alignment horizontal="center" vertical="center" wrapText="1"/>
    </xf>
    <xf numFmtId="0" fontId="22" fillId="46" borderId="0" xfId="0" applyFont="1" applyFill="1" applyAlignment="1" applyProtection="1">
      <alignment vertical="center"/>
    </xf>
    <xf numFmtId="0" fontId="25" fillId="2" borderId="27" xfId="83" applyFont="1" applyFill="1" applyBorder="1" applyAlignment="1">
      <alignment horizontal="left" vertical="center" wrapText="1" indent="1"/>
    </xf>
    <xf numFmtId="0" fontId="25" fillId="2" borderId="25" xfId="83" applyFont="1" applyFill="1" applyBorder="1" applyAlignment="1">
      <alignment horizontal="left" vertical="center" wrapText="1" indent="1"/>
    </xf>
    <xf numFmtId="0" fontId="22" fillId="14" borderId="45" xfId="3" applyFont="1" applyBorder="1" applyAlignment="1" applyProtection="1">
      <alignment horizontal="center" vertical="center"/>
    </xf>
    <xf numFmtId="0" fontId="25" fillId="2" borderId="34" xfId="83" applyFont="1" applyFill="1" applyBorder="1" applyAlignment="1" applyProtection="1">
      <alignment horizontal="left" vertical="center" wrapText="1"/>
    </xf>
    <xf numFmtId="0" fontId="22" fillId="2" borderId="45" xfId="0" applyFont="1" applyFill="1" applyBorder="1" applyAlignment="1">
      <alignment vertical="center" wrapText="1"/>
    </xf>
    <xf numFmtId="0" fontId="22" fillId="14" borderId="46" xfId="3" applyFont="1" applyBorder="1" applyProtection="1">
      <alignment horizontal="center" vertical="center"/>
    </xf>
    <xf numFmtId="0" fontId="22" fillId="14" borderId="34" xfId="3" applyFont="1" applyBorder="1" applyProtection="1">
      <alignment horizontal="center" vertical="center"/>
    </xf>
    <xf numFmtId="0" fontId="22" fillId="47" borderId="0" xfId="0" applyFont="1" applyFill="1" applyProtection="1">
      <alignment vertical="center"/>
    </xf>
    <xf numFmtId="0" fontId="22" fillId="46" borderId="0" xfId="0" applyFont="1" applyFill="1" applyAlignment="1" applyProtection="1">
      <alignment horizontal="left" vertical="center" indent="2"/>
    </xf>
    <xf numFmtId="0" fontId="22" fillId="46" borderId="0" xfId="0" applyFont="1" applyFill="1" applyProtection="1">
      <alignment vertical="center"/>
    </xf>
    <xf numFmtId="0" fontId="22" fillId="2" borderId="6" xfId="0" applyFont="1" applyFill="1" applyBorder="1" applyAlignment="1" applyProtection="1">
      <alignment horizontal="left" vertical="center" indent="2"/>
    </xf>
    <xf numFmtId="0" fontId="22" fillId="14" borderId="31" xfId="3" applyFont="1" applyBorder="1" applyAlignment="1" applyProtection="1">
      <alignment horizontal="left" vertical="center" indent="2"/>
    </xf>
    <xf numFmtId="0" fontId="22" fillId="2" borderId="0" xfId="0" applyFont="1" applyFill="1" applyBorder="1" applyAlignment="1" applyProtection="1">
      <alignment horizontal="left" vertical="center" indent="2"/>
    </xf>
    <xf numFmtId="3" fontId="31" fillId="42" borderId="41" xfId="11" applyFont="1" applyBorder="1" applyAlignment="1" applyProtection="1">
      <alignment horizontal="left" vertical="center" indent="2"/>
      <protection locked="0"/>
    </xf>
    <xf numFmtId="0" fontId="22" fillId="14" borderId="25" xfId="3" applyFont="1" applyBorder="1" applyAlignment="1" applyProtection="1">
      <alignment horizontal="left" vertical="center" indent="2"/>
    </xf>
    <xf numFmtId="0" fontId="22" fillId="2" borderId="2" xfId="0" applyFont="1" applyFill="1" applyBorder="1" applyAlignment="1" applyProtection="1">
      <alignment horizontal="left" vertical="center" indent="2"/>
    </xf>
    <xf numFmtId="0" fontId="22" fillId="14" borderId="34" xfId="3" applyFont="1" applyBorder="1" applyAlignment="1" applyProtection="1">
      <alignment vertical="center" wrapText="1"/>
    </xf>
    <xf numFmtId="0" fontId="22" fillId="14" borderId="33" xfId="3" applyFont="1" applyBorder="1" applyAlignment="1" applyProtection="1">
      <alignment vertical="center" wrapText="1"/>
    </xf>
    <xf numFmtId="0" fontId="22" fillId="14" borderId="37" xfId="3" applyFont="1" applyBorder="1" applyAlignment="1" applyProtection="1">
      <alignment vertical="center" wrapText="1"/>
    </xf>
    <xf numFmtId="3" fontId="22" fillId="15" borderId="30" xfId="20" applyFont="1" applyBorder="1">
      <alignment horizontal="right" vertical="center"/>
      <protection locked="0"/>
    </xf>
    <xf numFmtId="3" fontId="22" fillId="7" borderId="37" xfId="30" applyFont="1" applyBorder="1" applyProtection="1">
      <alignment horizontal="right" vertical="center"/>
    </xf>
    <xf numFmtId="3" fontId="22" fillId="7" borderId="34" xfId="30" applyFont="1" applyBorder="1">
      <alignment horizontal="right" vertical="center"/>
    </xf>
    <xf numFmtId="0" fontId="22" fillId="2" borderId="34" xfId="0" applyFont="1" applyFill="1" applyBorder="1" applyAlignment="1" applyProtection="1">
      <alignment horizontal="left" vertical="center" wrapText="1" indent="4"/>
    </xf>
    <xf numFmtId="0" fontId="22" fillId="2" borderId="6" xfId="0" applyFont="1" applyFill="1" applyBorder="1" applyAlignment="1" applyProtection="1">
      <alignment horizontal="left" vertical="center" indent="3"/>
    </xf>
    <xf numFmtId="0" fontId="22" fillId="2" borderId="0" xfId="0" applyFont="1" applyFill="1" applyBorder="1" applyAlignment="1" applyProtection="1">
      <alignment horizontal="left" vertical="center" indent="3"/>
    </xf>
    <xf numFmtId="3" fontId="31" fillId="42" borderId="41" xfId="11" applyFont="1" applyBorder="1" applyAlignment="1" applyProtection="1">
      <alignment horizontal="left" vertical="center" indent="3"/>
      <protection locked="0"/>
    </xf>
    <xf numFmtId="0" fontId="22" fillId="2" borderId="2" xfId="0" applyFont="1" applyFill="1" applyBorder="1" applyAlignment="1" applyProtection="1">
      <alignment horizontal="left" vertical="center" indent="3"/>
    </xf>
    <xf numFmtId="2" fontId="22" fillId="2" borderId="38" xfId="0" applyNumberFormat="1" applyFont="1" applyFill="1" applyBorder="1" applyProtection="1">
      <alignment vertical="center"/>
    </xf>
    <xf numFmtId="2" fontId="22" fillId="2" borderId="27" xfId="0" applyNumberFormat="1" applyFont="1" applyFill="1" applyBorder="1" applyProtection="1">
      <alignment vertical="center"/>
    </xf>
    <xf numFmtId="2" fontId="22" fillId="2" borderId="32" xfId="0" applyNumberFormat="1" applyFont="1" applyFill="1" applyBorder="1" applyProtection="1">
      <alignment vertical="center"/>
    </xf>
    <xf numFmtId="3" fontId="31" fillId="42" borderId="57" xfId="11" applyFont="1" applyBorder="1" applyProtection="1">
      <alignment horizontal="right" vertical="center"/>
      <protection locked="0"/>
    </xf>
    <xf numFmtId="0" fontId="22" fillId="2" borderId="39" xfId="0" applyFont="1" applyFill="1" applyBorder="1" applyProtection="1">
      <alignment vertical="center"/>
    </xf>
    <xf numFmtId="0" fontId="22" fillId="14" borderId="69" xfId="3" applyFont="1" applyBorder="1" applyProtection="1">
      <alignment horizontal="center" vertical="center"/>
    </xf>
    <xf numFmtId="0" fontId="22" fillId="46" borderId="0" xfId="0" applyFont="1" applyFill="1" applyBorder="1" applyAlignment="1" applyProtection="1">
      <alignment vertical="center"/>
    </xf>
    <xf numFmtId="0" fontId="23" fillId="2" borderId="12" xfId="0" applyFont="1" applyFill="1" applyBorder="1" applyAlignment="1" applyProtection="1">
      <alignment vertical="center"/>
    </xf>
    <xf numFmtId="0" fontId="0" fillId="46" borderId="0" xfId="0" applyFont="1" applyFill="1" applyProtection="1">
      <alignment vertical="center"/>
    </xf>
    <xf numFmtId="3" fontId="22" fillId="7" borderId="35" xfId="30" applyFont="1" applyBorder="1">
      <alignment horizontal="right" vertical="center"/>
    </xf>
    <xf numFmtId="0" fontId="22" fillId="7" borderId="41" xfId="2" applyFont="1" applyBorder="1" applyProtection="1">
      <alignment horizontal="center" vertical="center"/>
    </xf>
    <xf numFmtId="0" fontId="22" fillId="14" borderId="33" xfId="3" applyFont="1" applyBorder="1" applyProtection="1">
      <alignment horizontal="center" vertical="center"/>
    </xf>
    <xf numFmtId="0" fontId="22" fillId="42" borderId="36" xfId="18" applyFont="1" applyBorder="1" applyAlignment="1" applyProtection="1">
      <alignment horizontal="center" vertical="center" wrapText="1"/>
      <protection locked="0"/>
    </xf>
    <xf numFmtId="0" fontId="22" fillId="2" borderId="30" xfId="0" applyFont="1" applyFill="1" applyBorder="1" applyProtection="1">
      <alignment vertical="center"/>
    </xf>
    <xf numFmtId="0" fontId="22" fillId="2" borderId="23" xfId="0" applyFont="1" applyFill="1" applyBorder="1">
      <alignment vertical="center"/>
    </xf>
    <xf numFmtId="0" fontId="22" fillId="2" borderId="37" xfId="0" applyFont="1" applyFill="1" applyBorder="1">
      <alignment vertical="center"/>
    </xf>
    <xf numFmtId="0" fontId="22" fillId="2" borderId="31" xfId="0" applyFont="1" applyFill="1" applyBorder="1" applyProtection="1">
      <alignment vertical="center"/>
    </xf>
    <xf numFmtId="0" fontId="22" fillId="2" borderId="32" xfId="0" applyFont="1" applyFill="1" applyBorder="1" applyAlignment="1" applyProtection="1">
      <alignment vertical="center" wrapText="1"/>
    </xf>
    <xf numFmtId="0" fontId="24" fillId="2" borderId="31" xfId="0" applyFont="1" applyFill="1" applyBorder="1" applyAlignment="1" applyProtection="1">
      <alignment vertical="center" wrapText="1"/>
    </xf>
    <xf numFmtId="3" fontId="22" fillId="42" borderId="34" xfId="11" applyFont="1" applyBorder="1">
      <alignment horizontal="right" vertical="center"/>
      <protection locked="0"/>
    </xf>
    <xf numFmtId="0" fontId="22" fillId="14" borderId="49" xfId="3" applyFont="1" applyBorder="1">
      <alignment horizontal="center" vertical="center"/>
    </xf>
    <xf numFmtId="3" fontId="22" fillId="7" borderId="60" xfId="30" applyFont="1" applyBorder="1">
      <alignment horizontal="right" vertical="center"/>
    </xf>
    <xf numFmtId="0" fontId="22" fillId="2" borderId="6" xfId="0" applyFont="1" applyFill="1" applyBorder="1" applyAlignment="1" applyProtection="1">
      <alignment vertical="top"/>
    </xf>
    <xf numFmtId="0" fontId="22" fillId="2" borderId="0" xfId="0" applyFont="1" applyFill="1" applyAlignment="1" applyProtection="1">
      <alignment vertical="top"/>
    </xf>
    <xf numFmtId="0" fontId="42" fillId="2" borderId="6" xfId="0" applyFont="1" applyFill="1" applyBorder="1" applyAlignment="1">
      <alignment vertical="center"/>
    </xf>
    <xf numFmtId="0" fontId="24" fillId="2" borderId="9" xfId="0" applyFont="1" applyFill="1" applyBorder="1" applyAlignment="1" applyProtection="1">
      <alignment vertical="center" wrapText="1"/>
    </xf>
    <xf numFmtId="164" fontId="22" fillId="42" borderId="28" xfId="12" applyFont="1" applyBorder="1">
      <alignment horizontal="right" vertical="center"/>
      <protection locked="0"/>
    </xf>
    <xf numFmtId="3" fontId="22" fillId="42" borderId="20" xfId="11" applyFont="1" applyBorder="1">
      <alignment horizontal="right" vertical="center"/>
      <protection locked="0"/>
    </xf>
    <xf numFmtId="164" fontId="22" fillId="42" borderId="20" xfId="12" applyFont="1" applyBorder="1">
      <alignment horizontal="right" vertical="center"/>
      <protection locked="0"/>
    </xf>
    <xf numFmtId="164" fontId="22" fillId="42" borderId="23" xfId="12" applyFont="1" applyBorder="1">
      <alignment horizontal="right" vertical="center"/>
      <protection locked="0"/>
    </xf>
    <xf numFmtId="0" fontId="22" fillId="2" borderId="35" xfId="0" applyFont="1" applyFill="1" applyBorder="1" applyAlignment="1" applyProtection="1">
      <alignment vertical="center" wrapText="1"/>
    </xf>
    <xf numFmtId="0" fontId="22" fillId="2" borderId="54" xfId="0" applyFont="1" applyFill="1" applyBorder="1" applyAlignment="1" applyProtection="1">
      <alignment vertical="center" wrapText="1"/>
    </xf>
    <xf numFmtId="0" fontId="22" fillId="14" borderId="70" xfId="3" applyFont="1" applyBorder="1">
      <alignment horizontal="center" vertical="center"/>
    </xf>
    <xf numFmtId="0" fontId="22" fillId="14" borderId="71" xfId="3" applyFont="1" applyBorder="1">
      <alignment horizontal="center" vertical="center"/>
    </xf>
    <xf numFmtId="0" fontId="24" fillId="2" borderId="23" xfId="0" applyFont="1" applyFill="1" applyBorder="1" applyAlignment="1" applyProtection="1">
      <alignment horizontal="center" vertical="center" wrapText="1"/>
    </xf>
    <xf numFmtId="0" fontId="24" fillId="2" borderId="31" xfId="0" applyFont="1" applyFill="1" applyBorder="1" applyAlignment="1" applyProtection="1">
      <alignment horizontal="left" vertical="center" wrapText="1"/>
    </xf>
    <xf numFmtId="0" fontId="24" fillId="2" borderId="31" xfId="0" applyFont="1" applyFill="1" applyBorder="1" applyAlignment="1" applyProtection="1">
      <alignment horizontal="left" vertical="center" wrapText="1" indent="1"/>
    </xf>
    <xf numFmtId="3" fontId="22" fillId="42" borderId="29" xfId="11" applyFont="1" applyBorder="1">
      <alignment horizontal="right" vertical="center"/>
      <protection locked="0"/>
    </xf>
    <xf numFmtId="3" fontId="22" fillId="42" borderId="43" xfId="11" applyFont="1" applyBorder="1">
      <alignment horizontal="right" vertical="center"/>
      <protection locked="0"/>
    </xf>
    <xf numFmtId="3" fontId="22" fillId="42" borderId="30" xfId="11" applyFont="1" applyBorder="1">
      <alignment horizontal="right" vertical="center"/>
      <protection locked="0"/>
    </xf>
    <xf numFmtId="0" fontId="24" fillId="2" borderId="29" xfId="0" applyFont="1" applyFill="1" applyBorder="1" applyAlignment="1">
      <alignment horizontal="center" vertical="center" wrapText="1"/>
    </xf>
    <xf numFmtId="0" fontId="22" fillId="14" borderId="72" xfId="3" applyFont="1" applyBorder="1">
      <alignment horizontal="center" vertical="center"/>
    </xf>
    <xf numFmtId="0" fontId="22" fillId="14" borderId="40" xfId="3" applyFont="1" applyBorder="1">
      <alignment horizontal="center" vertical="center"/>
    </xf>
    <xf numFmtId="3" fontId="22" fillId="7" borderId="61" xfId="30" applyFont="1" applyBorder="1">
      <alignment horizontal="right" vertical="center"/>
    </xf>
    <xf numFmtId="3" fontId="22" fillId="42" borderId="73" xfId="11" applyFont="1" applyBorder="1">
      <alignment horizontal="right" vertical="center"/>
      <protection locked="0"/>
    </xf>
    <xf numFmtId="3" fontId="22" fillId="42" borderId="61" xfId="11" applyFont="1" applyBorder="1">
      <alignment horizontal="right" vertical="center"/>
      <protection locked="0"/>
    </xf>
    <xf numFmtId="3" fontId="22" fillId="42" borderId="67" xfId="11" applyFont="1" applyBorder="1">
      <alignment horizontal="right" vertical="center"/>
      <protection locked="0"/>
    </xf>
    <xf numFmtId="3" fontId="22" fillId="42" borderId="74" xfId="11" applyFont="1" applyBorder="1">
      <alignment horizontal="right" vertical="center"/>
      <protection locked="0"/>
    </xf>
    <xf numFmtId="3" fontId="22" fillId="42" borderId="62" xfId="11" applyFont="1" applyBorder="1">
      <alignment horizontal="right" vertical="center"/>
      <protection locked="0"/>
    </xf>
    <xf numFmtId="3" fontId="22" fillId="7" borderId="74" xfId="30" applyFont="1" applyBorder="1">
      <alignment horizontal="right" vertical="center"/>
    </xf>
    <xf numFmtId="3" fontId="22" fillId="42" borderId="65" xfId="11" applyFont="1" applyBorder="1">
      <alignment horizontal="right" vertical="center"/>
      <protection locked="0"/>
    </xf>
    <xf numFmtId="0" fontId="24" fillId="2" borderId="34" xfId="0" applyFont="1" applyFill="1" applyBorder="1" applyAlignment="1" applyProtection="1">
      <alignment vertical="center" wrapText="1"/>
    </xf>
    <xf numFmtId="0" fontId="24" fillId="2" borderId="31" xfId="0" applyFont="1" applyFill="1" applyBorder="1" applyProtection="1">
      <alignment vertical="center"/>
    </xf>
    <xf numFmtId="0" fontId="24" fillId="2" borderId="32" xfId="0" applyFont="1" applyFill="1" applyBorder="1" applyProtection="1">
      <alignment vertical="center"/>
    </xf>
    <xf numFmtId="0" fontId="24" fillId="2" borderId="35" xfId="0" applyFont="1" applyFill="1" applyBorder="1" applyAlignment="1" applyProtection="1">
      <alignment vertical="center" wrapText="1"/>
    </xf>
    <xf numFmtId="0" fontId="24" fillId="2" borderId="30" xfId="0" applyFont="1" applyFill="1" applyBorder="1" applyProtection="1">
      <alignment vertical="center"/>
    </xf>
    <xf numFmtId="0" fontId="24" fillId="2" borderId="33" xfId="0" applyFont="1" applyFill="1" applyBorder="1" applyProtection="1">
      <alignment vertical="center"/>
    </xf>
    <xf numFmtId="0" fontId="24" fillId="2" borderId="23"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2" xfId="0" applyFont="1" applyFill="1" applyBorder="1" applyProtection="1">
      <alignment vertical="center"/>
    </xf>
    <xf numFmtId="3" fontId="22" fillId="42" borderId="32" xfId="11" applyFont="1" applyBorder="1">
      <alignment horizontal="right" vertical="center"/>
      <protection locked="0"/>
    </xf>
    <xf numFmtId="3" fontId="22" fillId="44" borderId="23" xfId="6" applyFont="1" applyBorder="1">
      <alignment horizontal="right" vertical="center"/>
    </xf>
    <xf numFmtId="3" fontId="22" fillId="44" borderId="25" xfId="6" applyFont="1" applyBorder="1">
      <alignment horizontal="right" vertical="center"/>
    </xf>
    <xf numFmtId="0" fontId="22" fillId="2" borderId="32" xfId="0" applyFont="1" applyFill="1" applyBorder="1" applyAlignment="1" applyProtection="1">
      <alignment horizontal="left" vertical="center" indent="2"/>
    </xf>
    <xf numFmtId="3" fontId="22" fillId="42" borderId="33" xfId="11" applyFont="1" applyBorder="1">
      <alignment horizontal="right" vertical="center"/>
      <protection locked="0"/>
    </xf>
    <xf numFmtId="3" fontId="22" fillId="42" borderId="35" xfId="11" applyFont="1" applyBorder="1">
      <alignment horizontal="right" vertical="center"/>
      <protection locked="0"/>
    </xf>
    <xf numFmtId="15" fontId="21" fillId="2" borderId="4" xfId="0" applyNumberFormat="1" applyFont="1" applyFill="1" applyBorder="1" applyAlignment="1"/>
    <xf numFmtId="3" fontId="22" fillId="2" borderId="6" xfId="30" applyFont="1" applyFill="1" applyBorder="1" applyProtection="1">
      <alignment horizontal="right" vertical="center"/>
    </xf>
    <xf numFmtId="0" fontId="24" fillId="2" borderId="30" xfId="0" applyFont="1" applyFill="1" applyBorder="1">
      <alignment vertical="center"/>
    </xf>
    <xf numFmtId="0" fontId="24" fillId="2" borderId="32" xfId="0" applyFont="1" applyFill="1" applyBorder="1">
      <alignment vertical="center"/>
    </xf>
    <xf numFmtId="0" fontId="22" fillId="2" borderId="30" xfId="0" applyFont="1" applyFill="1" applyBorder="1" applyAlignment="1">
      <alignment vertical="center" wrapText="1"/>
    </xf>
    <xf numFmtId="0" fontId="22" fillId="2" borderId="31" xfId="0" applyFont="1" applyFill="1" applyBorder="1" applyAlignment="1">
      <alignment vertical="center" wrapText="1"/>
    </xf>
    <xf numFmtId="0" fontId="24" fillId="2" borderId="31" xfId="0" applyFont="1" applyFill="1" applyBorder="1" applyAlignment="1">
      <alignment vertical="center" wrapText="1"/>
    </xf>
    <xf numFmtId="0" fontId="22" fillId="2" borderId="31" xfId="0" applyFont="1" applyFill="1" applyBorder="1" applyAlignment="1">
      <alignment horizontal="left" vertical="center" wrapText="1" indent="1"/>
    </xf>
    <xf numFmtId="0" fontId="22" fillId="2" borderId="32" xfId="0" applyFont="1" applyFill="1" applyBorder="1" applyAlignment="1">
      <alignment horizontal="left" vertical="center" wrapText="1" indent="1"/>
    </xf>
    <xf numFmtId="0" fontId="24" fillId="2" borderId="34" xfId="0" applyFont="1" applyFill="1" applyBorder="1" applyAlignment="1">
      <alignment vertical="center" wrapText="1"/>
    </xf>
    <xf numFmtId="0" fontId="22" fillId="2" borderId="34" xfId="0" applyFont="1" applyFill="1" applyBorder="1" applyAlignment="1">
      <alignment vertical="center" wrapText="1"/>
    </xf>
    <xf numFmtId="0" fontId="22" fillId="2" borderId="34" xfId="0" applyFont="1" applyFill="1" applyBorder="1" applyAlignment="1">
      <alignment horizontal="left" vertical="center" wrapText="1" indent="1"/>
    </xf>
    <xf numFmtId="0" fontId="22" fillId="14" borderId="52" xfId="3" applyFont="1" applyBorder="1">
      <alignment horizontal="center" vertical="center"/>
    </xf>
    <xf numFmtId="164" fontId="22" fillId="42" borderId="25" xfId="12" applyFont="1" applyBorder="1">
      <alignment horizontal="right" vertical="center"/>
      <protection locked="0"/>
    </xf>
    <xf numFmtId="0" fontId="42" fillId="2" borderId="0" xfId="0" applyFont="1" applyFill="1" applyBorder="1" applyAlignment="1" applyProtection="1">
      <alignment horizontal="left" vertical="center" wrapText="1"/>
    </xf>
    <xf numFmtId="0" fontId="24" fillId="2" borderId="20" xfId="0" applyFont="1" applyFill="1" applyBorder="1" applyAlignment="1">
      <alignment horizontal="center" vertical="center" wrapText="1"/>
    </xf>
    <xf numFmtId="164" fontId="22" fillId="42" borderId="42" xfId="12" applyFont="1" applyBorder="1">
      <alignment horizontal="right" vertical="center"/>
      <protection locked="0"/>
    </xf>
    <xf numFmtId="164" fontId="22" fillId="42" borderId="36" xfId="12" applyFont="1" applyBorder="1">
      <alignment horizontal="right" vertical="center"/>
      <protection locked="0"/>
    </xf>
    <xf numFmtId="0" fontId="22" fillId="42" borderId="37" xfId="18" applyFont="1" applyBorder="1" applyAlignment="1">
      <alignment vertical="center" wrapText="1"/>
      <protection locked="0"/>
    </xf>
    <xf numFmtId="0" fontId="22" fillId="42" borderId="41" xfId="18" applyFont="1" applyBorder="1" applyAlignment="1">
      <alignment vertical="center" wrapText="1"/>
      <protection locked="0"/>
    </xf>
    <xf numFmtId="0" fontId="22" fillId="42" borderId="38" xfId="18" applyFont="1" applyBorder="1" applyAlignment="1">
      <alignment vertical="center" wrapText="1"/>
      <protection locked="0"/>
    </xf>
    <xf numFmtId="0" fontId="24" fillId="2" borderId="20" xfId="0" applyFont="1" applyFill="1" applyBorder="1" applyAlignment="1" applyProtection="1">
      <alignment horizontal="center" vertical="center" wrapText="1"/>
    </xf>
    <xf numFmtId="0" fontId="20" fillId="7" borderId="3" xfId="4" applyFont="1" applyFill="1" applyBorder="1" applyAlignment="1"/>
    <xf numFmtId="0" fontId="20" fillId="7" borderId="9" xfId="4" applyFont="1" applyFill="1" applyBorder="1" applyAlignment="1"/>
    <xf numFmtId="0" fontId="22" fillId="7" borderId="11" xfId="0" applyFont="1" applyFill="1" applyBorder="1">
      <alignment vertical="center"/>
    </xf>
    <xf numFmtId="0" fontId="22" fillId="7" borderId="0" xfId="0" applyFont="1" applyFill="1" applyBorder="1">
      <alignment vertical="center"/>
    </xf>
    <xf numFmtId="3" fontId="22" fillId="14" borderId="38" xfId="3" applyNumberFormat="1" applyFont="1" applyBorder="1">
      <alignment horizontal="center" vertical="center"/>
    </xf>
    <xf numFmtId="170" fontId="22" fillId="7" borderId="8" xfId="29" applyFont="1" applyBorder="1">
      <alignment horizontal="center" vertical="center"/>
    </xf>
    <xf numFmtId="10" fontId="22" fillId="42" borderId="23" xfId="14" applyFont="1" applyBorder="1">
      <alignment horizontal="right" vertical="center"/>
      <protection locked="0"/>
    </xf>
    <xf numFmtId="10" fontId="22" fillId="42" borderId="25" xfId="14" applyFont="1" applyBorder="1">
      <alignment horizontal="right" vertical="center"/>
      <protection locked="0"/>
    </xf>
    <xf numFmtId="0" fontId="22" fillId="7" borderId="9" xfId="0" applyFont="1" applyFill="1" applyBorder="1" applyAlignment="1" applyProtection="1">
      <alignment horizontal="left" vertical="center"/>
    </xf>
    <xf numFmtId="0" fontId="22" fillId="7" borderId="0" xfId="0" applyFont="1" applyFill="1" applyBorder="1" applyAlignment="1" applyProtection="1">
      <alignment horizontal="left" vertical="center"/>
    </xf>
    <xf numFmtId="0" fontId="20" fillId="7" borderId="12" xfId="4" applyFont="1" applyFill="1" applyBorder="1" applyAlignment="1"/>
    <xf numFmtId="0" fontId="20" fillId="7" borderId="5" xfId="4" applyFont="1" applyFill="1" applyBorder="1" applyAlignment="1"/>
    <xf numFmtId="0" fontId="22" fillId="7" borderId="5" xfId="0" applyFont="1" applyFill="1" applyBorder="1">
      <alignment vertical="center"/>
    </xf>
    <xf numFmtId="0" fontId="24" fillId="7" borderId="2" xfId="0" applyFont="1" applyFill="1" applyBorder="1" applyAlignment="1" applyProtection="1">
      <alignment horizontal="center" vertical="center" wrapText="1"/>
    </xf>
    <xf numFmtId="0" fontId="22" fillId="7" borderId="6" xfId="0" applyFont="1" applyFill="1" applyBorder="1">
      <alignment vertical="center"/>
    </xf>
    <xf numFmtId="0" fontId="23" fillId="7" borderId="2" xfId="0" applyFont="1" applyFill="1" applyBorder="1" applyAlignment="1" applyProtection="1">
      <alignment horizontal="left"/>
    </xf>
    <xf numFmtId="0" fontId="23" fillId="7" borderId="0" xfId="0" applyFont="1" applyFill="1" applyBorder="1" applyAlignment="1">
      <alignment vertical="center"/>
    </xf>
    <xf numFmtId="0" fontId="24" fillId="7" borderId="2" xfId="0" applyFont="1" applyFill="1" applyBorder="1" applyAlignment="1" applyProtection="1">
      <alignment horizontal="left" vertical="center"/>
    </xf>
    <xf numFmtId="0" fontId="22" fillId="7" borderId="0" xfId="0" applyFont="1" applyFill="1" applyBorder="1" applyAlignment="1" applyProtection="1">
      <alignment horizontal="left"/>
    </xf>
    <xf numFmtId="0" fontId="22" fillId="7" borderId="0" xfId="0" applyFont="1" applyFill="1" applyBorder="1" applyProtection="1">
      <alignment vertical="center"/>
    </xf>
    <xf numFmtId="0" fontId="23" fillId="7" borderId="2" xfId="0" applyFont="1" applyFill="1" applyBorder="1" applyAlignment="1" applyProtection="1">
      <alignment horizontal="left" vertical="center"/>
    </xf>
    <xf numFmtId="0" fontId="22" fillId="7" borderId="0" xfId="0" applyFont="1" applyFill="1" applyBorder="1" applyAlignment="1" applyProtection="1">
      <alignment vertical="center"/>
    </xf>
    <xf numFmtId="0" fontId="22" fillId="7" borderId="0" xfId="0" applyFont="1" applyFill="1" applyBorder="1" applyAlignment="1">
      <alignment vertical="center"/>
    </xf>
    <xf numFmtId="0" fontId="22" fillId="7" borderId="0" xfId="0" applyFont="1" applyFill="1">
      <alignment vertical="center"/>
    </xf>
    <xf numFmtId="0" fontId="22" fillId="7" borderId="32" xfId="0" applyFont="1" applyFill="1" applyBorder="1" applyAlignment="1" applyProtection="1">
      <alignment horizontal="center" vertical="center"/>
    </xf>
    <xf numFmtId="0" fontId="22" fillId="7" borderId="46" xfId="0" applyFont="1" applyFill="1" applyBorder="1" applyAlignment="1" applyProtection="1">
      <alignment horizontal="center" vertical="center"/>
    </xf>
    <xf numFmtId="0" fontId="24" fillId="7" borderId="36" xfId="0" applyFont="1" applyFill="1" applyBorder="1" applyAlignment="1" applyProtection="1">
      <alignment horizontal="center" vertical="center" wrapText="1"/>
    </xf>
    <xf numFmtId="0" fontId="22" fillId="7" borderId="48" xfId="0" applyFont="1" applyFill="1" applyBorder="1" applyAlignment="1" applyProtection="1">
      <alignment horizontal="center" vertical="center"/>
    </xf>
    <xf numFmtId="0" fontId="24" fillId="7" borderId="51" xfId="0" applyFont="1" applyFill="1" applyBorder="1" applyAlignment="1" applyProtection="1">
      <alignment horizontal="center" vertical="center" wrapText="1"/>
    </xf>
    <xf numFmtId="0" fontId="24" fillId="7" borderId="49" xfId="0" applyFont="1" applyFill="1" applyBorder="1" applyAlignment="1" applyProtection="1">
      <alignment horizontal="center" vertical="center" wrapText="1"/>
    </xf>
    <xf numFmtId="0" fontId="24" fillId="7" borderId="20" xfId="0" applyFont="1" applyFill="1" applyBorder="1" applyAlignment="1" applyProtection="1">
      <alignment horizontal="center" vertical="center" wrapText="1"/>
    </xf>
    <xf numFmtId="0" fontId="22" fillId="7" borderId="25" xfId="0" applyFont="1" applyFill="1" applyBorder="1" applyAlignment="1" applyProtection="1">
      <alignment horizontal="left" vertical="center"/>
    </xf>
    <xf numFmtId="0" fontId="22" fillId="7" borderId="9" xfId="0" applyFont="1" applyFill="1" applyBorder="1">
      <alignment vertical="center"/>
    </xf>
    <xf numFmtId="0" fontId="22" fillId="7" borderId="35" xfId="0" applyFont="1" applyFill="1" applyBorder="1">
      <alignment vertical="center"/>
    </xf>
    <xf numFmtId="10" fontId="22" fillId="15" borderId="27" xfId="22" applyFont="1" applyBorder="1">
      <alignment horizontal="right" vertical="center"/>
      <protection locked="0"/>
    </xf>
    <xf numFmtId="0" fontId="22" fillId="7" borderId="10" xfId="0" applyFont="1" applyFill="1" applyBorder="1">
      <alignment vertical="center"/>
    </xf>
    <xf numFmtId="0" fontId="22" fillId="7" borderId="8" xfId="0" applyFont="1" applyFill="1" applyBorder="1">
      <alignment vertical="center"/>
    </xf>
    <xf numFmtId="0" fontId="22" fillId="7" borderId="7" xfId="0" applyFont="1" applyFill="1" applyBorder="1">
      <alignment vertical="center"/>
    </xf>
    <xf numFmtId="10" fontId="22" fillId="15" borderId="23" xfId="22" applyFont="1" applyBorder="1">
      <alignment horizontal="right" vertical="center"/>
      <protection locked="0"/>
    </xf>
    <xf numFmtId="10" fontId="22" fillId="15" borderId="37" xfId="22" applyFont="1" applyBorder="1">
      <alignment horizontal="right" vertical="center"/>
      <protection locked="0"/>
    </xf>
    <xf numFmtId="10" fontId="22" fillId="15" borderId="25" xfId="22" applyFont="1" applyBorder="1">
      <alignment horizontal="right" vertical="center"/>
      <protection locked="0"/>
    </xf>
    <xf numFmtId="10" fontId="22" fillId="15" borderId="41" xfId="22" applyFont="1" applyBorder="1">
      <alignment horizontal="right" vertical="center"/>
      <protection locked="0"/>
    </xf>
    <xf numFmtId="10" fontId="22" fillId="15" borderId="38" xfId="22" applyFont="1" applyBorder="1">
      <alignment horizontal="right" vertical="center"/>
      <protection locked="0"/>
    </xf>
    <xf numFmtId="171" fontId="22" fillId="15" borderId="37" xfId="25" applyFont="1" applyBorder="1">
      <alignment horizontal="right" vertical="center"/>
      <protection locked="0"/>
    </xf>
    <xf numFmtId="171" fontId="22" fillId="15" borderId="41" xfId="25" applyFont="1" applyBorder="1">
      <alignment horizontal="right" vertical="center"/>
      <protection locked="0"/>
    </xf>
    <xf numFmtId="171" fontId="22" fillId="15" borderId="38" xfId="25" applyFont="1" applyBorder="1">
      <alignment horizontal="right" vertical="center"/>
      <protection locked="0"/>
    </xf>
    <xf numFmtId="10" fontId="22" fillId="15" borderId="22" xfId="22" applyFont="1" applyBorder="1">
      <alignment horizontal="right" vertical="center"/>
      <protection locked="0"/>
    </xf>
    <xf numFmtId="10" fontId="22" fillId="15" borderId="60" xfId="22" applyFont="1" applyBorder="1">
      <alignment horizontal="right" vertical="center"/>
      <protection locked="0"/>
    </xf>
    <xf numFmtId="10" fontId="22" fillId="15" borderId="24" xfId="22" applyFont="1" applyBorder="1">
      <alignment horizontal="right" vertical="center"/>
      <protection locked="0"/>
    </xf>
    <xf numFmtId="10" fontId="22" fillId="15" borderId="61" xfId="22" applyFont="1" applyBorder="1">
      <alignment horizontal="right" vertical="center"/>
      <protection locked="0"/>
    </xf>
    <xf numFmtId="10" fontId="22" fillId="15" borderId="26" xfId="22" applyFont="1" applyBorder="1">
      <alignment horizontal="right" vertical="center"/>
      <protection locked="0"/>
    </xf>
    <xf numFmtId="10" fontId="22" fillId="15" borderId="62" xfId="22" applyFont="1" applyBorder="1">
      <alignment horizontal="right" vertical="center"/>
      <protection locked="0"/>
    </xf>
    <xf numFmtId="0" fontId="22" fillId="7" borderId="5" xfId="0" applyFont="1" applyFill="1" applyBorder="1" applyAlignment="1" applyProtection="1">
      <alignment vertical="center"/>
    </xf>
    <xf numFmtId="0" fontId="21" fillId="7" borderId="9" xfId="4" applyFont="1" applyFill="1" applyBorder="1" applyAlignment="1"/>
    <xf numFmtId="0" fontId="23" fillId="7" borderId="12" xfId="0" applyFont="1" applyFill="1" applyBorder="1" applyAlignment="1" applyProtection="1"/>
    <xf numFmtId="0" fontId="22" fillId="7" borderId="5" xfId="0" applyFont="1" applyFill="1" applyBorder="1" applyProtection="1">
      <alignment vertical="center"/>
    </xf>
    <xf numFmtId="0" fontId="22" fillId="7" borderId="0" xfId="0" applyFont="1" applyFill="1" applyProtection="1">
      <alignment vertical="center"/>
    </xf>
    <xf numFmtId="0" fontId="24" fillId="7" borderId="36" xfId="0" applyFont="1" applyFill="1" applyBorder="1" applyAlignment="1" applyProtection="1">
      <alignment horizontal="center" vertical="center"/>
    </xf>
    <xf numFmtId="0" fontId="22" fillId="7" borderId="6" xfId="0" applyFont="1" applyFill="1" applyBorder="1" applyAlignment="1" applyProtection="1">
      <alignment vertical="center"/>
    </xf>
    <xf numFmtId="0" fontId="22" fillId="7" borderId="2" xfId="0" applyFont="1" applyFill="1" applyBorder="1" applyProtection="1">
      <alignment vertical="center"/>
    </xf>
    <xf numFmtId="0" fontId="24" fillId="7" borderId="0" xfId="0" applyFont="1" applyFill="1" applyBorder="1" applyAlignment="1" applyProtection="1">
      <alignment vertical="center"/>
    </xf>
    <xf numFmtId="0" fontId="22" fillId="7" borderId="10" xfId="0" applyFont="1" applyFill="1" applyBorder="1" applyProtection="1">
      <alignment vertical="center"/>
    </xf>
    <xf numFmtId="0" fontId="22" fillId="7" borderId="8" xfId="0" applyFont="1" applyFill="1" applyBorder="1" applyProtection="1">
      <alignment vertical="center"/>
    </xf>
    <xf numFmtId="0" fontId="23" fillId="7" borderId="12" xfId="0" applyFont="1" applyFill="1" applyBorder="1" applyAlignment="1" applyProtection="1">
      <alignment horizontal="left"/>
    </xf>
    <xf numFmtId="0" fontId="22" fillId="7" borderId="2" xfId="0" applyFont="1" applyFill="1" applyBorder="1" applyAlignment="1" applyProtection="1">
      <alignment horizontal="left" vertical="center"/>
    </xf>
    <xf numFmtId="0" fontId="24" fillId="7" borderId="2" xfId="0" applyFont="1" applyFill="1" applyBorder="1" applyAlignment="1" applyProtection="1">
      <alignment vertical="center"/>
    </xf>
    <xf numFmtId="0" fontId="24" fillId="7" borderId="10" xfId="0" applyFont="1" applyFill="1" applyBorder="1" applyAlignment="1" applyProtection="1">
      <alignment vertical="center"/>
    </xf>
    <xf numFmtId="0" fontId="23" fillId="7" borderId="12" xfId="0" applyFont="1" applyFill="1" applyBorder="1" applyAlignment="1" applyProtection="1">
      <alignment horizontal="left" vertical="center"/>
    </xf>
    <xf numFmtId="0" fontId="22" fillId="7" borderId="10" xfId="0" applyFont="1" applyFill="1" applyBorder="1" applyAlignment="1" applyProtection="1">
      <alignment horizontal="left" vertical="center"/>
    </xf>
    <xf numFmtId="0" fontId="22" fillId="7" borderId="4" xfId="0" applyFont="1" applyFill="1" applyBorder="1">
      <alignment vertical="center"/>
    </xf>
    <xf numFmtId="0" fontId="22" fillId="7" borderId="7" xfId="0" applyFont="1" applyFill="1" applyBorder="1" applyAlignment="1" applyProtection="1">
      <alignment vertical="center"/>
    </xf>
    <xf numFmtId="0" fontId="22" fillId="7" borderId="11" xfId="0" applyFont="1" applyFill="1" applyBorder="1" applyAlignment="1">
      <alignment vertical="center"/>
    </xf>
    <xf numFmtId="0" fontId="22" fillId="7" borderId="5" xfId="0" applyFont="1" applyFill="1" applyBorder="1" applyAlignment="1" applyProtection="1">
      <alignment horizontal="left"/>
    </xf>
    <xf numFmtId="0" fontId="22" fillId="7" borderId="5" xfId="0" applyFont="1" applyFill="1" applyBorder="1" applyAlignment="1" applyProtection="1"/>
    <xf numFmtId="0" fontId="22" fillId="7" borderId="30" xfId="0" applyFont="1" applyFill="1" applyBorder="1" applyAlignment="1" applyProtection="1">
      <alignment vertical="center"/>
    </xf>
    <xf numFmtId="0" fontId="22" fillId="7" borderId="31" xfId="0" applyFont="1" applyFill="1" applyBorder="1" applyAlignment="1" applyProtection="1">
      <alignment vertical="center"/>
    </xf>
    <xf numFmtId="0" fontId="22" fillId="7" borderId="31" xfId="0" applyFont="1" applyFill="1" applyBorder="1" applyAlignment="1" applyProtection="1">
      <alignment horizontal="left" vertical="center"/>
    </xf>
    <xf numFmtId="0" fontId="22" fillId="7" borderId="31" xfId="0" applyFont="1" applyFill="1" applyBorder="1" applyAlignment="1" applyProtection="1">
      <alignment horizontal="left" vertical="center" indent="1"/>
    </xf>
    <xf numFmtId="0" fontId="22" fillId="7" borderId="32" xfId="0" applyFont="1" applyFill="1" applyBorder="1" applyAlignment="1">
      <alignment vertical="center"/>
    </xf>
    <xf numFmtId="3" fontId="22" fillId="7" borderId="41" xfId="30" applyFont="1" applyFill="1" applyBorder="1">
      <alignment horizontal="right" vertical="center"/>
    </xf>
    <xf numFmtId="165" fontId="22" fillId="7" borderId="41" xfId="31" applyFont="1" applyFill="1" applyBorder="1">
      <alignment horizontal="right" vertical="center"/>
    </xf>
    <xf numFmtId="0" fontId="22" fillId="7" borderId="32" xfId="0" applyFont="1" applyFill="1" applyBorder="1" applyAlignment="1" applyProtection="1">
      <alignment horizontal="left" vertical="center"/>
    </xf>
    <xf numFmtId="0" fontId="22" fillId="7" borderId="8" xfId="0" applyFont="1" applyFill="1" applyBorder="1" applyAlignment="1">
      <alignment vertical="center"/>
    </xf>
    <xf numFmtId="0" fontId="22" fillId="7" borderId="29" xfId="0" applyFont="1" applyFill="1" applyBorder="1" applyAlignment="1" applyProtection="1">
      <alignment horizontal="left" vertical="center"/>
    </xf>
    <xf numFmtId="0" fontId="24" fillId="7" borderId="20" xfId="0" applyFont="1" applyFill="1" applyBorder="1" applyAlignment="1" applyProtection="1">
      <alignment horizontal="center" wrapText="1"/>
    </xf>
    <xf numFmtId="0" fontId="24" fillId="7" borderId="36" xfId="0" applyFont="1" applyFill="1" applyBorder="1" applyAlignment="1" applyProtection="1">
      <alignment horizontal="center" wrapText="1"/>
    </xf>
    <xf numFmtId="0" fontId="22" fillId="7" borderId="43" xfId="0" applyFont="1" applyFill="1" applyBorder="1" applyAlignment="1" applyProtection="1">
      <alignment vertical="center" wrapText="1"/>
    </xf>
    <xf numFmtId="3" fontId="22" fillId="7" borderId="28" xfId="30" applyFont="1" applyFill="1" applyBorder="1" applyAlignment="1">
      <alignment horizontal="right" vertical="center"/>
    </xf>
    <xf numFmtId="3" fontId="22" fillId="7" borderId="37" xfId="30" applyFont="1" applyFill="1" applyBorder="1" applyAlignment="1">
      <alignment horizontal="right" vertical="center"/>
    </xf>
    <xf numFmtId="3" fontId="22" fillId="7" borderId="25" xfId="30" applyFont="1" applyFill="1" applyBorder="1" applyAlignment="1">
      <alignment horizontal="right" vertical="center"/>
    </xf>
    <xf numFmtId="3" fontId="22" fillId="7" borderId="41" xfId="30" applyFont="1" applyFill="1" applyBorder="1" applyAlignment="1">
      <alignment horizontal="right" vertical="center"/>
    </xf>
    <xf numFmtId="0" fontId="25" fillId="7" borderId="31" xfId="0" applyFont="1" applyFill="1" applyBorder="1" applyAlignment="1" applyProtection="1">
      <alignment horizontal="left" vertical="center" wrapText="1" indent="2"/>
    </xf>
    <xf numFmtId="0" fontId="22" fillId="7" borderId="32" xfId="0" applyFont="1" applyFill="1" applyBorder="1" applyAlignment="1" applyProtection="1">
      <alignment horizontal="left" vertical="center" wrapText="1" indent="1"/>
    </xf>
    <xf numFmtId="0" fontId="22" fillId="7" borderId="8" xfId="0" applyFont="1" applyFill="1" applyBorder="1" applyAlignment="1" applyProtection="1">
      <alignment vertical="center"/>
    </xf>
    <xf numFmtId="3" fontId="22" fillId="7" borderId="25" xfId="1" applyFont="1" applyFill="1" applyBorder="1" applyAlignment="1" applyProtection="1">
      <alignment horizontal="center" vertical="center"/>
    </xf>
    <xf numFmtId="170" fontId="26" fillId="7" borderId="25" xfId="29" applyFont="1" applyFill="1" applyBorder="1">
      <alignment horizontal="center" vertical="center"/>
    </xf>
    <xf numFmtId="0" fontId="22" fillId="7" borderId="5" xfId="0" applyFont="1" applyFill="1" applyBorder="1" applyAlignment="1" applyProtection="1">
      <alignment horizontal="left" vertical="center"/>
    </xf>
    <xf numFmtId="0" fontId="22" fillId="7" borderId="5" xfId="0" applyFont="1" applyFill="1" applyBorder="1" applyAlignment="1">
      <alignment vertical="center"/>
    </xf>
    <xf numFmtId="0" fontId="24" fillId="7" borderId="29" xfId="0" applyFont="1" applyFill="1" applyBorder="1" applyAlignment="1" applyProtection="1">
      <alignment horizontal="left" vertical="center"/>
    </xf>
    <xf numFmtId="0" fontId="24" fillId="7" borderId="43" xfId="0" applyFont="1" applyFill="1" applyBorder="1" applyAlignment="1" applyProtection="1">
      <alignment vertical="center"/>
    </xf>
    <xf numFmtId="0" fontId="24" fillId="7" borderId="31" xfId="0" applyFont="1" applyFill="1" applyBorder="1" applyAlignment="1" applyProtection="1">
      <alignment vertical="center"/>
    </xf>
    <xf numFmtId="0" fontId="22" fillId="7" borderId="32" xfId="0" applyFont="1" applyFill="1" applyBorder="1" applyAlignment="1" applyProtection="1">
      <alignment horizontal="left" vertical="center" indent="1"/>
    </xf>
    <xf numFmtId="0" fontId="41" fillId="7" borderId="0" xfId="0" applyFont="1" applyFill="1" applyBorder="1" applyAlignment="1">
      <alignment vertical="center"/>
    </xf>
    <xf numFmtId="0" fontId="22" fillId="7" borderId="25" xfId="0" applyFont="1" applyFill="1" applyBorder="1" applyAlignment="1" applyProtection="1">
      <alignment vertical="center" wrapText="1"/>
    </xf>
    <xf numFmtId="0" fontId="22" fillId="7" borderId="25" xfId="0" applyFont="1" applyFill="1" applyBorder="1" applyAlignment="1" applyProtection="1">
      <alignment horizontal="left" vertical="center" wrapText="1"/>
    </xf>
    <xf numFmtId="3" fontId="22" fillId="7" borderId="25" xfId="30" applyFont="1" applyFill="1" applyBorder="1" applyProtection="1">
      <alignment horizontal="right" vertical="center"/>
    </xf>
    <xf numFmtId="3" fontId="22" fillId="7" borderId="41" xfId="30" applyFont="1" applyFill="1" applyBorder="1" applyProtection="1">
      <alignment horizontal="right" vertical="center"/>
    </xf>
    <xf numFmtId="0" fontId="22" fillId="7" borderId="45" xfId="0" applyFont="1" applyFill="1" applyBorder="1" applyAlignment="1" applyProtection="1">
      <alignment horizontal="left" vertical="center" wrapText="1"/>
    </xf>
    <xf numFmtId="0" fontId="22" fillId="7" borderId="2" xfId="0" applyFont="1" applyFill="1" applyBorder="1">
      <alignment vertical="center"/>
    </xf>
    <xf numFmtId="0" fontId="24" fillId="7" borderId="39" xfId="0" applyFont="1" applyFill="1" applyBorder="1" applyAlignment="1">
      <alignment horizontal="center" wrapText="1"/>
    </xf>
    <xf numFmtId="0" fontId="24" fillId="7" borderId="48" xfId="0" applyFont="1" applyFill="1" applyBorder="1" applyAlignment="1">
      <alignment horizontal="center" wrapText="1"/>
    </xf>
    <xf numFmtId="0" fontId="24" fillId="7" borderId="48" xfId="0" applyFont="1" applyFill="1" applyBorder="1" applyAlignment="1" applyProtection="1">
      <alignment horizontal="center" wrapText="1"/>
    </xf>
    <xf numFmtId="0" fontId="24" fillId="7" borderId="50" xfId="0" applyFont="1" applyFill="1" applyBorder="1" applyAlignment="1" applyProtection="1">
      <alignment horizontal="center" wrapText="1"/>
    </xf>
    <xf numFmtId="0" fontId="22" fillId="7" borderId="30" xfId="0" applyFont="1" applyFill="1" applyBorder="1" applyAlignment="1">
      <alignment horizontal="center" vertical="center"/>
    </xf>
    <xf numFmtId="0" fontId="22" fillId="7" borderId="46" xfId="0" applyFont="1" applyFill="1" applyBorder="1" applyAlignment="1">
      <alignment horizontal="center" vertical="center"/>
    </xf>
    <xf numFmtId="0" fontId="22" fillId="7" borderId="25" xfId="0" applyFont="1" applyFill="1" applyBorder="1" applyAlignment="1" applyProtection="1">
      <alignment vertical="center"/>
    </xf>
    <xf numFmtId="0" fontId="22" fillId="7" borderId="31" xfId="0" applyFont="1" applyFill="1" applyBorder="1" applyAlignment="1">
      <alignment horizontal="center" vertical="center"/>
    </xf>
    <xf numFmtId="0" fontId="22" fillId="7" borderId="41" xfId="0" applyFont="1" applyFill="1" applyBorder="1" applyAlignment="1" applyProtection="1">
      <alignment horizontal="left" vertical="center" wrapText="1"/>
    </xf>
    <xf numFmtId="3" fontId="22" fillId="7" borderId="25" xfId="30" applyFont="1" applyFill="1" applyBorder="1">
      <alignment horizontal="right" vertical="center"/>
    </xf>
    <xf numFmtId="0" fontId="41" fillId="7" borderId="6" xfId="0" applyFont="1" applyFill="1" applyBorder="1" applyAlignment="1">
      <alignment vertical="center"/>
    </xf>
    <xf numFmtId="0" fontId="41" fillId="7" borderId="11" xfId="0" applyFont="1" applyFill="1" applyBorder="1" applyAlignment="1">
      <alignment vertical="center"/>
    </xf>
    <xf numFmtId="0" fontId="35" fillId="7" borderId="2" xfId="0" applyFont="1" applyFill="1" applyBorder="1" applyAlignment="1" applyProtection="1">
      <alignment horizontal="left" vertical="center"/>
    </xf>
    <xf numFmtId="0" fontId="24" fillId="7" borderId="2" xfId="0" applyFont="1" applyFill="1" applyBorder="1" applyAlignment="1" applyProtection="1">
      <alignment horizontal="left"/>
    </xf>
    <xf numFmtId="0" fontId="22" fillId="7" borderId="2" xfId="0" applyFont="1" applyFill="1" applyBorder="1" applyAlignment="1" applyProtection="1">
      <alignment vertical="center"/>
    </xf>
    <xf numFmtId="0" fontId="22" fillId="7" borderId="10" xfId="0" applyFont="1" applyFill="1" applyBorder="1" applyAlignment="1" applyProtection="1">
      <alignment vertical="center"/>
    </xf>
    <xf numFmtId="0" fontId="35" fillId="7" borderId="12" xfId="0" applyFont="1" applyFill="1" applyBorder="1" applyAlignment="1" applyProtection="1">
      <alignment horizontal="left" vertical="center"/>
    </xf>
    <xf numFmtId="0" fontId="41" fillId="7" borderId="0" xfId="0" applyFont="1" applyFill="1" applyBorder="1" applyAlignment="1" applyProtection="1">
      <alignment horizontal="left" vertical="center"/>
    </xf>
    <xf numFmtId="0" fontId="41" fillId="7" borderId="0" xfId="0" applyFont="1" applyFill="1" applyBorder="1" applyAlignment="1" applyProtection="1">
      <alignment vertical="center"/>
    </xf>
    <xf numFmtId="0" fontId="22" fillId="7" borderId="33" xfId="0" applyFont="1" applyFill="1" applyBorder="1" applyAlignment="1">
      <alignment vertical="center"/>
    </xf>
    <xf numFmtId="0" fontId="22" fillId="7" borderId="34" xfId="0" applyFont="1" applyFill="1" applyBorder="1" applyAlignment="1">
      <alignment horizontal="left" vertical="center" indent="1"/>
    </xf>
    <xf numFmtId="0" fontId="22" fillId="7" borderId="35" xfId="0" applyFont="1" applyFill="1" applyBorder="1" applyAlignment="1">
      <alignment horizontal="left" vertical="center" indent="1"/>
    </xf>
    <xf numFmtId="0" fontId="22" fillId="7" borderId="40" xfId="0" applyFont="1" applyFill="1" applyBorder="1" applyAlignment="1" applyProtection="1">
      <alignment horizontal="center" vertical="center"/>
    </xf>
    <xf numFmtId="0" fontId="22" fillId="7" borderId="30" xfId="0" applyFont="1" applyFill="1" applyBorder="1" applyAlignment="1">
      <alignment vertical="center"/>
    </xf>
    <xf numFmtId="0" fontId="22" fillId="7" borderId="31" xfId="0" applyFont="1" applyFill="1" applyBorder="1" applyAlignment="1">
      <alignment horizontal="left" vertical="center" indent="1"/>
    </xf>
    <xf numFmtId="0" fontId="22" fillId="7" borderId="31" xfId="0" applyFont="1" applyFill="1" applyBorder="1" applyAlignment="1">
      <alignment vertical="center"/>
    </xf>
    <xf numFmtId="0" fontId="22" fillId="7" borderId="46" xfId="0" applyFont="1" applyFill="1" applyBorder="1" applyAlignment="1">
      <alignment horizontal="left" vertical="center" indent="1"/>
    </xf>
    <xf numFmtId="0" fontId="22" fillId="7" borderId="46" xfId="0" applyFont="1" applyFill="1" applyBorder="1" applyAlignment="1">
      <alignment horizontal="left" vertical="center"/>
    </xf>
    <xf numFmtId="0" fontId="24" fillId="7" borderId="29" xfId="0" applyFont="1" applyFill="1" applyBorder="1" applyAlignment="1">
      <alignment horizontal="left" vertical="center"/>
    </xf>
    <xf numFmtId="3" fontId="22" fillId="7" borderId="37" xfId="30" applyFont="1" applyFill="1" applyBorder="1">
      <alignment horizontal="right" vertical="center"/>
    </xf>
    <xf numFmtId="3" fontId="24" fillId="7" borderId="20" xfId="30" applyFont="1" applyFill="1" applyBorder="1">
      <alignment horizontal="right" vertical="center"/>
    </xf>
    <xf numFmtId="0" fontId="22" fillId="7" borderId="39" xfId="0" applyFont="1" applyFill="1" applyBorder="1" applyAlignment="1" applyProtection="1">
      <alignment vertical="center"/>
    </xf>
    <xf numFmtId="0" fontId="22" fillId="7" borderId="46" xfId="0" applyFont="1" applyFill="1" applyBorder="1" applyAlignment="1" applyProtection="1">
      <alignment horizontal="left" vertical="center" wrapText="1"/>
    </xf>
    <xf numFmtId="0" fontId="22" fillId="7" borderId="44" xfId="0" applyFont="1" applyFill="1" applyBorder="1" applyAlignment="1" applyProtection="1">
      <alignment horizontal="left" vertical="center" wrapText="1"/>
    </xf>
    <xf numFmtId="0" fontId="22" fillId="7" borderId="34" xfId="0" applyFont="1" applyFill="1" applyBorder="1" applyAlignment="1" applyProtection="1">
      <alignment horizontal="left" vertical="center" wrapText="1"/>
    </xf>
    <xf numFmtId="0" fontId="22" fillId="7" borderId="35" xfId="0" applyFont="1" applyFill="1" applyBorder="1" applyAlignment="1" applyProtection="1">
      <alignment horizontal="left" vertical="center" wrapText="1"/>
    </xf>
    <xf numFmtId="0" fontId="24" fillId="7" borderId="0" xfId="0" applyFont="1" applyFill="1" applyBorder="1" applyAlignment="1" applyProtection="1">
      <alignment horizontal="left" vertical="center"/>
    </xf>
    <xf numFmtId="0" fontId="41" fillId="7" borderId="5" xfId="0" applyFont="1" applyFill="1" applyBorder="1" applyAlignment="1" applyProtection="1">
      <alignment horizontal="left" vertical="center"/>
    </xf>
    <xf numFmtId="0" fontId="24" fillId="7" borderId="40" xfId="0" applyFont="1" applyFill="1" applyBorder="1" applyAlignment="1">
      <alignment horizontal="left" vertical="center"/>
    </xf>
    <xf numFmtId="0" fontId="22" fillId="7" borderId="43" xfId="0" applyFont="1" applyFill="1" applyBorder="1" applyAlignment="1">
      <alignment horizontal="left" vertical="center"/>
    </xf>
    <xf numFmtId="0" fontId="22" fillId="7" borderId="31" xfId="0" applyFont="1" applyFill="1" applyBorder="1" applyAlignment="1">
      <alignment horizontal="left" vertical="center"/>
    </xf>
    <xf numFmtId="0" fontId="22" fillId="7" borderId="32" xfId="0" applyFont="1" applyFill="1" applyBorder="1" applyAlignment="1">
      <alignment horizontal="left" vertical="center"/>
    </xf>
    <xf numFmtId="3" fontId="22" fillId="7" borderId="47" xfId="30" applyFont="1" applyFill="1" applyBorder="1" applyAlignment="1" applyProtection="1">
      <alignment horizontal="right" vertical="center"/>
    </xf>
    <xf numFmtId="0" fontId="41" fillId="7" borderId="5" xfId="0" applyFont="1" applyFill="1" applyBorder="1" applyAlignment="1" applyProtection="1">
      <alignment vertical="center"/>
    </xf>
    <xf numFmtId="0" fontId="41" fillId="7" borderId="5" xfId="0" applyFont="1" applyFill="1" applyBorder="1" applyAlignment="1">
      <alignment vertical="center"/>
    </xf>
    <xf numFmtId="0" fontId="20" fillId="7" borderId="3" xfId="0" applyFont="1" applyFill="1" applyBorder="1" applyAlignment="1"/>
    <xf numFmtId="0" fontId="20" fillId="7" borderId="9" xfId="0" applyFont="1" applyFill="1" applyBorder="1" applyAlignment="1"/>
    <xf numFmtId="15" fontId="21" fillId="7" borderId="9" xfId="0" applyNumberFormat="1" applyFont="1" applyFill="1" applyBorder="1" applyAlignment="1"/>
    <xf numFmtId="0" fontId="24" fillId="7" borderId="29" xfId="0" applyFont="1" applyFill="1" applyBorder="1" applyAlignment="1">
      <alignment horizontal="center" wrapText="1"/>
    </xf>
    <xf numFmtId="0" fontId="24" fillId="7" borderId="20" xfId="0" applyFont="1" applyFill="1" applyBorder="1" applyAlignment="1">
      <alignment horizontal="center" wrapText="1"/>
    </xf>
    <xf numFmtId="0" fontId="24" fillId="7" borderId="25" xfId="0" applyFont="1" applyFill="1" applyBorder="1" applyAlignment="1" applyProtection="1">
      <alignment vertical="center"/>
    </xf>
    <xf numFmtId="0" fontId="24" fillId="7" borderId="23" xfId="0" applyFont="1" applyFill="1" applyBorder="1" applyAlignment="1" applyProtection="1">
      <alignment horizontal="left" vertical="center" wrapText="1"/>
    </xf>
    <xf numFmtId="0" fontId="22" fillId="7" borderId="23" xfId="0" applyFont="1" applyFill="1" applyBorder="1" applyAlignment="1" applyProtection="1">
      <alignment vertical="center" wrapText="1"/>
    </xf>
    <xf numFmtId="0" fontId="22" fillId="7" borderId="31" xfId="0" applyFont="1" applyFill="1" applyBorder="1" applyAlignment="1" applyProtection="1">
      <alignment horizontal="center" vertical="center" wrapText="1"/>
    </xf>
    <xf numFmtId="0" fontId="22" fillId="7" borderId="25" xfId="0" applyFont="1" applyFill="1" applyBorder="1" applyAlignment="1">
      <alignment vertical="center" wrapText="1"/>
    </xf>
    <xf numFmtId="0" fontId="22" fillId="7" borderId="25" xfId="0" applyFont="1" applyFill="1" applyBorder="1" applyAlignment="1">
      <alignment vertical="center"/>
    </xf>
    <xf numFmtId="0" fontId="22" fillId="7" borderId="43" xfId="0" applyFont="1" applyFill="1" applyBorder="1" applyAlignment="1">
      <alignment horizontal="left" vertical="center" indent="1"/>
    </xf>
    <xf numFmtId="0" fontId="22" fillId="7" borderId="32" xfId="0" applyFont="1" applyFill="1" applyBorder="1" applyAlignment="1">
      <alignment horizontal="left" vertical="center" indent="1"/>
    </xf>
    <xf numFmtId="0" fontId="22" fillId="7" borderId="32" xfId="0" applyFont="1" applyFill="1" applyBorder="1" applyProtection="1">
      <alignment vertical="center"/>
    </xf>
    <xf numFmtId="0" fontId="22" fillId="7" borderId="29" xfId="0" applyFont="1" applyFill="1" applyBorder="1" applyProtection="1">
      <alignment vertical="center"/>
    </xf>
    <xf numFmtId="3" fontId="22" fillId="7" borderId="28" xfId="30" applyFont="1" applyFill="1" applyBorder="1" applyAlignment="1" applyProtection="1">
      <alignment horizontal="right" vertical="center"/>
    </xf>
    <xf numFmtId="3" fontId="22" fillId="7" borderId="41" xfId="30" applyFont="1" applyFill="1" applyBorder="1" applyAlignment="1" applyProtection="1">
      <alignment horizontal="right" vertical="center"/>
    </xf>
    <xf numFmtId="0" fontId="22" fillId="7" borderId="41" xfId="0" applyFont="1" applyFill="1" applyBorder="1" applyProtection="1">
      <alignment vertical="center"/>
    </xf>
    <xf numFmtId="3" fontId="22" fillId="7" borderId="25" xfId="30" applyFont="1" applyFill="1" applyBorder="1" applyAlignment="1" applyProtection="1">
      <alignment horizontal="right" vertical="center"/>
    </xf>
    <xf numFmtId="0" fontId="23" fillId="7" borderId="12" xfId="0" applyFont="1" applyFill="1" applyBorder="1" applyAlignment="1"/>
    <xf numFmtId="0" fontId="23" fillId="7" borderId="5" xfId="0" applyFont="1" applyFill="1" applyBorder="1">
      <alignment vertical="center"/>
    </xf>
    <xf numFmtId="0" fontId="27" fillId="7" borderId="36" xfId="0" applyFont="1" applyFill="1" applyBorder="1" applyAlignment="1" applyProtection="1">
      <alignment horizontal="center" vertical="center" wrapText="1"/>
    </xf>
    <xf numFmtId="0" fontId="22" fillId="7" borderId="23" xfId="0" applyFont="1" applyFill="1" applyBorder="1" applyAlignment="1">
      <alignment vertical="center"/>
    </xf>
    <xf numFmtId="0" fontId="22" fillId="7" borderId="25" xfId="0" applyFont="1" applyFill="1" applyBorder="1" applyAlignment="1">
      <alignment horizontal="left" vertical="center" indent="1"/>
    </xf>
    <xf numFmtId="0" fontId="22" fillId="7" borderId="45" xfId="0" applyFont="1" applyFill="1" applyBorder="1" applyAlignment="1">
      <alignment horizontal="left" vertical="center" indent="1"/>
    </xf>
    <xf numFmtId="0" fontId="22" fillId="7" borderId="37" xfId="0" applyFont="1" applyFill="1" applyBorder="1" applyAlignment="1">
      <alignment vertical="center"/>
    </xf>
    <xf numFmtId="0" fontId="22" fillId="7" borderId="32" xfId="0" applyFont="1" applyFill="1" applyBorder="1" applyAlignment="1">
      <alignment horizontal="center" vertical="center"/>
    </xf>
    <xf numFmtId="0" fontId="22" fillId="7" borderId="9" xfId="0" applyFont="1" applyFill="1" applyBorder="1" applyAlignment="1">
      <alignment vertical="center"/>
    </xf>
    <xf numFmtId="3" fontId="22" fillId="7" borderId="23" xfId="30" applyFont="1" applyFill="1" applyBorder="1">
      <alignment horizontal="right" vertical="center"/>
    </xf>
    <xf numFmtId="3" fontId="22" fillId="7" borderId="41" xfId="1" applyFont="1" applyFill="1" applyBorder="1" applyAlignment="1" applyProtection="1">
      <alignment horizontal="center" vertical="center"/>
    </xf>
    <xf numFmtId="3" fontId="22" fillId="7" borderId="28" xfId="30" applyFont="1" applyFill="1" applyBorder="1">
      <alignment horizontal="right" vertical="center"/>
    </xf>
    <xf numFmtId="3" fontId="22" fillId="7" borderId="47" xfId="1" applyFont="1" applyFill="1" applyBorder="1" applyAlignment="1" applyProtection="1">
      <alignment horizontal="center" vertical="center"/>
    </xf>
    <xf numFmtId="3" fontId="22" fillId="7" borderId="38" xfId="1" applyFont="1" applyFill="1" applyBorder="1" applyAlignment="1" applyProtection="1">
      <alignment horizontal="center" vertical="center"/>
    </xf>
    <xf numFmtId="0" fontId="22" fillId="7" borderId="36" xfId="0" applyFont="1" applyFill="1" applyBorder="1" applyAlignment="1">
      <alignment horizontal="left" vertical="center"/>
    </xf>
    <xf numFmtId="0" fontId="25" fillId="7" borderId="20" xfId="83" applyFont="1" applyFill="1" applyBorder="1" applyAlignment="1">
      <alignment horizontal="left" vertical="center" wrapText="1"/>
    </xf>
    <xf numFmtId="3" fontId="22" fillId="7" borderId="9" xfId="1" applyFont="1" applyFill="1" applyBorder="1" applyAlignment="1" applyProtection="1">
      <alignment horizontal="center" vertical="center"/>
    </xf>
    <xf numFmtId="3" fontId="22" fillId="7" borderId="30" xfId="30" applyFont="1" applyFill="1" applyBorder="1">
      <alignment horizontal="right" vertical="center"/>
    </xf>
    <xf numFmtId="0" fontId="24" fillId="7" borderId="48" xfId="5" applyFont="1" applyFill="1" applyBorder="1" applyAlignment="1">
      <alignment horizontal="center" vertical="center" wrapText="1"/>
    </xf>
    <xf numFmtId="0" fontId="27" fillId="7" borderId="50" xfId="0" applyFont="1" applyFill="1" applyBorder="1" applyAlignment="1" applyProtection="1">
      <alignment horizontal="center" vertical="center" wrapText="1"/>
    </xf>
    <xf numFmtId="0" fontId="24" fillId="7" borderId="39" xfId="5" applyFont="1" applyFill="1" applyBorder="1" applyAlignment="1">
      <alignment horizontal="center" vertical="center" wrapText="1"/>
    </xf>
    <xf numFmtId="0" fontId="22" fillId="7" borderId="9" xfId="0" applyFont="1" applyFill="1" applyBorder="1" applyAlignment="1" applyProtection="1">
      <alignment vertical="center"/>
    </xf>
    <xf numFmtId="0" fontId="24" fillId="7" borderId="49" xfId="5" applyFont="1" applyFill="1" applyBorder="1" applyAlignment="1">
      <alignment horizontal="center" vertical="center" wrapText="1"/>
    </xf>
    <xf numFmtId="0" fontId="24" fillId="7" borderId="51" xfId="5" applyFont="1" applyFill="1" applyBorder="1" applyAlignment="1">
      <alignment horizontal="center" vertical="center" wrapText="1"/>
    </xf>
    <xf numFmtId="0" fontId="24" fillId="7" borderId="40" xfId="5" applyFont="1" applyFill="1" applyBorder="1" applyAlignment="1">
      <alignment horizontal="center" vertical="center" wrapText="1"/>
    </xf>
    <xf numFmtId="0" fontId="22" fillId="7" borderId="43" xfId="0" applyFont="1" applyFill="1" applyBorder="1" applyAlignment="1">
      <alignment horizontal="center" vertical="center"/>
    </xf>
    <xf numFmtId="0" fontId="22" fillId="7" borderId="28" xfId="0" applyFont="1" applyFill="1" applyBorder="1" applyAlignment="1">
      <alignment vertical="center" wrapText="1"/>
    </xf>
    <xf numFmtId="3" fontId="22" fillId="7" borderId="42" xfId="30" applyFont="1" applyFill="1" applyBorder="1">
      <alignment horizontal="right" vertical="center"/>
    </xf>
    <xf numFmtId="3" fontId="22" fillId="7" borderId="43" xfId="30" applyFont="1" applyFill="1" applyBorder="1">
      <alignment horizontal="right" vertical="center"/>
    </xf>
    <xf numFmtId="0" fontId="24" fillId="7" borderId="25" xfId="0" applyFont="1" applyFill="1" applyBorder="1" applyAlignment="1">
      <alignment vertical="center"/>
    </xf>
    <xf numFmtId="0" fontId="24" fillId="7" borderId="23" xfId="0" applyFont="1" applyFill="1" applyBorder="1" applyAlignment="1">
      <alignment vertical="center"/>
    </xf>
    <xf numFmtId="0" fontId="22" fillId="7" borderId="28" xfId="0" applyFont="1" applyFill="1" applyBorder="1" applyAlignment="1">
      <alignment vertical="center"/>
    </xf>
    <xf numFmtId="0" fontId="22" fillId="7" borderId="45" xfId="0" applyFont="1" applyFill="1" applyBorder="1" applyAlignment="1">
      <alignment vertical="center"/>
    </xf>
    <xf numFmtId="3" fontId="22" fillId="7" borderId="31" xfId="30" applyFont="1" applyFill="1" applyBorder="1">
      <alignment horizontal="right" vertical="center"/>
    </xf>
    <xf numFmtId="49" fontId="22" fillId="7" borderId="25" xfId="0" applyNumberFormat="1" applyFont="1" applyFill="1" applyBorder="1" applyAlignment="1">
      <alignment horizontal="left" vertical="center"/>
    </xf>
    <xf numFmtId="0" fontId="22" fillId="7" borderId="27" xfId="0" applyFont="1" applyFill="1" applyBorder="1" applyAlignment="1">
      <alignment vertical="center"/>
    </xf>
    <xf numFmtId="3" fontId="22" fillId="7" borderId="0" xfId="0" applyNumberFormat="1" applyFont="1" applyFill="1" applyBorder="1" applyAlignment="1" applyProtection="1">
      <alignment horizontal="right" vertical="center"/>
    </xf>
    <xf numFmtId="0" fontId="25" fillId="7" borderId="25" xfId="83" applyFont="1" applyFill="1" applyBorder="1" applyAlignment="1">
      <alignment vertical="center"/>
    </xf>
    <xf numFmtId="0" fontId="25" fillId="7" borderId="27" xfId="83" applyFont="1" applyFill="1" applyBorder="1" applyAlignment="1">
      <alignment vertical="center"/>
    </xf>
    <xf numFmtId="3" fontId="22" fillId="7" borderId="33" xfId="30" applyFont="1" applyFill="1" applyBorder="1">
      <alignment horizontal="right" vertical="center"/>
    </xf>
    <xf numFmtId="3" fontId="22" fillId="7" borderId="34" xfId="1" applyFont="1" applyFill="1" applyBorder="1" applyAlignment="1" applyProtection="1">
      <alignment horizontal="center" vertical="center"/>
    </xf>
    <xf numFmtId="3" fontId="22" fillId="7" borderId="35" xfId="1" applyFont="1" applyFill="1" applyBorder="1" applyAlignment="1" applyProtection="1">
      <alignment horizontal="center" vertical="center"/>
    </xf>
    <xf numFmtId="0" fontId="0" fillId="7" borderId="0" xfId="0">
      <alignment vertical="center"/>
    </xf>
    <xf numFmtId="0" fontId="0" fillId="7" borderId="0" xfId="0" applyFill="1">
      <alignment vertical="center"/>
    </xf>
    <xf numFmtId="0" fontId="22" fillId="7" borderId="22" xfId="0" applyFont="1" applyFill="1" applyBorder="1" applyProtection="1">
      <alignment vertical="center"/>
    </xf>
    <xf numFmtId="0" fontId="22" fillId="7" borderId="23" xfId="0" applyFont="1" applyFill="1" applyBorder="1">
      <alignment vertical="center"/>
    </xf>
    <xf numFmtId="0" fontId="24" fillId="7" borderId="9" xfId="0" applyFont="1" applyFill="1" applyBorder="1" applyAlignment="1">
      <alignment vertical="center"/>
    </xf>
    <xf numFmtId="3" fontId="22" fillId="7" borderId="36" xfId="30" applyFont="1" applyFill="1" applyBorder="1" applyAlignment="1">
      <alignment horizontal="right" vertical="center"/>
    </xf>
    <xf numFmtId="0" fontId="46" fillId="7" borderId="34" xfId="0" applyFont="1" applyFill="1" applyBorder="1" applyAlignment="1" applyProtection="1">
      <alignment horizontal="left" vertical="center" indent="1"/>
    </xf>
    <xf numFmtId="0" fontId="46" fillId="7" borderId="34" xfId="0" applyFont="1" applyFill="1" applyBorder="1" applyAlignment="1" applyProtection="1">
      <alignment horizontal="left" vertical="center" indent="2"/>
    </xf>
    <xf numFmtId="0" fontId="22" fillId="7" borderId="34" xfId="0" applyFont="1" applyFill="1" applyBorder="1" applyAlignment="1" applyProtection="1">
      <alignment horizontal="left" vertical="center"/>
    </xf>
    <xf numFmtId="0" fontId="22" fillId="7" borderId="34" xfId="0" applyFont="1" applyFill="1" applyBorder="1" applyAlignment="1" applyProtection="1">
      <alignment horizontal="left" vertical="center" indent="2"/>
    </xf>
    <xf numFmtId="0" fontId="22" fillId="7" borderId="34" xfId="0" applyFont="1" applyFill="1" applyBorder="1" applyAlignment="1" applyProtection="1">
      <alignment horizontal="left" vertical="center" indent="1"/>
    </xf>
    <xf numFmtId="3" fontId="22" fillId="7" borderId="37" xfId="30" applyFont="1" applyFill="1" applyBorder="1" applyAlignment="1" applyProtection="1">
      <alignment horizontal="right" vertical="center"/>
    </xf>
    <xf numFmtId="0" fontId="22" fillId="7" borderId="31" xfId="0" applyFont="1" applyFill="1" applyBorder="1" applyAlignment="1" applyProtection="1">
      <alignment horizontal="left" vertical="center" indent="2"/>
    </xf>
    <xf numFmtId="0" fontId="22" fillId="7" borderId="46" xfId="0" applyFont="1" applyFill="1" applyBorder="1" applyAlignment="1" applyProtection="1">
      <alignment horizontal="left" vertical="center"/>
    </xf>
    <xf numFmtId="0" fontId="24" fillId="7" borderId="29" xfId="0" applyFont="1" applyFill="1" applyBorder="1" applyAlignment="1">
      <alignment vertical="center"/>
    </xf>
    <xf numFmtId="3" fontId="22" fillId="7" borderId="36" xfId="30" applyFont="1" applyFill="1" applyBorder="1" applyAlignment="1" applyProtection="1">
      <alignment horizontal="right" vertical="center"/>
    </xf>
    <xf numFmtId="0" fontId="22" fillId="7" borderId="20" xfId="0" applyFont="1" applyFill="1" applyBorder="1" applyAlignment="1">
      <alignment horizontal="center" vertical="center"/>
    </xf>
    <xf numFmtId="0" fontId="22" fillId="7" borderId="36" xfId="0" applyFont="1" applyFill="1" applyBorder="1" applyAlignment="1">
      <alignment horizontal="center" vertical="center"/>
    </xf>
    <xf numFmtId="0" fontId="22" fillId="7" borderId="30" xfId="0" applyFont="1" applyFill="1" applyBorder="1">
      <alignment vertical="center"/>
    </xf>
    <xf numFmtId="0" fontId="22" fillId="7" borderId="31" xfId="0" applyFont="1" applyFill="1" applyBorder="1">
      <alignment vertical="center"/>
    </xf>
    <xf numFmtId="0" fontId="22" fillId="7" borderId="32" xfId="0" applyFont="1" applyFill="1" applyBorder="1">
      <alignment vertical="center"/>
    </xf>
    <xf numFmtId="0" fontId="24" fillId="7" borderId="29" xfId="5" applyFont="1" applyFill="1" applyBorder="1">
      <alignment horizontal="center" wrapText="1"/>
    </xf>
    <xf numFmtId="14" fontId="24" fillId="7" borderId="36" xfId="5" applyNumberFormat="1" applyFont="1" applyFill="1" applyBorder="1">
      <alignment horizontal="center" wrapText="1"/>
    </xf>
    <xf numFmtId="14" fontId="24" fillId="7" borderId="0" xfId="5" applyNumberFormat="1" applyFont="1" applyFill="1" applyBorder="1">
      <alignment horizontal="center" wrapText="1"/>
    </xf>
    <xf numFmtId="3" fontId="22" fillId="7" borderId="43" xfId="30" applyFont="1" applyFill="1" applyBorder="1" applyAlignment="1">
      <alignment horizontal="center" vertical="center"/>
    </xf>
    <xf numFmtId="3" fontId="22" fillId="7" borderId="31" xfId="30" applyFont="1" applyFill="1" applyBorder="1" applyAlignment="1">
      <alignment horizontal="center" vertical="center"/>
    </xf>
    <xf numFmtId="3" fontId="22" fillId="7" borderId="32" xfId="30" applyFont="1" applyFill="1" applyBorder="1" applyAlignment="1">
      <alignment horizontal="center" vertical="center"/>
    </xf>
    <xf numFmtId="0" fontId="22" fillId="7" borderId="19"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9" xfId="0" applyFont="1" applyFill="1" applyBorder="1">
      <alignment vertical="center"/>
    </xf>
    <xf numFmtId="0" fontId="22" fillId="7" borderId="35" xfId="0" applyFont="1" applyFill="1" applyBorder="1" applyAlignment="1" applyProtection="1">
      <alignment horizontal="left" vertical="center"/>
    </xf>
    <xf numFmtId="0" fontId="22" fillId="7" borderId="41" xfId="0" applyFont="1" applyFill="1" applyBorder="1" applyAlignment="1">
      <alignment horizontal="center" vertical="center" wrapText="1"/>
    </xf>
    <xf numFmtId="0" fontId="22" fillId="7" borderId="54" xfId="0" applyFont="1" applyFill="1" applyBorder="1" applyAlignment="1" applyProtection="1">
      <alignment horizontal="left" vertical="center"/>
    </xf>
    <xf numFmtId="0" fontId="22" fillId="7" borderId="33" xfId="0" applyFont="1" applyFill="1" applyBorder="1">
      <alignment vertical="center"/>
    </xf>
    <xf numFmtId="0" fontId="22" fillId="7" borderId="34" xfId="0" applyFont="1" applyFill="1" applyBorder="1" applyAlignment="1">
      <alignment horizontal="left" vertical="center"/>
    </xf>
    <xf numFmtId="0" fontId="22" fillId="7" borderId="34" xfId="0" applyFont="1" applyFill="1" applyBorder="1">
      <alignment vertical="center"/>
    </xf>
    <xf numFmtId="0" fontId="22" fillId="7" borderId="54" xfId="0" applyFont="1" applyFill="1" applyBorder="1" applyAlignment="1">
      <alignment horizontal="left" vertical="center"/>
    </xf>
    <xf numFmtId="0" fontId="22" fillId="7" borderId="54" xfId="0" applyFont="1" applyFill="1" applyBorder="1">
      <alignment vertical="center"/>
    </xf>
    <xf numFmtId="0" fontId="22" fillId="7" borderId="43" xfId="0" applyFont="1" applyFill="1" applyBorder="1">
      <alignment vertical="center"/>
    </xf>
    <xf numFmtId="171" fontId="22" fillId="7" borderId="34" xfId="0" applyNumberFormat="1" applyFont="1" applyFill="1" applyBorder="1">
      <alignment vertical="center"/>
    </xf>
    <xf numFmtId="171" fontId="22" fillId="7" borderId="35" xfId="0" applyNumberFormat="1" applyFont="1" applyFill="1" applyBorder="1">
      <alignment vertical="center"/>
    </xf>
    <xf numFmtId="0" fontId="20" fillId="7" borderId="4" xfId="4" applyFont="1" applyFill="1" applyBorder="1" applyAlignment="1"/>
    <xf numFmtId="3" fontId="22" fillId="7" borderId="30" xfId="30" applyFont="1" applyFill="1" applyBorder="1" applyAlignment="1">
      <alignment horizontal="center" vertical="center"/>
    </xf>
    <xf numFmtId="0" fontId="24" fillId="7" borderId="36" xfId="5" applyFont="1" applyFill="1" applyBorder="1">
      <alignment horizontal="center" wrapText="1"/>
    </xf>
    <xf numFmtId="3" fontId="22" fillId="7" borderId="41" xfId="30" quotePrefix="1" applyFont="1" applyFill="1" applyBorder="1">
      <alignment horizontal="right" vertical="center"/>
    </xf>
    <xf numFmtId="0" fontId="20" fillId="7" borderId="0" xfId="4" applyFont="1" applyFill="1" applyBorder="1" applyAlignment="1"/>
    <xf numFmtId="0" fontId="23" fillId="7" borderId="5" xfId="0" applyFont="1" applyFill="1" applyBorder="1" applyAlignment="1" applyProtection="1"/>
    <xf numFmtId="0" fontId="23" fillId="7" borderId="0" xfId="0" applyFont="1" applyFill="1" applyBorder="1" applyAlignment="1" applyProtection="1">
      <alignment horizontal="left"/>
    </xf>
    <xf numFmtId="0" fontId="36" fillId="7" borderId="6" xfId="0" applyFont="1" applyFill="1" applyBorder="1" applyAlignment="1" applyProtection="1">
      <alignment horizontal="center" vertical="center"/>
    </xf>
    <xf numFmtId="0" fontId="22" fillId="7" borderId="11" xfId="0" applyFont="1" applyFill="1" applyBorder="1" applyAlignment="1" applyProtection="1"/>
    <xf numFmtId="0" fontId="22" fillId="7" borderId="6" xfId="0" applyFont="1" applyFill="1" applyBorder="1" applyProtection="1">
      <alignment vertical="center"/>
    </xf>
    <xf numFmtId="0" fontId="22" fillId="7" borderId="7" xfId="0" applyFont="1" applyFill="1" applyBorder="1" applyProtection="1">
      <alignment vertical="center"/>
    </xf>
    <xf numFmtId="0" fontId="23" fillId="7" borderId="0" xfId="0" applyFont="1" applyFill="1" applyBorder="1" applyProtection="1">
      <alignment vertical="center"/>
    </xf>
    <xf numFmtId="0" fontId="23" fillId="7" borderId="9" xfId="0" applyFont="1" applyFill="1" applyBorder="1" applyProtection="1">
      <alignment vertical="center"/>
    </xf>
    <xf numFmtId="0" fontId="22" fillId="7" borderId="9" xfId="0" applyFont="1" applyFill="1" applyBorder="1" applyProtection="1">
      <alignment vertical="center"/>
    </xf>
    <xf numFmtId="0" fontId="24" fillId="7" borderId="29" xfId="0" applyFont="1" applyFill="1" applyBorder="1" applyAlignment="1" applyProtection="1">
      <alignment vertical="center"/>
    </xf>
    <xf numFmtId="0" fontId="24" fillId="7" borderId="33" xfId="0" applyFont="1" applyFill="1" applyBorder="1" applyAlignment="1" applyProtection="1">
      <alignment vertical="center"/>
    </xf>
    <xf numFmtId="0" fontId="22" fillId="7" borderId="33" xfId="0" applyFont="1" applyFill="1" applyBorder="1" applyAlignment="1" applyProtection="1">
      <alignment vertical="center"/>
    </xf>
    <xf numFmtId="0" fontId="22" fillId="7" borderId="34" xfId="0" applyFont="1" applyFill="1" applyBorder="1" applyAlignment="1" applyProtection="1">
      <alignment vertical="center"/>
    </xf>
    <xf numFmtId="0" fontId="24" fillId="7" borderId="34" xfId="0" applyFont="1" applyFill="1" applyBorder="1" applyAlignment="1" applyProtection="1">
      <alignment vertical="center"/>
    </xf>
    <xf numFmtId="0" fontId="31" fillId="7" borderId="34" xfId="0" applyFont="1" applyFill="1" applyBorder="1" applyAlignment="1" applyProtection="1">
      <alignment horizontal="left" vertical="center" indent="1"/>
    </xf>
    <xf numFmtId="0" fontId="22" fillId="7" borderId="35" xfId="0" applyFont="1" applyFill="1" applyBorder="1" applyAlignment="1" applyProtection="1">
      <alignment horizontal="left" vertical="center" indent="1"/>
    </xf>
    <xf numFmtId="0" fontId="22" fillId="7" borderId="35" xfId="0" applyFont="1" applyFill="1" applyBorder="1" applyAlignment="1" applyProtection="1">
      <alignment vertical="center"/>
    </xf>
    <xf numFmtId="0" fontId="22" fillId="7" borderId="35" xfId="0" applyFont="1" applyFill="1" applyBorder="1" applyAlignment="1">
      <alignment vertical="center"/>
    </xf>
    <xf numFmtId="0" fontId="31" fillId="7" borderId="33" xfId="0" applyFont="1" applyFill="1" applyBorder="1" applyAlignment="1" applyProtection="1">
      <alignment vertical="center"/>
    </xf>
    <xf numFmtId="0" fontId="31" fillId="7" borderId="34" xfId="0" applyFont="1" applyFill="1" applyBorder="1" applyAlignment="1" applyProtection="1">
      <alignment horizontal="left" vertical="center" wrapText="1"/>
    </xf>
    <xf numFmtId="0" fontId="31" fillId="7" borderId="34" xfId="0" applyFont="1" applyFill="1" applyBorder="1" applyAlignment="1" applyProtection="1">
      <alignment vertical="center"/>
    </xf>
    <xf numFmtId="0" fontId="31" fillId="7" borderId="34" xfId="0" applyFont="1" applyFill="1" applyBorder="1" applyAlignment="1" applyProtection="1">
      <alignment horizontal="left" vertical="center" wrapText="1" indent="1"/>
    </xf>
    <xf numFmtId="0" fontId="31" fillId="7" borderId="35" xfId="0" applyFont="1" applyFill="1" applyBorder="1" applyAlignment="1" applyProtection="1">
      <alignment horizontal="left" vertical="center"/>
    </xf>
    <xf numFmtId="0" fontId="31" fillId="7" borderId="9" xfId="0" applyFont="1" applyFill="1" applyBorder="1" applyAlignment="1" applyProtection="1">
      <alignment horizontal="left" vertical="center" wrapText="1"/>
    </xf>
    <xf numFmtId="0" fontId="24" fillId="7" borderId="5" xfId="0" applyFont="1" applyFill="1" applyBorder="1" applyAlignment="1" applyProtection="1">
      <alignment vertical="center"/>
    </xf>
    <xf numFmtId="0" fontId="24" fillId="7" borderId="9" xfId="0" applyFont="1" applyFill="1" applyBorder="1" applyAlignment="1" applyProtection="1">
      <alignment vertical="center"/>
    </xf>
    <xf numFmtId="0" fontId="22" fillId="7" borderId="20" xfId="0" applyFont="1" applyFill="1" applyBorder="1" applyAlignment="1" applyProtection="1">
      <alignment horizontal="center" vertical="center"/>
    </xf>
    <xf numFmtId="0" fontId="22" fillId="7" borderId="44" xfId="0" applyFont="1" applyFill="1" applyBorder="1" applyAlignment="1" applyProtection="1">
      <alignment horizontal="left" vertical="center"/>
    </xf>
    <xf numFmtId="0" fontId="22" fillId="7" borderId="0" xfId="0" applyFont="1" applyFill="1" applyBorder="1" applyAlignment="1" applyProtection="1">
      <alignment horizontal="center" vertical="center"/>
    </xf>
    <xf numFmtId="0" fontId="22" fillId="7" borderId="25" xfId="0" applyFont="1" applyFill="1" applyBorder="1" applyAlignment="1" applyProtection="1">
      <alignment horizontal="center" vertical="center"/>
    </xf>
    <xf numFmtId="0" fontId="22" fillId="7" borderId="8" xfId="0" applyFont="1" applyFill="1" applyBorder="1" applyAlignment="1" applyProtection="1">
      <alignment horizontal="left" vertical="center"/>
    </xf>
    <xf numFmtId="0" fontId="24" fillId="7" borderId="39" xfId="0" applyFont="1" applyFill="1" applyBorder="1" applyAlignment="1" applyProtection="1">
      <alignment vertical="center"/>
    </xf>
    <xf numFmtId="0" fontId="22" fillId="7" borderId="45" xfId="0" applyFont="1" applyFill="1" applyBorder="1" applyAlignment="1" applyProtection="1">
      <alignment horizontal="center" vertical="center"/>
    </xf>
    <xf numFmtId="0" fontId="22" fillId="7" borderId="28" xfId="0" applyFont="1" applyFill="1" applyBorder="1" applyAlignment="1" applyProtection="1">
      <alignment horizontal="center" vertical="center"/>
    </xf>
    <xf numFmtId="0" fontId="22" fillId="7" borderId="40" xfId="0" applyFont="1" applyFill="1" applyBorder="1" applyProtection="1">
      <alignment vertical="center"/>
    </xf>
    <xf numFmtId="0" fontId="23" fillId="7" borderId="0" xfId="0" applyFont="1" applyFill="1" applyBorder="1" applyAlignment="1" applyProtection="1">
      <alignment horizontal="left" vertical="center"/>
    </xf>
    <xf numFmtId="3" fontId="22" fillId="7" borderId="0" xfId="30" applyFont="1" applyFill="1" applyBorder="1" applyAlignment="1">
      <alignment horizontal="right" vertical="center"/>
    </xf>
    <xf numFmtId="0" fontId="23" fillId="7" borderId="5" xfId="0" applyFont="1" applyFill="1" applyBorder="1" applyAlignment="1" applyProtection="1">
      <alignment horizontal="left" vertical="center"/>
    </xf>
    <xf numFmtId="3" fontId="22" fillId="7" borderId="5" xfId="30" applyFont="1" applyFill="1" applyBorder="1" applyAlignment="1">
      <alignment horizontal="right" vertical="center"/>
    </xf>
    <xf numFmtId="0" fontId="0" fillId="7" borderId="5" xfId="0" applyFill="1" applyBorder="1" applyAlignment="1">
      <alignment vertical="center"/>
    </xf>
    <xf numFmtId="0" fontId="20" fillId="7" borderId="12" xfId="4" applyFont="1" applyFill="1" applyBorder="1" applyAlignment="1" applyProtection="1"/>
    <xf numFmtId="0" fontId="20" fillId="7" borderId="5" xfId="4" applyFont="1" applyFill="1" applyBorder="1" applyAlignment="1" applyProtection="1"/>
    <xf numFmtId="0" fontId="22" fillId="7" borderId="11" xfId="0" applyFont="1" applyFill="1" applyBorder="1" applyProtection="1">
      <alignment vertical="center"/>
    </xf>
    <xf numFmtId="0" fontId="20" fillId="7" borderId="0" xfId="0" applyFont="1" applyFill="1" applyBorder="1" applyProtection="1">
      <alignment vertical="center"/>
    </xf>
    <xf numFmtId="3" fontId="22" fillId="7" borderId="0" xfId="30" applyFont="1" applyFill="1" applyBorder="1" applyProtection="1">
      <alignment horizontal="right" vertical="center"/>
    </xf>
    <xf numFmtId="0" fontId="29" fillId="7" borderId="2" xfId="0" applyFont="1" applyFill="1" applyBorder="1" applyAlignment="1" applyProtection="1">
      <alignment horizontal="left"/>
    </xf>
    <xf numFmtId="0" fontId="30" fillId="7" borderId="0" xfId="0" applyFont="1" applyFill="1" applyBorder="1" applyProtection="1">
      <alignment vertical="center"/>
    </xf>
    <xf numFmtId="0" fontId="30" fillId="7" borderId="0" xfId="0" applyFont="1" applyFill="1" applyBorder="1" applyAlignment="1" applyProtection="1">
      <alignment horizontal="center"/>
    </xf>
    <xf numFmtId="3" fontId="31" fillId="7" borderId="0" xfId="0" applyNumberFormat="1" applyFont="1" applyFill="1" applyBorder="1" applyAlignment="1" applyProtection="1">
      <alignment horizontal="right"/>
    </xf>
    <xf numFmtId="0" fontId="31" fillId="7" borderId="0" xfId="0" applyFont="1" applyFill="1" applyBorder="1" applyProtection="1">
      <alignment vertical="center"/>
    </xf>
    <xf numFmtId="0" fontId="31" fillId="7" borderId="2" xfId="0" applyFont="1" applyFill="1" applyBorder="1" applyAlignment="1" applyProtection="1">
      <alignment horizontal="center"/>
    </xf>
    <xf numFmtId="0" fontId="22" fillId="7" borderId="20" xfId="3" applyFont="1" applyFill="1" applyBorder="1" applyProtection="1">
      <alignment horizontal="center" vertical="center"/>
    </xf>
    <xf numFmtId="0" fontId="24" fillId="7" borderId="36" xfId="5" applyFont="1" applyFill="1" applyBorder="1" applyAlignment="1" applyProtection="1">
      <alignment horizontal="center" vertical="center" wrapText="1"/>
    </xf>
    <xf numFmtId="0" fontId="31" fillId="7" borderId="30" xfId="0" applyFont="1" applyFill="1" applyBorder="1" applyAlignment="1" applyProtection="1">
      <alignment vertical="center" wrapText="1"/>
    </xf>
    <xf numFmtId="0" fontId="31" fillId="7" borderId="31" xfId="0" applyFont="1" applyFill="1" applyBorder="1" applyAlignment="1" applyProtection="1">
      <alignment vertical="center" wrapText="1"/>
    </xf>
    <xf numFmtId="0" fontId="31" fillId="7" borderId="31" xfId="0" applyFont="1" applyFill="1" applyBorder="1" applyAlignment="1" applyProtection="1">
      <alignment horizontal="left" vertical="center" wrapText="1" indent="1"/>
    </xf>
    <xf numFmtId="0" fontId="25" fillId="7" borderId="31" xfId="83" applyFont="1" applyFill="1" applyBorder="1" applyAlignment="1" applyProtection="1">
      <alignment horizontal="left" vertical="center" wrapText="1" indent="1"/>
    </xf>
    <xf numFmtId="0" fontId="31" fillId="7" borderId="46" xfId="0" applyFont="1" applyFill="1" applyBorder="1" applyAlignment="1" applyProtection="1">
      <alignment horizontal="left" vertical="center" wrapText="1" indent="1"/>
    </xf>
    <xf numFmtId="0" fontId="29" fillId="7" borderId="30" xfId="0" applyFont="1" applyFill="1" applyBorder="1" applyAlignment="1" applyProtection="1">
      <alignment vertical="center" wrapText="1"/>
    </xf>
    <xf numFmtId="0" fontId="31" fillId="7" borderId="32" xfId="0" applyFont="1" applyFill="1" applyBorder="1" applyAlignment="1" applyProtection="1">
      <alignment vertical="center" wrapText="1"/>
    </xf>
    <xf numFmtId="0" fontId="31" fillId="7" borderId="23" xfId="0" applyFont="1" applyFill="1" applyBorder="1" applyAlignment="1" applyProtection="1">
      <alignment horizontal="center" vertical="center" wrapText="1"/>
    </xf>
    <xf numFmtId="0" fontId="31" fillId="7" borderId="25" xfId="0" applyFont="1" applyFill="1" applyBorder="1" applyAlignment="1" applyProtection="1">
      <alignment horizontal="center" vertical="center" wrapText="1"/>
    </xf>
    <xf numFmtId="0" fontId="31" fillId="7" borderId="45" xfId="0" applyFont="1" applyFill="1" applyBorder="1" applyAlignment="1" applyProtection="1">
      <alignment horizontal="center" vertical="center" wrapText="1"/>
    </xf>
    <xf numFmtId="0" fontId="29" fillId="7" borderId="23" xfId="0" applyFont="1" applyFill="1" applyBorder="1" applyAlignment="1" applyProtection="1">
      <alignment horizontal="center" vertical="center" wrapText="1"/>
    </xf>
    <xf numFmtId="0" fontId="31" fillId="7" borderId="27" xfId="0" applyFont="1" applyFill="1" applyBorder="1" applyAlignment="1" applyProtection="1">
      <alignment horizontal="center" vertical="center" wrapText="1"/>
    </xf>
    <xf numFmtId="0" fontId="22" fillId="7" borderId="25" xfId="2" applyFont="1" applyFill="1" applyBorder="1">
      <alignment horizontal="center" vertical="center"/>
    </xf>
    <xf numFmtId="3" fontId="31" fillId="7" borderId="25" xfId="30" applyFont="1" applyFill="1" applyBorder="1" applyProtection="1">
      <alignment horizontal="right" vertical="center"/>
    </xf>
    <xf numFmtId="2" fontId="31" fillId="7" borderId="23" xfId="31" applyNumberFormat="1" applyFont="1" applyFill="1" applyBorder="1" applyProtection="1">
      <alignment horizontal="right" vertical="center"/>
    </xf>
    <xf numFmtId="2" fontId="31" fillId="7" borderId="45" xfId="31" applyNumberFormat="1" applyFont="1" applyFill="1" applyBorder="1" applyProtection="1">
      <alignment horizontal="right" vertical="center"/>
    </xf>
    <xf numFmtId="3" fontId="31" fillId="7" borderId="47" xfId="30" applyFont="1" applyFill="1" applyBorder="1" applyProtection="1">
      <alignment horizontal="right" vertical="center"/>
    </xf>
    <xf numFmtId="3" fontId="29" fillId="7" borderId="37" xfId="30" applyFont="1" applyFill="1" applyBorder="1" applyProtection="1">
      <alignment horizontal="right" vertical="center"/>
    </xf>
    <xf numFmtId="0" fontId="31" fillId="7" borderId="2" xfId="0" applyFont="1" applyFill="1" applyBorder="1" applyAlignment="1" applyProtection="1">
      <alignment horizontal="left"/>
    </xf>
    <xf numFmtId="0" fontId="31" fillId="7" borderId="2" xfId="0" applyFont="1" applyFill="1" applyBorder="1" applyProtection="1">
      <alignment vertical="center"/>
    </xf>
    <xf numFmtId="0" fontId="31" fillId="7" borderId="2" xfId="0" applyFont="1" applyFill="1" applyBorder="1" applyAlignment="1" applyProtection="1">
      <alignment horizontal="left" wrapText="1"/>
    </xf>
    <xf numFmtId="0" fontId="23" fillId="7" borderId="2" xfId="0" applyFont="1" applyFill="1" applyBorder="1" applyProtection="1">
      <alignment vertical="center"/>
    </xf>
    <xf numFmtId="0" fontId="22" fillId="7" borderId="6" xfId="0" applyFont="1" applyFill="1" applyBorder="1" applyAlignment="1" applyProtection="1">
      <alignment horizontal="left" vertical="center"/>
    </xf>
    <xf numFmtId="3" fontId="29" fillId="7" borderId="23" xfId="30" applyFont="1" applyFill="1" applyBorder="1" applyAlignment="1" applyProtection="1">
      <alignment horizontal="right" vertical="center"/>
    </xf>
    <xf numFmtId="3" fontId="31" fillId="7" borderId="25" xfId="30" applyFont="1" applyFill="1" applyBorder="1" applyAlignment="1" applyProtection="1">
      <alignment horizontal="right" vertical="center"/>
    </xf>
    <xf numFmtId="3" fontId="31" fillId="7" borderId="27" xfId="30" applyFont="1" applyFill="1" applyBorder="1" applyAlignment="1" applyProtection="1">
      <alignment horizontal="right" vertical="center"/>
    </xf>
    <xf numFmtId="2" fontId="31" fillId="7" borderId="27" xfId="31" applyNumberFormat="1" applyFont="1" applyFill="1" applyBorder="1" applyProtection="1">
      <alignment horizontal="right" vertical="center"/>
    </xf>
    <xf numFmtId="0" fontId="29" fillId="7" borderId="31" xfId="0" applyFont="1" applyFill="1" applyBorder="1" applyAlignment="1" applyProtection="1">
      <alignment vertical="center" wrapText="1"/>
    </xf>
    <xf numFmtId="49" fontId="31" fillId="7" borderId="25" xfId="0" applyNumberFormat="1"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3" fontId="29" fillId="7" borderId="25" xfId="30" applyFont="1" applyFill="1" applyBorder="1">
      <alignment horizontal="right" vertical="center"/>
    </xf>
    <xf numFmtId="3" fontId="31" fillId="7" borderId="37" xfId="30" applyFont="1" applyFill="1" applyBorder="1" applyAlignment="1" applyProtection="1">
      <alignment horizontal="right" vertical="center"/>
    </xf>
    <xf numFmtId="3" fontId="29" fillId="7" borderId="41" xfId="30" applyFont="1" applyFill="1" applyBorder="1" applyProtection="1">
      <alignment horizontal="right" vertical="center"/>
    </xf>
    <xf numFmtId="0" fontId="29" fillId="7" borderId="29" xfId="0" applyFont="1" applyFill="1" applyBorder="1" applyAlignment="1" applyProtection="1">
      <alignment vertical="center" wrapText="1"/>
    </xf>
    <xf numFmtId="3" fontId="29" fillId="7" borderId="36" xfId="30" applyFont="1" applyFill="1" applyBorder="1" applyProtection="1">
      <alignment horizontal="right" vertical="center"/>
    </xf>
    <xf numFmtId="0" fontId="25" fillId="7" borderId="32" xfId="83" applyFont="1" applyFill="1" applyBorder="1" applyAlignment="1" applyProtection="1">
      <alignment horizontal="left" vertical="center" wrapText="1" indent="1"/>
    </xf>
    <xf numFmtId="0" fontId="22" fillId="7" borderId="27" xfId="2" applyFont="1" applyFill="1" applyBorder="1">
      <alignment horizontal="center" vertical="center"/>
    </xf>
    <xf numFmtId="0" fontId="32" fillId="7" borderId="29" xfId="83" applyFont="1" applyFill="1" applyBorder="1" applyAlignment="1" applyProtection="1">
      <alignment horizontal="left" vertical="center" wrapText="1"/>
    </xf>
    <xf numFmtId="0" fontId="31" fillId="7" borderId="43" xfId="0" applyFont="1" applyFill="1" applyBorder="1" applyAlignment="1" applyProtection="1">
      <alignment horizontal="left" vertical="center" wrapText="1"/>
    </xf>
    <xf numFmtId="0" fontId="31" fillId="7" borderId="28" xfId="0" applyFont="1" applyFill="1" applyBorder="1" applyAlignment="1" applyProtection="1">
      <alignment horizontal="center" vertical="center" wrapText="1"/>
    </xf>
    <xf numFmtId="2" fontId="31" fillId="7" borderId="28" xfId="31" applyNumberFormat="1" applyFont="1" applyFill="1" applyBorder="1" applyProtection="1">
      <alignment horizontal="right" vertical="center"/>
    </xf>
    <xf numFmtId="3" fontId="31" fillId="7" borderId="42" xfId="30" applyFont="1" applyFill="1" applyBorder="1" applyProtection="1">
      <alignment horizontal="right" vertical="center"/>
    </xf>
    <xf numFmtId="0" fontId="31" fillId="7" borderId="0" xfId="0" applyFont="1" applyFill="1" applyBorder="1" applyAlignment="1" applyProtection="1">
      <alignment vertical="center" wrapText="1"/>
    </xf>
    <xf numFmtId="0" fontId="31" fillId="7" borderId="0" xfId="0" applyFont="1" applyFill="1" applyBorder="1" applyAlignment="1" applyProtection="1">
      <alignment horizontal="center" vertical="center" wrapText="1"/>
    </xf>
    <xf numFmtId="3" fontId="31" fillId="7" borderId="0" xfId="11" applyNumberFormat="1" applyFont="1" applyFill="1" applyBorder="1" applyAlignment="1" applyProtection="1">
      <alignment horizontal="right"/>
    </xf>
    <xf numFmtId="3" fontId="31" fillId="7" borderId="0" xfId="11" applyFont="1" applyFill="1" applyBorder="1" applyProtection="1">
      <alignment horizontal="right" vertical="center"/>
    </xf>
    <xf numFmtId="3" fontId="31" fillId="7" borderId="0" xfId="11" applyNumberFormat="1" applyFont="1" applyFill="1" applyBorder="1" applyProtection="1">
      <alignment horizontal="right" vertical="center"/>
    </xf>
    <xf numFmtId="0" fontId="31" fillId="7" borderId="0" xfId="0" applyNumberFormat="1" applyFont="1" applyFill="1" applyBorder="1" applyAlignment="1" applyProtection="1"/>
    <xf numFmtId="0" fontId="31" fillId="7" borderId="31" xfId="0" applyFont="1" applyFill="1" applyBorder="1" applyAlignment="1" applyProtection="1">
      <alignment horizontal="left" vertical="center" wrapText="1" indent="2"/>
    </xf>
    <xf numFmtId="0" fontId="22" fillId="7" borderId="31" xfId="0" applyFont="1" applyFill="1" applyBorder="1" applyAlignment="1" applyProtection="1">
      <alignment horizontal="left" vertical="center" wrapText="1" indent="4"/>
    </xf>
    <xf numFmtId="49" fontId="31" fillId="7" borderId="31" xfId="0" applyNumberFormat="1" applyFont="1" applyFill="1" applyBorder="1" applyAlignment="1" applyProtection="1">
      <alignment horizontal="left" vertical="center" wrapText="1" indent="2"/>
    </xf>
    <xf numFmtId="0" fontId="31" fillId="7" borderId="32" xfId="0" applyFont="1" applyFill="1" applyBorder="1" applyAlignment="1" applyProtection="1">
      <alignment horizontal="left" vertical="center" wrapText="1" indent="2"/>
    </xf>
    <xf numFmtId="3" fontId="31" fillId="7" borderId="41" xfId="30" applyFont="1" applyFill="1" applyBorder="1" applyAlignment="1">
      <alignment horizontal="right" vertical="center"/>
    </xf>
    <xf numFmtId="2" fontId="31" fillId="7" borderId="27" xfId="31" applyNumberFormat="1" applyFont="1" applyFill="1" applyBorder="1" applyAlignment="1" applyProtection="1">
      <alignment horizontal="right" vertical="center"/>
    </xf>
    <xf numFmtId="3" fontId="31" fillId="7" borderId="38" xfId="30" applyFont="1" applyFill="1" applyBorder="1" applyAlignment="1">
      <alignment horizontal="right" vertical="center"/>
    </xf>
    <xf numFmtId="3" fontId="29" fillId="7" borderId="36" xfId="30" applyFont="1" applyFill="1" applyBorder="1" applyAlignment="1">
      <alignment horizontal="right" vertical="center"/>
    </xf>
    <xf numFmtId="0" fontId="31" fillId="7" borderId="31" xfId="0" applyFont="1" applyFill="1" applyBorder="1" applyAlignment="1" applyProtection="1">
      <alignment horizontal="left" vertical="center" wrapText="1" indent="3"/>
    </xf>
    <xf numFmtId="0" fontId="22" fillId="7" borderId="31" xfId="0" applyFont="1" applyFill="1" applyBorder="1" applyAlignment="1" applyProtection="1">
      <alignment horizontal="left" vertical="center" wrapText="1" indent="5"/>
    </xf>
    <xf numFmtId="49" fontId="31" fillId="7" borderId="31" xfId="0" applyNumberFormat="1" applyFont="1" applyFill="1" applyBorder="1" applyAlignment="1" applyProtection="1">
      <alignment horizontal="left" vertical="center" wrapText="1" indent="3"/>
    </xf>
    <xf numFmtId="0" fontId="31" fillId="7" borderId="32" xfId="0" applyFont="1" applyFill="1" applyBorder="1" applyAlignment="1" applyProtection="1">
      <alignment horizontal="left" vertical="center" wrapText="1" indent="1"/>
    </xf>
    <xf numFmtId="0" fontId="29" fillId="7" borderId="29" xfId="0" applyFont="1" applyFill="1" applyBorder="1" applyAlignment="1" applyProtection="1">
      <alignment horizontal="left" vertical="center" wrapText="1"/>
    </xf>
    <xf numFmtId="0" fontId="29" fillId="7" borderId="0" xfId="0" applyFont="1" applyFill="1" applyBorder="1" applyAlignment="1" applyProtection="1">
      <alignment horizontal="left" vertical="center" wrapText="1"/>
    </xf>
    <xf numFmtId="0" fontId="33" fillId="7" borderId="29" xfId="0" applyFont="1" applyFill="1" applyBorder="1" applyAlignment="1" applyProtection="1">
      <alignment horizontal="left"/>
    </xf>
    <xf numFmtId="0" fontId="31" fillId="7" borderId="30" xfId="0" applyFont="1" applyFill="1" applyBorder="1" applyAlignment="1" applyProtection="1">
      <alignment horizontal="left" vertical="center"/>
    </xf>
    <xf numFmtId="0" fontId="31" fillId="7" borderId="31" xfId="0" applyFont="1" applyFill="1" applyBorder="1" applyAlignment="1" applyProtection="1">
      <alignment horizontal="left" vertical="center" indent="1"/>
    </xf>
    <xf numFmtId="0" fontId="31" fillId="7" borderId="31" xfId="0" applyFont="1" applyFill="1" applyBorder="1" applyAlignment="1" applyProtection="1">
      <alignment horizontal="left" vertical="center" indent="2"/>
    </xf>
    <xf numFmtId="0" fontId="25" fillId="7" borderId="31" xfId="83" applyFont="1" applyFill="1" applyBorder="1" applyAlignment="1" applyProtection="1">
      <alignment horizontal="left" vertical="center" wrapText="1" indent="2"/>
    </xf>
    <xf numFmtId="0" fontId="31" fillId="7" borderId="31" xfId="0" applyFont="1" applyFill="1" applyBorder="1" applyAlignment="1" applyProtection="1">
      <alignment horizontal="left" vertical="center"/>
    </xf>
    <xf numFmtId="2" fontId="31" fillId="7" borderId="28" xfId="31" applyNumberFormat="1" applyFont="1" applyFill="1" applyBorder="1" applyAlignment="1" applyProtection="1">
      <alignment horizontal="right" vertical="center"/>
    </xf>
    <xf numFmtId="3" fontId="31" fillId="7" borderId="42" xfId="30" applyFont="1" applyFill="1" applyBorder="1" applyAlignment="1">
      <alignment horizontal="right" vertical="center"/>
    </xf>
    <xf numFmtId="0" fontId="31" fillId="7" borderId="5" xfId="0" applyFont="1" applyFill="1" applyBorder="1" applyAlignment="1" applyProtection="1">
      <alignment horizontal="left" wrapText="1"/>
    </xf>
    <xf numFmtId="0" fontId="31" fillId="7" borderId="5" xfId="0" applyFont="1" applyFill="1" applyBorder="1" applyAlignment="1" applyProtection="1">
      <alignment horizontal="center" wrapText="1"/>
    </xf>
    <xf numFmtId="2" fontId="31" fillId="7" borderId="0" xfId="11" applyNumberFormat="1" applyFont="1" applyFill="1" applyBorder="1" applyProtection="1">
      <alignment horizontal="right" vertical="center"/>
    </xf>
    <xf numFmtId="0" fontId="29" fillId="7" borderId="39" xfId="0" applyFont="1" applyFill="1" applyBorder="1" applyAlignment="1" applyProtection="1">
      <alignment horizontal="left" wrapText="1"/>
    </xf>
    <xf numFmtId="0" fontId="24" fillId="7" borderId="50" xfId="5" applyFont="1" applyFill="1" applyBorder="1" applyAlignment="1" applyProtection="1">
      <alignment horizontal="center" vertical="center" wrapText="1"/>
    </xf>
    <xf numFmtId="0" fontId="31" fillId="7" borderId="30" xfId="0" applyFont="1" applyFill="1" applyBorder="1" applyAlignment="1" applyProtection="1">
      <alignment horizontal="left" vertical="center" wrapText="1" indent="1"/>
    </xf>
    <xf numFmtId="0" fontId="29" fillId="7" borderId="40" xfId="0" applyFont="1" applyFill="1" applyBorder="1" applyAlignment="1" applyProtection="1">
      <alignment horizontal="left" vertical="center" wrapText="1"/>
    </xf>
    <xf numFmtId="3" fontId="22" fillId="7" borderId="27" xfId="30" applyFont="1" applyFill="1" applyBorder="1" applyAlignment="1" applyProtection="1">
      <alignment horizontal="right" vertical="center"/>
    </xf>
    <xf numFmtId="3" fontId="31" fillId="7" borderId="38" xfId="30" applyFont="1" applyFill="1" applyBorder="1" applyAlignment="1" applyProtection="1">
      <alignment horizontal="right" vertical="center"/>
    </xf>
    <xf numFmtId="2" fontId="31" fillId="7" borderId="23" xfId="31" applyNumberFormat="1" applyFont="1" applyFill="1" applyBorder="1" applyAlignment="1" applyProtection="1">
      <alignment horizontal="right" vertical="center"/>
    </xf>
    <xf numFmtId="3" fontId="31" fillId="7" borderId="25" xfId="30" applyFont="1" applyFill="1" applyBorder="1" applyAlignment="1">
      <alignment horizontal="right" vertical="center"/>
    </xf>
    <xf numFmtId="3" fontId="29" fillId="7" borderId="51" xfId="30" applyFont="1" applyFill="1" applyBorder="1" applyAlignment="1" applyProtection="1">
      <alignment horizontal="right" vertical="center"/>
    </xf>
    <xf numFmtId="0" fontId="31" fillId="7" borderId="0" xfId="0" applyFont="1" applyFill="1" applyBorder="1" applyAlignment="1" applyProtection="1">
      <alignment horizontal="left" wrapText="1" indent="1"/>
    </xf>
    <xf numFmtId="0" fontId="31" fillId="7" borderId="0" xfId="0" applyFont="1" applyFill="1" applyBorder="1" applyAlignment="1" applyProtection="1">
      <alignment horizontal="center" wrapText="1"/>
    </xf>
    <xf numFmtId="3" fontId="31" fillId="7" borderId="0" xfId="0" applyNumberFormat="1" applyFont="1" applyFill="1" applyBorder="1" applyProtection="1">
      <alignment vertical="center"/>
    </xf>
    <xf numFmtId="0" fontId="31" fillId="7" borderId="9" xfId="0" applyFont="1" applyFill="1" applyBorder="1" applyAlignment="1" applyProtection="1">
      <alignment horizontal="left" wrapText="1" indent="1"/>
    </xf>
    <xf numFmtId="0" fontId="31" fillId="7" borderId="9" xfId="0" applyFont="1" applyFill="1" applyBorder="1" applyAlignment="1" applyProtection="1">
      <alignment horizontal="center" wrapText="1"/>
    </xf>
    <xf numFmtId="3" fontId="31" fillId="7" borderId="9" xfId="0" applyNumberFormat="1" applyFont="1" applyFill="1" applyBorder="1" applyProtection="1">
      <alignment vertical="center"/>
    </xf>
    <xf numFmtId="0" fontId="29" fillId="7" borderId="29" xfId="0" applyFont="1" applyFill="1" applyBorder="1" applyAlignment="1" applyProtection="1">
      <alignment vertical="center"/>
    </xf>
    <xf numFmtId="2" fontId="31" fillId="7" borderId="0" xfId="0" applyNumberFormat="1" applyFont="1" applyFill="1" applyBorder="1" applyProtection="1">
      <alignment vertical="center"/>
    </xf>
    <xf numFmtId="3" fontId="24" fillId="7" borderId="36" xfId="30" applyFont="1" applyFill="1" applyBorder="1">
      <alignment horizontal="right" vertical="center"/>
    </xf>
    <xf numFmtId="0" fontId="29" fillId="7" borderId="9" xfId="0" applyFont="1" applyFill="1" applyBorder="1" applyAlignment="1" applyProtection="1">
      <alignment horizontal="left" vertical="center" wrapText="1"/>
    </xf>
    <xf numFmtId="0" fontId="31" fillId="7" borderId="33" xfId="0" applyFont="1" applyFill="1" applyBorder="1" applyAlignment="1" applyProtection="1">
      <alignment horizontal="left" vertical="center" wrapText="1"/>
    </xf>
    <xf numFmtId="0" fontId="31" fillId="7" borderId="35" xfId="0" applyFont="1" applyFill="1" applyBorder="1" applyAlignment="1" applyProtection="1">
      <alignment horizontal="left" vertical="center" wrapText="1"/>
    </xf>
    <xf numFmtId="0" fontId="29" fillId="7" borderId="9" xfId="0" applyFont="1" applyFill="1" applyBorder="1" applyAlignment="1" applyProtection="1">
      <alignment vertical="center"/>
    </xf>
    <xf numFmtId="0" fontId="22" fillId="7" borderId="23" xfId="5" applyFont="1" applyFill="1" applyBorder="1" applyAlignment="1" applyProtection="1">
      <alignment horizontal="center" vertical="center" wrapText="1"/>
    </xf>
    <xf numFmtId="0" fontId="24" fillId="7" borderId="9" xfId="5" applyFont="1" applyFill="1" applyBorder="1" applyAlignment="1" applyProtection="1">
      <alignment horizontal="center" vertical="center" wrapText="1"/>
    </xf>
    <xf numFmtId="3" fontId="31" fillId="7" borderId="33" xfId="30" applyFont="1" applyFill="1" applyBorder="1" applyAlignment="1" applyProtection="1">
      <alignment horizontal="right" vertical="center"/>
    </xf>
    <xf numFmtId="3" fontId="31" fillId="7" borderId="34" xfId="30" applyFont="1" applyFill="1" applyBorder="1" applyAlignment="1" applyProtection="1">
      <alignment horizontal="right" vertical="center"/>
    </xf>
    <xf numFmtId="3" fontId="31" fillId="7" borderId="35" xfId="30" applyFont="1" applyFill="1" applyBorder="1" applyAlignment="1" applyProtection="1">
      <alignment horizontal="right" vertical="center"/>
    </xf>
    <xf numFmtId="3" fontId="29" fillId="7" borderId="9" xfId="30" applyFont="1" applyFill="1" applyBorder="1" applyAlignment="1" applyProtection="1">
      <alignment horizontal="right" vertical="center"/>
    </xf>
    <xf numFmtId="0" fontId="31" fillId="7" borderId="43" xfId="0" applyFont="1" applyFill="1" applyBorder="1" applyAlignment="1" applyProtection="1">
      <alignment vertical="center" wrapText="1"/>
    </xf>
    <xf numFmtId="0" fontId="25" fillId="7" borderId="31" xfId="0" applyFont="1" applyFill="1" applyBorder="1" applyAlignment="1" applyProtection="1">
      <alignment horizontal="left" vertical="center" wrapText="1" indent="3"/>
    </xf>
    <xf numFmtId="0" fontId="31" fillId="7" borderId="46" xfId="0" applyFont="1" applyFill="1" applyBorder="1" applyAlignment="1" applyProtection="1">
      <alignment horizontal="left" vertical="center" wrapText="1" indent="2"/>
    </xf>
    <xf numFmtId="0" fontId="34" fillId="7" borderId="0" xfId="0" applyFont="1" applyFill="1" applyBorder="1" applyAlignment="1" applyProtection="1">
      <alignment horizontal="left"/>
    </xf>
    <xf numFmtId="0" fontId="34" fillId="7" borderId="0" xfId="0" applyFont="1" applyFill="1" applyBorder="1" applyAlignment="1" applyProtection="1">
      <alignment horizontal="center"/>
    </xf>
    <xf numFmtId="3" fontId="34" fillId="7" borderId="0" xfId="0" applyNumberFormat="1" applyFont="1" applyFill="1" applyBorder="1" applyAlignment="1" applyProtection="1">
      <alignment horizontal="right"/>
    </xf>
    <xf numFmtId="2" fontId="34" fillId="7" borderId="0" xfId="0" applyNumberFormat="1" applyFont="1" applyFill="1" applyBorder="1" applyAlignment="1" applyProtection="1">
      <alignment horizontal="left"/>
    </xf>
    <xf numFmtId="3" fontId="29" fillId="7" borderId="36" xfId="30" applyFont="1" applyFill="1" applyBorder="1" applyAlignment="1" applyProtection="1">
      <alignment horizontal="right" vertical="center"/>
    </xf>
    <xf numFmtId="0" fontId="29" fillId="7" borderId="5" xfId="0" applyFont="1" applyFill="1" applyBorder="1" applyAlignment="1" applyProtection="1">
      <alignment wrapText="1"/>
    </xf>
    <xf numFmtId="3" fontId="31" fillId="7" borderId="5" xfId="11" applyNumberFormat="1" applyFont="1" applyFill="1" applyBorder="1" applyAlignment="1" applyProtection="1">
      <alignment horizontal="right"/>
    </xf>
    <xf numFmtId="2" fontId="29" fillId="7" borderId="5" xfId="3" applyNumberFormat="1" applyFont="1" applyFill="1" applyBorder="1" applyAlignment="1" applyProtection="1">
      <alignment horizontal="center" wrapText="1"/>
    </xf>
    <xf numFmtId="0" fontId="31" fillId="7" borderId="9" xfId="0" applyFont="1" applyFill="1" applyBorder="1" applyProtection="1">
      <alignment vertical="center"/>
    </xf>
    <xf numFmtId="0" fontId="29" fillId="7" borderId="0" xfId="0" applyFont="1" applyFill="1" applyBorder="1" applyAlignment="1" applyProtection="1">
      <alignment wrapText="1"/>
    </xf>
    <xf numFmtId="2" fontId="29" fillId="7" borderId="0" xfId="3" applyNumberFormat="1" applyFont="1" applyFill="1" applyBorder="1" applyAlignment="1" applyProtection="1">
      <alignment horizontal="center" wrapText="1"/>
    </xf>
    <xf numFmtId="0" fontId="31" fillId="7" borderId="8" xfId="0" applyFont="1" applyFill="1" applyBorder="1" applyProtection="1">
      <alignment vertical="center"/>
    </xf>
    <xf numFmtId="0" fontId="23" fillId="7" borderId="29" xfId="0" applyFont="1" applyFill="1" applyBorder="1" applyAlignment="1" applyProtection="1">
      <alignment horizontal="left" wrapText="1"/>
    </xf>
    <xf numFmtId="0" fontId="25" fillId="7" borderId="31" xfId="83" applyFont="1" applyFill="1" applyBorder="1" applyAlignment="1" applyProtection="1">
      <alignment horizontal="left" vertical="center" wrapText="1" indent="3"/>
    </xf>
    <xf numFmtId="0" fontId="31" fillId="7" borderId="5" xfId="0" applyFont="1" applyFill="1" applyBorder="1" applyAlignment="1" applyProtection="1">
      <alignment horizontal="left" vertical="center" wrapText="1" indent="2"/>
    </xf>
    <xf numFmtId="0" fontId="31" fillId="7" borderId="5" xfId="0" applyFont="1" applyFill="1" applyBorder="1" applyAlignment="1" applyProtection="1">
      <alignment horizontal="center" vertical="center" wrapText="1"/>
    </xf>
    <xf numFmtId="0" fontId="31" fillId="7" borderId="9" xfId="0" applyFont="1" applyFill="1" applyBorder="1" applyAlignment="1" applyProtection="1">
      <alignment horizontal="left" vertical="center" wrapText="1" indent="2"/>
    </xf>
    <xf numFmtId="0" fontId="31" fillId="7" borderId="20" xfId="0" applyFont="1" applyFill="1" applyBorder="1" applyAlignment="1" applyProtection="1">
      <alignment horizontal="center" vertical="center" wrapText="1"/>
    </xf>
    <xf numFmtId="0" fontId="31" fillId="7" borderId="36" xfId="0" applyFont="1" applyFill="1" applyBorder="1" applyAlignment="1" applyProtection="1">
      <alignment horizontal="center" vertical="center" wrapText="1"/>
    </xf>
    <xf numFmtId="2" fontId="31" fillId="7" borderId="0" xfId="31" applyNumberFormat="1" applyFont="1" applyFill="1" applyBorder="1" applyProtection="1">
      <alignment horizontal="right" vertical="center"/>
    </xf>
    <xf numFmtId="3" fontId="31" fillId="7" borderId="0" xfId="30" applyFont="1" applyFill="1" applyBorder="1" applyProtection="1">
      <alignment horizontal="right" vertical="center"/>
    </xf>
    <xf numFmtId="0" fontId="31" fillId="7" borderId="33" xfId="0" applyFont="1" applyFill="1" applyBorder="1" applyAlignment="1" applyProtection="1">
      <alignment vertical="center" wrapText="1"/>
    </xf>
    <xf numFmtId="0" fontId="31" fillId="7" borderId="33" xfId="0" applyFont="1" applyFill="1" applyBorder="1" applyAlignment="1" applyProtection="1">
      <alignment horizontal="center" vertical="center"/>
    </xf>
    <xf numFmtId="3" fontId="29" fillId="7" borderId="33" xfId="3" applyNumberFormat="1" applyFont="1" applyFill="1" applyBorder="1" applyAlignment="1" applyProtection="1">
      <alignment horizontal="right" wrapText="1"/>
    </xf>
    <xf numFmtId="0" fontId="22" fillId="7" borderId="33" xfId="0" applyFont="1" applyFill="1" applyBorder="1" applyProtection="1">
      <alignment vertical="center"/>
    </xf>
    <xf numFmtId="0" fontId="31" fillId="7" borderId="30" xfId="0" applyFont="1" applyFill="1" applyBorder="1" applyProtection="1">
      <alignment vertical="center"/>
    </xf>
    <xf numFmtId="0" fontId="31" fillId="7" borderId="44" xfId="0" applyFont="1" applyFill="1" applyBorder="1" applyAlignment="1" applyProtection="1">
      <alignment vertical="center" wrapText="1"/>
    </xf>
    <xf numFmtId="0" fontId="31" fillId="7" borderId="44" xfId="0" applyFont="1" applyFill="1" applyBorder="1" applyAlignment="1" applyProtection="1">
      <alignment horizontal="center" vertical="center"/>
    </xf>
    <xf numFmtId="3" fontId="29" fillId="7" borderId="44" xfId="3" applyNumberFormat="1" applyFont="1" applyFill="1" applyBorder="1" applyAlignment="1" applyProtection="1">
      <alignment horizontal="right" wrapText="1"/>
    </xf>
    <xf numFmtId="0" fontId="22" fillId="7" borderId="44" xfId="0" applyFont="1" applyFill="1" applyBorder="1" applyProtection="1">
      <alignment vertical="center"/>
    </xf>
    <xf numFmtId="0" fontId="31" fillId="7" borderId="46" xfId="0" applyFont="1" applyFill="1" applyBorder="1" applyProtection="1">
      <alignment vertical="center"/>
    </xf>
    <xf numFmtId="10" fontId="22" fillId="42" borderId="25" xfId="14" applyFont="1">
      <alignment horizontal="right" vertical="center"/>
      <protection locked="0"/>
    </xf>
    <xf numFmtId="10" fontId="22" fillId="42" borderId="37" xfId="14" applyFont="1" applyBorder="1">
      <alignment horizontal="right" vertical="center"/>
      <protection locked="0"/>
    </xf>
    <xf numFmtId="3" fontId="22" fillId="42" borderId="22" xfId="11" applyFont="1" applyBorder="1">
      <alignment horizontal="right" vertical="center"/>
      <protection locked="0"/>
    </xf>
    <xf numFmtId="10" fontId="22" fillId="42" borderId="26" xfId="14" applyFont="1" applyBorder="1">
      <alignment horizontal="right" vertical="center"/>
      <protection locked="0"/>
    </xf>
    <xf numFmtId="3" fontId="22" fillId="7" borderId="30" xfId="30" quotePrefix="1" applyFont="1" applyBorder="1">
      <alignment horizontal="right" vertical="center"/>
    </xf>
    <xf numFmtId="0" fontId="22" fillId="14" borderId="40" xfId="3" applyFont="1" applyBorder="1" applyAlignment="1" applyProtection="1">
      <alignment vertical="center" wrapText="1"/>
    </xf>
    <xf numFmtId="0" fontId="0" fillId="7" borderId="27" xfId="0" applyBorder="1" applyAlignment="1">
      <alignment vertical="center" wrapText="1"/>
    </xf>
    <xf numFmtId="0" fontId="0" fillId="7" borderId="25" xfId="0" applyBorder="1" applyAlignment="1">
      <alignment vertical="center" wrapText="1"/>
    </xf>
    <xf numFmtId="0" fontId="0" fillId="7" borderId="25" xfId="0" applyBorder="1" applyAlignment="1">
      <alignment horizontal="left" vertical="center" wrapText="1" indent="2"/>
    </xf>
    <xf numFmtId="0" fontId="0" fillId="7" borderId="25" xfId="0" applyBorder="1" applyAlignment="1">
      <alignment horizontal="left" vertical="center" wrapText="1" indent="1"/>
    </xf>
    <xf numFmtId="3" fontId="22" fillId="7" borderId="38" xfId="30" applyFont="1" applyBorder="1" applyProtection="1">
      <alignment horizontal="right" vertical="center"/>
    </xf>
    <xf numFmtId="3" fontId="22" fillId="15" borderId="33" xfId="20" applyFont="1" applyBorder="1">
      <alignment horizontal="right" vertical="center"/>
      <protection locked="0"/>
    </xf>
    <xf numFmtId="3" fontId="22" fillId="15" borderId="41" xfId="20" applyFont="1" applyBorder="1">
      <alignment horizontal="right" vertical="center"/>
      <protection locked="0"/>
    </xf>
    <xf numFmtId="3" fontId="22" fillId="15" borderId="34" xfId="20" applyFont="1" applyBorder="1">
      <alignment horizontal="right" vertical="center"/>
      <protection locked="0"/>
    </xf>
    <xf numFmtId="3" fontId="22" fillId="15" borderId="37" xfId="20" applyFont="1" applyBorder="1">
      <alignment horizontal="right" vertical="center"/>
      <protection locked="0"/>
    </xf>
    <xf numFmtId="2" fontId="22" fillId="7" borderId="31" xfId="32" applyNumberFormat="1" applyFont="1" applyBorder="1" applyAlignment="1">
      <alignment horizontal="center" vertical="center" wrapText="1"/>
    </xf>
    <xf numFmtId="3" fontId="31" fillId="15" borderId="37" xfId="20" applyFont="1" applyBorder="1">
      <alignment horizontal="right" vertical="center"/>
      <protection locked="0"/>
    </xf>
    <xf numFmtId="3" fontId="31" fillId="15" borderId="47" xfId="20" applyFont="1" applyBorder="1">
      <alignment horizontal="right" vertical="center"/>
      <protection locked="0"/>
    </xf>
    <xf numFmtId="3" fontId="31" fillId="15" borderId="42" xfId="20" applyFont="1" applyBorder="1">
      <alignment horizontal="right" vertical="center"/>
      <protection locked="0"/>
    </xf>
    <xf numFmtId="2" fontId="22" fillId="7" borderId="32" xfId="32" applyNumberFormat="1" applyFont="1" applyBorder="1">
      <alignment horizontal="right" vertical="center"/>
    </xf>
    <xf numFmtId="0" fontId="22" fillId="14" borderId="52" xfId="3" applyFont="1" applyBorder="1" applyProtection="1">
      <alignment horizontal="center" vertical="center"/>
    </xf>
    <xf numFmtId="3" fontId="22" fillId="7" borderId="46" xfId="30" applyFont="1" applyBorder="1">
      <alignment horizontal="right" vertical="center"/>
    </xf>
    <xf numFmtId="3" fontId="22" fillId="7" borderId="44" xfId="30" applyFont="1" applyBorder="1">
      <alignment horizontal="right" vertical="center"/>
    </xf>
    <xf numFmtId="2" fontId="22" fillId="16" borderId="20" xfId="49" applyNumberFormat="1" applyFont="1" applyBorder="1">
      <alignment vertical="center"/>
    </xf>
    <xf numFmtId="0" fontId="24" fillId="7" borderId="29" xfId="5" applyFont="1" applyBorder="1">
      <alignment horizontal="center" wrapText="1"/>
    </xf>
    <xf numFmtId="0" fontId="24" fillId="7" borderId="20" xfId="5" applyFont="1" applyBorder="1">
      <alignment horizontal="center" wrapText="1"/>
    </xf>
    <xf numFmtId="0" fontId="24" fillId="7" borderId="10" xfId="0" applyFont="1" applyFill="1" applyBorder="1" applyAlignment="1" applyProtection="1">
      <alignment horizontal="left" vertical="center"/>
    </xf>
    <xf numFmtId="0" fontId="22" fillId="7" borderId="8" xfId="3" applyFont="1" applyFill="1" applyBorder="1">
      <alignment horizontal="center" vertical="center"/>
    </xf>
    <xf numFmtId="3" fontId="22" fillId="7" borderId="8" xfId="3" applyNumberFormat="1" applyFont="1" applyFill="1" applyBorder="1">
      <alignment horizontal="center" vertical="center"/>
    </xf>
    <xf numFmtId="3" fontId="22" fillId="7" borderId="8" xfId="11" applyFont="1" applyFill="1" applyBorder="1" applyAlignment="1" applyProtection="1">
      <alignment horizontal="right" vertical="center"/>
      <protection locked="0"/>
    </xf>
    <xf numFmtId="9" fontId="22" fillId="7" borderId="8" xfId="15" applyFont="1" applyFill="1" applyBorder="1">
      <alignment horizontal="right" vertical="center"/>
      <protection locked="0"/>
    </xf>
    <xf numFmtId="10" fontId="22" fillId="7" borderId="8" xfId="14" applyFont="1" applyFill="1" applyBorder="1">
      <alignment horizontal="right" vertical="center"/>
      <protection locked="0"/>
    </xf>
    <xf numFmtId="171" fontId="22" fillId="7" borderId="8" xfId="17" applyFont="1" applyFill="1" applyBorder="1">
      <alignment horizontal="right" vertical="center"/>
      <protection locked="0"/>
    </xf>
    <xf numFmtId="3" fontId="22" fillId="42" borderId="75" xfId="11" applyFont="1" applyBorder="1">
      <alignment horizontal="right" vertical="center"/>
      <protection locked="0"/>
    </xf>
    <xf numFmtId="0" fontId="22" fillId="14" borderId="76" xfId="3" applyFont="1" applyBorder="1">
      <alignment horizontal="center" vertical="center"/>
    </xf>
    <xf numFmtId="0" fontId="22" fillId="2" borderId="31" xfId="0" applyFont="1" applyFill="1" applyBorder="1" applyAlignment="1" applyProtection="1">
      <alignment horizontal="left" vertical="center" wrapText="1" indent="2"/>
    </xf>
    <xf numFmtId="3" fontId="22" fillId="7" borderId="27" xfId="30" applyFont="1" applyBorder="1">
      <alignment horizontal="right" vertical="center"/>
    </xf>
    <xf numFmtId="0" fontId="22" fillId="2" borderId="32" xfId="0" applyFont="1" applyFill="1" applyBorder="1" applyAlignment="1" applyProtection="1">
      <alignment horizontal="left" vertical="center" wrapText="1" indent="2"/>
    </xf>
    <xf numFmtId="0" fontId="22" fillId="2" borderId="34" xfId="0" applyFont="1" applyFill="1" applyBorder="1" applyAlignment="1" applyProtection="1">
      <alignment horizontal="left" vertical="center" wrapText="1" indent="2"/>
    </xf>
    <xf numFmtId="0" fontId="22" fillId="2" borderId="34" xfId="0" applyFont="1" applyFill="1" applyBorder="1" applyAlignment="1" applyProtection="1">
      <alignment horizontal="left" vertical="center" wrapText="1" indent="1"/>
    </xf>
    <xf numFmtId="0" fontId="22" fillId="2" borderId="31" xfId="0" applyFont="1" applyFill="1" applyBorder="1" applyAlignment="1" applyProtection="1">
      <alignment horizontal="left" vertical="center" wrapText="1" indent="1"/>
    </xf>
    <xf numFmtId="0" fontId="22" fillId="46" borderId="0" xfId="0" applyFont="1" applyFill="1" applyProtection="1">
      <alignment vertical="center"/>
    </xf>
    <xf numFmtId="3" fontId="22" fillId="7" borderId="32" xfId="30" applyFont="1" applyBorder="1">
      <alignment horizontal="right" vertical="center"/>
    </xf>
    <xf numFmtId="0" fontId="22" fillId="2" borderId="34" xfId="0" applyFont="1" applyFill="1" applyBorder="1" applyAlignment="1" applyProtection="1">
      <alignment horizontal="left" vertical="center" wrapText="1" indent="3"/>
    </xf>
    <xf numFmtId="0" fontId="0" fillId="7" borderId="0" xfId="0">
      <alignment vertical="center"/>
    </xf>
    <xf numFmtId="0" fontId="24" fillId="7" borderId="36" xfId="0" applyFont="1" applyFill="1" applyBorder="1" applyAlignment="1" applyProtection="1">
      <alignment horizontal="center" vertical="center"/>
    </xf>
    <xf numFmtId="0" fontId="22" fillId="7" borderId="49" xfId="3" applyFont="1" applyFill="1" applyBorder="1">
      <alignment horizontal="center" vertical="center"/>
    </xf>
    <xf numFmtId="0" fontId="24" fillId="2" borderId="0" xfId="0" applyFont="1" applyFill="1" applyBorder="1" applyAlignment="1" applyProtection="1">
      <alignment horizontal="left" vertical="center"/>
    </xf>
    <xf numFmtId="0" fontId="22" fillId="0" borderId="34" xfId="0" applyFont="1" applyFill="1" applyBorder="1" applyAlignment="1" applyProtection="1">
      <alignment horizontal="left" vertical="center" wrapText="1" indent="1"/>
    </xf>
    <xf numFmtId="0" fontId="22" fillId="0" borderId="34" xfId="0" applyFont="1" applyFill="1" applyBorder="1" applyAlignment="1" applyProtection="1">
      <alignment horizontal="left" vertical="center" indent="1"/>
    </xf>
    <xf numFmtId="0" fontId="24" fillId="0" borderId="34" xfId="0" applyFont="1" applyFill="1" applyBorder="1" applyProtection="1">
      <alignment vertical="center"/>
    </xf>
    <xf numFmtId="3" fontId="22" fillId="7" borderId="8" xfId="2" applyNumberFormat="1" applyFont="1" applyBorder="1" applyAlignment="1">
      <alignment horizontal="left" vertical="center" wrapText="1"/>
    </xf>
    <xf numFmtId="3" fontId="22" fillId="7" borderId="8" xfId="1" applyFont="1" applyBorder="1" applyAlignment="1" applyProtection="1">
      <alignment horizontal="center" vertical="center"/>
    </xf>
    <xf numFmtId="3" fontId="22" fillId="7" borderId="47" xfId="2" applyNumberFormat="1" applyFont="1" applyBorder="1" applyAlignment="1">
      <alignment horizontal="left" vertical="center" wrapText="1"/>
    </xf>
    <xf numFmtId="0" fontId="0" fillId="7" borderId="9" xfId="0" applyBorder="1" applyAlignment="1">
      <alignment horizontal="center" vertical="center"/>
    </xf>
    <xf numFmtId="0" fontId="24" fillId="14" borderId="36" xfId="3" applyFont="1" applyBorder="1">
      <alignment horizontal="center" vertical="center"/>
    </xf>
    <xf numFmtId="0" fontId="0" fillId="7" borderId="23" xfId="0" applyBorder="1">
      <alignment vertical="center"/>
    </xf>
    <xf numFmtId="0" fontId="0" fillId="7" borderId="25" xfId="0" applyBorder="1">
      <alignment vertical="center"/>
    </xf>
    <xf numFmtId="0" fontId="0" fillId="7" borderId="27" xfId="0" applyBorder="1">
      <alignment vertical="center"/>
    </xf>
    <xf numFmtId="0" fontId="0" fillId="7" borderId="0" xfId="0" applyFill="1" applyBorder="1">
      <alignment vertical="center"/>
    </xf>
    <xf numFmtId="0" fontId="0" fillId="7" borderId="0" xfId="0" applyBorder="1">
      <alignment vertical="center"/>
    </xf>
    <xf numFmtId="0" fontId="0" fillId="7" borderId="5" xfId="0" applyFill="1" applyBorder="1">
      <alignment vertical="center"/>
    </xf>
    <xf numFmtId="0" fontId="0" fillId="7" borderId="11" xfId="0" applyFill="1" applyBorder="1">
      <alignment vertical="center"/>
    </xf>
    <xf numFmtId="0" fontId="0" fillId="7" borderId="6" xfId="0" applyFill="1" applyBorder="1">
      <alignment vertical="center"/>
    </xf>
    <xf numFmtId="0" fontId="0" fillId="7" borderId="6" xfId="0" applyBorder="1">
      <alignment vertical="center"/>
    </xf>
    <xf numFmtId="0" fontId="0" fillId="7" borderId="8" xfId="0" applyFill="1" applyBorder="1">
      <alignment vertical="center"/>
    </xf>
    <xf numFmtId="0" fontId="0" fillId="7" borderId="7" xfId="0" applyFill="1" applyBorder="1">
      <alignment vertical="center"/>
    </xf>
    <xf numFmtId="0" fontId="24" fillId="7" borderId="39" xfId="0" applyFont="1" applyFill="1" applyBorder="1" applyProtection="1">
      <alignment vertical="center"/>
    </xf>
    <xf numFmtId="0" fontId="22" fillId="7" borderId="58" xfId="0" applyFont="1" applyFill="1" applyBorder="1" applyProtection="1">
      <alignment vertical="center"/>
    </xf>
    <xf numFmtId="0" fontId="24" fillId="2" borderId="0" xfId="0" applyFont="1" applyFill="1" applyBorder="1" applyAlignment="1" applyProtection="1">
      <alignment horizontal="center" vertical="center" wrapText="1"/>
    </xf>
    <xf numFmtId="0" fontId="24" fillId="2" borderId="0" xfId="0" applyFont="1" applyFill="1" applyBorder="1" applyAlignment="1">
      <alignment horizontal="center" vertical="center" wrapText="1"/>
    </xf>
    <xf numFmtId="0" fontId="24" fillId="2" borderId="8" xfId="0" applyFont="1" applyFill="1" applyBorder="1" applyAlignment="1" applyProtection="1">
      <alignment horizontal="center" vertical="center" wrapText="1"/>
    </xf>
    <xf numFmtId="0" fontId="24" fillId="2" borderId="8" xfId="0" applyFont="1" applyFill="1" applyBorder="1" applyAlignment="1">
      <alignment horizontal="center" vertical="center" wrapText="1"/>
    </xf>
    <xf numFmtId="0" fontId="22" fillId="2" borderId="23" xfId="0" applyFont="1" applyFill="1" applyBorder="1" applyAlignment="1" applyProtection="1">
      <alignment horizontal="center" vertical="center" wrapText="1"/>
    </xf>
    <xf numFmtId="0" fontId="22" fillId="2" borderId="0" xfId="0" applyFont="1" applyFill="1" applyBorder="1" applyAlignment="1" applyProtection="1">
      <alignment horizontal="right" vertical="center" wrapText="1"/>
    </xf>
    <xf numFmtId="0" fontId="20" fillId="2" borderId="3" xfId="4" applyFont="1" applyFill="1" applyBorder="1" applyAlignment="1"/>
    <xf numFmtId="0" fontId="20" fillId="2" borderId="9" xfId="4" applyFont="1" applyFill="1" applyBorder="1" applyAlignment="1"/>
    <xf numFmtId="0" fontId="21" fillId="2" borderId="9" xfId="4" applyFont="1" applyFill="1" applyBorder="1" applyAlignment="1"/>
    <xf numFmtId="3" fontId="22" fillId="42" borderId="25" xfId="11" applyFont="1" applyBorder="1" applyAlignment="1" applyProtection="1">
      <alignment horizontal="right" vertical="center"/>
      <protection locked="0"/>
    </xf>
    <xf numFmtId="3" fontId="22" fillId="42" borderId="41" xfId="11" applyFont="1" applyBorder="1" applyAlignment="1" applyProtection="1">
      <alignment horizontal="right" vertical="center"/>
      <protection locked="0"/>
    </xf>
    <xf numFmtId="3" fontId="22" fillId="42" borderId="38" xfId="11" applyFont="1" applyBorder="1" applyAlignment="1" applyProtection="1">
      <alignment horizontal="right" vertical="center"/>
      <protection locked="0"/>
    </xf>
    <xf numFmtId="0" fontId="22" fillId="14" borderId="27" xfId="3" applyFont="1" applyBorder="1" applyProtection="1">
      <alignment horizontal="center" vertical="center"/>
    </xf>
    <xf numFmtId="3" fontId="22" fillId="42" borderId="45" xfId="11" applyFont="1" applyBorder="1" applyAlignment="1" applyProtection="1">
      <alignment horizontal="right" vertical="center"/>
      <protection locked="0"/>
    </xf>
    <xf numFmtId="3" fontId="22" fillId="42" borderId="47" xfId="11" applyFont="1" applyBorder="1" applyAlignment="1" applyProtection="1">
      <alignment horizontal="right" vertical="center"/>
      <protection locked="0"/>
    </xf>
    <xf numFmtId="3" fontId="22" fillId="42" borderId="23" xfId="11" applyFont="1" applyBorder="1" applyAlignment="1" applyProtection="1">
      <alignment horizontal="right" vertical="center"/>
      <protection locked="0"/>
    </xf>
    <xf numFmtId="3" fontId="22" fillId="42" borderId="27" xfId="11" applyFont="1" applyBorder="1" applyAlignment="1" applyProtection="1">
      <alignment horizontal="right" vertical="center"/>
      <protection locked="0"/>
    </xf>
    <xf numFmtId="3" fontId="22" fillId="42" borderId="22" xfId="11" applyFont="1" applyBorder="1" applyAlignment="1" applyProtection="1">
      <alignment horizontal="right" vertical="center"/>
      <protection locked="0"/>
    </xf>
    <xf numFmtId="3" fontId="22" fillId="42" borderId="37" xfId="11" applyFont="1" applyBorder="1" applyAlignment="1" applyProtection="1">
      <alignment horizontal="right" vertical="center"/>
      <protection locked="0"/>
    </xf>
    <xf numFmtId="3" fontId="22" fillId="42" borderId="60" xfId="11" applyFont="1" applyBorder="1" applyAlignment="1" applyProtection="1">
      <alignment horizontal="right" vertical="center"/>
      <protection locked="0"/>
    </xf>
    <xf numFmtId="3" fontId="22" fillId="42" borderId="24" xfId="11" applyFont="1" applyBorder="1" applyAlignment="1" applyProtection="1">
      <alignment horizontal="right" vertical="center"/>
      <protection locked="0"/>
    </xf>
    <xf numFmtId="3" fontId="22" fillId="42" borderId="61" xfId="11" applyFont="1" applyBorder="1" applyAlignment="1" applyProtection="1">
      <alignment horizontal="right" vertical="center"/>
      <protection locked="0"/>
    </xf>
    <xf numFmtId="3" fontId="22" fillId="42" borderId="26" xfId="11" applyFont="1" applyBorder="1" applyAlignment="1" applyProtection="1">
      <alignment horizontal="right" vertical="center"/>
      <protection locked="0"/>
    </xf>
    <xf numFmtId="3" fontId="22" fillId="42" borderId="62" xfId="11" applyFont="1" applyBorder="1" applyAlignment="1" applyProtection="1">
      <alignment horizontal="right" vertical="center"/>
      <protection locked="0"/>
    </xf>
    <xf numFmtId="3" fontId="22" fillId="44" borderId="36" xfId="6" applyFont="1" applyBorder="1">
      <alignment horizontal="right" vertical="center"/>
    </xf>
    <xf numFmtId="3" fontId="22" fillId="42" borderId="48" xfId="11" applyFont="1" applyBorder="1" applyAlignment="1" applyProtection="1">
      <alignment horizontal="right" vertical="center"/>
      <protection locked="0"/>
    </xf>
    <xf numFmtId="3" fontId="22" fillId="42" borderId="50" xfId="11" applyFont="1" applyBorder="1" applyAlignment="1" applyProtection="1">
      <alignment horizontal="right" vertical="center"/>
      <protection locked="0"/>
    </xf>
    <xf numFmtId="3" fontId="22" fillId="42" borderId="30" xfId="11" applyFont="1" applyBorder="1" applyAlignment="1" applyProtection="1">
      <alignment horizontal="right" vertical="center"/>
      <protection locked="0"/>
    </xf>
    <xf numFmtId="3" fontId="22" fillId="42" borderId="31" xfId="11" applyFont="1" applyBorder="1" applyAlignment="1" applyProtection="1">
      <alignment horizontal="right" vertical="center"/>
      <protection locked="0"/>
    </xf>
    <xf numFmtId="3" fontId="22" fillId="42" borderId="32" xfId="11" applyFont="1" applyBorder="1" applyAlignment="1" applyProtection="1">
      <alignment horizontal="right" vertical="center"/>
      <protection locked="0"/>
    </xf>
    <xf numFmtId="0" fontId="0" fillId="7" borderId="44" xfId="0" applyFont="1" applyFill="1" applyBorder="1" applyAlignment="1" applyProtection="1">
      <alignment horizontal="left" vertical="center"/>
    </xf>
    <xf numFmtId="0" fontId="0" fillId="7" borderId="46" xfId="0" applyFont="1" applyFill="1" applyBorder="1" applyAlignment="1" applyProtection="1">
      <alignment horizontal="left" vertical="center"/>
    </xf>
    <xf numFmtId="0" fontId="23" fillId="7" borderId="5" xfId="0" applyFont="1" applyFill="1" applyBorder="1" applyAlignment="1">
      <alignment vertical="center"/>
    </xf>
    <xf numFmtId="3" fontId="22" fillId="7" borderId="36" xfId="30" applyFont="1" applyBorder="1">
      <alignment horizontal="right" vertical="center"/>
    </xf>
    <xf numFmtId="0" fontId="49" fillId="7" borderId="5" xfId="0" applyFont="1" applyFill="1" applyBorder="1" applyAlignment="1" applyProtection="1">
      <alignment horizontal="left"/>
    </xf>
    <xf numFmtId="0" fontId="49" fillId="7" borderId="5" xfId="0" applyFont="1" applyFill="1" applyBorder="1" applyProtection="1">
      <alignment vertical="center"/>
    </xf>
    <xf numFmtId="0" fontId="49" fillId="7" borderId="5" xfId="0" applyFont="1" applyFill="1" applyBorder="1">
      <alignment vertical="center"/>
    </xf>
    <xf numFmtId="0" fontId="49" fillId="7" borderId="11" xfId="0" applyFont="1" applyFill="1" applyBorder="1">
      <alignment vertical="center"/>
    </xf>
    <xf numFmtId="1" fontId="0" fillId="5" borderId="20" xfId="37" applyFont="1" applyBorder="1" applyAlignment="1">
      <alignment horizontal="center" vertical="center"/>
    </xf>
    <xf numFmtId="0" fontId="22" fillId="2" borderId="39" xfId="0" applyFont="1" applyFill="1" applyBorder="1" applyAlignment="1">
      <alignment vertical="center"/>
    </xf>
    <xf numFmtId="0" fontId="0" fillId="7" borderId="46" xfId="0" applyFont="1" applyFill="1" applyBorder="1" applyAlignment="1">
      <alignment horizontal="left" vertical="center"/>
    </xf>
    <xf numFmtId="0" fontId="0" fillId="7" borderId="25" xfId="0" applyFont="1" applyFill="1" applyBorder="1" applyAlignment="1" applyProtection="1">
      <alignment vertical="center" wrapText="1"/>
    </xf>
    <xf numFmtId="0" fontId="0" fillId="2" borderId="34" xfId="0" applyFont="1" applyFill="1" applyBorder="1" applyAlignment="1" applyProtection="1">
      <alignment horizontal="left" vertical="center" indent="1"/>
    </xf>
    <xf numFmtId="0" fontId="0" fillId="0" borderId="34" xfId="0" applyFont="1" applyFill="1" applyBorder="1" applyAlignment="1" applyProtection="1">
      <alignment horizontal="left" vertical="center" indent="1"/>
    </xf>
    <xf numFmtId="0" fontId="0" fillId="0" borderId="34" xfId="0" applyFont="1" applyFill="1" applyBorder="1" applyAlignment="1" applyProtection="1">
      <alignment horizontal="left" vertical="center" wrapText="1" indent="1"/>
    </xf>
    <xf numFmtId="0" fontId="0" fillId="2" borderId="31" xfId="0" applyFont="1" applyFill="1" applyBorder="1" applyAlignment="1" applyProtection="1">
      <alignment horizontal="left" vertical="center" wrapText="1" indent="1"/>
    </xf>
    <xf numFmtId="0" fontId="0" fillId="2" borderId="33" xfId="0" applyFont="1" applyFill="1" applyBorder="1" applyAlignment="1" applyProtection="1">
      <alignment vertical="center" wrapText="1"/>
    </xf>
    <xf numFmtId="0" fontId="0" fillId="2" borderId="0" xfId="0" applyFont="1" applyFill="1" applyBorder="1" applyAlignment="1" applyProtection="1">
      <alignment horizontal="right" vertical="center" wrapText="1"/>
    </xf>
    <xf numFmtId="0" fontId="0" fillId="2" borderId="25" xfId="0" applyFont="1" applyFill="1" applyBorder="1" applyAlignment="1" applyProtection="1">
      <alignment horizontal="center" vertical="center" wrapText="1"/>
    </xf>
    <xf numFmtId="0" fontId="0" fillId="7" borderId="41" xfId="0" applyFont="1" applyBorder="1" applyAlignment="1">
      <alignment horizontal="left" vertical="top" wrapText="1" indent="3"/>
    </xf>
    <xf numFmtId="0" fontId="0" fillId="7" borderId="36" xfId="0" applyFont="1" applyBorder="1" applyAlignment="1">
      <alignment horizontal="left" vertical="top" wrapText="1"/>
    </xf>
    <xf numFmtId="0" fontId="0" fillId="2" borderId="8" xfId="0" applyFont="1" applyFill="1" applyBorder="1" applyAlignment="1" applyProtection="1">
      <alignment horizontal="right" vertical="center" wrapText="1"/>
    </xf>
    <xf numFmtId="10" fontId="22" fillId="42" borderId="41" xfId="14" applyFont="1" applyBorder="1">
      <alignment horizontal="right" vertical="center"/>
      <protection locked="0"/>
    </xf>
    <xf numFmtId="0" fontId="0" fillId="7" borderId="30" xfId="0" applyFont="1" applyFill="1" applyBorder="1" applyAlignment="1" applyProtection="1">
      <alignment horizontal="center" vertical="center"/>
    </xf>
    <xf numFmtId="0" fontId="0" fillId="7" borderId="31" xfId="0" applyFont="1" applyFill="1" applyBorder="1" applyAlignment="1" applyProtection="1">
      <alignment horizontal="center" vertical="center"/>
    </xf>
    <xf numFmtId="0" fontId="0" fillId="7" borderId="32" xfId="0" applyFont="1" applyFill="1" applyBorder="1" applyAlignment="1" applyProtection="1">
      <alignment horizontal="center" vertical="center"/>
    </xf>
    <xf numFmtId="0" fontId="24" fillId="7" borderId="6" xfId="0" applyFont="1" applyFill="1" applyBorder="1" applyAlignment="1">
      <alignment vertical="center"/>
    </xf>
    <xf numFmtId="9" fontId="46" fillId="14" borderId="23" xfId="3" applyNumberFormat="1" applyFont="1" applyBorder="1">
      <alignment horizontal="center" vertical="center"/>
    </xf>
    <xf numFmtId="9" fontId="46" fillId="14" borderId="25" xfId="3" applyNumberFormat="1" applyFont="1" applyBorder="1">
      <alignment horizontal="center" vertical="center"/>
    </xf>
    <xf numFmtId="9" fontId="46" fillId="14" borderId="27" xfId="3" applyNumberFormat="1" applyFont="1" applyBorder="1">
      <alignment horizontal="center" vertical="center"/>
    </xf>
    <xf numFmtId="9" fontId="46" fillId="7" borderId="23" xfId="0" applyNumberFormat="1" applyFont="1" applyFill="1" applyBorder="1" applyAlignment="1">
      <alignment vertical="center" wrapText="1"/>
    </xf>
    <xf numFmtId="9" fontId="46" fillId="7" borderId="25" xfId="0" applyNumberFormat="1" applyFont="1" applyFill="1" applyBorder="1" applyAlignment="1">
      <alignment vertical="center" wrapText="1"/>
    </xf>
    <xf numFmtId="9" fontId="46" fillId="7" borderId="27" xfId="0" applyNumberFormat="1" applyFont="1" applyFill="1" applyBorder="1" applyAlignment="1">
      <alignment vertical="center" wrapText="1"/>
    </xf>
    <xf numFmtId="9" fontId="46" fillId="14" borderId="28" xfId="3" applyNumberFormat="1" applyFont="1" applyBorder="1">
      <alignment horizontal="center" vertical="center"/>
    </xf>
    <xf numFmtId="9" fontId="46" fillId="14" borderId="45" xfId="3" applyNumberFormat="1" applyFont="1" applyBorder="1">
      <alignment horizontal="center" vertical="center"/>
    </xf>
    <xf numFmtId="0" fontId="0" fillId="7" borderId="9" xfId="0" applyFont="1" applyFill="1" applyBorder="1" applyAlignment="1" applyProtection="1">
      <alignment horizontal="left" vertical="center"/>
    </xf>
    <xf numFmtId="0" fontId="0" fillId="7" borderId="29" xfId="0" applyFont="1" applyFill="1" applyBorder="1" applyAlignment="1" applyProtection="1">
      <alignment vertical="center"/>
    </xf>
    <xf numFmtId="0" fontId="0" fillId="7" borderId="6" xfId="0" applyFont="1" applyFill="1" applyBorder="1">
      <alignment vertical="center"/>
    </xf>
    <xf numFmtId="0" fontId="0" fillId="7" borderId="0" xfId="0" applyFont="1" applyFill="1" applyBorder="1">
      <alignment vertical="center"/>
    </xf>
    <xf numFmtId="0" fontId="0" fillId="7" borderId="29" xfId="0" applyFont="1" applyFill="1" applyBorder="1" applyAlignment="1" applyProtection="1">
      <alignment horizontal="center" vertical="center"/>
    </xf>
    <xf numFmtId="3" fontId="0" fillId="42" borderId="25" xfId="11" applyFont="1" applyBorder="1" applyAlignment="1" applyProtection="1">
      <alignment horizontal="right" vertical="center"/>
      <protection locked="0"/>
    </xf>
    <xf numFmtId="3" fontId="0" fillId="42" borderId="27" xfId="11" applyFont="1" applyBorder="1">
      <alignment horizontal="right" vertical="center"/>
      <protection locked="0"/>
    </xf>
    <xf numFmtId="9" fontId="0" fillId="42" borderId="27" xfId="15" applyFont="1" applyBorder="1">
      <alignment horizontal="right" vertical="center"/>
      <protection locked="0"/>
    </xf>
    <xf numFmtId="10" fontId="0" fillId="42" borderId="27" xfId="14" applyFont="1" applyBorder="1">
      <alignment horizontal="right" vertical="center"/>
      <protection locked="0"/>
    </xf>
    <xf numFmtId="171" fontId="0" fillId="42" borderId="27" xfId="17" applyFont="1" applyBorder="1">
      <alignment horizontal="right" vertical="center"/>
      <protection locked="0"/>
    </xf>
    <xf numFmtId="0" fontId="0" fillId="7" borderId="6" xfId="0" applyFont="1" applyFill="1" applyBorder="1" applyAlignment="1">
      <alignment vertical="center"/>
    </xf>
    <xf numFmtId="0" fontId="0" fillId="7" borderId="0" xfId="0" applyFont="1" applyFill="1" applyAlignment="1">
      <alignment vertical="center"/>
    </xf>
    <xf numFmtId="0" fontId="0" fillId="7" borderId="9" xfId="0" applyFont="1" applyFill="1" applyBorder="1">
      <alignment vertical="center"/>
    </xf>
    <xf numFmtId="3" fontId="0" fillId="42" borderId="20" xfId="11" applyFont="1" applyBorder="1" applyAlignment="1" applyProtection="1">
      <alignment horizontal="right" vertical="center"/>
      <protection locked="0"/>
    </xf>
    <xf numFmtId="3" fontId="0" fillId="42" borderId="20" xfId="11" applyFont="1" applyBorder="1">
      <alignment horizontal="right" vertical="center"/>
      <protection locked="0"/>
    </xf>
    <xf numFmtId="9" fontId="0" fillId="42" borderId="20" xfId="15" applyFont="1" applyBorder="1">
      <alignment horizontal="right" vertical="center"/>
      <protection locked="0"/>
    </xf>
    <xf numFmtId="10" fontId="0" fillId="42" borderId="20" xfId="14" applyFont="1" applyBorder="1">
      <alignment horizontal="right" vertical="center"/>
      <protection locked="0"/>
    </xf>
    <xf numFmtId="171" fontId="0" fillId="42" borderId="20" xfId="17" applyFont="1" applyBorder="1">
      <alignment horizontal="right" vertical="center"/>
      <protection locked="0"/>
    </xf>
    <xf numFmtId="3" fontId="0" fillId="42" borderId="36" xfId="11" applyFont="1" applyBorder="1" applyAlignment="1" applyProtection="1">
      <alignment horizontal="right" vertical="center"/>
      <protection locked="0"/>
    </xf>
    <xf numFmtId="3" fontId="0" fillId="42" borderId="23" xfId="11" applyFont="1" applyBorder="1" applyAlignment="1" applyProtection="1">
      <alignment horizontal="right" vertical="center"/>
      <protection locked="0"/>
    </xf>
    <xf numFmtId="3" fontId="0" fillId="42" borderId="23" xfId="11" applyFont="1" applyBorder="1">
      <alignment horizontal="right" vertical="center"/>
      <protection locked="0"/>
    </xf>
    <xf numFmtId="9" fontId="0" fillId="42" borderId="23" xfId="15" applyFont="1" applyBorder="1">
      <alignment horizontal="right" vertical="center"/>
      <protection locked="0"/>
    </xf>
    <xf numFmtId="10" fontId="0" fillId="42" borderId="23" xfId="14" applyFont="1" applyBorder="1">
      <alignment horizontal="right" vertical="center"/>
      <protection locked="0"/>
    </xf>
    <xf numFmtId="171" fontId="0" fillId="42" borderId="23" xfId="17" applyFont="1" applyBorder="1">
      <alignment horizontal="right" vertical="center"/>
      <protection locked="0"/>
    </xf>
    <xf numFmtId="3" fontId="0" fillId="42" borderId="37" xfId="11" applyFont="1" applyBorder="1" applyAlignment="1" applyProtection="1">
      <alignment horizontal="right" vertical="center"/>
      <protection locked="0"/>
    </xf>
    <xf numFmtId="3" fontId="0" fillId="42" borderId="25" xfId="11" applyFont="1" applyBorder="1">
      <alignment horizontal="right" vertical="center"/>
      <protection locked="0"/>
    </xf>
    <xf numFmtId="9" fontId="0" fillId="42" borderId="25" xfId="15" applyFont="1" applyBorder="1">
      <alignment horizontal="right" vertical="center"/>
      <protection locked="0"/>
    </xf>
    <xf numFmtId="10" fontId="0" fillId="42" borderId="25" xfId="14" applyFont="1" applyBorder="1">
      <alignment horizontal="right" vertical="center"/>
      <protection locked="0"/>
    </xf>
    <xf numFmtId="171" fontId="0" fillId="42" borderId="25" xfId="17" applyFont="1" applyBorder="1">
      <alignment horizontal="right" vertical="center"/>
      <protection locked="0"/>
    </xf>
    <xf numFmtId="3" fontId="0" fillId="42" borderId="41" xfId="11" applyFont="1" applyBorder="1" applyAlignment="1" applyProtection="1">
      <alignment horizontal="right" vertical="center"/>
      <protection locked="0"/>
    </xf>
    <xf numFmtId="3" fontId="0" fillId="42" borderId="27" xfId="11" applyFont="1" applyBorder="1" applyAlignment="1" applyProtection="1">
      <alignment horizontal="right" vertical="center"/>
      <protection locked="0"/>
    </xf>
    <xf numFmtId="3" fontId="0" fillId="42" borderId="38" xfId="11" applyFont="1" applyBorder="1" applyAlignment="1" applyProtection="1">
      <alignment horizontal="right" vertical="center"/>
      <protection locked="0"/>
    </xf>
    <xf numFmtId="3" fontId="0" fillId="42" borderId="28" xfId="11" applyFont="1" applyBorder="1" applyAlignment="1" applyProtection="1">
      <alignment horizontal="right" vertical="center"/>
      <protection locked="0"/>
    </xf>
    <xf numFmtId="3" fontId="0" fillId="42" borderId="28" xfId="11" applyFont="1" applyBorder="1">
      <alignment horizontal="right" vertical="center"/>
      <protection locked="0"/>
    </xf>
    <xf numFmtId="9" fontId="0" fillId="42" borderId="28" xfId="15" applyFont="1" applyBorder="1">
      <alignment horizontal="right" vertical="center"/>
      <protection locked="0"/>
    </xf>
    <xf numFmtId="10" fontId="0" fillId="42" borderId="28" xfId="14" applyFont="1" applyBorder="1">
      <alignment horizontal="right" vertical="center"/>
      <protection locked="0"/>
    </xf>
    <xf numFmtId="171" fontId="0" fillId="42" borderId="28" xfId="17" applyFont="1" applyBorder="1">
      <alignment horizontal="right" vertical="center"/>
      <protection locked="0"/>
    </xf>
    <xf numFmtId="3" fontId="0" fillId="42" borderId="42" xfId="11" applyFont="1" applyBorder="1" applyAlignment="1" applyProtection="1">
      <alignment horizontal="right" vertical="center"/>
      <protection locked="0"/>
    </xf>
    <xf numFmtId="3" fontId="0" fillId="42" borderId="45" xfId="11" applyFont="1" applyBorder="1" applyAlignment="1" applyProtection="1">
      <alignment horizontal="right" vertical="center"/>
      <protection locked="0"/>
    </xf>
    <xf numFmtId="3" fontId="0" fillId="42" borderId="45" xfId="11" applyFont="1" applyBorder="1">
      <alignment horizontal="right" vertical="center"/>
      <protection locked="0"/>
    </xf>
    <xf numFmtId="9" fontId="0" fillId="42" borderId="45" xfId="15" applyFont="1" applyBorder="1">
      <alignment horizontal="right" vertical="center"/>
      <protection locked="0"/>
    </xf>
    <xf numFmtId="10" fontId="0" fillId="42" borderId="45" xfId="14" applyFont="1" applyBorder="1">
      <alignment horizontal="right" vertical="center"/>
      <protection locked="0"/>
    </xf>
    <xf numFmtId="171" fontId="0" fillId="42" borderId="45" xfId="17" applyFont="1" applyBorder="1">
      <alignment horizontal="right" vertical="center"/>
      <protection locked="0"/>
    </xf>
    <xf numFmtId="3" fontId="0" fillId="42" borderId="47" xfId="11" applyFont="1" applyBorder="1" applyAlignment="1" applyProtection="1">
      <alignment horizontal="right" vertical="center"/>
      <protection locked="0"/>
    </xf>
    <xf numFmtId="0" fontId="0" fillId="7" borderId="20" xfId="0" applyFont="1" applyFill="1" applyBorder="1" applyAlignment="1" applyProtection="1">
      <alignment vertical="center"/>
    </xf>
    <xf numFmtId="0" fontId="0" fillId="14" borderId="20" xfId="3" applyFont="1" applyBorder="1">
      <alignment horizontal="center" vertical="center"/>
    </xf>
    <xf numFmtId="3" fontId="0" fillId="14" borderId="20" xfId="3" applyNumberFormat="1" applyFont="1" applyBorder="1">
      <alignment horizontal="center" vertical="center"/>
    </xf>
    <xf numFmtId="0" fontId="0" fillId="7" borderId="43" xfId="0" applyFont="1" applyFill="1" applyBorder="1" applyAlignment="1" applyProtection="1">
      <alignment horizontal="center" vertical="center"/>
    </xf>
    <xf numFmtId="0" fontId="0" fillId="7" borderId="28" xfId="0" applyFont="1" applyFill="1" applyBorder="1" applyAlignment="1" applyProtection="1">
      <alignment horizontal="left" vertical="center"/>
    </xf>
    <xf numFmtId="0" fontId="0" fillId="14" borderId="28" xfId="3" applyFont="1" applyBorder="1">
      <alignment horizontal="center" vertical="center"/>
    </xf>
    <xf numFmtId="3" fontId="0" fillId="14" borderId="28" xfId="3" applyNumberFormat="1" applyFont="1" applyBorder="1">
      <alignment horizontal="center" vertical="center"/>
    </xf>
    <xf numFmtId="0" fontId="0" fillId="14" borderId="23" xfId="3" applyFont="1" applyBorder="1">
      <alignment horizontal="center" vertical="center"/>
    </xf>
    <xf numFmtId="3" fontId="0" fillId="14" borderId="23" xfId="3" applyNumberFormat="1" applyFont="1" applyBorder="1">
      <alignment horizontal="center" vertical="center"/>
    </xf>
    <xf numFmtId="0" fontId="0" fillId="14" borderId="27" xfId="3" applyFont="1" applyBorder="1">
      <alignment horizontal="center" vertical="center"/>
    </xf>
    <xf numFmtId="3" fontId="0" fillId="14" borderId="27" xfId="3" applyNumberFormat="1" applyFont="1" applyBorder="1">
      <alignment horizontal="center" vertical="center"/>
    </xf>
    <xf numFmtId="0" fontId="0" fillId="14" borderId="25" xfId="3" applyFont="1" applyBorder="1">
      <alignment horizontal="center" vertical="center"/>
    </xf>
    <xf numFmtId="3" fontId="0" fillId="14" borderId="25" xfId="3" applyNumberFormat="1" applyFont="1" applyBorder="1">
      <alignment horizontal="center" vertical="center"/>
    </xf>
    <xf numFmtId="0" fontId="0" fillId="2" borderId="32" xfId="0" applyFont="1" applyFill="1" applyBorder="1">
      <alignment vertical="center"/>
    </xf>
    <xf numFmtId="10" fontId="22" fillId="7" borderId="25" xfId="33" applyFont="1" applyBorder="1">
      <alignment horizontal="right" vertical="center"/>
    </xf>
    <xf numFmtId="3" fontId="22" fillId="14" borderId="77" xfId="3" applyNumberFormat="1" applyFont="1" applyBorder="1">
      <alignment horizontal="center" vertical="center"/>
    </xf>
    <xf numFmtId="3" fontId="22" fillId="7" borderId="48" xfId="30" applyFont="1" applyBorder="1">
      <alignment horizontal="right" vertical="center"/>
    </xf>
    <xf numFmtId="0" fontId="22" fillId="7" borderId="45" xfId="0" applyFont="1" applyFill="1" applyBorder="1" applyAlignment="1" applyProtection="1">
      <alignment vertical="center" wrapText="1"/>
    </xf>
    <xf numFmtId="0" fontId="24" fillId="2" borderId="36" xfId="0" applyFont="1" applyFill="1" applyBorder="1" applyAlignment="1" applyProtection="1">
      <alignment horizontal="center" wrapText="1"/>
    </xf>
    <xf numFmtId="0" fontId="22" fillId="2" borderId="9" xfId="0" applyFont="1" applyFill="1" applyBorder="1">
      <alignment vertical="center"/>
    </xf>
    <xf numFmtId="0" fontId="22" fillId="2" borderId="4" xfId="0" applyFont="1" applyFill="1" applyBorder="1">
      <alignment vertical="center"/>
    </xf>
    <xf numFmtId="0" fontId="22" fillId="2" borderId="0" xfId="0" applyFont="1" applyFill="1">
      <alignment vertical="center"/>
    </xf>
    <xf numFmtId="0" fontId="23" fillId="2" borderId="12" xfId="0" applyFont="1" applyFill="1" applyBorder="1" applyAlignment="1"/>
    <xf numFmtId="0" fontId="23" fillId="2" borderId="5" xfId="0" applyFont="1" applyFill="1" applyBorder="1">
      <alignment vertical="center"/>
    </xf>
    <xf numFmtId="0" fontId="20" fillId="2" borderId="5" xfId="0" applyFont="1" applyFill="1" applyBorder="1">
      <alignment vertical="center"/>
    </xf>
    <xf numFmtId="0" fontId="22" fillId="2" borderId="5" xfId="0" applyFont="1" applyFill="1" applyBorder="1">
      <alignment vertical="center"/>
    </xf>
    <xf numFmtId="0" fontId="22" fillId="2" borderId="11" xfId="0" applyFont="1" applyFill="1" applyBorder="1">
      <alignment vertical="center"/>
    </xf>
    <xf numFmtId="0" fontId="22" fillId="2" borderId="0" xfId="0" applyFont="1" applyFill="1" applyBorder="1">
      <alignment vertical="center"/>
    </xf>
    <xf numFmtId="0" fontId="22" fillId="2" borderId="2" xfId="0" applyFont="1" applyFill="1" applyBorder="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left"/>
    </xf>
    <xf numFmtId="0" fontId="20" fillId="2" borderId="0" xfId="0" applyFont="1" applyFill="1" applyBorder="1">
      <alignment vertical="center"/>
    </xf>
    <xf numFmtId="0" fontId="22" fillId="2" borderId="6" xfId="0" applyFont="1" applyFill="1" applyBorder="1">
      <alignment vertical="center"/>
    </xf>
    <xf numFmtId="0" fontId="24" fillId="2" borderId="29" xfId="0" applyFont="1" applyFill="1" applyBorder="1" applyAlignment="1">
      <alignment horizontal="center" wrapText="1"/>
    </xf>
    <xf numFmtId="0" fontId="24" fillId="2" borderId="20" xfId="0" applyFont="1" applyFill="1" applyBorder="1" applyAlignment="1">
      <alignment horizontal="center" wrapText="1"/>
    </xf>
    <xf numFmtId="0" fontId="22" fillId="2" borderId="2" xfId="0" applyFont="1" applyFill="1" applyBorder="1" applyAlignment="1">
      <alignment vertical="center"/>
    </xf>
    <xf numFmtId="0" fontId="22" fillId="2" borderId="30" xfId="0" applyFont="1" applyFill="1" applyBorder="1" applyAlignment="1" applyProtection="1">
      <alignment horizontal="center" vertical="center"/>
    </xf>
    <xf numFmtId="0" fontId="22" fillId="2" borderId="30" xfId="0" applyFont="1" applyFill="1" applyBorder="1" applyAlignment="1" applyProtection="1">
      <alignment vertical="center" wrapText="1"/>
    </xf>
    <xf numFmtId="0" fontId="22" fillId="2" borderId="6" xfId="0" applyFont="1" applyFill="1" applyBorder="1" applyAlignment="1">
      <alignment vertical="center"/>
    </xf>
    <xf numFmtId="0" fontId="22" fillId="2" borderId="0" xfId="0" applyFont="1" applyFill="1" applyAlignment="1">
      <alignment vertical="center"/>
    </xf>
    <xf numFmtId="0" fontId="22" fillId="2" borderId="31" xfId="0" applyFont="1" applyFill="1" applyBorder="1" applyAlignment="1" applyProtection="1">
      <alignment horizontal="center" vertical="center"/>
    </xf>
    <xf numFmtId="0" fontId="22" fillId="0" borderId="31" xfId="0" applyFont="1" applyFill="1" applyBorder="1" applyAlignment="1" applyProtection="1">
      <alignment horizontal="left" vertical="center" indent="1"/>
    </xf>
    <xf numFmtId="0" fontId="22" fillId="0" borderId="31" xfId="0" applyFont="1" applyFill="1" applyBorder="1" applyAlignment="1" applyProtection="1">
      <alignment vertical="center"/>
    </xf>
    <xf numFmtId="0" fontId="22" fillId="2" borderId="31" xfId="0" applyFont="1" applyFill="1" applyBorder="1" applyAlignment="1" applyProtection="1">
      <alignment vertical="center"/>
    </xf>
    <xf numFmtId="0" fontId="22" fillId="0" borderId="25" xfId="0" applyFont="1" applyFill="1" applyBorder="1" applyAlignment="1">
      <alignment horizontal="right" vertical="center"/>
    </xf>
    <xf numFmtId="0" fontId="22" fillId="0" borderId="41" xfId="0" applyFont="1" applyFill="1" applyBorder="1" applyAlignment="1">
      <alignment horizontal="right" vertical="center"/>
    </xf>
    <xf numFmtId="0" fontId="24" fillId="2" borderId="31" xfId="0" applyFont="1" applyFill="1" applyBorder="1" applyAlignment="1" applyProtection="1">
      <alignment vertical="center"/>
    </xf>
    <xf numFmtId="0" fontId="22" fillId="2" borderId="31" xfId="0" applyFont="1" applyFill="1" applyBorder="1" applyAlignment="1" applyProtection="1">
      <alignment horizontal="left" vertical="center" indent="1"/>
    </xf>
    <xf numFmtId="0" fontId="22" fillId="2" borderId="31" xfId="0" applyFont="1" applyFill="1" applyBorder="1" applyAlignment="1" applyProtection="1">
      <alignment horizontal="left" vertical="center"/>
    </xf>
    <xf numFmtId="0" fontId="24" fillId="2" borderId="31" xfId="0" applyFont="1" applyFill="1" applyBorder="1" applyAlignment="1" applyProtection="1">
      <alignment horizontal="left" vertical="center"/>
    </xf>
    <xf numFmtId="0" fontId="22" fillId="2" borderId="32" xfId="0" applyFont="1" applyFill="1" applyBorder="1" applyAlignment="1" applyProtection="1">
      <alignment horizontal="left" vertical="center"/>
    </xf>
    <xf numFmtId="0" fontId="22" fillId="0" borderId="27" xfId="0" applyFont="1" applyFill="1" applyBorder="1" applyAlignment="1">
      <alignment horizontal="right" vertical="center"/>
    </xf>
    <xf numFmtId="0" fontId="22" fillId="0" borderId="38" xfId="0" applyFont="1" applyFill="1" applyBorder="1" applyAlignment="1">
      <alignment horizontal="right" vertical="center"/>
    </xf>
    <xf numFmtId="0" fontId="24" fillId="2" borderId="23" xfId="0" applyFont="1" applyFill="1" applyBorder="1" applyAlignment="1" applyProtection="1">
      <alignment horizontal="left" vertical="center"/>
    </xf>
    <xf numFmtId="0" fontId="22" fillId="0" borderId="23" xfId="0" applyFont="1" applyFill="1" applyBorder="1" applyAlignment="1">
      <alignment horizontal="right" vertical="center"/>
    </xf>
    <xf numFmtId="0" fontId="22" fillId="0" borderId="37" xfId="0" applyFont="1" applyFill="1" applyBorder="1" applyAlignment="1">
      <alignment horizontal="right" vertical="center"/>
    </xf>
    <xf numFmtId="0" fontId="24" fillId="2" borderId="25" xfId="0" applyFont="1" applyFill="1" applyBorder="1" applyAlignment="1" applyProtection="1">
      <alignment horizontal="left" vertical="center"/>
    </xf>
    <xf numFmtId="0" fontId="24" fillId="2" borderId="27" xfId="0" applyFont="1" applyFill="1" applyBorder="1" applyAlignment="1" applyProtection="1">
      <alignment horizontal="left" vertical="center"/>
    </xf>
    <xf numFmtId="0" fontId="22" fillId="2" borderId="10" xfId="0" applyFont="1" applyFill="1" applyBorder="1">
      <alignment vertical="center"/>
    </xf>
    <xf numFmtId="0" fontId="22" fillId="2" borderId="8" xfId="0" applyFont="1" applyFill="1" applyBorder="1">
      <alignment vertical="center"/>
    </xf>
    <xf numFmtId="0" fontId="20" fillId="2" borderId="8" xfId="0" applyFont="1" applyFill="1" applyBorder="1">
      <alignment vertical="center"/>
    </xf>
    <xf numFmtId="0" fontId="22" fillId="2" borderId="7" xfId="0" applyFont="1" applyFill="1" applyBorder="1">
      <alignment vertical="center"/>
    </xf>
    <xf numFmtId="0" fontId="0" fillId="48" borderId="0" xfId="0" applyFont="1" applyFill="1" applyProtection="1">
      <alignment vertical="center"/>
    </xf>
    <xf numFmtId="0" fontId="0" fillId="2" borderId="34" xfId="0" applyFont="1" applyFill="1" applyBorder="1" applyAlignment="1" applyProtection="1">
      <alignment horizontal="left" vertical="center" wrapText="1" indent="1"/>
    </xf>
    <xf numFmtId="0" fontId="0" fillId="2" borderId="32" xfId="0" applyFont="1" applyFill="1" applyBorder="1" applyAlignment="1" applyProtection="1">
      <alignment horizontal="left" vertical="center" indent="1"/>
    </xf>
    <xf numFmtId="0" fontId="24" fillId="7" borderId="36" xfId="0" applyFont="1" applyFill="1" applyBorder="1" applyAlignment="1" applyProtection="1">
      <alignment horizontal="center" vertical="center" wrapText="1"/>
    </xf>
    <xf numFmtId="0" fontId="24" fillId="7" borderId="9" xfId="4" applyFont="1" applyFill="1" applyBorder="1" applyAlignment="1">
      <alignment horizontal="left" vertical="center" wrapText="1"/>
    </xf>
    <xf numFmtId="0" fontId="24" fillId="7" borderId="20" xfId="0" applyFont="1" applyFill="1" applyBorder="1" applyAlignment="1" applyProtection="1">
      <alignment horizontal="center" vertical="center" wrapText="1"/>
    </xf>
    <xf numFmtId="0" fontId="22" fillId="7" borderId="39" xfId="0" applyFont="1" applyFill="1" applyBorder="1" applyAlignment="1" applyProtection="1">
      <alignment horizontal="center" vertical="center"/>
    </xf>
    <xf numFmtId="0" fontId="22" fillId="7" borderId="40" xfId="0" applyFont="1" applyFill="1" applyBorder="1" applyAlignment="1" applyProtection="1">
      <alignment horizontal="center" vertical="center"/>
    </xf>
    <xf numFmtId="0" fontId="24" fillId="7" borderId="0" xfId="0" applyFont="1" applyFill="1" applyBorder="1" applyAlignment="1" applyProtection="1">
      <alignment horizontal="center" vertical="center" wrapText="1"/>
    </xf>
    <xf numFmtId="0" fontId="24" fillId="2" borderId="30" xfId="0" applyFont="1" applyFill="1" applyBorder="1" applyAlignment="1" applyProtection="1">
      <alignment vertical="center" wrapText="1"/>
    </xf>
    <xf numFmtId="0" fontId="22" fillId="2" borderId="32" xfId="0" applyFont="1" applyFill="1" applyBorder="1" applyAlignment="1" applyProtection="1">
      <alignment horizontal="left" vertical="center" wrapText="1" indent="1"/>
    </xf>
    <xf numFmtId="0" fontId="22" fillId="2" borderId="72" xfId="0" applyFont="1" applyFill="1" applyBorder="1" applyAlignment="1" applyProtection="1">
      <alignment horizontal="left" vertical="center" wrapText="1" indent="1"/>
    </xf>
    <xf numFmtId="0" fontId="0" fillId="2" borderId="30" xfId="0" applyFont="1" applyFill="1" applyBorder="1" applyAlignment="1" applyProtection="1">
      <alignment vertical="center" wrapText="1"/>
    </xf>
    <xf numFmtId="0" fontId="0" fillId="7" borderId="33" xfId="0" applyFont="1" applyFill="1" applyBorder="1" applyAlignment="1">
      <alignment horizontal="left" vertical="center"/>
    </xf>
    <xf numFmtId="0" fontId="0" fillId="7" borderId="30" xfId="0" applyFont="1" applyFill="1" applyBorder="1" applyAlignment="1">
      <alignment horizontal="left" vertical="center"/>
    </xf>
    <xf numFmtId="0" fontId="0" fillId="7" borderId="31" xfId="0" applyFont="1" applyFill="1" applyBorder="1" applyAlignment="1">
      <alignment horizontal="left" vertical="center"/>
    </xf>
    <xf numFmtId="0" fontId="0" fillId="7" borderId="31" xfId="0" applyFont="1" applyFill="1" applyBorder="1" applyAlignment="1">
      <alignment horizontal="left" vertical="center" indent="1"/>
    </xf>
    <xf numFmtId="0" fontId="0" fillId="7" borderId="30" xfId="0" applyFont="1" applyFill="1" applyBorder="1" applyAlignment="1">
      <alignment vertical="center"/>
    </xf>
    <xf numFmtId="0" fontId="24" fillId="7" borderId="8" xfId="0" applyFont="1" applyFill="1" applyBorder="1" applyAlignment="1" applyProtection="1">
      <alignment horizontal="left" vertical="center"/>
    </xf>
    <xf numFmtId="3" fontId="22" fillId="7" borderId="0" xfId="3" applyNumberFormat="1" applyFont="1" applyFill="1" applyBorder="1" applyAlignment="1" applyProtection="1">
      <alignment horizontal="center" vertical="center"/>
    </xf>
    <xf numFmtId="3" fontId="22" fillId="7" borderId="0" xfId="11" applyFont="1" applyFill="1" applyBorder="1" applyAlignment="1" applyProtection="1">
      <alignment horizontal="right" vertical="center"/>
      <protection locked="0"/>
    </xf>
    <xf numFmtId="3" fontId="22" fillId="7" borderId="0" xfId="6" applyFont="1" applyFill="1" applyBorder="1" applyAlignment="1">
      <alignment horizontal="right" vertical="center"/>
    </xf>
    <xf numFmtId="10" fontId="22" fillId="7" borderId="0" xfId="7" applyFont="1" applyFill="1" applyBorder="1">
      <alignment horizontal="right" vertical="center"/>
    </xf>
    <xf numFmtId="0" fontId="0" fillId="7" borderId="44" xfId="0" applyFont="1" applyFill="1" applyBorder="1" applyAlignment="1">
      <alignment horizontal="left" vertical="center" indent="1"/>
    </xf>
    <xf numFmtId="0" fontId="0" fillId="7" borderId="44" xfId="0" applyFont="1" applyFill="1" applyBorder="1" applyAlignment="1">
      <alignment horizontal="left" vertical="center" indent="2"/>
    </xf>
    <xf numFmtId="3" fontId="22" fillId="14" borderId="32" xfId="3" applyNumberFormat="1" applyFont="1" applyBorder="1" applyAlignment="1" applyProtection="1">
      <alignment horizontal="center" vertical="center"/>
    </xf>
    <xf numFmtId="3" fontId="22" fillId="14" borderId="38" xfId="3" applyNumberFormat="1" applyFont="1" applyBorder="1" applyAlignment="1" applyProtection="1">
      <alignment horizontal="center" vertical="center"/>
    </xf>
    <xf numFmtId="0" fontId="0" fillId="48" borderId="0" xfId="0" applyFill="1">
      <alignment vertical="center"/>
    </xf>
    <xf numFmtId="0" fontId="0" fillId="7" borderId="46" xfId="0" applyFont="1" applyFill="1" applyBorder="1" applyAlignment="1">
      <alignment horizontal="left" vertical="center" indent="1"/>
    </xf>
    <xf numFmtId="0" fontId="0" fillId="7" borderId="46" xfId="0" applyFont="1" applyFill="1" applyBorder="1" applyAlignment="1">
      <alignment horizontal="left" vertical="center" indent="2"/>
    </xf>
    <xf numFmtId="0" fontId="22" fillId="2" borderId="0" xfId="0" applyFont="1" applyFill="1" applyBorder="1" applyProtection="1">
      <alignment vertical="center"/>
    </xf>
    <xf numFmtId="0" fontId="22" fillId="2" borderId="0" xfId="0" applyFont="1" applyFill="1" applyProtection="1">
      <alignment vertical="center"/>
    </xf>
    <xf numFmtId="3" fontId="22" fillId="7" borderId="31" xfId="30" applyFont="1" applyBorder="1">
      <alignment horizontal="right" vertical="center"/>
    </xf>
    <xf numFmtId="0" fontId="22" fillId="14" borderId="25" xfId="3" applyFont="1" applyBorder="1" applyProtection="1">
      <alignment horizontal="center" vertical="center"/>
    </xf>
    <xf numFmtId="0" fontId="22" fillId="14" borderId="41" xfId="3" applyFont="1" applyBorder="1" applyProtection="1">
      <alignment horizontal="center" vertical="center"/>
    </xf>
    <xf numFmtId="0" fontId="31" fillId="2" borderId="25" xfId="0" applyFont="1" applyFill="1" applyBorder="1" applyAlignment="1" applyProtection="1">
      <alignment horizontal="center" vertical="center" wrapText="1"/>
    </xf>
    <xf numFmtId="3" fontId="31" fillId="42" borderId="41" xfId="11" applyFont="1" applyBorder="1" applyProtection="1">
      <alignment horizontal="right" vertical="center"/>
      <protection locked="0"/>
    </xf>
    <xf numFmtId="2" fontId="22" fillId="7" borderId="31" xfId="32" applyNumberFormat="1" applyFont="1" applyBorder="1">
      <alignment horizontal="right" vertical="center"/>
    </xf>
    <xf numFmtId="0" fontId="22" fillId="46" borderId="0" xfId="0" applyFont="1" applyFill="1" applyProtection="1">
      <alignment vertical="center"/>
    </xf>
    <xf numFmtId="0" fontId="22" fillId="7" borderId="8" xfId="0" applyFont="1" applyFill="1" applyBorder="1" applyAlignment="1" applyProtection="1">
      <alignment horizontal="center" vertical="center"/>
    </xf>
    <xf numFmtId="0" fontId="24" fillId="7" borderId="20" xfId="0" applyFont="1" applyFill="1" applyBorder="1" applyAlignment="1" applyProtection="1">
      <alignment horizontal="center" vertical="center" wrapText="1"/>
    </xf>
    <xf numFmtId="0" fontId="0" fillId="7" borderId="25" xfId="0" applyFont="1" applyFill="1" applyBorder="1" applyAlignment="1" applyProtection="1">
      <alignment horizontal="left" vertical="center"/>
    </xf>
    <xf numFmtId="0" fontId="0" fillId="7" borderId="27" xfId="0" applyFont="1" applyFill="1" applyBorder="1" applyAlignment="1" applyProtection="1">
      <alignment horizontal="left" vertical="center"/>
    </xf>
    <xf numFmtId="0" fontId="0" fillId="7" borderId="23" xfId="0" applyFont="1" applyFill="1" applyBorder="1" applyAlignment="1" applyProtection="1">
      <alignment horizontal="left" vertical="center"/>
    </xf>
    <xf numFmtId="0" fontId="24" fillId="7" borderId="50" xfId="0" applyFont="1" applyFill="1" applyBorder="1" applyAlignment="1" applyProtection="1">
      <alignment horizontal="center" vertical="center" wrapText="1"/>
    </xf>
    <xf numFmtId="9" fontId="46" fillId="7" borderId="25" xfId="0" applyNumberFormat="1" applyFont="1" applyFill="1" applyBorder="1" applyAlignment="1">
      <alignment horizontal="center" vertical="center"/>
    </xf>
    <xf numFmtId="9" fontId="46" fillId="7" borderId="27" xfId="0" applyNumberFormat="1" applyFont="1" applyFill="1" applyBorder="1" applyAlignment="1">
      <alignment horizontal="center" vertical="center"/>
    </xf>
    <xf numFmtId="9" fontId="46" fillId="7" borderId="23" xfId="0" applyNumberFormat="1" applyFont="1" applyFill="1" applyBorder="1" applyAlignment="1">
      <alignment horizontal="center" vertical="center"/>
    </xf>
    <xf numFmtId="0" fontId="0" fillId="7" borderId="36" xfId="5" applyFont="1" applyBorder="1">
      <alignment horizontal="center" wrapText="1"/>
    </xf>
    <xf numFmtId="9" fontId="46" fillId="7" borderId="45" xfId="0" applyNumberFormat="1" applyFont="1" applyFill="1" applyBorder="1" applyAlignment="1">
      <alignment vertical="center" wrapText="1"/>
    </xf>
    <xf numFmtId="171" fontId="22" fillId="15" borderId="23" xfId="25" applyFont="1" applyBorder="1">
      <alignment horizontal="right" vertical="center"/>
      <protection locked="0"/>
    </xf>
    <xf numFmtId="171" fontId="22" fillId="15" borderId="27" xfId="25" applyFont="1" applyBorder="1">
      <alignment horizontal="right" vertical="center"/>
      <protection locked="0"/>
    </xf>
    <xf numFmtId="0" fontId="22" fillId="15" borderId="25" xfId="26" applyFont="1" applyBorder="1">
      <alignment horizontal="center" vertical="center" wrapText="1"/>
      <protection locked="0"/>
    </xf>
    <xf numFmtId="0" fontId="22" fillId="15" borderId="27" xfId="26" applyFont="1" applyBorder="1">
      <alignment horizontal="center" vertical="center" wrapText="1"/>
      <protection locked="0"/>
    </xf>
    <xf numFmtId="0" fontId="0" fillId="7" borderId="8" xfId="0" applyBorder="1">
      <alignment vertical="center"/>
    </xf>
    <xf numFmtId="3" fontId="22" fillId="15" borderId="28" xfId="20" applyFont="1" applyBorder="1">
      <alignment horizontal="right" vertical="center"/>
      <protection locked="0"/>
    </xf>
    <xf numFmtId="171" fontId="22" fillId="15" borderId="42" xfId="25" applyFont="1" applyBorder="1">
      <alignment horizontal="right" vertical="center"/>
      <protection locked="0"/>
    </xf>
    <xf numFmtId="9" fontId="0" fillId="14" borderId="23" xfId="3" applyNumberFormat="1" applyFont="1" applyBorder="1">
      <alignment horizontal="center" vertical="center"/>
    </xf>
    <xf numFmtId="10" fontId="0" fillId="14" borderId="23" xfId="3" applyNumberFormat="1" applyFont="1" applyBorder="1">
      <alignment horizontal="center" vertical="center"/>
    </xf>
    <xf numFmtId="171" fontId="0" fillId="14" borderId="23" xfId="3" applyNumberFormat="1" applyFont="1" applyBorder="1">
      <alignment horizontal="center" vertical="center"/>
    </xf>
    <xf numFmtId="9" fontId="0" fillId="14" borderId="25" xfId="3" applyNumberFormat="1" applyFont="1" applyBorder="1">
      <alignment horizontal="center" vertical="center"/>
    </xf>
    <xf numFmtId="10" fontId="0" fillId="14" borderId="25" xfId="3" applyNumberFormat="1" applyFont="1" applyBorder="1">
      <alignment horizontal="center" vertical="center"/>
    </xf>
    <xf numFmtId="171" fontId="0" fillId="14" borderId="25" xfId="3" applyNumberFormat="1" applyFont="1" applyBorder="1">
      <alignment horizontal="center" vertical="center"/>
    </xf>
    <xf numFmtId="9" fontId="0" fillId="14" borderId="27" xfId="3" applyNumberFormat="1" applyFont="1" applyBorder="1">
      <alignment horizontal="center" vertical="center"/>
    </xf>
    <xf numFmtId="10" fontId="0" fillId="14" borderId="27" xfId="3" applyNumberFormat="1" applyFont="1" applyBorder="1">
      <alignment horizontal="center" vertical="center"/>
    </xf>
    <xf numFmtId="9" fontId="0" fillId="14" borderId="28" xfId="3" applyNumberFormat="1" applyFont="1" applyBorder="1">
      <alignment horizontal="center" vertical="center"/>
    </xf>
    <xf numFmtId="10" fontId="0" fillId="14" borderId="28" xfId="3" applyNumberFormat="1" applyFont="1" applyBorder="1">
      <alignment horizontal="center" vertical="center"/>
    </xf>
    <xf numFmtId="9" fontId="0" fillId="14" borderId="20" xfId="3" applyNumberFormat="1" applyFont="1" applyBorder="1">
      <alignment horizontal="center" vertical="center"/>
    </xf>
    <xf numFmtId="10" fontId="0" fillId="14" borderId="20" xfId="3" applyNumberFormat="1" applyFont="1" applyBorder="1">
      <alignment horizontal="center" vertical="center"/>
    </xf>
    <xf numFmtId="10" fontId="0" fillId="14" borderId="49" xfId="3" applyNumberFormat="1" applyFont="1" applyBorder="1">
      <alignment horizontal="center" vertical="center"/>
    </xf>
    <xf numFmtId="0" fontId="22" fillId="14" borderId="0" xfId="3" applyFont="1" applyBorder="1">
      <alignment horizontal="center" vertical="center"/>
    </xf>
    <xf numFmtId="3" fontId="22" fillId="14" borderId="8" xfId="3" applyNumberFormat="1" applyFont="1" applyBorder="1">
      <alignment horizontal="center" vertical="center"/>
    </xf>
    <xf numFmtId="9" fontId="22" fillId="14" borderId="8" xfId="3" applyNumberFormat="1" applyFont="1" applyBorder="1">
      <alignment horizontal="center" vertical="center"/>
    </xf>
    <xf numFmtId="10" fontId="22" fillId="14" borderId="8" xfId="3" applyNumberFormat="1" applyFont="1" applyBorder="1">
      <alignment horizontal="center" vertical="center"/>
    </xf>
    <xf numFmtId="171" fontId="22" fillId="14" borderId="8" xfId="3" applyNumberFormat="1" applyFont="1" applyBorder="1">
      <alignment horizontal="center" vertical="center"/>
    </xf>
    <xf numFmtId="3" fontId="0" fillId="14" borderId="45" xfId="3" applyNumberFormat="1" applyFont="1" applyBorder="1">
      <alignment horizontal="center" vertical="center"/>
    </xf>
    <xf numFmtId="9" fontId="0" fillId="14" borderId="45" xfId="3" applyNumberFormat="1" applyFont="1" applyBorder="1">
      <alignment horizontal="center" vertical="center"/>
    </xf>
    <xf numFmtId="10" fontId="0" fillId="14" borderId="45" xfId="3" applyNumberFormat="1" applyFont="1" applyBorder="1">
      <alignment horizontal="center" vertical="center"/>
    </xf>
    <xf numFmtId="171" fontId="0" fillId="14" borderId="37" xfId="3" applyNumberFormat="1" applyFont="1" applyBorder="1">
      <alignment horizontal="center" vertical="center"/>
    </xf>
    <xf numFmtId="171" fontId="0" fillId="14" borderId="41" xfId="3" applyNumberFormat="1" applyFont="1" applyBorder="1">
      <alignment horizontal="center" vertical="center"/>
    </xf>
    <xf numFmtId="171" fontId="0" fillId="14" borderId="38" xfId="3" applyNumberFormat="1" applyFont="1" applyBorder="1">
      <alignment horizontal="center" vertical="center"/>
    </xf>
    <xf numFmtId="171" fontId="0" fillId="14" borderId="42" xfId="3" applyNumberFormat="1" applyFont="1" applyBorder="1">
      <alignment horizontal="center" vertical="center"/>
    </xf>
    <xf numFmtId="171" fontId="0" fillId="14" borderId="36" xfId="3" applyNumberFormat="1" applyFont="1" applyBorder="1">
      <alignment horizontal="center" vertical="center"/>
    </xf>
    <xf numFmtId="171" fontId="0" fillId="14" borderId="47" xfId="3" applyNumberFormat="1" applyFont="1" applyBorder="1">
      <alignment horizontal="center" vertical="center"/>
    </xf>
    <xf numFmtId="0" fontId="22" fillId="7" borderId="29" xfId="0" applyFont="1" applyFill="1" applyBorder="1" applyAlignment="1" applyProtection="1">
      <alignment vertical="center"/>
    </xf>
    <xf numFmtId="0" fontId="0" fillId="7" borderId="33" xfId="0" applyFont="1" applyFill="1" applyBorder="1" applyAlignment="1" applyProtection="1">
      <alignment horizontal="center" vertical="center"/>
    </xf>
    <xf numFmtId="0" fontId="0" fillId="7" borderId="34" xfId="0" applyFont="1" applyFill="1" applyBorder="1" applyAlignment="1" applyProtection="1">
      <alignment horizontal="center" vertical="center"/>
    </xf>
    <xf numFmtId="0" fontId="0" fillId="7" borderId="35" xfId="0" applyFont="1" applyFill="1" applyBorder="1" applyAlignment="1" applyProtection="1">
      <alignment horizontal="center" vertical="center"/>
    </xf>
    <xf numFmtId="0" fontId="20" fillId="0" borderId="3" xfId="4" applyFont="1" applyFill="1" applyBorder="1" applyAlignment="1"/>
    <xf numFmtId="0" fontId="20" fillId="0" borderId="9" xfId="4" applyFont="1" applyFill="1" applyBorder="1" applyAlignment="1"/>
    <xf numFmtId="0" fontId="0" fillId="2" borderId="33" xfId="0" applyFont="1" applyFill="1" applyBorder="1" applyProtection="1">
      <alignment vertical="center"/>
    </xf>
    <xf numFmtId="0" fontId="0" fillId="2" borderId="35" xfId="0" applyFont="1" applyFill="1" applyBorder="1" applyProtection="1">
      <alignment vertical="center"/>
    </xf>
    <xf numFmtId="3" fontId="22" fillId="42" borderId="46" xfId="11" applyFont="1" applyBorder="1">
      <alignment horizontal="right" vertical="center"/>
      <protection locked="0"/>
    </xf>
    <xf numFmtId="3" fontId="22" fillId="42" borderId="44" xfId="11" applyFont="1" applyBorder="1">
      <alignment horizontal="right" vertical="center"/>
      <protection locked="0"/>
    </xf>
    <xf numFmtId="0" fontId="24" fillId="7" borderId="36" xfId="0" applyFont="1" applyFill="1" applyBorder="1" applyAlignment="1" applyProtection="1">
      <alignment horizontal="center" vertical="center"/>
    </xf>
    <xf numFmtId="0" fontId="22" fillId="16" borderId="37" xfId="55" applyFont="1" applyBorder="1">
      <alignment horizontal="center" vertical="center" wrapText="1"/>
    </xf>
    <xf numFmtId="0" fontId="22" fillId="16" borderId="38" xfId="55" applyFont="1" applyBorder="1">
      <alignment horizontal="center" vertical="center" wrapText="1"/>
    </xf>
    <xf numFmtId="0" fontId="22" fillId="7" borderId="32" xfId="0" applyFont="1" applyFill="1" applyBorder="1" applyAlignment="1" applyProtection="1">
      <alignment vertical="center"/>
    </xf>
    <xf numFmtId="0" fontId="35" fillId="14" borderId="43" xfId="3" applyFont="1" applyBorder="1">
      <alignment horizontal="center" vertical="center"/>
    </xf>
    <xf numFmtId="0" fontId="24" fillId="7" borderId="28" xfId="0" applyFont="1" applyFill="1" applyBorder="1" applyAlignment="1" applyProtection="1">
      <alignment vertical="center"/>
    </xf>
    <xf numFmtId="0" fontId="20" fillId="7" borderId="2" xfId="0" applyFont="1" applyFill="1" applyBorder="1" applyAlignment="1">
      <alignment vertical="center"/>
    </xf>
    <xf numFmtId="0" fontId="20" fillId="7" borderId="9" xfId="0" applyFont="1" applyFill="1" applyBorder="1" applyAlignment="1">
      <alignment vertical="center"/>
    </xf>
    <xf numFmtId="15" fontId="21" fillId="7" borderId="9" xfId="0" applyNumberFormat="1" applyFont="1" applyFill="1" applyBorder="1" applyAlignment="1">
      <alignment vertical="center"/>
    </xf>
    <xf numFmtId="15" fontId="21" fillId="7" borderId="0" xfId="0" applyNumberFormat="1" applyFont="1" applyFill="1" applyBorder="1" applyAlignment="1">
      <alignment vertical="center"/>
    </xf>
    <xf numFmtId="0" fontId="24" fillId="7" borderId="29" xfId="0" applyFont="1" applyBorder="1">
      <alignment vertical="center"/>
    </xf>
    <xf numFmtId="169" fontId="24" fillId="7" borderId="20" xfId="35" applyFont="1" applyBorder="1">
      <alignment horizontal="center" vertical="center" wrapText="1"/>
    </xf>
    <xf numFmtId="169" fontId="24" fillId="7" borderId="36" xfId="35" applyFont="1" applyBorder="1">
      <alignment horizontal="center" vertical="center" wrapText="1"/>
    </xf>
    <xf numFmtId="0" fontId="24" fillId="7" borderId="9" xfId="0" applyFont="1" applyBorder="1">
      <alignment vertical="center"/>
    </xf>
    <xf numFmtId="0" fontId="24" fillId="7" borderId="9" xfId="0" applyFont="1" applyFill="1" applyBorder="1">
      <alignment vertical="center"/>
    </xf>
    <xf numFmtId="49" fontId="0" fillId="42" borderId="41" xfId="19" applyFont="1" applyBorder="1" applyAlignment="1" applyProtection="1">
      <alignment horizontal="center" vertical="center"/>
      <protection locked="0"/>
    </xf>
    <xf numFmtId="0" fontId="0" fillId="0" borderId="35" xfId="0" applyFont="1" applyFill="1" applyBorder="1" applyAlignment="1" applyProtection="1">
      <alignment horizontal="left" vertical="center" wrapText="1" indent="1"/>
    </xf>
    <xf numFmtId="0" fontId="24" fillId="7" borderId="36" xfId="0" applyFont="1" applyFill="1" applyBorder="1" applyAlignment="1" applyProtection="1">
      <alignment horizontal="center" vertical="center"/>
    </xf>
    <xf numFmtId="0" fontId="0" fillId="7" borderId="34" xfId="0" applyFont="1" applyFill="1" applyBorder="1" applyAlignment="1" applyProtection="1">
      <alignment horizontal="left" vertical="center"/>
    </xf>
    <xf numFmtId="0" fontId="24" fillId="7" borderId="19" xfId="0" applyFont="1" applyFill="1" applyBorder="1" applyAlignment="1" applyProtection="1">
      <alignment horizontal="center" vertical="center" wrapText="1"/>
    </xf>
    <xf numFmtId="171" fontId="0" fillId="14" borderId="27" xfId="3" applyNumberFormat="1" applyFont="1" applyBorder="1">
      <alignment horizontal="center" vertical="center"/>
    </xf>
    <xf numFmtId="3" fontId="22" fillId="7" borderId="23" xfId="2" applyNumberFormat="1" applyFont="1" applyBorder="1" applyAlignment="1">
      <alignment horizontal="left" vertical="center" wrapText="1"/>
    </xf>
    <xf numFmtId="3" fontId="22" fillId="7" borderId="25" xfId="2" applyNumberFormat="1" applyFont="1" applyBorder="1" applyAlignment="1">
      <alignment horizontal="left" vertical="center" wrapText="1"/>
    </xf>
    <xf numFmtId="3" fontId="22" fillId="7" borderId="27" xfId="2" applyNumberFormat="1" applyFont="1" applyBorder="1" applyAlignment="1">
      <alignment horizontal="left" vertical="center" wrapText="1"/>
    </xf>
    <xf numFmtId="0" fontId="22" fillId="7" borderId="23" xfId="2" applyFont="1" applyBorder="1">
      <alignment horizontal="center" vertical="center"/>
    </xf>
    <xf numFmtId="0" fontId="22" fillId="7" borderId="37" xfId="2" applyFont="1" applyBorder="1">
      <alignment horizontal="center" vertical="center"/>
    </xf>
    <xf numFmtId="0" fontId="0" fillId="7" borderId="23" xfId="0" applyFont="1" applyFill="1" applyBorder="1" applyAlignment="1" applyProtection="1">
      <alignment vertical="center"/>
    </xf>
    <xf numFmtId="3" fontId="22" fillId="7" borderId="38" xfId="30" applyFont="1" applyFill="1" applyBorder="1">
      <alignment horizontal="right" vertical="center"/>
    </xf>
    <xf numFmtId="3" fontId="22" fillId="14" borderId="47" xfId="3" applyNumberFormat="1" applyFont="1" applyBorder="1">
      <alignment horizontal="center" vertical="center"/>
    </xf>
    <xf numFmtId="0" fontId="46" fillId="7" borderId="34" xfId="0" applyFont="1" applyFill="1" applyBorder="1" applyAlignment="1" applyProtection="1">
      <alignment horizontal="left" vertical="center" indent="3"/>
    </xf>
    <xf numFmtId="0" fontId="22" fillId="7" borderId="34" xfId="0" applyFont="1" applyFill="1" applyBorder="1" applyAlignment="1" applyProtection="1">
      <alignment horizontal="left" vertical="center" indent="4"/>
    </xf>
    <xf numFmtId="0" fontId="24" fillId="7" borderId="34" xfId="0" applyFont="1" applyFill="1" applyBorder="1" applyAlignment="1" applyProtection="1">
      <alignment horizontal="left" vertical="center"/>
    </xf>
    <xf numFmtId="3" fontId="22" fillId="42" borderId="51" xfId="11" applyFont="1" applyBorder="1" applyAlignment="1" applyProtection="1">
      <alignment horizontal="right" vertical="center"/>
      <protection locked="0"/>
    </xf>
    <xf numFmtId="0" fontId="0" fillId="7" borderId="8" xfId="0" applyFont="1" applyFill="1" applyBorder="1">
      <alignment vertical="center"/>
    </xf>
    <xf numFmtId="3" fontId="22" fillId="42" borderId="51" xfId="11" applyFont="1" applyBorder="1">
      <alignment horizontal="right" vertical="center"/>
      <protection locked="0"/>
    </xf>
    <xf numFmtId="0" fontId="0" fillId="7" borderId="46" xfId="0" applyFont="1" applyFill="1" applyBorder="1" applyAlignment="1" applyProtection="1">
      <alignment horizontal="left" vertical="center" indent="1"/>
    </xf>
    <xf numFmtId="0" fontId="0" fillId="7" borderId="37" xfId="0" applyFont="1" applyFill="1" applyBorder="1" applyAlignment="1" applyProtection="1">
      <alignment horizontal="left" vertical="center"/>
    </xf>
    <xf numFmtId="0" fontId="0" fillId="7" borderId="41" xfId="0" applyFont="1" applyFill="1" applyBorder="1" applyAlignment="1" applyProtection="1">
      <alignment horizontal="left" vertical="center"/>
    </xf>
    <xf numFmtId="0" fontId="0" fillId="7" borderId="47" xfId="0" applyFont="1" applyFill="1" applyBorder="1" applyAlignment="1" applyProtection="1">
      <alignment horizontal="left" vertical="center"/>
    </xf>
    <xf numFmtId="0" fontId="0" fillId="7" borderId="38" xfId="0" applyFont="1" applyFill="1" applyBorder="1" applyAlignment="1" applyProtection="1">
      <alignment horizontal="left" vertical="center"/>
    </xf>
    <xf numFmtId="0" fontId="0" fillId="7" borderId="11" xfId="0" applyFill="1" applyBorder="1" applyAlignment="1">
      <alignment vertical="center"/>
    </xf>
    <xf numFmtId="3" fontId="22" fillId="42" borderId="63" xfId="11" applyFont="1" applyBorder="1" applyAlignment="1" applyProtection="1">
      <alignment horizontal="right" vertical="center"/>
      <protection locked="0"/>
    </xf>
    <xf numFmtId="3" fontId="22" fillId="42" borderId="59" xfId="11" applyFont="1" applyBorder="1" applyAlignment="1" applyProtection="1">
      <alignment horizontal="right" vertical="center"/>
      <protection locked="0"/>
    </xf>
    <xf numFmtId="0" fontId="0" fillId="7" borderId="27" xfId="0" applyFont="1" applyFill="1" applyBorder="1" applyAlignment="1" applyProtection="1">
      <alignment horizontal="left" vertical="center"/>
    </xf>
    <xf numFmtId="0" fontId="0" fillId="2" borderId="34" xfId="0" applyFont="1" applyFill="1" applyBorder="1" applyAlignment="1" applyProtection="1">
      <alignment vertical="center" wrapText="1"/>
    </xf>
    <xf numFmtId="0" fontId="0" fillId="2" borderId="34" xfId="0" applyFont="1" applyFill="1" applyBorder="1" applyAlignment="1" applyProtection="1">
      <alignment horizontal="left" vertical="center" wrapText="1" indent="3"/>
    </xf>
    <xf numFmtId="0" fontId="22" fillId="7" borderId="5" xfId="0" applyFont="1" applyFill="1" applyBorder="1" applyAlignment="1" applyProtection="1">
      <alignment horizontal="center" vertical="center"/>
    </xf>
    <xf numFmtId="0" fontId="22" fillId="7" borderId="8" xfId="0" applyFont="1" applyFill="1" applyBorder="1" applyAlignment="1" applyProtection="1">
      <alignment horizontal="center" vertical="center"/>
    </xf>
    <xf numFmtId="0" fontId="24" fillId="7" borderId="36" xfId="0" applyFont="1" applyFill="1" applyBorder="1" applyAlignment="1" applyProtection="1">
      <alignment horizontal="center" vertical="center"/>
    </xf>
    <xf numFmtId="0" fontId="24" fillId="7" borderId="36" xfId="0" applyFont="1" applyFill="1" applyBorder="1" applyAlignment="1" applyProtection="1">
      <alignment horizontal="center" vertical="center" wrapText="1"/>
    </xf>
    <xf numFmtId="0" fontId="22" fillId="7" borderId="46" xfId="0" applyFont="1" applyFill="1" applyBorder="1" applyAlignment="1">
      <alignment horizontal="left" vertical="center"/>
    </xf>
    <xf numFmtId="0" fontId="24" fillId="7" borderId="20" xfId="0" applyFont="1" applyFill="1" applyBorder="1" applyAlignment="1" applyProtection="1">
      <alignment horizontal="center" vertical="center" wrapText="1"/>
    </xf>
    <xf numFmtId="0" fontId="24" fillId="7" borderId="20" xfId="5" applyFont="1" applyFill="1" applyBorder="1" applyAlignment="1">
      <alignment horizontal="center" vertical="center" wrapText="1"/>
    </xf>
    <xf numFmtId="0" fontId="24" fillId="7" borderId="36" xfId="5" applyFont="1" applyFill="1" applyBorder="1" applyAlignment="1">
      <alignment horizontal="center" vertical="center" wrapText="1"/>
    </xf>
    <xf numFmtId="0" fontId="24" fillId="7" borderId="29" xfId="5" applyFont="1" applyFill="1" applyBorder="1" applyAlignment="1">
      <alignment horizontal="center" vertical="center" wrapText="1"/>
    </xf>
    <xf numFmtId="0" fontId="24" fillId="2" borderId="20" xfId="5" applyFont="1" applyFill="1" applyBorder="1" applyAlignment="1">
      <alignment horizontal="center" vertical="center" wrapText="1"/>
    </xf>
    <xf numFmtId="0" fontId="24" fillId="2" borderId="36" xfId="5" applyFont="1" applyFill="1" applyBorder="1" applyAlignment="1">
      <alignment horizontal="center" vertical="center" wrapText="1"/>
    </xf>
    <xf numFmtId="0" fontId="24" fillId="7" borderId="9"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2" fillId="7" borderId="23" xfId="0" applyFont="1" applyFill="1" applyBorder="1" applyAlignment="1" applyProtection="1">
      <alignment horizontal="center" vertical="center"/>
    </xf>
    <xf numFmtId="0" fontId="22" fillId="7" borderId="27" xfId="0" applyFont="1" applyFill="1" applyBorder="1" applyAlignment="1" applyProtection="1">
      <alignment horizontal="center" vertical="center"/>
    </xf>
    <xf numFmtId="0" fontId="22" fillId="7" borderId="41" xfId="0" applyFont="1" applyBorder="1" applyAlignment="1">
      <alignment horizontal="left" vertical="top" wrapText="1" indent="5"/>
    </xf>
    <xf numFmtId="0" fontId="22" fillId="2" borderId="58" xfId="0" applyFont="1" applyFill="1" applyBorder="1" applyAlignment="1">
      <alignment horizontal="center" vertical="center"/>
    </xf>
    <xf numFmtId="0" fontId="22" fillId="2" borderId="40" xfId="0" applyFont="1" applyFill="1" applyBorder="1" applyAlignment="1">
      <alignment horizontal="center" vertical="center"/>
    </xf>
    <xf numFmtId="0" fontId="24" fillId="7" borderId="48" xfId="5" applyFont="1" applyFill="1" applyBorder="1" applyAlignment="1" applyProtection="1">
      <alignment horizontal="center" vertical="center" wrapText="1"/>
    </xf>
    <xf numFmtId="0" fontId="24" fillId="7" borderId="20" xfId="5" applyFont="1" applyFill="1" applyBorder="1" applyAlignment="1" applyProtection="1">
      <alignment horizontal="center" vertical="center" wrapText="1"/>
    </xf>
    <xf numFmtId="0" fontId="23" fillId="7" borderId="0" xfId="0" applyFont="1" applyFill="1" applyBorder="1" applyAlignment="1" applyProtection="1">
      <alignment horizontal="left" wrapText="1"/>
    </xf>
    <xf numFmtId="0" fontId="23" fillId="7" borderId="6" xfId="0" applyFont="1" applyFill="1" applyBorder="1" applyAlignment="1" applyProtection="1">
      <alignment horizontal="left" wrapText="1"/>
    </xf>
    <xf numFmtId="0" fontId="24" fillId="2" borderId="3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5" fillId="2" borderId="34" xfId="83" applyFont="1" applyFill="1" applyBorder="1" applyAlignment="1" applyProtection="1">
      <alignment horizontal="left" vertical="center" wrapText="1" indent="2"/>
    </xf>
    <xf numFmtId="0" fontId="25" fillId="2" borderId="31" xfId="83" applyFont="1" applyFill="1" applyBorder="1" applyAlignment="1" applyProtection="1">
      <alignment horizontal="left" vertical="center" wrapText="1" indent="2"/>
    </xf>
    <xf numFmtId="0" fontId="24" fillId="7" borderId="0" xfId="0" applyFont="1" applyFill="1" applyBorder="1" applyAlignment="1" applyProtection="1">
      <alignment horizontal="center" vertical="center" wrapText="1"/>
    </xf>
    <xf numFmtId="0" fontId="0" fillId="7" borderId="33" xfId="0" applyFont="1" applyFill="1" applyBorder="1" applyAlignment="1" applyProtection="1">
      <alignment horizontal="left" vertical="center"/>
    </xf>
    <xf numFmtId="0" fontId="0" fillId="7" borderId="34" xfId="0" applyFont="1" applyFill="1" applyBorder="1" applyAlignment="1" applyProtection="1">
      <alignment horizontal="left" vertical="center"/>
    </xf>
    <xf numFmtId="0" fontId="0" fillId="7" borderId="31" xfId="0" applyFont="1" applyFill="1" applyBorder="1" applyAlignment="1" applyProtection="1">
      <alignment horizontal="left" vertical="center"/>
    </xf>
    <xf numFmtId="0" fontId="0" fillId="7" borderId="35" xfId="0" applyFont="1" applyFill="1" applyBorder="1" applyAlignment="1" applyProtection="1">
      <alignment horizontal="left" vertical="center"/>
    </xf>
    <xf numFmtId="0" fontId="22" fillId="7" borderId="33" xfId="0" applyFont="1" applyFill="1" applyBorder="1" applyAlignment="1">
      <alignment horizontal="left" vertical="center"/>
    </xf>
    <xf numFmtId="0" fontId="22" fillId="7" borderId="31" xfId="0" applyFont="1" applyFill="1" applyBorder="1" applyAlignment="1" applyProtection="1">
      <alignment horizontal="center" vertical="center"/>
    </xf>
    <xf numFmtId="0" fontId="22" fillId="7" borderId="30" xfId="0" applyFont="1" applyFill="1" applyBorder="1" applyAlignment="1" applyProtection="1">
      <alignment horizontal="center" vertical="center"/>
    </xf>
    <xf numFmtId="0" fontId="22" fillId="7" borderId="30" xfId="0" applyFont="1" applyFill="1" applyBorder="1" applyAlignment="1" applyProtection="1">
      <alignment horizontal="left" vertical="center"/>
    </xf>
    <xf numFmtId="0" fontId="22" fillId="7" borderId="33" xfId="0" applyFont="1" applyFill="1" applyBorder="1" applyAlignment="1" applyProtection="1">
      <alignment horizontal="left" vertical="center"/>
    </xf>
    <xf numFmtId="0" fontId="24" fillId="7" borderId="29" xfId="0" applyFont="1" applyFill="1" applyBorder="1" applyAlignment="1">
      <alignment horizontal="left" vertical="center"/>
    </xf>
    <xf numFmtId="0" fontId="22" fillId="14" borderId="38" xfId="3" applyFont="1" applyBorder="1" applyAlignment="1" applyProtection="1">
      <alignment horizontal="center" vertical="center"/>
    </xf>
    <xf numFmtId="0" fontId="23" fillId="2" borderId="2"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wrapText="1"/>
    </xf>
    <xf numFmtId="0" fontId="23" fillId="2" borderId="0" xfId="0" applyFont="1" applyFill="1" applyBorder="1" applyAlignment="1" applyProtection="1">
      <alignment horizontal="left" vertical="top" wrapText="1"/>
    </xf>
    <xf numFmtId="0" fontId="24" fillId="2" borderId="36" xfId="0" applyFont="1" applyFill="1" applyBorder="1" applyAlignment="1">
      <alignment horizontal="center" vertical="center" wrapText="1"/>
    </xf>
    <xf numFmtId="0" fontId="22" fillId="2" borderId="31" xfId="0" applyFont="1" applyFill="1" applyBorder="1" applyAlignment="1" applyProtection="1">
      <alignment horizontal="center" vertical="center"/>
    </xf>
    <xf numFmtId="0" fontId="22" fillId="2" borderId="25" xfId="0" applyFont="1" applyFill="1" applyBorder="1" applyAlignment="1" applyProtection="1">
      <alignment horizontal="left" vertical="center" wrapText="1"/>
    </xf>
    <xf numFmtId="0" fontId="22" fillId="2" borderId="25" xfId="0" applyFont="1" applyFill="1" applyBorder="1" applyAlignment="1" applyProtection="1">
      <alignment horizontal="center" vertical="center" wrapText="1"/>
    </xf>
    <xf numFmtId="0" fontId="24" fillId="2" borderId="48"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2" fillId="2" borderId="30" xfId="0" applyFont="1" applyFill="1" applyBorder="1" applyAlignment="1" applyProtection="1">
      <alignment horizontal="center" vertical="center"/>
    </xf>
    <xf numFmtId="0" fontId="22" fillId="2" borderId="23" xfId="0" applyFont="1" applyFill="1" applyBorder="1" applyAlignment="1" applyProtection="1">
      <alignment horizontal="left" vertical="center" wrapText="1"/>
    </xf>
    <xf numFmtId="0" fontId="24" fillId="2" borderId="48" xfId="0" applyFont="1" applyFill="1" applyBorder="1" applyAlignment="1" applyProtection="1">
      <alignment horizontal="center" vertical="center" wrapText="1"/>
    </xf>
    <xf numFmtId="0" fontId="24" fillId="2" borderId="36" xfId="0" applyFont="1" applyFill="1" applyBorder="1" applyAlignment="1" applyProtection="1">
      <alignment horizontal="center" vertical="center" wrapText="1"/>
    </xf>
    <xf numFmtId="0" fontId="24" fillId="2" borderId="50" xfId="0" applyFont="1" applyFill="1" applyBorder="1" applyAlignment="1">
      <alignment horizontal="center" vertical="center" wrapText="1"/>
    </xf>
    <xf numFmtId="0" fontId="22" fillId="2" borderId="27" xfId="0" applyFont="1" applyFill="1" applyBorder="1" applyAlignment="1" applyProtection="1">
      <alignment horizontal="center" vertical="center" wrapText="1"/>
    </xf>
    <xf numFmtId="0" fontId="0" fillId="2" borderId="45" xfId="0"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0" fontId="22" fillId="7" borderId="9" xfId="0" applyFont="1" applyFill="1" applyBorder="1" applyAlignment="1" applyProtection="1">
      <alignment horizontal="center" vertical="center"/>
    </xf>
    <xf numFmtId="0" fontId="22" fillId="7" borderId="31" xfId="0" applyFont="1" applyFill="1" applyBorder="1" applyAlignment="1" applyProtection="1">
      <alignment horizontal="left" vertical="center" wrapText="1" indent="1"/>
    </xf>
    <xf numFmtId="0" fontId="22" fillId="7" borderId="32" xfId="0" applyFont="1" applyFill="1" applyBorder="1" applyAlignment="1" applyProtection="1">
      <alignment horizontal="left" vertical="center" wrapText="1"/>
    </xf>
    <xf numFmtId="0" fontId="22" fillId="7" borderId="25" xfId="0" applyFont="1" applyFill="1" applyBorder="1" applyAlignment="1" applyProtection="1">
      <alignment horizontal="left" vertical="center" wrapText="1" indent="1"/>
    </xf>
    <xf numFmtId="0" fontId="22" fillId="7" borderId="31" xfId="0" applyFont="1" applyFill="1" applyBorder="1" applyAlignment="1" applyProtection="1">
      <alignment horizontal="left" vertical="center" wrapText="1" indent="2"/>
    </xf>
    <xf numFmtId="0" fontId="22" fillId="7" borderId="31" xfId="0" applyFont="1" applyFill="1" applyBorder="1" applyAlignment="1" applyProtection="1">
      <alignment horizontal="left" vertical="center" wrapText="1" indent="3"/>
    </xf>
    <xf numFmtId="0" fontId="24" fillId="2" borderId="36" xfId="0" applyFont="1" applyFill="1" applyBorder="1" applyAlignment="1">
      <alignment horizontal="center" vertical="center"/>
    </xf>
    <xf numFmtId="0" fontId="24" fillId="2" borderId="29" xfId="0" applyFont="1" applyFill="1" applyBorder="1" applyAlignment="1">
      <alignment horizontal="center" vertical="center"/>
    </xf>
    <xf numFmtId="0" fontId="22" fillId="7" borderId="58" xfId="0" applyFont="1" applyFill="1" applyBorder="1" applyAlignment="1">
      <alignment horizontal="left" vertical="center"/>
    </xf>
    <xf numFmtId="3" fontId="22" fillId="42" borderId="42" xfId="11" applyFont="1" applyBorder="1" applyAlignment="1" applyProtection="1">
      <alignment horizontal="right" vertical="center"/>
      <protection locked="0"/>
    </xf>
    <xf numFmtId="0" fontId="22" fillId="7" borderId="39" xfId="0" applyFont="1" applyFill="1" applyBorder="1" applyAlignment="1">
      <alignment horizontal="left" vertical="center"/>
    </xf>
    <xf numFmtId="0" fontId="24" fillId="7" borderId="36" xfId="0" applyFont="1" applyFill="1" applyBorder="1" applyAlignment="1" applyProtection="1">
      <alignment horizontal="center" vertical="center" wrapText="1"/>
    </xf>
    <xf numFmtId="0" fontId="24" fillId="7" borderId="9" xfId="0" applyFont="1" applyFill="1" applyBorder="1" applyAlignment="1" applyProtection="1">
      <alignment horizontal="center" vertical="center" wrapText="1"/>
    </xf>
    <xf numFmtId="0" fontId="24" fillId="7" borderId="48" xfId="0" applyFont="1" applyFill="1" applyBorder="1" applyAlignment="1" applyProtection="1">
      <alignment horizontal="center" vertical="center" wrapText="1"/>
    </xf>
    <xf numFmtId="0" fontId="24" fillId="7" borderId="20" xfId="0" applyFont="1" applyFill="1" applyBorder="1" applyAlignment="1" applyProtection="1">
      <alignment horizontal="center" vertical="center" wrapText="1"/>
    </xf>
    <xf numFmtId="0" fontId="24" fillId="7" borderId="50" xfId="0" applyFont="1" applyFill="1" applyBorder="1" applyAlignment="1" applyProtection="1">
      <alignment horizontal="center" vertical="center" wrapText="1"/>
    </xf>
    <xf numFmtId="0" fontId="24" fillId="7" borderId="39" xfId="0" applyFont="1" applyFill="1" applyBorder="1" applyAlignment="1" applyProtection="1">
      <alignment horizontal="center" vertical="center" wrapText="1"/>
    </xf>
    <xf numFmtId="0" fontId="22" fillId="7" borderId="30" xfId="0" applyFont="1" applyFill="1" applyBorder="1" applyAlignment="1" applyProtection="1">
      <alignment horizontal="center" vertical="center"/>
    </xf>
    <xf numFmtId="0" fontId="22" fillId="7" borderId="31" xfId="0" applyFont="1" applyFill="1" applyBorder="1" applyAlignment="1" applyProtection="1">
      <alignment horizontal="center" vertical="center"/>
    </xf>
    <xf numFmtId="0" fontId="24" fillId="7" borderId="59" xfId="0" applyFont="1" applyFill="1" applyBorder="1" applyAlignment="1" applyProtection="1">
      <alignment horizontal="center" vertical="center" wrapText="1"/>
    </xf>
    <xf numFmtId="0" fontId="24" fillId="7" borderId="63" xfId="0" applyFont="1" applyFill="1" applyBorder="1" applyAlignment="1" applyProtection="1">
      <alignment horizontal="center" vertical="center" wrapText="1"/>
    </xf>
    <xf numFmtId="0" fontId="24" fillId="7" borderId="21" xfId="0" applyFont="1" applyFill="1" applyBorder="1" applyAlignment="1" applyProtection="1">
      <alignment horizontal="center" vertical="center" wrapText="1"/>
    </xf>
    <xf numFmtId="0" fontId="4" fillId="7" borderId="0" xfId="0" applyFont="1" applyFill="1" applyBorder="1">
      <alignment vertical="center"/>
    </xf>
    <xf numFmtId="0" fontId="22" fillId="7" borderId="0" xfId="0" applyFont="1" applyFill="1" applyBorder="1" applyAlignment="1">
      <alignment horizontal="left" vertical="center"/>
    </xf>
    <xf numFmtId="0" fontId="23" fillId="7" borderId="2" xfId="0" applyFont="1" applyFill="1" applyBorder="1" applyAlignment="1" applyProtection="1">
      <alignment horizontal="left" wrapText="1"/>
    </xf>
    <xf numFmtId="0" fontId="0" fillId="7" borderId="2" xfId="0" applyBorder="1">
      <alignment vertical="center"/>
    </xf>
    <xf numFmtId="0" fontId="23" fillId="7" borderId="2" xfId="0" applyFont="1" applyFill="1" applyBorder="1" applyAlignment="1" applyProtection="1"/>
    <xf numFmtId="0" fontId="0" fillId="7" borderId="0" xfId="0" applyFill="1" applyBorder="1" applyAlignment="1">
      <alignment vertical="center"/>
    </xf>
    <xf numFmtId="0" fontId="0" fillId="7" borderId="2" xfId="0" applyFill="1" applyBorder="1">
      <alignment vertical="center"/>
    </xf>
    <xf numFmtId="0" fontId="24" fillId="7" borderId="36" xfId="0" applyFont="1" applyFill="1" applyBorder="1" applyAlignment="1" applyProtection="1">
      <alignment horizontal="center" vertical="center" wrapText="1"/>
    </xf>
    <xf numFmtId="0" fontId="24" fillId="7" borderId="48" xfId="0" applyFont="1" applyFill="1" applyBorder="1" applyAlignment="1" applyProtection="1">
      <alignment horizontal="center" vertical="center" wrapText="1"/>
    </xf>
    <xf numFmtId="0" fontId="24" fillId="7" borderId="20" xfId="0" applyFont="1" applyFill="1" applyBorder="1" applyAlignment="1" applyProtection="1">
      <alignment horizontal="center" vertical="center" wrapText="1"/>
    </xf>
    <xf numFmtId="0" fontId="0" fillId="7" borderId="33" xfId="0" applyFont="1" applyFill="1" applyBorder="1" applyAlignment="1" applyProtection="1">
      <alignment horizontal="left" vertical="center"/>
    </xf>
    <xf numFmtId="0" fontId="0" fillId="7" borderId="30" xfId="0" applyFont="1" applyFill="1" applyBorder="1" applyAlignment="1" applyProtection="1">
      <alignment horizontal="left" vertical="center"/>
    </xf>
    <xf numFmtId="0" fontId="0" fillId="7" borderId="34" xfId="0" applyFont="1" applyFill="1" applyBorder="1" applyAlignment="1" applyProtection="1">
      <alignment horizontal="left" vertical="center"/>
    </xf>
    <xf numFmtId="0" fontId="0" fillId="7" borderId="31" xfId="0" applyFont="1" applyFill="1" applyBorder="1" applyAlignment="1" applyProtection="1">
      <alignment horizontal="left" vertical="center"/>
    </xf>
    <xf numFmtId="0" fontId="0" fillId="7" borderId="35" xfId="0" applyFont="1" applyFill="1" applyBorder="1" applyAlignment="1" applyProtection="1">
      <alignment horizontal="left" vertical="center"/>
    </xf>
    <xf numFmtId="0" fontId="0" fillId="7" borderId="32" xfId="0" applyFont="1" applyFill="1" applyBorder="1" applyAlignment="1" applyProtection="1">
      <alignment horizontal="left" vertical="center"/>
    </xf>
    <xf numFmtId="0" fontId="22" fillId="7" borderId="33" xfId="0" applyFont="1" applyFill="1" applyBorder="1" applyAlignment="1" applyProtection="1">
      <alignment horizontal="left" vertical="center"/>
    </xf>
    <xf numFmtId="0" fontId="22" fillId="7" borderId="36"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4" fillId="7" borderId="21" xfId="0" applyFont="1" applyFill="1" applyBorder="1" applyAlignment="1" applyProtection="1">
      <alignment horizontal="center" vertical="center" wrapText="1"/>
    </xf>
    <xf numFmtId="0" fontId="0" fillId="7" borderId="30" xfId="0" applyFont="1" applyFill="1" applyBorder="1" applyAlignment="1" applyProtection="1">
      <alignment horizontal="left" vertical="center"/>
    </xf>
    <xf numFmtId="0" fontId="49" fillId="7" borderId="0" xfId="0" applyFont="1" applyFill="1" applyBorder="1">
      <alignment vertical="center"/>
    </xf>
    <xf numFmtId="0" fontId="35" fillId="7" borderId="2" xfId="111" applyFont="1" applyFill="1" applyBorder="1" applyAlignment="1">
      <alignment vertical="top"/>
    </xf>
    <xf numFmtId="0" fontId="0" fillId="2" borderId="30" xfId="0" applyFont="1" applyFill="1" applyBorder="1" applyAlignment="1">
      <alignment horizontal="center" vertical="center"/>
    </xf>
    <xf numFmtId="0" fontId="22" fillId="2" borderId="40" xfId="0" applyFont="1" applyFill="1" applyBorder="1" applyAlignment="1">
      <alignment vertical="center"/>
    </xf>
    <xf numFmtId="0" fontId="0" fillId="7" borderId="30" xfId="0" applyFont="1" applyFill="1" applyBorder="1">
      <alignment vertical="center"/>
    </xf>
    <xf numFmtId="0" fontId="0" fillId="7" borderId="31" xfId="0" applyFont="1" applyFill="1" applyBorder="1">
      <alignment vertical="center"/>
    </xf>
    <xf numFmtId="0" fontId="0" fillId="7" borderId="35" xfId="0" applyFont="1" applyFill="1" applyBorder="1">
      <alignment vertical="center"/>
    </xf>
    <xf numFmtId="168" fontId="22" fillId="42" borderId="20" xfId="10" applyFont="1" applyBorder="1">
      <alignment vertical="center"/>
      <protection locked="0"/>
    </xf>
    <xf numFmtId="168" fontId="22" fillId="42" borderId="36" xfId="10" applyFont="1" applyBorder="1">
      <alignment vertical="center"/>
      <protection locked="0"/>
    </xf>
    <xf numFmtId="0" fontId="0" fillId="7" borderId="9" xfId="0" applyFont="1" applyFill="1" applyBorder="1" applyAlignment="1">
      <alignment vertical="center"/>
    </xf>
    <xf numFmtId="0" fontId="24" fillId="7" borderId="48" xfId="0" applyFont="1" applyFill="1" applyBorder="1" applyAlignment="1" applyProtection="1">
      <alignment horizontal="center" vertical="center" wrapText="1"/>
    </xf>
    <xf numFmtId="0" fontId="24" fillId="7" borderId="36" xfId="0" applyFont="1" applyFill="1" applyBorder="1" applyAlignment="1" applyProtection="1">
      <alignment horizontal="center" vertical="center" wrapText="1"/>
    </xf>
    <xf numFmtId="0" fontId="24" fillId="7" borderId="20" xfId="0" applyFont="1" applyFill="1" applyBorder="1" applyAlignment="1" applyProtection="1">
      <alignment horizontal="center" vertical="center" wrapText="1"/>
    </xf>
    <xf numFmtId="0" fontId="22" fillId="7" borderId="41" xfId="0" applyFont="1" applyFill="1" applyBorder="1" applyAlignment="1">
      <alignment horizontal="left" vertical="center" wrapText="1"/>
    </xf>
    <xf numFmtId="0" fontId="22" fillId="7" borderId="50" xfId="0" applyFont="1" applyFill="1" applyBorder="1" applyAlignment="1">
      <alignment horizontal="left" vertical="center" wrapText="1"/>
    </xf>
    <xf numFmtId="0" fontId="0" fillId="7" borderId="34" xfId="0" applyFont="1" applyFill="1" applyBorder="1" applyAlignment="1" applyProtection="1">
      <alignment horizontal="left" vertical="center"/>
    </xf>
    <xf numFmtId="0" fontId="0" fillId="7" borderId="31" xfId="0" applyFont="1" applyFill="1" applyBorder="1" applyAlignment="1" applyProtection="1">
      <alignment horizontal="left" vertical="center" wrapText="1"/>
    </xf>
    <xf numFmtId="0" fontId="0" fillId="7" borderId="31" xfId="0" applyFont="1" applyFill="1" applyBorder="1" applyAlignment="1" applyProtection="1">
      <alignment vertical="center"/>
    </xf>
    <xf numFmtId="3" fontId="0" fillId="14" borderId="25" xfId="3" applyNumberFormat="1" applyFont="1" applyBorder="1" applyProtection="1">
      <alignment horizontal="center" vertical="center"/>
      <protection locked="0"/>
    </xf>
    <xf numFmtId="0" fontId="22" fillId="2" borderId="25" xfId="0" applyFont="1" applyFill="1" applyBorder="1" applyAlignment="1" applyProtection="1">
      <alignment horizontal="center" vertical="center" wrapText="1"/>
    </xf>
    <xf numFmtId="3" fontId="22" fillId="7" borderId="0" xfId="0" applyNumberFormat="1" applyFont="1" applyFill="1" applyBorder="1">
      <alignment vertical="center"/>
    </xf>
    <xf numFmtId="3" fontId="22" fillId="7" borderId="0" xfId="0" applyNumberFormat="1" applyFont="1" applyFill="1" applyBorder="1" applyAlignment="1">
      <alignment vertical="center"/>
    </xf>
    <xf numFmtId="3" fontId="0" fillId="42" borderId="25" xfId="11" applyFont="1">
      <alignment horizontal="right" vertical="center"/>
      <protection locked="0"/>
    </xf>
    <xf numFmtId="3" fontId="0" fillId="42" borderId="41" xfId="11" applyFont="1" applyBorder="1">
      <alignment horizontal="right" vertical="center"/>
      <protection locked="0"/>
    </xf>
    <xf numFmtId="3" fontId="0" fillId="42" borderId="38" xfId="11" applyFont="1" applyBorder="1">
      <alignment horizontal="right" vertical="center"/>
      <protection locked="0"/>
    </xf>
    <xf numFmtId="0" fontId="54" fillId="7" borderId="0" xfId="0" applyFont="1" applyFill="1" applyBorder="1" applyAlignment="1" applyProtection="1">
      <alignment vertical="center"/>
    </xf>
    <xf numFmtId="0" fontId="55" fillId="49" borderId="0" xfId="0" applyNumberFormat="1" applyFont="1" applyFill="1" applyBorder="1" applyAlignment="1">
      <alignment horizontal="center" vertical="center" wrapText="1"/>
    </xf>
    <xf numFmtId="0" fontId="22" fillId="7" borderId="30" xfId="0" applyFont="1" applyFill="1" applyBorder="1" applyAlignment="1">
      <alignment horizontal="left" vertical="center"/>
    </xf>
    <xf numFmtId="0" fontId="22" fillId="7" borderId="46" xfId="0" applyFont="1" applyFill="1" applyBorder="1" applyAlignment="1">
      <alignment horizontal="left" vertical="center"/>
    </xf>
    <xf numFmtId="0" fontId="24" fillId="7" borderId="28" xfId="0" applyFont="1" applyFill="1" applyBorder="1" applyAlignment="1" applyProtection="1">
      <alignment horizontal="center" vertical="center" wrapText="1"/>
    </xf>
    <xf numFmtId="0" fontId="24" fillId="7" borderId="27" xfId="0" applyFont="1" applyFill="1" applyBorder="1" applyAlignment="1" applyProtection="1">
      <alignment horizontal="center" vertical="center" wrapText="1"/>
    </xf>
    <xf numFmtId="0" fontId="24" fillId="7" borderId="42" xfId="0" applyFont="1" applyFill="1" applyBorder="1" applyAlignment="1" applyProtection="1">
      <alignment horizontal="center" vertical="center" wrapText="1"/>
    </xf>
    <xf numFmtId="0" fontId="24" fillId="7" borderId="38" xfId="0" applyFont="1" applyFill="1" applyBorder="1" applyAlignment="1" applyProtection="1">
      <alignment horizontal="center" vertical="center" wrapText="1"/>
    </xf>
    <xf numFmtId="0" fontId="24" fillId="7" borderId="30" xfId="0" applyFont="1" applyFill="1" applyBorder="1" applyAlignment="1" applyProtection="1">
      <alignment horizontal="center" vertical="center"/>
    </xf>
    <xf numFmtId="0" fontId="24" fillId="7" borderId="32" xfId="0" applyFont="1" applyFill="1" applyBorder="1" applyAlignment="1" applyProtection="1">
      <alignment horizontal="center" vertical="center"/>
    </xf>
    <xf numFmtId="0" fontId="24" fillId="7" borderId="36" xfId="0" applyFont="1" applyFill="1" applyBorder="1" applyAlignment="1" applyProtection="1">
      <alignment horizontal="center" vertical="center" wrapText="1"/>
    </xf>
    <xf numFmtId="0" fontId="24" fillId="7" borderId="9" xfId="0" applyFont="1" applyFill="1" applyBorder="1" applyAlignment="1" applyProtection="1">
      <alignment horizontal="center" vertical="center" wrapText="1"/>
    </xf>
    <xf numFmtId="0" fontId="53" fillId="7" borderId="9" xfId="4" applyFont="1" applyFill="1" applyBorder="1" applyAlignment="1">
      <alignment horizontal="left" vertical="center" wrapText="1"/>
    </xf>
    <xf numFmtId="0" fontId="24" fillId="7" borderId="48" xfId="0" applyFont="1" applyFill="1" applyBorder="1" applyAlignment="1" applyProtection="1">
      <alignment horizontal="center" vertical="center" wrapText="1"/>
    </xf>
    <xf numFmtId="0" fontId="24" fillId="7" borderId="49" xfId="0" applyFont="1" applyFill="1" applyBorder="1" applyAlignment="1" applyProtection="1">
      <alignment horizontal="center" vertical="center" wrapText="1"/>
    </xf>
    <xf numFmtId="0" fontId="22" fillId="7" borderId="5" xfId="0" applyFont="1" applyFill="1" applyBorder="1" applyAlignment="1" applyProtection="1">
      <alignment horizontal="center" vertical="center"/>
    </xf>
    <xf numFmtId="0" fontId="22" fillId="7" borderId="8" xfId="0" applyFont="1" applyFill="1" applyBorder="1" applyAlignment="1" applyProtection="1">
      <alignment horizontal="center" vertical="center"/>
    </xf>
    <xf numFmtId="0" fontId="24" fillId="7" borderId="36" xfId="0" applyFont="1" applyFill="1" applyBorder="1" applyAlignment="1" applyProtection="1">
      <alignment horizontal="center" vertical="center"/>
    </xf>
    <xf numFmtId="0" fontId="24" fillId="7" borderId="9" xfId="0" applyFont="1" applyFill="1" applyBorder="1" applyAlignment="1" applyProtection="1">
      <alignment horizontal="center" vertical="center"/>
    </xf>
    <xf numFmtId="0" fontId="35" fillId="7" borderId="12" xfId="111" applyFont="1" applyFill="1" applyBorder="1" applyAlignment="1">
      <alignment horizontal="left" vertical="center" wrapText="1"/>
    </xf>
    <xf numFmtId="0" fontId="35" fillId="7" borderId="5" xfId="111" applyFont="1" applyFill="1" applyBorder="1" applyAlignment="1">
      <alignment horizontal="left" vertical="center" wrapText="1"/>
    </xf>
    <xf numFmtId="0" fontId="24" fillId="7" borderId="20" xfId="0" applyFont="1" applyFill="1" applyBorder="1" applyAlignment="1" applyProtection="1">
      <alignment horizontal="center" vertical="center" wrapText="1"/>
    </xf>
    <xf numFmtId="0" fontId="24" fillId="2" borderId="20" xfId="5" applyFont="1" applyFill="1" applyBorder="1" applyAlignment="1">
      <alignment horizontal="center" vertical="center" wrapText="1"/>
    </xf>
    <xf numFmtId="0" fontId="24" fillId="2" borderId="36" xfId="5" applyFont="1" applyFill="1" applyBorder="1" applyAlignment="1">
      <alignment horizontal="center" vertical="center" wrapText="1"/>
    </xf>
    <xf numFmtId="0" fontId="22" fillId="7" borderId="41" xfId="0" applyFont="1" applyBorder="1" applyAlignment="1">
      <alignment horizontal="left" vertical="top" wrapText="1" indent="5"/>
    </xf>
    <xf numFmtId="0" fontId="22" fillId="7" borderId="34" xfId="0" applyFont="1" applyBorder="1" applyAlignment="1">
      <alignment horizontal="left" vertical="top" wrapText="1" indent="5"/>
    </xf>
    <xf numFmtId="0" fontId="22" fillId="7" borderId="31" xfId="0" applyFont="1" applyBorder="1" applyAlignment="1">
      <alignment horizontal="left" vertical="top" wrapText="1" indent="5"/>
    </xf>
    <xf numFmtId="0" fontId="24" fillId="0" borderId="29" xfId="0" applyFont="1" applyFill="1" applyBorder="1" applyAlignment="1">
      <alignment horizontal="center" vertical="center" wrapText="1"/>
    </xf>
    <xf numFmtId="0" fontId="22" fillId="2" borderId="20" xfId="0" applyFont="1" applyFill="1" applyBorder="1" applyAlignment="1">
      <alignment horizontal="center" vertical="center"/>
    </xf>
    <xf numFmtId="0" fontId="24" fillId="0" borderId="30"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3" fillId="2" borderId="23" xfId="0" applyFont="1" applyFill="1" applyBorder="1" applyAlignment="1">
      <alignment horizontal="center" vertical="center"/>
    </xf>
    <xf numFmtId="0" fontId="23" fillId="2" borderId="27" xfId="0" applyFont="1" applyFill="1" applyBorder="1" applyAlignment="1">
      <alignment horizontal="center" vertical="center"/>
    </xf>
    <xf numFmtId="0" fontId="24" fillId="2" borderId="29" xfId="5" applyFont="1" applyFill="1" applyBorder="1" applyAlignment="1">
      <alignment horizontal="center" vertical="center" wrapText="1"/>
    </xf>
    <xf numFmtId="0" fontId="22" fillId="2" borderId="39"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40" xfId="0" applyFont="1" applyFill="1" applyBorder="1" applyAlignment="1">
      <alignment horizontal="center" vertical="center"/>
    </xf>
    <xf numFmtId="0" fontId="0" fillId="2" borderId="50" xfId="0" applyFont="1" applyFill="1" applyBorder="1" applyAlignment="1">
      <alignment horizontal="left" vertical="center"/>
    </xf>
    <xf numFmtId="0" fontId="22" fillId="2" borderId="5" xfId="0" applyFont="1" applyFill="1" applyBorder="1" applyAlignment="1">
      <alignment horizontal="left" vertical="center"/>
    </xf>
    <xf numFmtId="0" fontId="22" fillId="2" borderId="39" xfId="0" applyFont="1" applyFill="1" applyBorder="1" applyAlignment="1">
      <alignment horizontal="left" vertical="center"/>
    </xf>
    <xf numFmtId="0" fontId="22" fillId="2" borderId="51" xfId="0" applyFont="1" applyFill="1" applyBorder="1" applyAlignment="1">
      <alignment horizontal="left" vertical="center"/>
    </xf>
    <xf numFmtId="0" fontId="22" fillId="2" borderId="8" xfId="0" applyFont="1" applyFill="1" applyBorder="1" applyAlignment="1">
      <alignment horizontal="left" vertical="center"/>
    </xf>
    <xf numFmtId="0" fontId="22" fillId="2" borderId="40" xfId="0" applyFont="1" applyFill="1" applyBorder="1" applyAlignment="1">
      <alignment horizontal="left" vertical="center"/>
    </xf>
    <xf numFmtId="0" fontId="24" fillId="7" borderId="30" xfId="0" applyFont="1" applyFill="1" applyBorder="1" applyAlignment="1">
      <alignment horizontal="center" vertical="center" wrapText="1"/>
    </xf>
    <xf numFmtId="0" fontId="24" fillId="7" borderId="32" xfId="0" applyFont="1" applyFill="1" applyBorder="1" applyAlignment="1">
      <alignment horizontal="center" vertical="center" wrapText="1"/>
    </xf>
    <xf numFmtId="0" fontId="23" fillId="7" borderId="23" xfId="0" applyFont="1" applyFill="1" applyBorder="1" applyAlignment="1">
      <alignment horizontal="center" vertical="center"/>
    </xf>
    <xf numFmtId="0" fontId="23" fillId="7" borderId="27" xfId="0" applyFont="1" applyFill="1" applyBorder="1" applyAlignment="1">
      <alignment horizontal="center" vertical="center"/>
    </xf>
    <xf numFmtId="0" fontId="24" fillId="0" borderId="39"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2" fillId="2" borderId="48" xfId="0" applyFont="1" applyFill="1" applyBorder="1" applyAlignment="1" applyProtection="1">
      <alignment horizontal="center" vertical="center"/>
    </xf>
    <xf numFmtId="0" fontId="22" fillId="2" borderId="49" xfId="0" applyFont="1" applyFill="1" applyBorder="1" applyAlignment="1" applyProtection="1">
      <alignment horizontal="center" vertical="center"/>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7" borderId="48" xfId="0" applyFont="1" applyFill="1" applyBorder="1" applyAlignment="1">
      <alignment horizontal="center" vertical="center"/>
    </xf>
    <xf numFmtId="0" fontId="23" fillId="7" borderId="49" xfId="0" applyFont="1" applyFill="1" applyBorder="1" applyAlignment="1">
      <alignment horizontal="center" vertical="center"/>
    </xf>
    <xf numFmtId="0" fontId="24" fillId="7" borderId="5"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2" fillId="7" borderId="23" xfId="0" applyFont="1" applyFill="1" applyBorder="1" applyAlignment="1" applyProtection="1">
      <alignment horizontal="center" vertical="center"/>
    </xf>
    <xf numFmtId="0" fontId="22" fillId="7" borderId="27" xfId="0" applyFont="1" applyFill="1" applyBorder="1" applyAlignment="1" applyProtection="1">
      <alignment horizontal="center" vertical="center"/>
    </xf>
    <xf numFmtId="0" fontId="24" fillId="7" borderId="20" xfId="5" applyFont="1" applyFill="1" applyBorder="1" applyAlignment="1">
      <alignment horizontal="center" vertical="center" wrapText="1"/>
    </xf>
    <xf numFmtId="0" fontId="24" fillId="7" borderId="36" xfId="5" applyFont="1" applyFill="1" applyBorder="1" applyAlignment="1">
      <alignment horizontal="center" vertical="center" wrapText="1"/>
    </xf>
    <xf numFmtId="0" fontId="24" fillId="7" borderId="29" xfId="5" applyFont="1" applyFill="1" applyBorder="1" applyAlignment="1">
      <alignment horizontal="center" vertical="center" wrapText="1"/>
    </xf>
    <xf numFmtId="0" fontId="24" fillId="7" borderId="9" xfId="5" applyFont="1" applyFill="1" applyBorder="1" applyAlignment="1">
      <alignment horizontal="center" vertical="center" wrapText="1"/>
    </xf>
    <xf numFmtId="0" fontId="25" fillId="7" borderId="9" xfId="83" applyFont="1" applyFill="1" applyBorder="1" applyAlignment="1">
      <alignment horizontal="left" vertical="center" wrapText="1"/>
    </xf>
    <xf numFmtId="0" fontId="22" fillId="2" borderId="23" xfId="0" applyFont="1" applyFill="1" applyBorder="1" applyAlignment="1" applyProtection="1">
      <alignment horizontal="center" vertical="center"/>
    </xf>
    <xf numFmtId="0" fontId="22" fillId="2" borderId="27" xfId="0" applyFont="1" applyFill="1" applyBorder="1" applyAlignment="1" applyProtection="1">
      <alignment horizontal="center" vertical="center"/>
    </xf>
    <xf numFmtId="0" fontId="23" fillId="7" borderId="2" xfId="0" applyFont="1" applyFill="1" applyBorder="1" applyAlignment="1" applyProtection="1">
      <alignment horizontal="left" wrapText="1"/>
    </xf>
    <xf numFmtId="0" fontId="23" fillId="7" borderId="0" xfId="0" applyFont="1" applyFill="1" applyBorder="1" applyAlignment="1" applyProtection="1">
      <alignment horizontal="left" wrapText="1"/>
    </xf>
    <xf numFmtId="0" fontId="23" fillId="7" borderId="6" xfId="0" applyFont="1" applyFill="1" applyBorder="1" applyAlignment="1" applyProtection="1">
      <alignment horizontal="left" wrapText="1"/>
    </xf>
    <xf numFmtId="0" fontId="24" fillId="7" borderId="48" xfId="5" applyFont="1" applyFill="1" applyBorder="1" applyAlignment="1" applyProtection="1">
      <alignment horizontal="center" vertical="center" wrapText="1"/>
    </xf>
    <xf numFmtId="0" fontId="24" fillId="7" borderId="49" xfId="5" applyFont="1" applyFill="1" applyBorder="1" applyAlignment="1" applyProtection="1">
      <alignment horizontal="center" vertical="center" wrapText="1"/>
    </xf>
    <xf numFmtId="0" fontId="24" fillId="7" borderId="20" xfId="5" applyFont="1" applyFill="1" applyBorder="1" applyAlignment="1" applyProtection="1">
      <alignment horizontal="center" vertical="center" wrapText="1"/>
    </xf>
    <xf numFmtId="0" fontId="24" fillId="7" borderId="29" xfId="0" applyFont="1" applyFill="1" applyBorder="1" applyAlignment="1" applyProtection="1">
      <alignment horizontal="center" vertical="center"/>
    </xf>
    <xf numFmtId="0" fontId="22" fillId="7" borderId="39" xfId="0" applyFont="1" applyFill="1" applyBorder="1" applyAlignment="1" applyProtection="1">
      <alignment horizontal="center" vertical="center"/>
    </xf>
    <xf numFmtId="0" fontId="22" fillId="7" borderId="40"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4" fillId="2" borderId="48" xfId="5" applyFont="1" applyFill="1" applyBorder="1" applyAlignment="1" applyProtection="1">
      <alignment horizontal="center" vertical="center" wrapText="1"/>
    </xf>
    <xf numFmtId="0" fontId="24" fillId="2" borderId="49" xfId="5" applyFont="1" applyFill="1" applyBorder="1" applyAlignment="1" applyProtection="1">
      <alignment horizontal="center" vertical="center" wrapText="1"/>
    </xf>
    <xf numFmtId="0" fontId="42" fillId="2" borderId="0" xfId="0" applyFont="1" applyFill="1" applyBorder="1" applyAlignment="1" applyProtection="1">
      <alignment vertical="center" wrapText="1"/>
    </xf>
    <xf numFmtId="0" fontId="42" fillId="2" borderId="0" xfId="0" applyFont="1" applyFill="1" applyBorder="1" applyAlignment="1">
      <alignment vertical="center"/>
    </xf>
    <xf numFmtId="0" fontId="24" fillId="2" borderId="29" xfId="0"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0" fontId="24" fillId="2" borderId="3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4" fillId="7" borderId="36" xfId="5" applyFont="1" applyBorder="1" applyAlignment="1">
      <alignment horizontal="center" wrapText="1"/>
    </xf>
    <xf numFmtId="0" fontId="24" fillId="7" borderId="9" xfId="5" applyFont="1" applyBorder="1" applyAlignment="1">
      <alignment horizontal="center" wrapText="1"/>
    </xf>
    <xf numFmtId="0" fontId="23" fillId="2" borderId="12" xfId="0" applyFont="1" applyFill="1" applyBorder="1" applyAlignment="1" applyProtection="1">
      <alignment horizontal="left" wrapText="1"/>
    </xf>
    <xf numFmtId="0" fontId="23" fillId="2" borderId="5" xfId="0" applyFont="1" applyFill="1" applyBorder="1" applyAlignment="1" applyProtection="1">
      <alignment horizontal="left" wrapText="1"/>
    </xf>
    <xf numFmtId="0" fontId="22" fillId="2" borderId="39" xfId="0" applyFont="1" applyFill="1" applyBorder="1" applyAlignment="1" applyProtection="1">
      <alignment horizontal="center" vertical="center"/>
    </xf>
    <xf numFmtId="0" fontId="22" fillId="2" borderId="40" xfId="0" applyFont="1" applyFill="1" applyBorder="1" applyAlignment="1" applyProtection="1">
      <alignment horizontal="center" vertical="center"/>
    </xf>
    <xf numFmtId="9" fontId="46" fillId="7" borderId="25" xfId="0" applyNumberFormat="1" applyFont="1" applyFill="1" applyBorder="1" applyAlignment="1">
      <alignment horizontal="center" vertical="center" wrapText="1"/>
    </xf>
    <xf numFmtId="9" fontId="46" fillId="7" borderId="45" xfId="0" applyNumberFormat="1" applyFont="1" applyFill="1" applyBorder="1" applyAlignment="1">
      <alignment horizontal="center" vertical="center" wrapText="1"/>
    </xf>
    <xf numFmtId="9" fontId="46" fillId="7" borderId="27" xfId="0" applyNumberFormat="1" applyFont="1" applyFill="1" applyBorder="1" applyAlignment="1">
      <alignment horizontal="center" vertical="center" wrapText="1"/>
    </xf>
    <xf numFmtId="9" fontId="46" fillId="7" borderId="48" xfId="0" applyNumberFormat="1" applyFont="1" applyFill="1" applyBorder="1" applyAlignment="1">
      <alignment horizontal="center" vertical="center" wrapText="1"/>
    </xf>
    <xf numFmtId="9" fontId="46" fillId="7" borderId="52" xfId="0" applyNumberFormat="1" applyFont="1" applyFill="1" applyBorder="1" applyAlignment="1">
      <alignment horizontal="center" vertical="center" wrapText="1"/>
    </xf>
    <xf numFmtId="9" fontId="46" fillId="7" borderId="23" xfId="0" applyNumberFormat="1" applyFont="1" applyFill="1" applyBorder="1" applyAlignment="1">
      <alignment horizontal="center" vertical="center" wrapText="1"/>
    </xf>
    <xf numFmtId="0" fontId="0" fillId="7" borderId="48"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49" xfId="0" applyFont="1" applyFill="1" applyBorder="1" applyAlignment="1">
      <alignment horizontal="center" vertical="center"/>
    </xf>
    <xf numFmtId="0" fontId="22" fillId="7" borderId="0" xfId="0" applyFont="1" applyFill="1" applyBorder="1" applyAlignment="1">
      <alignment horizontal="center" vertical="center"/>
    </xf>
    <xf numFmtId="9" fontId="46" fillId="7" borderId="41" xfId="0" applyNumberFormat="1" applyFont="1" applyFill="1" applyBorder="1" applyAlignment="1">
      <alignment horizontal="left" vertical="center" wrapText="1"/>
    </xf>
    <xf numFmtId="9" fontId="46" fillId="7" borderId="31" xfId="0" applyNumberFormat="1" applyFont="1" applyFill="1" applyBorder="1" applyAlignment="1">
      <alignment horizontal="left" vertical="center" wrapText="1"/>
    </xf>
    <xf numFmtId="9" fontId="46" fillId="7" borderId="38" xfId="0" applyNumberFormat="1" applyFont="1" applyFill="1" applyBorder="1" applyAlignment="1">
      <alignment horizontal="left" vertical="center" wrapText="1"/>
    </xf>
    <xf numFmtId="9" fontId="46" fillId="7" borderId="32" xfId="0" applyNumberFormat="1" applyFont="1" applyFill="1" applyBorder="1" applyAlignment="1">
      <alignment horizontal="left" vertical="center" wrapText="1"/>
    </xf>
    <xf numFmtId="9" fontId="46" fillId="7" borderId="37" xfId="0" applyNumberFormat="1" applyFont="1" applyFill="1" applyBorder="1" applyAlignment="1">
      <alignment horizontal="left" vertical="center" wrapText="1"/>
    </xf>
    <xf numFmtId="9" fontId="46" fillId="7" borderId="30" xfId="0" applyNumberFormat="1" applyFont="1" applyFill="1" applyBorder="1" applyAlignment="1">
      <alignment horizontal="left" vertical="center" wrapText="1"/>
    </xf>
    <xf numFmtId="0" fontId="0" fillId="7" borderId="48" xfId="0" applyFont="1" applyFill="1" applyBorder="1" applyAlignment="1" applyProtection="1">
      <alignment horizontal="center" vertical="center"/>
    </xf>
    <xf numFmtId="0" fontId="0" fillId="7" borderId="52" xfId="0" applyFont="1" applyFill="1" applyBorder="1" applyAlignment="1" applyProtection="1">
      <alignment horizontal="center" vertical="center"/>
    </xf>
    <xf numFmtId="0" fontId="0" fillId="7" borderId="49" xfId="0" applyFont="1" applyFill="1" applyBorder="1" applyAlignment="1" applyProtection="1">
      <alignment horizontal="center" vertical="center"/>
    </xf>
    <xf numFmtId="9" fontId="46" fillId="7" borderId="28" xfId="0" applyNumberFormat="1" applyFont="1" applyFill="1" applyBorder="1" applyAlignment="1">
      <alignment horizontal="center" vertical="center" wrapText="1"/>
    </xf>
    <xf numFmtId="0" fontId="24" fillId="7" borderId="29" xfId="0" applyFont="1" applyFill="1" applyBorder="1" applyAlignment="1" applyProtection="1">
      <alignment horizontal="center" vertical="center" wrapText="1"/>
    </xf>
    <xf numFmtId="9" fontId="46" fillId="7" borderId="25" xfId="0" applyNumberFormat="1" applyFont="1" applyFill="1" applyBorder="1" applyAlignment="1">
      <alignment horizontal="center" vertical="center"/>
    </xf>
    <xf numFmtId="9" fontId="46" fillId="7" borderId="23" xfId="0" applyNumberFormat="1" applyFont="1" applyFill="1" applyBorder="1" applyAlignment="1">
      <alignment horizontal="center" vertical="center"/>
    </xf>
    <xf numFmtId="0" fontId="0" fillId="7" borderId="33" xfId="0" applyFont="1" applyFill="1" applyBorder="1" applyAlignment="1" applyProtection="1">
      <alignment horizontal="left" vertical="center"/>
    </xf>
    <xf numFmtId="0" fontId="0" fillId="7" borderId="30" xfId="0" applyFont="1" applyFill="1" applyBorder="1" applyAlignment="1" applyProtection="1">
      <alignment horizontal="left" vertical="center"/>
    </xf>
    <xf numFmtId="0" fontId="0" fillId="7" borderId="34" xfId="0" applyFont="1" applyFill="1" applyBorder="1" applyAlignment="1" applyProtection="1">
      <alignment horizontal="left" vertical="center" indent="1"/>
    </xf>
    <xf numFmtId="0" fontId="0" fillId="7" borderId="31" xfId="0" applyFont="1" applyFill="1" applyBorder="1" applyAlignment="1" applyProtection="1">
      <alignment horizontal="left" vertical="center" indent="1"/>
    </xf>
    <xf numFmtId="0" fontId="0" fillId="7" borderId="34" xfId="0" applyFont="1" applyFill="1" applyBorder="1" applyAlignment="1" applyProtection="1">
      <alignment horizontal="left" vertical="center"/>
    </xf>
    <xf numFmtId="0" fontId="0" fillId="7" borderId="31" xfId="0" applyFont="1" applyFill="1" applyBorder="1" applyAlignment="1" applyProtection="1">
      <alignment horizontal="left" vertical="center"/>
    </xf>
    <xf numFmtId="0" fontId="0" fillId="7" borderId="35" xfId="0" applyFont="1" applyFill="1" applyBorder="1" applyAlignment="1" applyProtection="1">
      <alignment horizontal="left" vertical="center"/>
    </xf>
    <xf numFmtId="0" fontId="0" fillId="7" borderId="32" xfId="0" applyFont="1" applyFill="1" applyBorder="1" applyAlignment="1" applyProtection="1">
      <alignment horizontal="left" vertical="center"/>
    </xf>
    <xf numFmtId="0" fontId="0" fillId="7" borderId="5" xfId="0" applyFont="1" applyFill="1" applyBorder="1" applyAlignment="1" applyProtection="1">
      <alignment horizontal="center" vertical="center" wrapText="1"/>
    </xf>
    <xf numFmtId="0" fontId="0" fillId="7" borderId="0" xfId="0"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25" fillId="2" borderId="34" xfId="83" applyFont="1" applyFill="1" applyBorder="1" applyAlignment="1" applyProtection="1">
      <alignment horizontal="left" vertical="center" wrapText="1" indent="2"/>
    </xf>
    <xf numFmtId="0" fontId="25" fillId="2" borderId="31" xfId="83" applyFont="1" applyFill="1" applyBorder="1" applyAlignment="1" applyProtection="1">
      <alignment horizontal="left" vertical="center" wrapText="1" indent="2"/>
    </xf>
    <xf numFmtId="9" fontId="46" fillId="7" borderId="27" xfId="0" applyNumberFormat="1" applyFont="1" applyFill="1" applyBorder="1" applyAlignment="1">
      <alignment horizontal="center" vertical="center"/>
    </xf>
    <xf numFmtId="0" fontId="24" fillId="7" borderId="50" xfId="0" applyFont="1" applyFill="1" applyBorder="1" applyAlignment="1" applyProtection="1">
      <alignment horizontal="center" vertical="center" wrapText="1"/>
    </xf>
    <xf numFmtId="0" fontId="24" fillId="7" borderId="5" xfId="0" applyFont="1" applyFill="1" applyBorder="1" applyAlignment="1" applyProtection="1">
      <alignment horizontal="center" vertical="center" wrapText="1"/>
    </xf>
    <xf numFmtId="0" fontId="24" fillId="7" borderId="39" xfId="0" applyFont="1" applyFill="1" applyBorder="1" applyAlignment="1" applyProtection="1">
      <alignment horizontal="center" vertical="center" wrapText="1"/>
    </xf>
    <xf numFmtId="0" fontId="24" fillId="7" borderId="53"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7" borderId="58" xfId="0" applyFont="1" applyFill="1" applyBorder="1" applyAlignment="1" applyProtection="1">
      <alignment horizontal="center" vertical="center" wrapText="1"/>
    </xf>
    <xf numFmtId="0" fontId="24" fillId="7" borderId="51" xfId="0" applyFont="1" applyFill="1" applyBorder="1" applyAlignment="1" applyProtection="1">
      <alignment horizontal="center" vertical="center" wrapText="1"/>
    </xf>
    <xf numFmtId="0" fontId="24" fillId="7" borderId="8" xfId="0" applyFont="1" applyFill="1" applyBorder="1" applyAlignment="1" applyProtection="1">
      <alignment horizontal="center" vertical="center" wrapText="1"/>
    </xf>
    <xf numFmtId="0" fontId="24" fillId="7" borderId="40" xfId="0" applyFont="1" applyFill="1" applyBorder="1" applyAlignment="1" applyProtection="1">
      <alignment horizontal="center" vertical="center" wrapText="1"/>
    </xf>
    <xf numFmtId="0" fontId="0" fillId="7" borderId="25" xfId="0" applyFont="1" applyFill="1" applyBorder="1" applyAlignment="1" applyProtection="1">
      <alignment horizontal="left" vertical="center"/>
    </xf>
    <xf numFmtId="0" fontId="25" fillId="2" borderId="35" xfId="83" applyFont="1" applyFill="1" applyBorder="1" applyAlignment="1" applyProtection="1">
      <alignment horizontal="left" vertical="center" wrapText="1" indent="2"/>
    </xf>
    <xf numFmtId="0" fontId="25" fillId="2" borderId="32" xfId="83" applyFont="1" applyFill="1" applyBorder="1" applyAlignment="1" applyProtection="1">
      <alignment horizontal="left" vertical="center" wrapText="1" indent="2"/>
    </xf>
    <xf numFmtId="0" fontId="0" fillId="7" borderId="27" xfId="0" applyFont="1" applyFill="1" applyBorder="1" applyAlignment="1" applyProtection="1">
      <alignment horizontal="left" vertical="center"/>
    </xf>
    <xf numFmtId="0" fontId="0" fillId="7" borderId="23" xfId="0" applyFont="1" applyFill="1" applyBorder="1" applyAlignment="1" applyProtection="1">
      <alignment horizontal="left" vertical="center"/>
    </xf>
    <xf numFmtId="0" fontId="22" fillId="14" borderId="0" xfId="3" applyFont="1" applyBorder="1">
      <alignment horizontal="center" vertical="center"/>
    </xf>
    <xf numFmtId="0" fontId="24" fillId="14" borderId="36" xfId="3" applyFont="1" applyBorder="1">
      <alignment horizontal="center" vertical="center"/>
    </xf>
    <xf numFmtId="0" fontId="24" fillId="14" borderId="9" xfId="3" applyFont="1" applyBorder="1">
      <alignment horizontal="center" vertical="center"/>
    </xf>
    <xf numFmtId="0" fontId="24" fillId="14" borderId="29" xfId="3" applyFont="1" applyBorder="1">
      <alignment horizontal="center" vertical="center"/>
    </xf>
    <xf numFmtId="0" fontId="24" fillId="7" borderId="52" xfId="0" applyFont="1" applyFill="1" applyBorder="1" applyAlignment="1" applyProtection="1">
      <alignment horizontal="center" vertical="center" wrapText="1"/>
    </xf>
    <xf numFmtId="0" fontId="24" fillId="7" borderId="19" xfId="0" applyFont="1" applyFill="1" applyBorder="1" applyAlignment="1" applyProtection="1">
      <alignment horizontal="center" vertical="center"/>
    </xf>
    <xf numFmtId="0" fontId="24" fillId="7" borderId="20" xfId="0" applyFont="1" applyFill="1" applyBorder="1" applyAlignment="1" applyProtection="1">
      <alignment horizontal="center" vertical="center"/>
    </xf>
    <xf numFmtId="0" fontId="24" fillId="7" borderId="21" xfId="0" applyFont="1" applyFill="1" applyBorder="1" applyAlignment="1" applyProtection="1">
      <alignment horizontal="center" vertical="center"/>
    </xf>
    <xf numFmtId="0" fontId="24" fillId="7" borderId="29" xfId="0" applyFont="1" applyFill="1" applyBorder="1" applyAlignment="1">
      <alignment horizontal="center" vertical="center"/>
    </xf>
    <xf numFmtId="0" fontId="24" fillId="7" borderId="20" xfId="0" applyFont="1" applyFill="1" applyBorder="1" applyAlignment="1">
      <alignment horizontal="center" vertical="center"/>
    </xf>
    <xf numFmtId="0" fontId="24" fillId="7" borderId="36" xfId="0" applyFont="1" applyFill="1" applyBorder="1" applyAlignment="1">
      <alignment horizontal="center" vertical="center"/>
    </xf>
    <xf numFmtId="0" fontId="22" fillId="7" borderId="30" xfId="0" applyFont="1" applyFill="1" applyBorder="1" applyAlignment="1" applyProtection="1">
      <alignment horizontal="left" vertical="center"/>
    </xf>
    <xf numFmtId="0" fontId="22" fillId="7" borderId="33" xfId="0" applyFont="1" applyFill="1" applyBorder="1" applyAlignment="1" applyProtection="1">
      <alignment horizontal="left" vertical="center"/>
    </xf>
    <xf numFmtId="0" fontId="22" fillId="7" borderId="37" xfId="0" applyFont="1" applyFill="1" applyBorder="1" applyAlignment="1" applyProtection="1">
      <alignment horizontal="left" vertical="center"/>
    </xf>
    <xf numFmtId="0" fontId="22" fillId="7" borderId="35" xfId="0" applyFont="1" applyFill="1" applyBorder="1" applyAlignment="1" applyProtection="1">
      <alignment horizontal="left" vertical="center" wrapText="1"/>
    </xf>
    <xf numFmtId="0" fontId="22" fillId="7" borderId="33" xfId="0" applyFont="1" applyFill="1" applyBorder="1" applyAlignment="1" applyProtection="1">
      <alignment horizontal="center" vertical="center"/>
    </xf>
    <xf numFmtId="0" fontId="22" fillId="7" borderId="30" xfId="0" applyFont="1" applyFill="1" applyBorder="1" applyAlignment="1" applyProtection="1">
      <alignment horizontal="center" vertical="center"/>
    </xf>
    <xf numFmtId="0" fontId="22" fillId="7" borderId="34" xfId="0" applyFont="1" applyFill="1" applyBorder="1" applyAlignment="1" applyProtection="1">
      <alignment horizontal="center" vertical="center"/>
    </xf>
    <xf numFmtId="0" fontId="22" fillId="7" borderId="31" xfId="0" applyFont="1" applyFill="1" applyBorder="1" applyAlignment="1" applyProtection="1">
      <alignment horizontal="center" vertical="center"/>
    </xf>
    <xf numFmtId="0" fontId="0" fillId="7" borderId="31" xfId="0" applyFont="1" applyFill="1" applyBorder="1" applyAlignment="1">
      <alignment horizontal="left" vertical="center" wrapText="1" indent="1"/>
    </xf>
    <xf numFmtId="0" fontId="22" fillId="7" borderId="25" xfId="0" applyFont="1" applyFill="1" applyBorder="1" applyAlignment="1">
      <alignment horizontal="left" vertical="center" wrapText="1" indent="1"/>
    </xf>
    <xf numFmtId="0" fontId="0" fillId="7" borderId="31" xfId="0" applyFont="1" applyFill="1" applyBorder="1" applyAlignment="1">
      <alignment horizontal="left" vertical="center" wrapText="1"/>
    </xf>
    <xf numFmtId="0" fontId="22" fillId="7" borderId="25" xfId="0" applyFont="1" applyFill="1" applyBorder="1" applyAlignment="1">
      <alignment horizontal="left" vertical="center" wrapText="1"/>
    </xf>
    <xf numFmtId="0" fontId="0" fillId="7" borderId="32" xfId="0" applyFont="1" applyFill="1" applyBorder="1" applyAlignment="1">
      <alignment horizontal="left" vertical="center" wrapText="1"/>
    </xf>
    <xf numFmtId="0" fontId="22" fillId="7" borderId="27" xfId="0" applyFont="1" applyFill="1" applyBorder="1" applyAlignment="1">
      <alignment horizontal="left" vertical="center" wrapText="1"/>
    </xf>
    <xf numFmtId="0" fontId="22" fillId="7" borderId="33" xfId="0" applyFont="1" applyFill="1" applyBorder="1" applyAlignment="1">
      <alignment horizontal="left" vertical="center"/>
    </xf>
    <xf numFmtId="0" fontId="22" fillId="7" borderId="35" xfId="0" applyFont="1" applyFill="1" applyBorder="1" applyAlignment="1">
      <alignment horizontal="left" vertical="center"/>
    </xf>
    <xf numFmtId="0" fontId="0" fillId="7" borderId="43" xfId="0" applyFont="1" applyFill="1" applyBorder="1" applyAlignment="1">
      <alignment horizontal="left" vertical="center" wrapText="1"/>
    </xf>
    <xf numFmtId="0" fontId="22" fillId="7" borderId="28" xfId="0" applyFont="1" applyFill="1" applyBorder="1" applyAlignment="1">
      <alignment horizontal="left" vertical="center" wrapText="1"/>
    </xf>
    <xf numFmtId="0" fontId="24" fillId="7" borderId="29" xfId="0" applyFont="1" applyFill="1" applyBorder="1" applyAlignment="1">
      <alignment horizontal="left" vertical="center"/>
    </xf>
    <xf numFmtId="0" fontId="24" fillId="7" borderId="59" xfId="0" applyFont="1" applyFill="1" applyBorder="1" applyAlignment="1" applyProtection="1">
      <alignment horizontal="center" vertical="center" wrapText="1"/>
    </xf>
    <xf numFmtId="0" fontId="24" fillId="7" borderId="65" xfId="0" applyFont="1" applyFill="1" applyBorder="1" applyAlignment="1" applyProtection="1">
      <alignment horizontal="center" vertical="center" wrapText="1"/>
    </xf>
    <xf numFmtId="0" fontId="24" fillId="7" borderId="36" xfId="0" quotePrefix="1" applyFont="1" applyFill="1" applyBorder="1" applyAlignment="1">
      <alignment horizontal="center" vertical="center" wrapText="1"/>
    </xf>
    <xf numFmtId="0" fontId="24" fillId="7" borderId="9" xfId="0" quotePrefix="1" applyFont="1" applyFill="1" applyBorder="1" applyAlignment="1">
      <alignment horizontal="center" vertical="center" wrapText="1"/>
    </xf>
    <xf numFmtId="0" fontId="24" fillId="7" borderId="29" xfId="0" quotePrefix="1"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9" xfId="0" applyFont="1" applyFill="1" applyBorder="1" applyAlignment="1">
      <alignment horizontal="center" vertical="center"/>
    </xf>
    <xf numFmtId="0" fontId="24" fillId="7" borderId="63" xfId="0" applyFont="1" applyFill="1" applyBorder="1" applyAlignment="1" applyProtection="1">
      <alignment horizontal="center" vertical="center" wrapText="1"/>
    </xf>
    <xf numFmtId="0" fontId="24" fillId="7" borderId="64" xfId="0" applyFont="1" applyFill="1" applyBorder="1" applyAlignment="1" applyProtection="1">
      <alignment horizontal="center" vertical="center" wrapText="1"/>
    </xf>
    <xf numFmtId="0" fontId="24" fillId="7" borderId="3" xfId="0" applyFont="1" applyFill="1" applyBorder="1" applyAlignment="1">
      <alignment horizontal="center" vertical="center"/>
    </xf>
    <xf numFmtId="0" fontId="22" fillId="7" borderId="50" xfId="0" applyFont="1" applyFill="1" applyBorder="1" applyAlignment="1">
      <alignment horizontal="left" vertical="center" wrapText="1"/>
    </xf>
    <xf numFmtId="0" fontId="22" fillId="7" borderId="5" xfId="0" applyFont="1" applyFill="1" applyBorder="1" applyAlignment="1">
      <alignment horizontal="left" vertical="center" wrapText="1"/>
    </xf>
    <xf numFmtId="0" fontId="22" fillId="7" borderId="41" xfId="0" applyFont="1" applyFill="1" applyBorder="1" applyAlignment="1">
      <alignment horizontal="left" vertical="center" wrapText="1"/>
    </xf>
    <xf numFmtId="0" fontId="22" fillId="7" borderId="34" xfId="0" applyFont="1" applyFill="1" applyBorder="1" applyAlignment="1">
      <alignment horizontal="left" vertical="center" wrapText="1"/>
    </xf>
    <xf numFmtId="0" fontId="24" fillId="7" borderId="39" xfId="0" applyFont="1" applyFill="1" applyBorder="1" applyAlignment="1">
      <alignment horizontal="center" vertical="center" wrapText="1"/>
    </xf>
    <xf numFmtId="0" fontId="24" fillId="7" borderId="58" xfId="0" applyFont="1" applyFill="1" applyBorder="1" applyAlignment="1">
      <alignment horizontal="center" vertical="center" wrapText="1"/>
    </xf>
    <xf numFmtId="0" fontId="24" fillId="7" borderId="40" xfId="0" applyFont="1" applyFill="1" applyBorder="1" applyAlignment="1">
      <alignment horizontal="center" vertical="center" wrapText="1"/>
    </xf>
    <xf numFmtId="0" fontId="24" fillId="7" borderId="48" xfId="0" applyFont="1" applyFill="1" applyBorder="1" applyAlignment="1">
      <alignment horizontal="center" vertical="center" wrapText="1"/>
    </xf>
    <xf numFmtId="0" fontId="24" fillId="7" borderId="52"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21" xfId="0" applyFont="1" applyFill="1" applyBorder="1" applyAlignment="1">
      <alignment horizontal="center" vertical="center"/>
    </xf>
    <xf numFmtId="0" fontId="22" fillId="7" borderId="45" xfId="0" applyFont="1" applyFill="1" applyBorder="1" applyAlignment="1">
      <alignment horizontal="center" vertical="center" wrapText="1"/>
    </xf>
    <xf numFmtId="0" fontId="22" fillId="7" borderId="52"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22" fillId="7" borderId="31" xfId="0" applyFont="1" applyFill="1" applyBorder="1" applyAlignment="1">
      <alignment horizontal="left" vertical="center" wrapText="1"/>
    </xf>
    <xf numFmtId="0" fontId="22" fillId="7" borderId="48" xfId="0" applyFont="1" applyFill="1" applyBorder="1" applyAlignment="1">
      <alignment horizontal="center" vertical="center" wrapText="1"/>
    </xf>
    <xf numFmtId="0" fontId="22" fillId="7" borderId="37" xfId="0" applyFont="1" applyFill="1" applyBorder="1" applyAlignment="1">
      <alignment horizontal="left" vertical="center" wrapText="1"/>
    </xf>
    <xf numFmtId="0" fontId="22" fillId="7" borderId="30" xfId="0" applyFont="1" applyFill="1" applyBorder="1" applyAlignment="1">
      <alignment horizontal="left" vertical="center" wrapText="1"/>
    </xf>
    <xf numFmtId="0" fontId="22" fillId="14" borderId="38" xfId="3" applyFont="1" applyBorder="1" applyAlignment="1" applyProtection="1">
      <alignment horizontal="center" vertical="center"/>
    </xf>
    <xf numFmtId="0" fontId="22" fillId="14" borderId="35" xfId="3" applyFont="1" applyBorder="1" applyAlignment="1" applyProtection="1">
      <alignment horizontal="center" vertical="center"/>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33" xfId="0" applyFont="1" applyFill="1" applyBorder="1" applyAlignment="1">
      <alignment horizontal="left" vertical="center"/>
    </xf>
    <xf numFmtId="0" fontId="24" fillId="7" borderId="30" xfId="0" applyFont="1" applyFill="1" applyBorder="1" applyAlignment="1">
      <alignment horizontal="left" vertical="center"/>
    </xf>
    <xf numFmtId="0" fontId="24" fillId="7" borderId="34" xfId="0" applyFont="1" applyFill="1" applyBorder="1" applyAlignment="1">
      <alignment horizontal="left" vertical="center"/>
    </xf>
    <xf numFmtId="0" fontId="24" fillId="7" borderId="31" xfId="0" applyFont="1" applyFill="1" applyBorder="1" applyAlignment="1">
      <alignment horizontal="left" vertical="center"/>
    </xf>
    <xf numFmtId="0" fontId="24" fillId="7" borderId="35" xfId="0" applyFont="1" applyFill="1" applyBorder="1" applyAlignment="1">
      <alignment horizontal="left" vertical="center"/>
    </xf>
    <xf numFmtId="0" fontId="24" fillId="7" borderId="32" xfId="0" applyFont="1" applyFill="1" applyBorder="1" applyAlignment="1">
      <alignment horizontal="left" vertical="center"/>
    </xf>
    <xf numFmtId="0" fontId="24" fillId="7" borderId="36" xfId="0" applyFont="1" applyFill="1" applyBorder="1" applyAlignment="1">
      <alignment horizontal="center" vertical="center" wrapText="1"/>
    </xf>
    <xf numFmtId="0" fontId="22" fillId="7" borderId="38" xfId="0" applyFont="1" applyFill="1" applyBorder="1" applyAlignment="1">
      <alignment horizontal="left" vertical="center" wrapText="1"/>
    </xf>
    <xf numFmtId="0" fontId="22" fillId="7" borderId="35" xfId="0" applyFont="1" applyFill="1" applyBorder="1" applyAlignment="1">
      <alignment horizontal="left" vertical="center" wrapText="1"/>
    </xf>
    <xf numFmtId="0" fontId="22" fillId="7" borderId="36"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4" fillId="7" borderId="3" xfId="0" applyFont="1" applyFill="1" applyBorder="1" applyAlignment="1" applyProtection="1">
      <alignment horizontal="center" vertical="center"/>
    </xf>
    <xf numFmtId="0" fontId="24" fillId="7" borderId="4" xfId="0" applyFont="1" applyFill="1" applyBorder="1" applyAlignment="1">
      <alignment horizontal="center" vertical="center"/>
    </xf>
    <xf numFmtId="0" fontId="24" fillId="7" borderId="3" xfId="0" applyFont="1" applyFill="1" applyBorder="1" applyAlignment="1" applyProtection="1">
      <alignment horizontal="center" vertical="center" wrapText="1"/>
    </xf>
    <xf numFmtId="0" fontId="24" fillId="7" borderId="50"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22" fillId="7" borderId="45" xfId="0" applyFont="1" applyFill="1" applyBorder="1" applyAlignment="1">
      <alignment horizontal="center" vertical="center"/>
    </xf>
    <xf numFmtId="0" fontId="22" fillId="7" borderId="28" xfId="0" applyFont="1" applyFill="1" applyBorder="1" applyAlignment="1">
      <alignment horizontal="center" vertical="center"/>
    </xf>
    <xf numFmtId="0" fontId="24" fillId="7" borderId="21" xfId="0" applyFont="1" applyFill="1" applyBorder="1" applyAlignment="1" applyProtection="1">
      <alignment horizontal="center" vertical="center" wrapText="1"/>
    </xf>
    <xf numFmtId="0" fontId="24" fillId="7" borderId="50" xfId="0" applyFont="1" applyFill="1" applyBorder="1" applyAlignment="1">
      <alignment horizontal="left" vertical="center" wrapText="1"/>
    </xf>
    <xf numFmtId="0" fontId="24" fillId="7" borderId="5" xfId="0" applyFont="1" applyFill="1" applyBorder="1" applyAlignment="1">
      <alignment horizontal="left" vertical="center" wrapText="1"/>
    </xf>
    <xf numFmtId="0" fontId="24" fillId="7" borderId="39" xfId="0" applyFont="1" applyFill="1" applyBorder="1" applyAlignment="1">
      <alignment horizontal="left" vertical="center" wrapText="1"/>
    </xf>
    <xf numFmtId="0" fontId="24" fillId="7" borderId="51" xfId="0" applyFont="1" applyFill="1" applyBorder="1" applyAlignment="1">
      <alignment horizontal="left" vertical="center" wrapText="1"/>
    </xf>
    <xf numFmtId="0" fontId="24" fillId="7" borderId="8" xfId="0" applyFont="1" applyFill="1" applyBorder="1" applyAlignment="1">
      <alignment horizontal="left" vertical="center" wrapText="1"/>
    </xf>
    <xf numFmtId="0" fontId="24" fillId="7" borderId="40" xfId="0" applyFont="1" applyFill="1" applyBorder="1" applyAlignment="1">
      <alignment horizontal="left" vertical="center" wrapText="1"/>
    </xf>
    <xf numFmtId="0" fontId="22" fillId="7" borderId="48" xfId="0" applyFont="1" applyFill="1" applyBorder="1" applyAlignment="1">
      <alignment horizontal="center" vertical="center"/>
    </xf>
    <xf numFmtId="0" fontId="22" fillId="7" borderId="52" xfId="0" applyFont="1" applyFill="1" applyBorder="1" applyAlignment="1">
      <alignment horizontal="center" vertical="center"/>
    </xf>
    <xf numFmtId="49" fontId="22" fillId="42" borderId="25" xfId="19" applyFont="1" applyBorder="1">
      <alignment vertical="center"/>
      <protection locked="0"/>
    </xf>
    <xf numFmtId="49" fontId="22" fillId="42" borderId="27" xfId="19" applyFont="1" applyBorder="1">
      <alignment vertical="center"/>
      <protection locked="0"/>
    </xf>
    <xf numFmtId="0" fontId="23" fillId="2" borderId="2"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0" fontId="24" fillId="2" borderId="2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42" fillId="2" borderId="5" xfId="0" applyFont="1" applyFill="1" applyBorder="1" applyAlignment="1" applyProtection="1">
      <alignment horizontal="left" vertical="center" wrapText="1"/>
    </xf>
    <xf numFmtId="0" fontId="23" fillId="2" borderId="2" xfId="0" applyFont="1" applyFill="1" applyBorder="1" applyAlignment="1" applyProtection="1">
      <alignment horizontal="left" vertical="top" wrapText="1"/>
    </xf>
    <xf numFmtId="0" fontId="23" fillId="2" borderId="0" xfId="0" applyFont="1" applyFill="1" applyBorder="1" applyAlignment="1" applyProtection="1">
      <alignment horizontal="left" vertical="top" wrapText="1"/>
    </xf>
    <xf numFmtId="0" fontId="24" fillId="2" borderId="3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48" xfId="0" applyFont="1" applyFill="1" applyBorder="1" applyAlignment="1" applyProtection="1">
      <alignment horizontal="center" vertical="center"/>
    </xf>
    <xf numFmtId="0" fontId="24" fillId="2" borderId="49" xfId="0" applyFont="1" applyFill="1" applyBorder="1" applyAlignment="1" applyProtection="1">
      <alignment horizontal="center" vertical="center"/>
    </xf>
    <xf numFmtId="0" fontId="0" fillId="2" borderId="46" xfId="0" applyFont="1" applyFill="1" applyBorder="1" applyAlignment="1" applyProtection="1">
      <alignment horizontal="center" vertical="center"/>
    </xf>
    <xf numFmtId="0" fontId="22" fillId="2" borderId="58" xfId="0" applyFont="1" applyFill="1" applyBorder="1" applyAlignment="1" applyProtection="1">
      <alignment horizontal="center" vertical="center"/>
    </xf>
    <xf numFmtId="0" fontId="22" fillId="2" borderId="43" xfId="0" applyFont="1" applyFill="1" applyBorder="1" applyAlignment="1" applyProtection="1">
      <alignment horizontal="center" vertical="center"/>
    </xf>
    <xf numFmtId="0" fontId="0" fillId="2" borderId="47" xfId="0" applyFont="1" applyFill="1" applyBorder="1" applyAlignment="1" applyProtection="1">
      <alignment horizontal="left" vertical="center" wrapText="1"/>
    </xf>
    <xf numFmtId="0" fontId="0" fillId="2" borderId="4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58" xfId="0" applyFont="1" applyFill="1" applyBorder="1" applyAlignment="1" applyProtection="1">
      <alignment horizontal="left" vertical="center" wrapText="1"/>
    </xf>
    <xf numFmtId="0" fontId="0" fillId="2" borderId="42" xfId="0" applyFont="1" applyFill="1" applyBorder="1" applyAlignment="1" applyProtection="1">
      <alignment horizontal="left" vertical="center" wrapText="1"/>
    </xf>
    <xf numFmtId="0" fontId="0" fillId="2" borderId="43" xfId="0" applyFont="1" applyFill="1" applyBorder="1" applyAlignment="1" applyProtection="1">
      <alignment horizontal="left" vertical="center" wrapText="1"/>
    </xf>
    <xf numFmtId="0" fontId="22" fillId="2" borderId="45"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28" xfId="0" applyFont="1" applyFill="1" applyBorder="1" applyAlignment="1" applyProtection="1">
      <alignment horizontal="center" vertical="center" wrapText="1"/>
    </xf>
    <xf numFmtId="0" fontId="0" fillId="2" borderId="31" xfId="0" applyFont="1" applyFill="1" applyBorder="1" applyAlignment="1" applyProtection="1">
      <alignment horizontal="center" vertical="center"/>
    </xf>
    <xf numFmtId="0" fontId="22" fillId="2" borderId="31" xfId="0" applyFont="1" applyFill="1" applyBorder="1" applyAlignment="1" applyProtection="1">
      <alignment horizontal="center" vertical="center"/>
    </xf>
    <xf numFmtId="0" fontId="0" fillId="2" borderId="45" xfId="0" applyFont="1" applyFill="1" applyBorder="1" applyAlignment="1" applyProtection="1">
      <alignment horizontal="left" vertical="center" wrapText="1"/>
    </xf>
    <xf numFmtId="0" fontId="22" fillId="2" borderId="52" xfId="0" applyFont="1" applyFill="1" applyBorder="1" applyAlignment="1" applyProtection="1">
      <alignment horizontal="left" vertical="center" wrapText="1"/>
    </xf>
    <xf numFmtId="0" fontId="22" fillId="2" borderId="28" xfId="0" applyFont="1" applyFill="1" applyBorder="1" applyAlignment="1" applyProtection="1">
      <alignment horizontal="left" vertical="center" wrapText="1"/>
    </xf>
    <xf numFmtId="0" fontId="22" fillId="2" borderId="25" xfId="0" applyFont="1" applyFill="1" applyBorder="1" applyAlignment="1" applyProtection="1">
      <alignment horizontal="center" vertical="center" wrapText="1"/>
    </xf>
    <xf numFmtId="0" fontId="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0" fontId="24" fillId="2" borderId="50" xfId="0" applyFont="1" applyFill="1" applyBorder="1" applyAlignment="1" applyProtection="1">
      <alignment horizontal="center" vertical="center" wrapText="1"/>
    </xf>
    <xf numFmtId="0" fontId="24" fillId="2" borderId="39" xfId="0" applyFont="1" applyFill="1" applyBorder="1" applyAlignment="1" applyProtection="1">
      <alignment horizontal="center" vertical="center" wrapText="1"/>
    </xf>
    <xf numFmtId="0" fontId="24" fillId="2" borderId="53"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51" xfId="0" applyFont="1" applyFill="1" applyBorder="1" applyAlignment="1" applyProtection="1">
      <alignment horizontal="center" vertical="center" wrapText="1"/>
    </xf>
    <xf numFmtId="0" fontId="24" fillId="2" borderId="40" xfId="0" applyFont="1" applyFill="1" applyBorder="1" applyAlignment="1" applyProtection="1">
      <alignment horizontal="center" vertical="center" wrapText="1"/>
    </xf>
    <xf numFmtId="0" fontId="24" fillId="2" borderId="48"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49" xfId="0" applyFont="1" applyFill="1" applyBorder="1" applyAlignment="1" applyProtection="1">
      <alignment horizontal="center" vertical="center" wrapText="1"/>
    </xf>
    <xf numFmtId="0" fontId="22" fillId="2" borderId="27" xfId="0" applyFont="1" applyFill="1" applyBorder="1" applyAlignment="1" applyProtection="1">
      <alignment horizontal="center" vertical="center" wrapText="1"/>
    </xf>
    <xf numFmtId="0" fontId="0" fillId="2" borderId="25" xfId="0" applyFont="1" applyFill="1" applyBorder="1" applyAlignment="1" applyProtection="1">
      <alignment horizontal="left" vertical="center" wrapText="1"/>
    </xf>
    <xf numFmtId="0" fontId="22" fillId="2" borderId="25" xfId="0" applyFont="1" applyFill="1" applyBorder="1" applyAlignment="1" applyProtection="1">
      <alignment horizontal="left" vertical="center" wrapText="1"/>
    </xf>
    <xf numFmtId="0" fontId="22" fillId="2" borderId="8" xfId="0" applyFont="1" applyFill="1" applyBorder="1" applyAlignment="1" applyProtection="1">
      <alignment horizontal="left" vertical="center" wrapText="1"/>
    </xf>
    <xf numFmtId="0" fontId="22" fillId="2" borderId="32" xfId="0" applyFont="1" applyFill="1" applyBorder="1" applyAlignment="1" applyProtection="1">
      <alignment horizontal="center" vertical="center"/>
    </xf>
    <xf numFmtId="0" fontId="22" fillId="2" borderId="45" xfId="0" applyFont="1" applyFill="1" applyBorder="1" applyAlignment="1" applyProtection="1">
      <alignment horizontal="left" vertical="center" wrapText="1"/>
    </xf>
    <xf numFmtId="0" fontId="22" fillId="2" borderId="49" xfId="0" applyFont="1" applyFill="1" applyBorder="1" applyAlignment="1" applyProtection="1">
      <alignment horizontal="left" vertical="center" wrapText="1"/>
    </xf>
    <xf numFmtId="0" fontId="24" fillId="2" borderId="58" xfId="0" applyFont="1" applyFill="1" applyBorder="1" applyAlignment="1" applyProtection="1">
      <alignment horizontal="center" vertical="center"/>
    </xf>
    <xf numFmtId="0" fontId="24" fillId="2" borderId="40" xfId="0" applyFont="1" applyFill="1" applyBorder="1" applyAlignment="1" applyProtection="1">
      <alignment horizontal="center" vertical="center"/>
    </xf>
    <xf numFmtId="0" fontId="24" fillId="2" borderId="36"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29" xfId="0" applyFont="1" applyFill="1" applyBorder="1" applyAlignment="1" applyProtection="1">
      <alignment horizontal="center" vertical="center" wrapText="1"/>
    </xf>
    <xf numFmtId="0" fontId="24" fillId="2" borderId="48"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22" fillId="2" borderId="30" xfId="0" applyFont="1" applyFill="1" applyBorder="1" applyAlignment="1" applyProtection="1">
      <alignment horizontal="center" vertical="center"/>
    </xf>
    <xf numFmtId="0" fontId="22" fillId="2" borderId="23" xfId="0" applyFont="1" applyFill="1" applyBorder="1" applyAlignment="1" applyProtection="1">
      <alignment horizontal="left" vertical="center" wrapText="1"/>
    </xf>
    <xf numFmtId="0" fontId="22" fillId="7" borderId="31" xfId="0" applyFont="1" applyFill="1" applyBorder="1" applyAlignment="1" applyProtection="1">
      <alignment horizontal="left" vertical="center" wrapText="1" indent="2"/>
    </xf>
    <xf numFmtId="0" fontId="22" fillId="7" borderId="25" xfId="0" applyFont="1" applyFill="1" applyBorder="1" applyAlignment="1" applyProtection="1">
      <alignment horizontal="left" vertical="center" wrapText="1" indent="2"/>
    </xf>
    <xf numFmtId="0" fontId="22" fillId="7" borderId="32" xfId="0" applyFont="1" applyFill="1" applyBorder="1" applyAlignment="1" applyProtection="1">
      <alignment horizontal="left" vertical="center" wrapText="1" indent="2"/>
    </xf>
    <xf numFmtId="0" fontId="22" fillId="7" borderId="27" xfId="0" applyFont="1" applyFill="1" applyBorder="1" applyAlignment="1" applyProtection="1">
      <alignment horizontal="left" vertical="center" wrapText="1" indent="2"/>
    </xf>
    <xf numFmtId="0" fontId="22" fillId="7" borderId="34" xfId="0" applyFont="1" applyFill="1" applyBorder="1" applyAlignment="1" applyProtection="1">
      <alignment horizontal="left" vertical="center" wrapText="1" indent="1"/>
    </xf>
    <xf numFmtId="0" fontId="22" fillId="7" borderId="31" xfId="0" applyFont="1" applyFill="1" applyBorder="1" applyAlignment="1" applyProtection="1">
      <alignment horizontal="left" vertical="center" wrapText="1" indent="1"/>
    </xf>
    <xf numFmtId="0" fontId="22" fillId="7" borderId="34" xfId="0" applyFont="1" applyFill="1" applyBorder="1" applyAlignment="1" applyProtection="1">
      <alignment horizontal="left" vertical="center" wrapText="1"/>
    </xf>
    <xf numFmtId="0" fontId="22" fillId="7" borderId="31" xfId="0" applyFont="1" applyFill="1" applyBorder="1" applyAlignment="1" applyProtection="1">
      <alignment horizontal="left" vertical="center" wrapText="1"/>
    </xf>
    <xf numFmtId="0" fontId="22" fillId="7" borderId="34" xfId="0" applyFont="1" applyFill="1" applyBorder="1" applyAlignment="1" applyProtection="1">
      <alignment horizontal="left" vertical="center" wrapText="1" indent="3"/>
    </xf>
    <xf numFmtId="0" fontId="22" fillId="7" borderId="31" xfId="0" applyFont="1" applyFill="1" applyBorder="1" applyAlignment="1" applyProtection="1">
      <alignment horizontal="left" vertical="center" wrapText="1" indent="3"/>
    </xf>
    <xf numFmtId="0" fontId="22" fillId="7" borderId="25" xfId="0" applyFont="1" applyFill="1" applyBorder="1" applyAlignment="1" applyProtection="1">
      <alignment horizontal="left" vertical="center" wrapText="1" indent="3"/>
    </xf>
    <xf numFmtId="0" fontId="22" fillId="7" borderId="34" xfId="0" applyFont="1" applyFill="1" applyBorder="1" applyAlignment="1" applyProtection="1">
      <alignment horizontal="left" vertical="center" wrapText="1" indent="2"/>
    </xf>
    <xf numFmtId="0" fontId="22" fillId="7" borderId="25" xfId="0" applyFont="1" applyFill="1" applyBorder="1" applyAlignment="1" applyProtection="1">
      <alignment horizontal="left" vertical="center" wrapText="1" indent="1"/>
    </xf>
    <xf numFmtId="0" fontId="22" fillId="7" borderId="30" xfId="0" applyFont="1" applyFill="1" applyBorder="1" applyAlignment="1" applyProtection="1">
      <alignment horizontal="left" vertical="center" wrapText="1"/>
    </xf>
    <xf numFmtId="0" fontId="22" fillId="7" borderId="23" xfId="0" applyFont="1" applyFill="1" applyBorder="1" applyAlignment="1" applyProtection="1">
      <alignment horizontal="left" vertical="center" wrapText="1"/>
    </xf>
    <xf numFmtId="0" fontId="22" fillId="7" borderId="32" xfId="0" applyFont="1" applyFill="1" applyBorder="1" applyAlignment="1" applyProtection="1">
      <alignment horizontal="left" vertical="center" wrapText="1"/>
    </xf>
    <xf numFmtId="0" fontId="22" fillId="7" borderId="33" xfId="0" applyFont="1" applyFill="1" applyBorder="1" applyAlignment="1" applyProtection="1">
      <alignment horizontal="left" vertical="center" wrapText="1"/>
    </xf>
    <xf numFmtId="0" fontId="22" fillId="7" borderId="9" xfId="0" applyFont="1" applyFill="1" applyBorder="1" applyAlignment="1" applyProtection="1">
      <alignment horizontal="center" vertical="center"/>
    </xf>
  </cellXfs>
  <cellStyles count="119">
    <cellStyle name="20% - Accent1" xfId="85" builtinId="30" hidden="1"/>
    <cellStyle name="20% - Accent2" xfId="89" builtinId="34" hidden="1"/>
    <cellStyle name="20% - Accent3" xfId="93" builtinId="38" hidden="1"/>
    <cellStyle name="20% - Accent4" xfId="97" builtinId="42" hidden="1"/>
    <cellStyle name="20% - Accent5" xfId="101" builtinId="46" hidden="1"/>
    <cellStyle name="20% - Accent6" xfId="105" builtinId="50" hidden="1"/>
    <cellStyle name="40% - Accent1" xfId="86" builtinId="31" hidden="1"/>
    <cellStyle name="40% - Accent2" xfId="90" builtinId="35" hidden="1"/>
    <cellStyle name="40% - Accent3" xfId="94" builtinId="39" hidden="1"/>
    <cellStyle name="40% - Accent4" xfId="98" builtinId="43" hidden="1"/>
    <cellStyle name="40% - Accent5" xfId="102" builtinId="47" hidden="1"/>
    <cellStyle name="40% - Accent6" xfId="106" builtinId="51" hidden="1"/>
    <cellStyle name="60% - Accent1" xfId="87" builtinId="32" hidden="1"/>
    <cellStyle name="60% - Accent2" xfId="91" builtinId="36" hidden="1"/>
    <cellStyle name="60% - Accent3" xfId="95" builtinId="40" hidden="1"/>
    <cellStyle name="60% - Accent4" xfId="99" builtinId="44" hidden="1"/>
    <cellStyle name="60% - Accent5" xfId="103" builtinId="48" hidden="1"/>
    <cellStyle name="60% - Accent6" xfId="107" builtinId="52" hidden="1"/>
    <cellStyle name="Accent1" xfId="84" builtinId="29" hidden="1"/>
    <cellStyle name="Accent1" xfId="116" builtinId="29" hidden="1"/>
    <cellStyle name="Accent2" xfId="88" builtinId="33" hidden="1"/>
    <cellStyle name="Accent3" xfId="92" builtinId="37" hidden="1"/>
    <cellStyle name="Accent4" xfId="96" builtinId="41" hidden="1"/>
    <cellStyle name="Accent5" xfId="100" builtinId="45" hidden="1"/>
    <cellStyle name="Accent6" xfId="104" builtinId="49" hidden="1"/>
    <cellStyle name="Bad" xfId="61" builtinId="27" hidden="1"/>
    <cellStyle name="Bad" xfId="74" builtinId="27" hidden="1"/>
    <cellStyle name="Calculation" xfId="65" builtinId="22" hidden="1"/>
    <cellStyle name="Calculation" xfId="78" builtinId="22" hidden="1"/>
    <cellStyle name="Check Cell" xfId="67" builtinId="23" hidden="1"/>
    <cellStyle name="Check Cell" xfId="80" builtinId="23" hidden="1"/>
    <cellStyle name="checkExposure" xfId="1"/>
    <cellStyle name="checkLiq" xfId="2"/>
    <cellStyle name="Comma" xfId="112" builtinId="3" hidden="1"/>
    <cellStyle name="Comma [0]" xfId="108" builtinId="6" hidden="1"/>
    <cellStyle name="Currency" xfId="113" builtinId="4" hidden="1"/>
    <cellStyle name="Currency [0]" xfId="109" builtinId="7" hidden="1"/>
    <cellStyle name="Explanatory Text" xfId="68" builtinId="53" hidden="1"/>
    <cellStyle name="Explanatory Text" xfId="81" builtinId="53" hidden="1"/>
    <cellStyle name="Good" xfId="60" builtinId="26" hidden="1"/>
    <cellStyle name="Good" xfId="73" builtinId="26" hidden="1"/>
    <cellStyle name="greyed" xfId="3"/>
    <cellStyle name="Heading 1" xfId="4"/>
    <cellStyle name="Heading 2" xfId="115" builtinId="17" hidden="1"/>
    <cellStyle name="Heading 2" xfId="111"/>
    <cellStyle name="Heading 2 2" xfId="117"/>
    <cellStyle name="Heading 3" xfId="58" builtinId="18" hidden="1"/>
    <cellStyle name="Heading 3" xfId="71" builtinId="18" hidden="1"/>
    <cellStyle name="Heading 4" xfId="59" builtinId="19" hidden="1"/>
    <cellStyle name="Heading 4" xfId="72" builtinId="19" hidden="1"/>
    <cellStyle name="HeadingTable" xfId="5"/>
    <cellStyle name="highlightExposure" xfId="6"/>
    <cellStyle name="highlightPD" xfId="7"/>
    <cellStyle name="highlightPercentage" xfId="8"/>
    <cellStyle name="highlightText" xfId="9"/>
    <cellStyle name="Input" xfId="63" builtinId="20" hidden="1"/>
    <cellStyle name="Input" xfId="76" builtinId="20" hidden="1"/>
    <cellStyle name="inputDate" xfId="10"/>
    <cellStyle name="inputExposure" xfId="11"/>
    <cellStyle name="inputMaturity" xfId="12"/>
    <cellStyle name="inputParameterE" xfId="13"/>
    <cellStyle name="inputPD" xfId="14"/>
    <cellStyle name="inputPercentage" xfId="15"/>
    <cellStyle name="inputPercentageL" xfId="16"/>
    <cellStyle name="inputPercentageS" xfId="17"/>
    <cellStyle name="inputSelection" xfId="18"/>
    <cellStyle name="inputText" xfId="19"/>
    <cellStyle name="Linked Cell" xfId="66" builtinId="24" hidden="1"/>
    <cellStyle name="Linked Cell" xfId="79" builtinId="24" hidden="1"/>
    <cellStyle name="Neutral" xfId="62" builtinId="28" hidden="1"/>
    <cellStyle name="Neutral" xfId="75" builtinId="28" hidden="1"/>
    <cellStyle name="Normal" xfId="0" builtinId="0" customBuiltin="1"/>
    <cellStyle name="optionalDate" xfId="110"/>
    <cellStyle name="optionalExposure" xfId="20"/>
    <cellStyle name="optionalMaturity" xfId="21"/>
    <cellStyle name="optionalPD" xfId="22"/>
    <cellStyle name="optionalPercentage" xfId="23"/>
    <cellStyle name="optionalPercentageL" xfId="24"/>
    <cellStyle name="optionalPercentageS" xfId="25"/>
    <cellStyle name="optionalSelection" xfId="26"/>
    <cellStyle name="optionalText" xfId="27"/>
    <cellStyle name="Output" xfId="64" builtinId="21" hidden="1"/>
    <cellStyle name="Output" xfId="77" builtinId="21" hidden="1"/>
    <cellStyle name="Percent" xfId="114" builtinId="5" hidden="1"/>
    <cellStyle name="reviseExposure" xfId="28"/>
    <cellStyle name="showCheck" xfId="29"/>
    <cellStyle name="showExposure" xfId="30"/>
    <cellStyle name="showParameterE" xfId="31"/>
    <cellStyle name="showParameterS" xfId="32"/>
    <cellStyle name="showPD" xfId="33"/>
    <cellStyle name="showPercentage" xfId="34"/>
    <cellStyle name="showSelection" xfId="35"/>
    <cellStyle name="sup2Date" xfId="36"/>
    <cellStyle name="sup2Int" xfId="37"/>
    <cellStyle name="sup2ParameterE" xfId="38"/>
    <cellStyle name="sup2Percentage" xfId="39"/>
    <cellStyle name="sup2PercentageL" xfId="40"/>
    <cellStyle name="sup2PercentageM" xfId="41"/>
    <cellStyle name="sup2Selection" xfId="42"/>
    <cellStyle name="sup2Text" xfId="43"/>
    <cellStyle name="sup3ParameterE" xfId="44"/>
    <cellStyle name="sup3Percentage" xfId="45"/>
    <cellStyle name="supDate" xfId="46"/>
    <cellStyle name="supFloat" xfId="47"/>
    <cellStyle name="supInt" xfId="48"/>
    <cellStyle name="supParameterE" xfId="49"/>
    <cellStyle name="supParameterS" xfId="50"/>
    <cellStyle name="supPD" xfId="51"/>
    <cellStyle name="supPercentage" xfId="52"/>
    <cellStyle name="supPercentageL" xfId="53"/>
    <cellStyle name="supPercentageM" xfId="54"/>
    <cellStyle name="supPercentageM 3" xfId="118"/>
    <cellStyle name="supSelection" xfId="55"/>
    <cellStyle name="supText" xfId="56"/>
    <cellStyle name="Title" xfId="57" builtinId="15" hidden="1"/>
    <cellStyle name="Title" xfId="70" builtinId="15" hidden="1"/>
    <cellStyle name="Total" xfId="69" builtinId="25" hidden="1"/>
    <cellStyle name="Total" xfId="82" builtinId="25" hidden="1"/>
    <cellStyle name="Warning Text" xfId="83" builtinId="11" customBuiltin="1"/>
  </cellStyles>
  <dxfs count="140">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9C0006"/>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BCBDBC"/>
      <color rgb="FFAA322F"/>
      <color rgb="FF99CCFF"/>
      <color rgb="FF6CADE1"/>
      <color rgb="FFFFEC72"/>
      <color rgb="FFCCFF99"/>
      <color rgb="FFFFCC99"/>
      <color rgb="FFFFFF99"/>
      <color rgb="FFEBEC72"/>
      <color rgb="FFD8E4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83</xdr:row>
      <xdr:rowOff>0</xdr:rowOff>
    </xdr:from>
    <xdr:to>
      <xdr:col>0</xdr:col>
      <xdr:colOff>104775</xdr:colOff>
      <xdr:row>84</xdr:row>
      <xdr:rowOff>9525</xdr:rowOff>
    </xdr:to>
    <xdr:sp macro="" textlink="">
      <xdr:nvSpPr>
        <xdr:cNvPr id="73712"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3"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4"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5"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6"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7"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8"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9"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0"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1"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2"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3"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4"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5"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6"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7"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Documents\Documentum\Temp\Basel%20III%20monitoring%20reporting%20template%20144-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Requirements"/>
      <sheetName val="DefCap"/>
      <sheetName val="DefCapB3OLD"/>
      <sheetName val="DefCapB3-MI"/>
      <sheetName val="Leverage Ratio"/>
      <sheetName val="LCR"/>
      <sheetName val="NSFR"/>
      <sheetName val="TB boundary TP"/>
      <sheetName val="TB SBA - current"/>
      <sheetName val="TB SBA - revised"/>
      <sheetName val="TB Default CTP"/>
      <sheetName val="TB IMA general"/>
      <sheetName val="TB IMA JiLP"/>
      <sheetName val="TB IMA risk measures - stress"/>
      <sheetName val="TB IMA backtesting - P&amp;L"/>
      <sheetName val="Check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4">
          <cell r="D94" t="str">
            <v>Yes</v>
          </cell>
        </row>
        <row r="119">
          <cell r="D119" t="str">
            <v>IFRS</v>
          </cell>
        </row>
        <row r="120">
          <cell r="D120" t="str">
            <v>US GAAP</v>
          </cell>
        </row>
        <row r="121">
          <cell r="D121" t="str">
            <v>Other national accounting standard</v>
          </cell>
        </row>
      </sheetData>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EC72"/>
  </sheetPr>
  <dimension ref="A1:K94"/>
  <sheetViews>
    <sheetView tabSelected="1" zoomScale="75" zoomScaleNormal="75" workbookViewId="0">
      <pane ySplit="1" topLeftCell="A2" activePane="bottomLeft" state="frozen"/>
      <selection pane="bottomLeft"/>
    </sheetView>
  </sheetViews>
  <sheetFormatPr defaultColWidth="0" defaultRowHeight="0" customHeight="1" zeroHeight="1" x14ac:dyDescent="0.25"/>
  <cols>
    <col min="1" max="1" width="1.7109375" style="772" customWidth="1"/>
    <col min="2" max="2" width="100.7109375" style="732" customWidth="1"/>
    <col min="3" max="3" width="16.7109375" style="732" customWidth="1"/>
    <col min="4" max="10" width="16.7109375" style="716" customWidth="1"/>
    <col min="11" max="11" width="1.7109375" style="716" customWidth="1"/>
    <col min="12" max="16384" width="16.7109375" style="716" hidden="1"/>
  </cols>
  <sheetData>
    <row r="1" spans="1:11" s="725" customFormat="1" ht="30" customHeight="1" x14ac:dyDescent="0.55000000000000004">
      <c r="A1" s="713" t="s">
        <v>780</v>
      </c>
      <c r="B1" s="714"/>
      <c r="C1" s="766" t="str">
        <f>CONCATENATE("v",Parameters!C4,".",Parameters!D4,".",Parameters!E4)</f>
        <v>v3.0.S2</v>
      </c>
      <c r="D1" s="745"/>
      <c r="E1" s="745"/>
      <c r="F1" s="745"/>
      <c r="G1" s="745"/>
      <c r="H1" s="745"/>
      <c r="I1" s="745"/>
      <c r="J1" s="745"/>
      <c r="K1" s="782"/>
    </row>
    <row r="2" spans="1:11" ht="30" customHeight="1" x14ac:dyDescent="0.3">
      <c r="A2" s="776" t="s">
        <v>339</v>
      </c>
      <c r="B2" s="785"/>
      <c r="C2" s="786"/>
      <c r="D2" s="725"/>
      <c r="E2" s="725"/>
      <c r="F2" s="725"/>
      <c r="G2" s="725"/>
      <c r="H2" s="725"/>
      <c r="I2" s="725"/>
      <c r="J2" s="725"/>
      <c r="K2" s="715"/>
    </row>
    <row r="3" spans="1:11" s="735" customFormat="1" ht="30" customHeight="1" x14ac:dyDescent="0.3">
      <c r="A3" s="728" t="s">
        <v>305</v>
      </c>
      <c r="B3" s="722"/>
      <c r="C3" s="734"/>
      <c r="K3" s="422"/>
    </row>
    <row r="4" spans="1:11" s="735" customFormat="1" ht="15" customHeight="1" x14ac:dyDescent="0.25">
      <c r="A4" s="733"/>
      <c r="B4" s="722"/>
      <c r="C4" s="734"/>
      <c r="K4" s="422"/>
    </row>
    <row r="5" spans="1:11" s="735" customFormat="1" ht="15" customHeight="1" x14ac:dyDescent="0.25">
      <c r="A5" s="777"/>
      <c r="B5" s="787" t="s">
        <v>114</v>
      </c>
      <c r="C5" s="6"/>
      <c r="D5" s="7"/>
      <c r="E5" s="4"/>
      <c r="F5" s="1667" t="s">
        <v>1835</v>
      </c>
      <c r="G5" s="1667"/>
      <c r="H5" s="1667"/>
      <c r="I5" s="1667"/>
      <c r="K5" s="422"/>
    </row>
    <row r="6" spans="1:11" s="735" customFormat="1" ht="15" customHeight="1" x14ac:dyDescent="0.25">
      <c r="A6" s="777"/>
      <c r="B6" s="788" t="s">
        <v>113</v>
      </c>
      <c r="C6" s="8"/>
      <c r="D6" s="9"/>
      <c r="E6" s="4"/>
      <c r="F6" s="1667"/>
      <c r="G6" s="1667"/>
      <c r="H6" s="1667"/>
      <c r="I6" s="1667"/>
      <c r="K6" s="422"/>
    </row>
    <row r="7" spans="1:11" s="735" customFormat="1" ht="15" customHeight="1" x14ac:dyDescent="0.25">
      <c r="A7" s="777"/>
      <c r="B7" s="788" t="s">
        <v>115</v>
      </c>
      <c r="C7" s="8"/>
      <c r="D7" s="9"/>
      <c r="E7" s="4"/>
      <c r="F7" s="1667"/>
      <c r="G7" s="1667"/>
      <c r="H7" s="1667"/>
      <c r="I7" s="1667"/>
      <c r="K7" s="422"/>
    </row>
    <row r="8" spans="1:11" s="735" customFormat="1" ht="15" customHeight="1" x14ac:dyDescent="0.25">
      <c r="A8" s="777"/>
      <c r="B8" s="1658" t="s">
        <v>1824</v>
      </c>
      <c r="C8" s="10" t="s">
        <v>110</v>
      </c>
      <c r="D8" s="9"/>
      <c r="E8" s="4"/>
      <c r="F8" s="1667"/>
      <c r="G8" s="1667"/>
      <c r="H8" s="1667"/>
      <c r="I8" s="1667"/>
      <c r="K8" s="422"/>
    </row>
    <row r="9" spans="1:11" s="735" customFormat="1" ht="15" customHeight="1" x14ac:dyDescent="0.25">
      <c r="A9" s="777"/>
      <c r="B9" s="788" t="s">
        <v>906</v>
      </c>
      <c r="C9" s="10" t="s">
        <v>110</v>
      </c>
      <c r="D9" s="9"/>
      <c r="E9" s="4"/>
      <c r="F9" s="1667"/>
      <c r="G9" s="1667"/>
      <c r="H9" s="1667"/>
      <c r="I9" s="1667"/>
      <c r="K9" s="422"/>
    </row>
    <row r="10" spans="1:11" s="735" customFormat="1" ht="15" customHeight="1" x14ac:dyDescent="0.25">
      <c r="A10" s="777"/>
      <c r="B10" s="788" t="s">
        <v>328</v>
      </c>
      <c r="C10" s="10" t="s">
        <v>110</v>
      </c>
      <c r="D10" s="9"/>
      <c r="E10" s="4"/>
      <c r="F10" s="1667"/>
      <c r="G10" s="1667"/>
      <c r="H10" s="1667"/>
      <c r="I10" s="1667"/>
      <c r="K10" s="422"/>
    </row>
    <row r="11" spans="1:11" s="735" customFormat="1" ht="15" customHeight="1" x14ac:dyDescent="0.25">
      <c r="A11" s="777"/>
      <c r="B11" s="788" t="s">
        <v>333</v>
      </c>
      <c r="C11" s="10" t="s">
        <v>110</v>
      </c>
      <c r="D11" s="9"/>
      <c r="E11" s="4"/>
      <c r="F11" s="1667"/>
      <c r="G11" s="1667"/>
      <c r="H11" s="1667"/>
      <c r="I11" s="1667"/>
      <c r="K11" s="422"/>
    </row>
    <row r="12" spans="1:11" s="735" customFormat="1" ht="15" customHeight="1" x14ac:dyDescent="0.25">
      <c r="A12" s="777"/>
      <c r="B12" s="788" t="s">
        <v>334</v>
      </c>
      <c r="C12" s="10" t="s">
        <v>110</v>
      </c>
      <c r="D12" s="9"/>
      <c r="E12" s="4"/>
      <c r="F12" s="1667"/>
      <c r="G12" s="1667"/>
      <c r="H12" s="1667"/>
      <c r="I12" s="1667"/>
      <c r="K12" s="422"/>
    </row>
    <row r="13" spans="1:11" s="735" customFormat="1" ht="30" customHeight="1" x14ac:dyDescent="0.25">
      <c r="A13" s="777"/>
      <c r="B13" s="788" t="s">
        <v>107</v>
      </c>
      <c r="C13" s="10" t="s">
        <v>400</v>
      </c>
      <c r="D13" s="9"/>
      <c r="E13" s="4"/>
      <c r="F13" s="1667"/>
      <c r="G13" s="1667"/>
      <c r="H13" s="1667"/>
      <c r="I13" s="1667"/>
      <c r="K13" s="422"/>
    </row>
    <row r="14" spans="1:11" s="735" customFormat="1" ht="15" customHeight="1" x14ac:dyDescent="0.25">
      <c r="A14" s="777"/>
      <c r="B14" s="788" t="s">
        <v>298</v>
      </c>
      <c r="C14" s="10"/>
      <c r="D14" s="9"/>
      <c r="E14" s="4"/>
      <c r="F14" s="1667"/>
      <c r="G14" s="1667"/>
      <c r="H14" s="1667"/>
      <c r="I14" s="1667"/>
      <c r="K14" s="422"/>
    </row>
    <row r="15" spans="1:11" s="735" customFormat="1" ht="15" customHeight="1" x14ac:dyDescent="0.25">
      <c r="A15" s="777"/>
      <c r="B15" s="788" t="s">
        <v>74</v>
      </c>
      <c r="C15" s="11"/>
      <c r="D15" s="9"/>
      <c r="E15" s="4"/>
      <c r="F15" s="1667"/>
      <c r="G15" s="1667"/>
      <c r="H15" s="1667"/>
      <c r="I15" s="1667"/>
      <c r="K15" s="422"/>
    </row>
    <row r="16" spans="1:11" s="735" customFormat="1" ht="15" customHeight="1" x14ac:dyDescent="0.25">
      <c r="A16" s="777"/>
      <c r="B16" s="788" t="s">
        <v>615</v>
      </c>
      <c r="C16" s="12">
        <v>0</v>
      </c>
      <c r="D16" s="9"/>
      <c r="E16" s="4"/>
      <c r="F16" s="1667"/>
      <c r="G16" s="1667"/>
      <c r="H16" s="1667"/>
      <c r="I16" s="1667"/>
      <c r="K16" s="422"/>
    </row>
    <row r="17" spans="1:11" s="735" customFormat="1" ht="15" customHeight="1" x14ac:dyDescent="0.25">
      <c r="A17" s="777"/>
      <c r="B17" s="788" t="s">
        <v>624</v>
      </c>
      <c r="C17" s="12"/>
      <c r="D17" s="9"/>
      <c r="E17" s="4"/>
      <c r="F17" s="1667"/>
      <c r="G17" s="1667"/>
      <c r="H17" s="1667"/>
      <c r="I17" s="1667"/>
      <c r="K17" s="422"/>
    </row>
    <row r="18" spans="1:11" s="735" customFormat="1" ht="15" customHeight="1" x14ac:dyDescent="0.25">
      <c r="A18" s="777"/>
      <c r="B18" s="788" t="s">
        <v>623</v>
      </c>
      <c r="C18" s="12"/>
      <c r="D18" s="9"/>
      <c r="E18" s="4"/>
      <c r="F18" s="1667"/>
      <c r="G18" s="1667"/>
      <c r="H18" s="1667"/>
      <c r="I18" s="1667"/>
      <c r="K18" s="422"/>
    </row>
    <row r="19" spans="1:11" s="735" customFormat="1" ht="15" customHeight="1" x14ac:dyDescent="0.25">
      <c r="A19" s="777"/>
      <c r="B19" s="788" t="s">
        <v>622</v>
      </c>
      <c r="C19" s="12"/>
      <c r="D19" s="9"/>
      <c r="E19" s="4"/>
      <c r="F19" s="1667"/>
      <c r="G19" s="1667"/>
      <c r="H19" s="1667"/>
      <c r="I19" s="1667"/>
      <c r="K19" s="422"/>
    </row>
    <row r="20" spans="1:11" s="735" customFormat="1" ht="15" customHeight="1" x14ac:dyDescent="0.25">
      <c r="A20" s="777"/>
      <c r="B20" s="789" t="s">
        <v>90</v>
      </c>
      <c r="C20" s="13">
        <v>1</v>
      </c>
      <c r="D20" s="793">
        <f>C20*C50</f>
        <v>1</v>
      </c>
      <c r="E20" s="4"/>
      <c r="F20" s="1667"/>
      <c r="G20" s="1667"/>
      <c r="H20" s="1667"/>
      <c r="I20" s="1667"/>
      <c r="K20" s="422"/>
    </row>
    <row r="21" spans="1:11" s="735" customFormat="1" ht="15" customHeight="1" x14ac:dyDescent="0.25">
      <c r="A21" s="777"/>
      <c r="B21" s="789" t="s">
        <v>196</v>
      </c>
      <c r="C21" s="14"/>
      <c r="D21" s="9"/>
      <c r="E21" s="4"/>
      <c r="F21" s="1667"/>
      <c r="G21" s="1667"/>
      <c r="H21" s="1667"/>
      <c r="I21" s="1667"/>
      <c r="K21" s="422"/>
    </row>
    <row r="22" spans="1:11" s="735" customFormat="1" ht="15" customHeight="1" x14ac:dyDescent="0.25">
      <c r="A22" s="777"/>
      <c r="B22" s="789" t="s">
        <v>123</v>
      </c>
      <c r="C22" s="10" t="s">
        <v>109</v>
      </c>
      <c r="D22" s="9"/>
      <c r="E22" s="4"/>
      <c r="F22" s="1667"/>
      <c r="G22" s="1667"/>
      <c r="H22" s="1667"/>
      <c r="I22" s="1667"/>
      <c r="K22" s="422"/>
    </row>
    <row r="23" spans="1:11" s="735" customFormat="1" ht="15" customHeight="1" x14ac:dyDescent="0.25">
      <c r="A23" s="777"/>
      <c r="B23" s="790" t="s">
        <v>184</v>
      </c>
      <c r="C23" s="10" t="s">
        <v>109</v>
      </c>
      <c r="D23" s="9"/>
      <c r="E23" s="4"/>
      <c r="F23" s="1667"/>
      <c r="G23" s="1667"/>
      <c r="H23" s="1667"/>
      <c r="I23" s="1667"/>
      <c r="K23" s="422"/>
    </row>
    <row r="24" spans="1:11" s="735" customFormat="1" ht="15" customHeight="1" x14ac:dyDescent="0.25">
      <c r="A24" s="777"/>
      <c r="B24" s="789" t="s">
        <v>1017</v>
      </c>
      <c r="C24" s="10" t="s">
        <v>109</v>
      </c>
      <c r="D24" s="9"/>
      <c r="E24" s="4"/>
      <c r="F24" s="1667"/>
      <c r="G24" s="1667"/>
      <c r="H24" s="1667"/>
      <c r="I24" s="1667"/>
      <c r="K24" s="422"/>
    </row>
    <row r="25" spans="1:11" s="735" customFormat="1" ht="15" customHeight="1" x14ac:dyDescent="0.25">
      <c r="A25" s="777"/>
      <c r="B25" s="790" t="s">
        <v>184</v>
      </c>
      <c r="C25" s="15"/>
      <c r="D25" s="9"/>
      <c r="E25" s="4"/>
      <c r="F25" s="1667"/>
      <c r="G25" s="1667"/>
      <c r="H25" s="1667"/>
      <c r="I25" s="1667"/>
      <c r="K25" s="422"/>
    </row>
    <row r="26" spans="1:11" s="735" customFormat="1" ht="15" customHeight="1" x14ac:dyDescent="0.25">
      <c r="A26" s="777"/>
      <c r="B26" s="789" t="s">
        <v>124</v>
      </c>
      <c r="C26" s="10" t="s">
        <v>109</v>
      </c>
      <c r="D26" s="9"/>
      <c r="E26" s="4"/>
      <c r="F26" s="1667"/>
      <c r="G26" s="1667"/>
      <c r="H26" s="1667"/>
      <c r="I26" s="1667"/>
      <c r="K26" s="422"/>
    </row>
    <row r="27" spans="1:11" s="735" customFormat="1" ht="15" customHeight="1" x14ac:dyDescent="0.25">
      <c r="A27" s="777"/>
      <c r="B27" s="790" t="s">
        <v>184</v>
      </c>
      <c r="C27" s="10" t="s">
        <v>109</v>
      </c>
      <c r="D27" s="9"/>
      <c r="E27" s="4"/>
      <c r="K27" s="422"/>
    </row>
    <row r="28" spans="1:11" s="735" customFormat="1" ht="15" customHeight="1" x14ac:dyDescent="0.25">
      <c r="A28" s="777"/>
      <c r="B28" s="789" t="s">
        <v>625</v>
      </c>
      <c r="C28" s="10" t="s">
        <v>109</v>
      </c>
      <c r="D28" s="9"/>
      <c r="E28" s="4"/>
      <c r="K28" s="422"/>
    </row>
    <row r="29" spans="1:11" s="735" customFormat="1" ht="15" customHeight="1" x14ac:dyDescent="0.25">
      <c r="A29" s="777"/>
      <c r="B29" s="790" t="s">
        <v>184</v>
      </c>
      <c r="C29" s="10" t="s">
        <v>109</v>
      </c>
      <c r="D29" s="9"/>
      <c r="E29" s="4"/>
      <c r="K29" s="422"/>
    </row>
    <row r="30" spans="1:11" s="735" customFormat="1" ht="15" customHeight="1" x14ac:dyDescent="0.25">
      <c r="A30" s="777"/>
      <c r="B30" s="789" t="s">
        <v>626</v>
      </c>
      <c r="C30" s="10" t="s">
        <v>109</v>
      </c>
      <c r="D30" s="9"/>
      <c r="E30" s="4"/>
      <c r="K30" s="422"/>
    </row>
    <row r="31" spans="1:11" s="735" customFormat="1" ht="15" customHeight="1" x14ac:dyDescent="0.25">
      <c r="A31" s="777"/>
      <c r="B31" s="790" t="s">
        <v>184</v>
      </c>
      <c r="C31" s="10" t="s">
        <v>109</v>
      </c>
      <c r="D31" s="9"/>
      <c r="E31" s="4"/>
      <c r="K31" s="422"/>
    </row>
    <row r="32" spans="1:11" s="735" customFormat="1" ht="15" customHeight="1" x14ac:dyDescent="0.25">
      <c r="A32" s="777"/>
      <c r="B32" s="789" t="s">
        <v>1353</v>
      </c>
      <c r="C32" s="10" t="s">
        <v>109</v>
      </c>
      <c r="D32" s="9"/>
      <c r="E32" s="4"/>
      <c r="K32" s="422"/>
    </row>
    <row r="33" spans="1:11" s="735" customFormat="1" ht="15" customHeight="1" x14ac:dyDescent="0.25">
      <c r="A33" s="777"/>
      <c r="B33" s="790" t="s">
        <v>184</v>
      </c>
      <c r="C33" s="15"/>
      <c r="D33" s="9"/>
      <c r="E33" s="4"/>
      <c r="K33" s="422"/>
    </row>
    <row r="34" spans="1:11" s="735" customFormat="1" ht="15" customHeight="1" x14ac:dyDescent="0.25">
      <c r="A34" s="777"/>
      <c r="B34" s="789" t="s">
        <v>1220</v>
      </c>
      <c r="C34" s="10" t="s">
        <v>109</v>
      </c>
      <c r="D34" s="9"/>
      <c r="E34" s="4"/>
      <c r="K34" s="422"/>
    </row>
    <row r="35" spans="1:11" s="735" customFormat="1" ht="15" customHeight="1" x14ac:dyDescent="0.25">
      <c r="A35" s="777"/>
      <c r="B35" s="790" t="s">
        <v>184</v>
      </c>
      <c r="C35" s="15"/>
      <c r="D35" s="9"/>
      <c r="E35" s="4"/>
      <c r="K35" s="422"/>
    </row>
    <row r="36" spans="1:11" s="735" customFormat="1" ht="15" customHeight="1" x14ac:dyDescent="0.25">
      <c r="A36" s="777"/>
      <c r="B36" s="789" t="s">
        <v>818</v>
      </c>
      <c r="C36" s="10" t="s">
        <v>109</v>
      </c>
      <c r="D36" s="9"/>
      <c r="E36" s="4"/>
      <c r="K36" s="422"/>
    </row>
    <row r="37" spans="1:11" s="735" customFormat="1" ht="15" customHeight="1" x14ac:dyDescent="0.25">
      <c r="A37" s="777"/>
      <c r="B37" s="790" t="s">
        <v>184</v>
      </c>
      <c r="C37" s="15"/>
      <c r="D37" s="9"/>
      <c r="E37" s="4"/>
      <c r="K37" s="422"/>
    </row>
    <row r="38" spans="1:11" s="735" customFormat="1" ht="15" customHeight="1" x14ac:dyDescent="0.25">
      <c r="A38" s="777"/>
      <c r="B38" s="789" t="s">
        <v>1221</v>
      </c>
      <c r="C38" s="10" t="s">
        <v>109</v>
      </c>
      <c r="D38" s="9"/>
      <c r="E38" s="4"/>
      <c r="K38" s="422"/>
    </row>
    <row r="39" spans="1:11" s="735" customFormat="1" ht="15" customHeight="1" x14ac:dyDescent="0.25">
      <c r="A39" s="777"/>
      <c r="B39" s="790" t="s">
        <v>184</v>
      </c>
      <c r="C39" s="15"/>
      <c r="D39" s="9"/>
      <c r="E39" s="4"/>
      <c r="K39" s="422"/>
    </row>
    <row r="40" spans="1:11" s="735" customFormat="1" ht="15" customHeight="1" x14ac:dyDescent="0.25">
      <c r="A40" s="777"/>
      <c r="B40" s="1572" t="s">
        <v>1591</v>
      </c>
      <c r="C40" s="10" t="s">
        <v>109</v>
      </c>
      <c r="D40" s="9"/>
      <c r="E40" s="4"/>
      <c r="K40" s="422"/>
    </row>
    <row r="41" spans="1:11" s="735" customFormat="1" ht="15" customHeight="1" x14ac:dyDescent="0.25">
      <c r="A41" s="777"/>
      <c r="B41" s="790" t="s">
        <v>184</v>
      </c>
      <c r="C41" s="15"/>
      <c r="D41" s="9"/>
      <c r="E41" s="4"/>
      <c r="K41" s="422"/>
    </row>
    <row r="42" spans="1:11" s="735" customFormat="1" ht="15" customHeight="1" x14ac:dyDescent="0.25">
      <c r="A42" s="777"/>
      <c r="B42" s="1572" t="s">
        <v>1763</v>
      </c>
      <c r="C42" s="10" t="s">
        <v>109</v>
      </c>
      <c r="D42" s="9"/>
      <c r="E42" s="4"/>
      <c r="K42" s="422"/>
    </row>
    <row r="43" spans="1:11" s="735" customFormat="1" ht="15" customHeight="1" x14ac:dyDescent="0.25">
      <c r="A43" s="777"/>
      <c r="B43" s="790" t="s">
        <v>184</v>
      </c>
      <c r="C43" s="15"/>
      <c r="D43" s="9"/>
      <c r="E43" s="4"/>
      <c r="K43" s="422"/>
    </row>
    <row r="44" spans="1:11" s="735" customFormat="1" ht="15" customHeight="1" x14ac:dyDescent="0.25">
      <c r="A44" s="777"/>
      <c r="B44" s="789" t="s">
        <v>1153</v>
      </c>
      <c r="C44" s="10" t="s">
        <v>109</v>
      </c>
      <c r="D44" s="9"/>
      <c r="E44" s="4"/>
      <c r="K44" s="422"/>
    </row>
    <row r="45" spans="1:11" s="735" customFormat="1" ht="15" customHeight="1" x14ac:dyDescent="0.25">
      <c r="A45" s="777"/>
      <c r="B45" s="790" t="s">
        <v>184</v>
      </c>
      <c r="C45" s="15"/>
      <c r="D45" s="9"/>
      <c r="E45" s="4"/>
      <c r="K45" s="422"/>
    </row>
    <row r="46" spans="1:11" s="735" customFormat="1" ht="15" customHeight="1" x14ac:dyDescent="0.25">
      <c r="A46" s="777"/>
      <c r="B46" s="789" t="s">
        <v>1154</v>
      </c>
      <c r="C46" s="10" t="s">
        <v>109</v>
      </c>
      <c r="D46" s="9"/>
      <c r="E46" s="4"/>
      <c r="K46" s="422"/>
    </row>
    <row r="47" spans="1:11" s="735" customFormat="1" ht="15" customHeight="1" x14ac:dyDescent="0.25">
      <c r="A47" s="777"/>
      <c r="B47" s="790" t="s">
        <v>184</v>
      </c>
      <c r="C47" s="15"/>
      <c r="D47" s="9"/>
      <c r="E47" s="4"/>
      <c r="K47" s="422"/>
    </row>
    <row r="48" spans="1:11" s="735" customFormat="1" ht="15" customHeight="1" x14ac:dyDescent="0.25">
      <c r="A48" s="777"/>
      <c r="B48" s="789" t="s">
        <v>105</v>
      </c>
      <c r="C48" s="16"/>
      <c r="D48" s="9"/>
      <c r="E48" s="4"/>
      <c r="K48" s="422"/>
    </row>
    <row r="49" spans="1:11" s="735" customFormat="1" ht="15" customHeight="1" x14ac:dyDescent="0.25">
      <c r="A49" s="777"/>
      <c r="B49" s="789" t="s">
        <v>335</v>
      </c>
      <c r="C49" s="1512"/>
      <c r="D49" s="17"/>
      <c r="E49" s="4"/>
      <c r="K49" s="422"/>
    </row>
    <row r="50" spans="1:11" s="735" customFormat="1" ht="15" customHeight="1" x14ac:dyDescent="0.25">
      <c r="A50" s="777"/>
      <c r="B50" s="789" t="s">
        <v>299</v>
      </c>
      <c r="C50" s="18">
        <v>1</v>
      </c>
      <c r="D50" s="792" t="str">
        <f>VLOOKUP(C50,UnitT,2)</f>
        <v>One</v>
      </c>
      <c r="E50" s="4"/>
      <c r="K50" s="422"/>
    </row>
    <row r="51" spans="1:11" s="735" customFormat="1" ht="15" customHeight="1" x14ac:dyDescent="0.25">
      <c r="A51" s="777"/>
      <c r="B51" s="791" t="s">
        <v>120</v>
      </c>
      <c r="C51" s="20"/>
      <c r="D51" s="21"/>
      <c r="E51" s="4"/>
      <c r="K51" s="422"/>
    </row>
    <row r="52" spans="1:11" s="735" customFormat="1" ht="60" customHeight="1" x14ac:dyDescent="0.25">
      <c r="A52" s="733" t="s">
        <v>306</v>
      </c>
      <c r="B52" s="722"/>
      <c r="C52" s="734"/>
      <c r="K52" s="422"/>
    </row>
    <row r="53" spans="1:11" s="735" customFormat="1" ht="15" customHeight="1" x14ac:dyDescent="0.25">
      <c r="A53" s="730"/>
      <c r="B53" s="1577" t="s">
        <v>111</v>
      </c>
      <c r="C53" s="22" t="s">
        <v>110</v>
      </c>
      <c r="K53" s="422"/>
    </row>
    <row r="54" spans="1:11" s="735" customFormat="1" ht="15" customHeight="1" x14ac:dyDescent="0.25">
      <c r="A54" s="730"/>
      <c r="B54" s="789" t="s">
        <v>350</v>
      </c>
      <c r="C54" s="23" t="s">
        <v>110</v>
      </c>
      <c r="K54" s="422"/>
    </row>
    <row r="55" spans="1:11" s="735" customFormat="1" ht="15" customHeight="1" x14ac:dyDescent="0.25">
      <c r="A55" s="777"/>
      <c r="B55" s="789" t="s">
        <v>351</v>
      </c>
      <c r="C55" s="23" t="s">
        <v>110</v>
      </c>
      <c r="K55" s="422"/>
    </row>
    <row r="56" spans="1:11" s="735" customFormat="1" ht="15" customHeight="1" x14ac:dyDescent="0.25">
      <c r="A56" s="777"/>
      <c r="B56" s="794" t="s">
        <v>352</v>
      </c>
      <c r="C56" s="20" t="s">
        <v>110</v>
      </c>
      <c r="K56" s="422"/>
    </row>
    <row r="57" spans="1:11" s="735" customFormat="1" ht="60" customHeight="1" x14ac:dyDescent="0.25">
      <c r="A57" s="733" t="s">
        <v>650</v>
      </c>
      <c r="B57" s="722"/>
      <c r="C57" s="734"/>
      <c r="K57" s="422"/>
    </row>
    <row r="58" spans="1:11" s="735" customFormat="1" ht="15" customHeight="1" x14ac:dyDescent="0.25">
      <c r="A58" s="730"/>
      <c r="B58" s="796" t="s">
        <v>253</v>
      </c>
      <c r="C58" s="24"/>
      <c r="K58" s="422"/>
    </row>
    <row r="59" spans="1:11" s="735" customFormat="1" ht="15" customHeight="1" x14ac:dyDescent="0.25">
      <c r="A59" s="778"/>
      <c r="B59" s="734"/>
      <c r="C59" s="734"/>
      <c r="D59" s="795"/>
      <c r="E59" s="795"/>
      <c r="F59" s="795"/>
      <c r="G59" s="795"/>
      <c r="H59" s="795"/>
      <c r="I59" s="795"/>
      <c r="J59" s="795"/>
      <c r="K59" s="456"/>
    </row>
    <row r="60" spans="1:11" ht="30" customHeight="1" x14ac:dyDescent="0.3">
      <c r="A60" s="776" t="s">
        <v>419</v>
      </c>
      <c r="B60" s="785"/>
      <c r="C60" s="786"/>
      <c r="D60" s="725"/>
      <c r="E60" s="725"/>
      <c r="F60" s="725"/>
      <c r="G60" s="725"/>
      <c r="H60" s="725"/>
      <c r="I60" s="725"/>
      <c r="J60" s="725"/>
      <c r="K60" s="715"/>
    </row>
    <row r="61" spans="1:11" s="735" customFormat="1" ht="45" customHeight="1" x14ac:dyDescent="0.25">
      <c r="A61" s="777"/>
      <c r="B61" s="773" t="str">
        <f>CONCATENATE("Data in cells C ", ROW(C63), " to C", ROW(C76), " must be in line with regulatory reporting.")</f>
        <v>Data in cells C 63 to C76 must be in line with regulatory reporting.</v>
      </c>
      <c r="C61" s="734"/>
      <c r="K61" s="422"/>
    </row>
    <row r="62" spans="1:11" s="735" customFormat="1" ht="45" customHeight="1" x14ac:dyDescent="0.25">
      <c r="A62" s="777"/>
      <c r="B62" s="1598"/>
      <c r="C62" s="797" t="s">
        <v>748</v>
      </c>
      <c r="D62" s="797" t="s">
        <v>923</v>
      </c>
      <c r="E62" s="798" t="s">
        <v>968</v>
      </c>
      <c r="F62" s="734"/>
      <c r="G62" s="734"/>
      <c r="H62" s="734"/>
      <c r="I62" s="734"/>
      <c r="J62" s="734"/>
      <c r="K62" s="771"/>
    </row>
    <row r="63" spans="1:11" s="735" customFormat="1" ht="15" customHeight="1" x14ac:dyDescent="0.25">
      <c r="A63" s="730"/>
      <c r="B63" s="799" t="s">
        <v>230</v>
      </c>
      <c r="C63" s="800" t="str">
        <f>IF(AND(ISNUMBER(C64),ISNUMBER(C67),ISNUMBER(C72),ISNUMBER(C76)),C64+C67+C72+C76,"")</f>
        <v/>
      </c>
      <c r="D63" s="800" t="str">
        <f>IF(AND(ISNUMBER(D64),ISNUMBER(D67),ISNUMBER(D72)),D64+D67+D72,"")</f>
        <v/>
      </c>
      <c r="E63" s="801" t="str">
        <f>IF(AND(ISNUMBER(E64),ISNUMBER(E67),ISNUMBER(E72)),E64+E67+E72,"")</f>
        <v/>
      </c>
      <c r="F63" s="734"/>
      <c r="G63" s="734"/>
      <c r="H63" s="734"/>
      <c r="I63" s="734"/>
      <c r="J63" s="734"/>
      <c r="K63" s="771"/>
    </row>
    <row r="64" spans="1:11" s="735" customFormat="1" ht="15" customHeight="1" x14ac:dyDescent="0.25">
      <c r="A64" s="730"/>
      <c r="B64" s="1599" t="s">
        <v>82</v>
      </c>
      <c r="C64" s="802" t="str">
        <f>IF(AND(ISNUMBER(C65),ISNUMBER(C66)),C65-C66,"")</f>
        <v/>
      </c>
      <c r="D64" s="803" t="str">
        <f>IF(ISNUMBER(DefCap!D64),DefCap!D64,"")</f>
        <v/>
      </c>
      <c r="E64" s="803" t="str">
        <f>IF(ISNUMBER(DefCap!E64),DefCap!E64,"")</f>
        <v/>
      </c>
      <c r="F64" s="734"/>
      <c r="G64" s="734"/>
      <c r="H64" s="734"/>
      <c r="I64" s="734"/>
      <c r="J64" s="734"/>
      <c r="K64" s="771"/>
    </row>
    <row r="65" spans="1:11" s="735" customFormat="1" ht="15" customHeight="1" x14ac:dyDescent="0.25">
      <c r="A65" s="730"/>
      <c r="B65" s="1602" t="s">
        <v>407</v>
      </c>
      <c r="C65" s="1241"/>
      <c r="D65" s="803" t="str">
        <f>IF(ISNUMBER(DefCap!D33),DefCap!D33,"")</f>
        <v/>
      </c>
      <c r="E65" s="803" t="str">
        <f>IF(ISNUMBER(DefCap!E33),DefCap!E33,"")</f>
        <v/>
      </c>
      <c r="F65" s="734"/>
      <c r="G65" s="734"/>
      <c r="H65" s="734"/>
      <c r="I65" s="734"/>
      <c r="J65" s="734"/>
      <c r="K65" s="771"/>
    </row>
    <row r="66" spans="1:11" s="735" customFormat="1" ht="15" customHeight="1" x14ac:dyDescent="0.25">
      <c r="A66" s="730"/>
      <c r="B66" s="1602" t="s">
        <v>208</v>
      </c>
      <c r="C66" s="1241"/>
      <c r="D66" s="803" t="str">
        <f>IF(ISNUMBER(DefCap!D63),DefCap!D63,"")</f>
        <v/>
      </c>
      <c r="E66" s="803" t="str">
        <f>IF(ISNUMBER(DefCap!E63),DefCap!E63,"")</f>
        <v/>
      </c>
      <c r="F66" s="734"/>
      <c r="G66" s="734"/>
      <c r="H66" s="734"/>
      <c r="I66" s="734"/>
      <c r="J66" s="734"/>
      <c r="K66" s="771"/>
    </row>
    <row r="67" spans="1:11" s="735" customFormat="1" ht="15" customHeight="1" x14ac:dyDescent="0.25">
      <c r="A67" s="730"/>
      <c r="B67" s="1599" t="s">
        <v>83</v>
      </c>
      <c r="C67" s="802" t="str">
        <f>IF(AND(ISNUMBER(C68),ISNUMBER(C69)),C68-C69,"")</f>
        <v/>
      </c>
      <c r="D67" s="803" t="str">
        <f>IF(ISNUMBER(DefCap!D82),DefCap!D82,"")</f>
        <v/>
      </c>
      <c r="E67" s="803" t="str">
        <f>IF(ISNUMBER(DefCap!E82),DefCap!E82,"")</f>
        <v/>
      </c>
      <c r="F67" s="734"/>
      <c r="G67" s="734"/>
      <c r="H67" s="734"/>
      <c r="I67" s="734"/>
      <c r="J67" s="734"/>
      <c r="K67" s="771"/>
    </row>
    <row r="68" spans="1:11" s="735" customFormat="1" ht="15" customHeight="1" x14ac:dyDescent="0.25">
      <c r="A68" s="730"/>
      <c r="B68" s="1602" t="s">
        <v>407</v>
      </c>
      <c r="C68" s="1241"/>
      <c r="D68" s="803" t="str">
        <f>IF(ISNUMBER(DefCap!D71),DefCap!D71,"")</f>
        <v/>
      </c>
      <c r="E68" s="803" t="str">
        <f>IF(ISNUMBER(DefCap!E71),DefCap!E71,"")</f>
        <v/>
      </c>
      <c r="F68" s="734"/>
      <c r="G68" s="734"/>
      <c r="H68" s="734"/>
      <c r="I68" s="734"/>
      <c r="J68" s="734"/>
      <c r="K68" s="771"/>
    </row>
    <row r="69" spans="1:11" s="735" customFormat="1" ht="15" customHeight="1" x14ac:dyDescent="0.25">
      <c r="A69" s="730"/>
      <c r="B69" s="1602" t="s">
        <v>208</v>
      </c>
      <c r="C69" s="1241"/>
      <c r="D69" s="803" t="str">
        <f>IF(ISNUMBER(DefCap!D81),DefCap!D81,"")</f>
        <v/>
      </c>
      <c r="E69" s="803" t="str">
        <f>IF(ISNUMBER(DefCap!E81),DefCap!E81,"")</f>
        <v/>
      </c>
      <c r="F69" s="734"/>
      <c r="G69" s="734"/>
      <c r="H69" s="734"/>
      <c r="I69" s="734"/>
      <c r="J69" s="734"/>
      <c r="K69" s="771"/>
    </row>
    <row r="70" spans="1:11" s="735" customFormat="1" ht="15" customHeight="1" x14ac:dyDescent="0.25">
      <c r="A70" s="730"/>
      <c r="B70" s="804" t="s">
        <v>747</v>
      </c>
      <c r="C70" s="807" t="str">
        <f>IF(C68&gt;=C69,"Yes","No")</f>
        <v>Yes</v>
      </c>
      <c r="D70" s="461"/>
      <c r="E70" s="461"/>
      <c r="F70" s="734"/>
      <c r="G70" s="734"/>
      <c r="H70" s="734"/>
      <c r="I70" s="734"/>
      <c r="J70" s="734"/>
      <c r="K70" s="771"/>
    </row>
    <row r="71" spans="1:11" s="735" customFormat="1" ht="15" customHeight="1" x14ac:dyDescent="0.25">
      <c r="A71" s="730"/>
      <c r="B71" s="1599" t="s">
        <v>86</v>
      </c>
      <c r="C71" s="802" t="str">
        <f>IF(AND(ISNUMBER(C64),ISNUMBER(C67)),C64+C67,"")</f>
        <v/>
      </c>
      <c r="D71" s="803" t="str">
        <f>IF(AND(ISNUMBER(D64),ISNUMBER(D67)),D64+D67,"")</f>
        <v/>
      </c>
      <c r="E71" s="803" t="str">
        <f>IF(AND(ISNUMBER(E64),ISNUMBER(E67)),E64+E67,"")</f>
        <v/>
      </c>
      <c r="F71" s="734"/>
      <c r="G71" s="734"/>
      <c r="H71" s="734"/>
      <c r="I71" s="734"/>
      <c r="J71" s="734"/>
      <c r="K71" s="771"/>
    </row>
    <row r="72" spans="1:11" s="735" customFormat="1" ht="15" customHeight="1" x14ac:dyDescent="0.25">
      <c r="A72" s="730"/>
      <c r="B72" s="1599" t="s">
        <v>84</v>
      </c>
      <c r="C72" s="802" t="str">
        <f>IF(AND(ISNUMBER(C73),ISNUMBER(C74)),C73-C74,"")</f>
        <v/>
      </c>
      <c r="D72" s="803" t="str">
        <f>IF(ISNUMBER(DefCap!D101),DefCap!D101,"")</f>
        <v/>
      </c>
      <c r="E72" s="803" t="str">
        <f>IF(ISNUMBER(DefCap!E101),DefCap!E101,"")</f>
        <v/>
      </c>
      <c r="F72" s="734"/>
      <c r="G72" s="734"/>
      <c r="H72" s="734"/>
      <c r="I72" s="734"/>
      <c r="J72" s="734"/>
      <c r="K72" s="771"/>
    </row>
    <row r="73" spans="1:11" s="735" customFormat="1" ht="15" customHeight="1" x14ac:dyDescent="0.25">
      <c r="A73" s="730"/>
      <c r="B73" s="1602" t="s">
        <v>207</v>
      </c>
      <c r="C73" s="1241"/>
      <c r="D73" s="803" t="str">
        <f>IF(ISNUMBER(DefCap!D91),DefCap!D91,"")</f>
        <v/>
      </c>
      <c r="E73" s="803" t="str">
        <f>IF(ISNUMBER(DefCap!E91),DefCap!E91,"")</f>
        <v/>
      </c>
      <c r="F73" s="734"/>
      <c r="G73" s="734"/>
      <c r="H73" s="734"/>
      <c r="I73" s="734"/>
      <c r="J73" s="734"/>
      <c r="K73" s="771"/>
    </row>
    <row r="74" spans="1:11" s="735" customFormat="1" ht="15" customHeight="1" x14ac:dyDescent="0.25">
      <c r="A74" s="730"/>
      <c r="B74" s="1602" t="s">
        <v>208</v>
      </c>
      <c r="C74" s="1241"/>
      <c r="D74" s="803" t="str">
        <f>IF(ISNUMBER(DefCap!D100),DefCap!D100,"")</f>
        <v/>
      </c>
      <c r="E74" s="803" t="str">
        <f>IF(ISNUMBER(DefCap!E100),DefCap!E100,"")</f>
        <v/>
      </c>
      <c r="F74" s="734"/>
      <c r="G74" s="734"/>
      <c r="H74" s="734"/>
      <c r="I74" s="734"/>
      <c r="J74" s="734"/>
      <c r="K74" s="771"/>
    </row>
    <row r="75" spans="1:11" s="735" customFormat="1" ht="15" customHeight="1" x14ac:dyDescent="0.25">
      <c r="A75" s="730"/>
      <c r="B75" s="804" t="s">
        <v>746</v>
      </c>
      <c r="C75" s="808" t="str">
        <f>IF(C73&gt;=C74,"Yes","No")</f>
        <v>Yes</v>
      </c>
      <c r="D75" s="461"/>
      <c r="E75" s="461"/>
      <c r="F75" s="734"/>
      <c r="G75" s="734"/>
      <c r="H75" s="734"/>
      <c r="I75" s="734"/>
      <c r="J75" s="734"/>
      <c r="K75" s="771"/>
    </row>
    <row r="76" spans="1:11" s="735" customFormat="1" ht="15" customHeight="1" x14ac:dyDescent="0.25">
      <c r="A76" s="730"/>
      <c r="B76" s="805" t="s">
        <v>85</v>
      </c>
      <c r="C76" s="1248"/>
      <c r="D76" s="717"/>
      <c r="E76" s="717"/>
      <c r="F76" s="734"/>
      <c r="G76" s="734"/>
      <c r="H76" s="734"/>
      <c r="I76" s="734"/>
      <c r="J76" s="734"/>
      <c r="K76" s="771"/>
    </row>
    <row r="77" spans="1:11" s="735" customFormat="1" ht="15" customHeight="1" x14ac:dyDescent="0.25">
      <c r="A77" s="779"/>
      <c r="B77" s="806"/>
      <c r="C77" s="806"/>
      <c r="D77" s="806"/>
      <c r="E77" s="806"/>
      <c r="F77" s="806"/>
      <c r="G77" s="806"/>
      <c r="H77" s="806"/>
      <c r="I77" s="806"/>
      <c r="J77" s="806"/>
      <c r="K77" s="783"/>
    </row>
    <row r="78" spans="1:11" s="735" customFormat="1" ht="45" customHeight="1" x14ac:dyDescent="0.25">
      <c r="A78" s="780" t="s">
        <v>210</v>
      </c>
      <c r="B78" s="809"/>
      <c r="C78" s="765"/>
      <c r="D78" s="810"/>
      <c r="E78" s="810"/>
      <c r="F78" s="810"/>
      <c r="G78" s="810"/>
      <c r="H78" s="810"/>
      <c r="I78" s="810"/>
      <c r="J78" s="810"/>
      <c r="K78" s="784"/>
    </row>
    <row r="79" spans="1:11" s="735" customFormat="1" ht="15" customHeight="1" x14ac:dyDescent="0.25">
      <c r="A79" s="730"/>
      <c r="B79" s="811"/>
      <c r="C79" s="1545" t="s">
        <v>342</v>
      </c>
      <c r="K79" s="422"/>
    </row>
    <row r="80" spans="1:11" s="735" customFormat="1" ht="15" customHeight="1" x14ac:dyDescent="0.25">
      <c r="A80" s="730"/>
      <c r="B80" s="812" t="s">
        <v>200</v>
      </c>
      <c r="C80" s="30"/>
      <c r="K80" s="422"/>
    </row>
    <row r="81" spans="1:11" s="735" customFormat="1" ht="15" customHeight="1" x14ac:dyDescent="0.25">
      <c r="A81" s="730"/>
      <c r="B81" s="790" t="s">
        <v>201</v>
      </c>
      <c r="C81" s="1242"/>
      <c r="K81" s="422"/>
    </row>
    <row r="82" spans="1:11" s="735" customFormat="1" ht="15" customHeight="1" x14ac:dyDescent="0.25">
      <c r="A82" s="730"/>
      <c r="B82" s="790" t="s">
        <v>202</v>
      </c>
      <c r="C82" s="1242"/>
      <c r="K82" s="422"/>
    </row>
    <row r="83" spans="1:11" s="735" customFormat="1" ht="15" customHeight="1" x14ac:dyDescent="0.25">
      <c r="A83" s="730"/>
      <c r="B83" s="813" t="s">
        <v>203</v>
      </c>
      <c r="C83" s="15"/>
      <c r="K83" s="422"/>
    </row>
    <row r="84" spans="1:11" s="735" customFormat="1" ht="15" customHeight="1" x14ac:dyDescent="0.25">
      <c r="A84" s="730"/>
      <c r="B84" s="790" t="s">
        <v>77</v>
      </c>
      <c r="C84" s="1242"/>
      <c r="K84" s="422"/>
    </row>
    <row r="85" spans="1:11" s="735" customFormat="1" ht="15" customHeight="1" x14ac:dyDescent="0.25">
      <c r="A85" s="730"/>
      <c r="B85" s="790" t="s">
        <v>204</v>
      </c>
      <c r="C85" s="1242"/>
      <c r="K85" s="422"/>
    </row>
    <row r="86" spans="1:11" s="735" customFormat="1" ht="15" customHeight="1" x14ac:dyDescent="0.25">
      <c r="A86" s="730"/>
      <c r="B86" s="790" t="s">
        <v>205</v>
      </c>
      <c r="C86" s="1242"/>
      <c r="K86" s="422"/>
    </row>
    <row r="87" spans="1:11" s="735" customFormat="1" ht="15" customHeight="1" x14ac:dyDescent="0.25">
      <c r="A87" s="730"/>
      <c r="B87" s="790" t="s">
        <v>119</v>
      </c>
      <c r="C87" s="1242"/>
      <c r="K87" s="422"/>
    </row>
    <row r="88" spans="1:11" s="735" customFormat="1" ht="15" customHeight="1" x14ac:dyDescent="0.25">
      <c r="A88" s="730"/>
      <c r="B88" s="790" t="s">
        <v>122</v>
      </c>
      <c r="C88" s="1242"/>
      <c r="K88" s="422"/>
    </row>
    <row r="89" spans="1:11" s="735" customFormat="1" ht="15" customHeight="1" x14ac:dyDescent="0.25">
      <c r="A89" s="730"/>
      <c r="B89" s="790" t="s">
        <v>99</v>
      </c>
      <c r="C89" s="1242"/>
      <c r="K89" s="422"/>
    </row>
    <row r="90" spans="1:11" s="735" customFormat="1" ht="15" customHeight="1" x14ac:dyDescent="0.25">
      <c r="A90" s="730"/>
      <c r="B90" s="813" t="s">
        <v>158</v>
      </c>
      <c r="C90" s="15"/>
      <c r="K90" s="422"/>
    </row>
    <row r="91" spans="1:11" s="735" customFormat="1" ht="15" customHeight="1" x14ac:dyDescent="0.25">
      <c r="A91" s="730"/>
      <c r="B91" s="790" t="s">
        <v>68</v>
      </c>
      <c r="C91" s="1242"/>
      <c r="K91" s="422"/>
    </row>
    <row r="92" spans="1:11" s="735" customFormat="1" ht="15" customHeight="1" x14ac:dyDescent="0.25">
      <c r="A92" s="730"/>
      <c r="B92" s="790" t="s">
        <v>24</v>
      </c>
      <c r="C92" s="1242"/>
      <c r="K92" s="422"/>
    </row>
    <row r="93" spans="1:11" s="735" customFormat="1" ht="15" customHeight="1" x14ac:dyDescent="0.25">
      <c r="A93" s="730"/>
      <c r="B93" s="814" t="s">
        <v>69</v>
      </c>
      <c r="C93" s="1243"/>
      <c r="K93" s="422"/>
    </row>
    <row r="94" spans="1:11" s="735" customFormat="1" ht="15" customHeight="1" x14ac:dyDescent="0.25">
      <c r="A94" s="781"/>
      <c r="B94" s="806"/>
      <c r="C94" s="806"/>
      <c r="D94" s="795"/>
      <c r="E94" s="795"/>
      <c r="F94" s="795"/>
      <c r="G94" s="795"/>
      <c r="H94" s="795"/>
      <c r="I94" s="795"/>
      <c r="J94" s="795"/>
      <c r="K94" s="456"/>
    </row>
  </sheetData>
  <mergeCells count="1">
    <mergeCell ref="F5:I26"/>
  </mergeCells>
  <phoneticPr fontId="5" type="noConversion"/>
  <conditionalFormatting sqref="C65 C68 C76 C91:C93 C84:C89 C73">
    <cfRule type="cellIs" dxfId="139" priority="96" stopIfTrue="1" operator="lessThan">
      <formula>0</formula>
    </cfRule>
  </conditionalFormatting>
  <conditionalFormatting sqref="C70 C75">
    <cfRule type="cellIs" dxfId="138" priority="6" stopIfTrue="1" operator="equal">
      <formula>"No"</formula>
    </cfRule>
    <cfRule type="cellIs" dxfId="137" priority="7" stopIfTrue="1" operator="equal">
      <formula>"Yes"</formula>
    </cfRule>
  </conditionalFormatting>
  <dataValidations count="6">
    <dataValidation type="list" showInputMessage="1" showErrorMessage="1" sqref="C53:C56 C8:C12 C36 C38 C40 C22:C24 C44 C46 C26:C32 C34 C42">
      <formula1>YesNo</formula1>
    </dataValidation>
    <dataValidation type="list" showInputMessage="1" showErrorMessage="1" sqref="C51">
      <formula1>Accounting</formula1>
    </dataValidation>
    <dataValidation type="list" allowBlank="1" showInputMessage="1" showErrorMessage="1" sqref="C14">
      <formula1>Group</formula1>
    </dataValidation>
    <dataValidation type="list" showInputMessage="1" showErrorMessage="1" sqref="C13">
      <formula1>BankType</formula1>
    </dataValidation>
    <dataValidation type="list" allowBlank="1" showInputMessage="1" showErrorMessage="1" sqref="C15">
      <formula1>BankTypeNumeric</formula1>
    </dataValidation>
    <dataValidation type="list" allowBlank="1" showInputMessage="1" showErrorMessage="1" sqref="C50">
      <formula1>UnitW</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51" max="10" man="1"/>
  </rowBreaks>
  <ignoredErrors>
    <ignoredError sqref="C63:C67 C70:C75"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9CCFF"/>
  </sheetPr>
  <dimension ref="A1:R96"/>
  <sheetViews>
    <sheetView zoomScale="75" zoomScaleNormal="75" workbookViewId="0">
      <pane ySplit="1" topLeftCell="A2" activePane="bottomLeft" state="frozen"/>
      <selection activeCell="B20" sqref="B20"/>
      <selection pane="bottomLeft"/>
    </sheetView>
  </sheetViews>
  <sheetFormatPr defaultColWidth="0" defaultRowHeight="0" customHeight="1" zeroHeight="1" x14ac:dyDescent="0.25"/>
  <cols>
    <col min="1" max="1" width="1.7109375" style="929" customWidth="1"/>
    <col min="2" max="2" width="16.7109375" style="928" customWidth="1"/>
    <col min="3" max="3" width="28.7109375" style="1207" customWidth="1"/>
    <col min="4" max="16" width="16.7109375" style="928" customWidth="1"/>
    <col min="17" max="17" width="1.7109375" style="929" customWidth="1"/>
    <col min="18" max="18" width="0" style="928" hidden="1" customWidth="1"/>
    <col min="19" max="16384" width="16.7109375" style="928" hidden="1"/>
  </cols>
  <sheetData>
    <row r="1" spans="1:17" ht="30" customHeight="1" x14ac:dyDescent="0.55000000000000004">
      <c r="A1" s="723" t="s">
        <v>1354</v>
      </c>
      <c r="B1" s="714"/>
      <c r="C1" s="714"/>
      <c r="D1" s="714"/>
      <c r="E1" s="766"/>
      <c r="F1" s="745"/>
      <c r="G1" s="745"/>
      <c r="H1" s="745"/>
      <c r="I1" s="745"/>
      <c r="J1" s="1511" t="str">
        <f>CONCATENATE("Reporting unit: ", 'General Info'!$C$50, " ", 'General Info'!$C$49)</f>
        <v xml:space="preserve">Reporting unit: 1 </v>
      </c>
      <c r="K1" s="725"/>
      <c r="L1" s="725"/>
      <c r="M1" s="725"/>
      <c r="N1" s="725"/>
      <c r="O1" s="725"/>
      <c r="P1" s="725"/>
      <c r="Q1" s="715"/>
    </row>
    <row r="2" spans="1:17" s="1207" customFormat="1" ht="30" customHeight="1" x14ac:dyDescent="0.3">
      <c r="A2" s="886" t="s">
        <v>1356</v>
      </c>
      <c r="B2" s="1364"/>
      <c r="C2" s="1366"/>
      <c r="D2" s="1366"/>
      <c r="E2" s="1366"/>
      <c r="F2" s="1366"/>
      <c r="G2" s="1366"/>
      <c r="H2" s="1366"/>
      <c r="I2" s="1366"/>
      <c r="J2" s="1366"/>
      <c r="K2" s="1366"/>
      <c r="L2" s="1366"/>
      <c r="M2" s="1366"/>
      <c r="N2" s="1366"/>
      <c r="O2" s="810"/>
      <c r="P2" s="1223"/>
      <c r="Q2" s="1227"/>
    </row>
    <row r="3" spans="1:17" s="1207" customFormat="1" ht="15" customHeight="1" x14ac:dyDescent="0.25">
      <c r="A3" s="418"/>
      <c r="B3" s="4"/>
      <c r="C3" s="4"/>
      <c r="D3" s="4"/>
      <c r="E3" s="4"/>
      <c r="F3" s="4"/>
      <c r="G3" s="4"/>
      <c r="H3" s="4"/>
      <c r="I3" s="4"/>
      <c r="J3" s="4"/>
      <c r="K3" s="4"/>
      <c r="L3" s="4"/>
      <c r="M3" s="4"/>
      <c r="N3" s="4"/>
      <c r="O3" s="735"/>
      <c r="P3" s="1223"/>
      <c r="Q3" s="1227"/>
    </row>
    <row r="4" spans="1:17" ht="120" customHeight="1" x14ac:dyDescent="0.25">
      <c r="A4" s="772"/>
      <c r="B4" s="1681"/>
      <c r="C4" s="1681"/>
      <c r="D4" s="1681"/>
      <c r="E4" s="1618" t="s">
        <v>1459</v>
      </c>
      <c r="F4" s="1611" t="s">
        <v>1458</v>
      </c>
      <c r="G4" s="1611" t="s">
        <v>1375</v>
      </c>
      <c r="H4" s="1617" t="s">
        <v>1683</v>
      </c>
      <c r="I4" s="1614" t="s">
        <v>1365</v>
      </c>
      <c r="J4" s="1611" t="s">
        <v>1366</v>
      </c>
      <c r="K4" s="1611" t="s">
        <v>1364</v>
      </c>
      <c r="L4" s="1611" t="s">
        <v>1363</v>
      </c>
      <c r="M4" s="1611" t="s">
        <v>1358</v>
      </c>
      <c r="N4" s="1611" t="s">
        <v>1359</v>
      </c>
      <c r="O4" s="1611" t="s">
        <v>1360</v>
      </c>
      <c r="P4" s="1613" t="s">
        <v>1283</v>
      </c>
      <c r="Q4" s="727"/>
    </row>
    <row r="5" spans="1:17" ht="15" customHeight="1" x14ac:dyDescent="0.25">
      <c r="A5" s="772"/>
      <c r="B5" s="1820" t="s">
        <v>1361</v>
      </c>
      <c r="C5" s="1821"/>
      <c r="D5" s="1822"/>
      <c r="E5" s="930" t="str">
        <f>IF(ISNUMBER(Requirements!C44), Requirements!C44, "")</f>
        <v/>
      </c>
      <c r="F5" s="931" t="str">
        <f>IF(ISNUMBER(Requirements!C45), Requirements!C45, "")</f>
        <v/>
      </c>
      <c r="G5" s="1164"/>
      <c r="H5" s="1164"/>
      <c r="I5" s="1165"/>
      <c r="J5" s="431"/>
      <c r="K5" s="431"/>
      <c r="L5" s="431"/>
      <c r="M5" s="431"/>
      <c r="N5" s="431"/>
      <c r="O5" s="431"/>
      <c r="P5" s="719"/>
      <c r="Q5" s="727"/>
    </row>
    <row r="6" spans="1:17" ht="30" customHeight="1" x14ac:dyDescent="0.25">
      <c r="A6" s="772"/>
      <c r="B6" s="1823" t="s">
        <v>1362</v>
      </c>
      <c r="C6" s="1823"/>
      <c r="D6" s="1823"/>
      <c r="E6" s="1166"/>
      <c r="F6" s="720"/>
      <c r="G6" s="56"/>
      <c r="H6" s="1197"/>
      <c r="I6" s="110"/>
      <c r="J6" s="56"/>
      <c r="K6" s="56"/>
      <c r="L6" s="56"/>
      <c r="M6" s="56"/>
      <c r="N6" s="56"/>
      <c r="O6" s="56"/>
      <c r="P6" s="57"/>
      <c r="Q6" s="727"/>
    </row>
    <row r="7" spans="1:17" ht="60" customHeight="1" x14ac:dyDescent="0.25">
      <c r="A7" s="772"/>
      <c r="B7" s="1610" t="s">
        <v>1369</v>
      </c>
      <c r="C7" s="1612" t="s">
        <v>1684</v>
      </c>
      <c r="D7" s="1619" t="s">
        <v>1370</v>
      </c>
      <c r="E7" s="1814" t="s">
        <v>1367</v>
      </c>
      <c r="F7" s="1815"/>
      <c r="G7" s="1815"/>
      <c r="H7" s="1816"/>
      <c r="I7" s="1817" t="s">
        <v>1368</v>
      </c>
      <c r="J7" s="1818"/>
      <c r="K7" s="1818"/>
      <c r="L7" s="1818"/>
      <c r="M7" s="1818"/>
      <c r="N7" s="1818"/>
      <c r="O7" s="1818"/>
      <c r="P7" s="1819"/>
      <c r="Q7" s="727"/>
    </row>
    <row r="8" spans="1:17" ht="15" customHeight="1" x14ac:dyDescent="0.25">
      <c r="A8" s="772"/>
      <c r="B8" s="1615">
        <v>1</v>
      </c>
      <c r="C8" s="1455"/>
      <c r="D8" s="756"/>
      <c r="E8" s="759"/>
      <c r="F8" s="751"/>
      <c r="G8" s="751"/>
      <c r="H8" s="760"/>
      <c r="I8" s="617"/>
      <c r="J8" s="527"/>
      <c r="K8" s="527"/>
      <c r="L8" s="527"/>
      <c r="M8" s="527"/>
      <c r="N8" s="527"/>
      <c r="O8" s="527"/>
      <c r="P8" s="752"/>
      <c r="Q8" s="727"/>
    </row>
    <row r="9" spans="1:17" ht="15" customHeight="1" x14ac:dyDescent="0.25">
      <c r="A9" s="772"/>
      <c r="B9" s="1616">
        <f>B8+1</f>
        <v>2</v>
      </c>
      <c r="C9" s="1455"/>
      <c r="D9" s="757"/>
      <c r="E9" s="761"/>
      <c r="F9" s="753"/>
      <c r="G9" s="753"/>
      <c r="H9" s="762"/>
      <c r="I9" s="50"/>
      <c r="J9" s="47"/>
      <c r="K9" s="47"/>
      <c r="L9" s="47"/>
      <c r="M9" s="47"/>
      <c r="N9" s="47"/>
      <c r="O9" s="47"/>
      <c r="P9" s="754"/>
      <c r="Q9" s="727"/>
    </row>
    <row r="10" spans="1:17" ht="15" customHeight="1" x14ac:dyDescent="0.25">
      <c r="A10" s="772"/>
      <c r="B10" s="1616">
        <f t="shared" ref="B10:B27" si="0">B9+1</f>
        <v>3</v>
      </c>
      <c r="C10" s="1455"/>
      <c r="D10" s="757"/>
      <c r="E10" s="761"/>
      <c r="F10" s="753"/>
      <c r="G10" s="753"/>
      <c r="H10" s="762"/>
      <c r="I10" s="50"/>
      <c r="J10" s="47"/>
      <c r="K10" s="47"/>
      <c r="L10" s="47"/>
      <c r="M10" s="47"/>
      <c r="N10" s="47"/>
      <c r="O10" s="47"/>
      <c r="P10" s="754"/>
      <c r="Q10" s="727"/>
    </row>
    <row r="11" spans="1:17" ht="15" customHeight="1" x14ac:dyDescent="0.25">
      <c r="A11" s="772"/>
      <c r="B11" s="1616">
        <f t="shared" si="0"/>
        <v>4</v>
      </c>
      <c r="C11" s="1455"/>
      <c r="D11" s="757"/>
      <c r="E11" s="761"/>
      <c r="F11" s="753"/>
      <c r="G11" s="753"/>
      <c r="H11" s="762"/>
      <c r="I11" s="50"/>
      <c r="J11" s="47"/>
      <c r="K11" s="47"/>
      <c r="L11" s="47"/>
      <c r="M11" s="47"/>
      <c r="N11" s="47"/>
      <c r="O11" s="47"/>
      <c r="P11" s="754"/>
      <c r="Q11" s="727"/>
    </row>
    <row r="12" spans="1:17" ht="15" customHeight="1" x14ac:dyDescent="0.25">
      <c r="A12" s="772"/>
      <c r="B12" s="1616">
        <f t="shared" si="0"/>
        <v>5</v>
      </c>
      <c r="C12" s="1455"/>
      <c r="D12" s="757"/>
      <c r="E12" s="761"/>
      <c r="F12" s="753"/>
      <c r="G12" s="753"/>
      <c r="H12" s="762"/>
      <c r="I12" s="50"/>
      <c r="J12" s="47"/>
      <c r="K12" s="47"/>
      <c r="L12" s="47"/>
      <c r="M12" s="47"/>
      <c r="N12" s="47"/>
      <c r="O12" s="47"/>
      <c r="P12" s="754"/>
      <c r="Q12" s="727"/>
    </row>
    <row r="13" spans="1:17" ht="15" customHeight="1" x14ac:dyDescent="0.25">
      <c r="A13" s="772"/>
      <c r="B13" s="1616">
        <f t="shared" si="0"/>
        <v>6</v>
      </c>
      <c r="C13" s="1455"/>
      <c r="D13" s="757"/>
      <c r="E13" s="761"/>
      <c r="F13" s="753"/>
      <c r="G13" s="753"/>
      <c r="H13" s="762"/>
      <c r="I13" s="50"/>
      <c r="J13" s="47"/>
      <c r="K13" s="47"/>
      <c r="L13" s="47"/>
      <c r="M13" s="47"/>
      <c r="N13" s="47"/>
      <c r="O13" s="47"/>
      <c r="P13" s="754"/>
      <c r="Q13" s="727"/>
    </row>
    <row r="14" spans="1:17" ht="15" customHeight="1" x14ac:dyDescent="0.25">
      <c r="A14" s="772"/>
      <c r="B14" s="1616">
        <f t="shared" si="0"/>
        <v>7</v>
      </c>
      <c r="C14" s="1455"/>
      <c r="D14" s="757"/>
      <c r="E14" s="761"/>
      <c r="F14" s="753"/>
      <c r="G14" s="753"/>
      <c r="H14" s="762"/>
      <c r="I14" s="50"/>
      <c r="J14" s="47"/>
      <c r="K14" s="47"/>
      <c r="L14" s="47"/>
      <c r="M14" s="47"/>
      <c r="N14" s="47"/>
      <c r="O14" s="47"/>
      <c r="P14" s="754"/>
      <c r="Q14" s="727"/>
    </row>
    <row r="15" spans="1:17" ht="15" customHeight="1" x14ac:dyDescent="0.25">
      <c r="A15" s="772"/>
      <c r="B15" s="1616">
        <f t="shared" si="0"/>
        <v>8</v>
      </c>
      <c r="C15" s="1455"/>
      <c r="D15" s="757"/>
      <c r="E15" s="761"/>
      <c r="F15" s="753"/>
      <c r="G15" s="753"/>
      <c r="H15" s="762"/>
      <c r="I15" s="50"/>
      <c r="J15" s="47"/>
      <c r="K15" s="47"/>
      <c r="L15" s="47"/>
      <c r="M15" s="47"/>
      <c r="N15" s="47"/>
      <c r="O15" s="47"/>
      <c r="P15" s="754"/>
      <c r="Q15" s="727"/>
    </row>
    <row r="16" spans="1:17" ht="15" customHeight="1" x14ac:dyDescent="0.25">
      <c r="A16" s="772"/>
      <c r="B16" s="1616">
        <f t="shared" si="0"/>
        <v>9</v>
      </c>
      <c r="C16" s="1455"/>
      <c r="D16" s="757"/>
      <c r="E16" s="761"/>
      <c r="F16" s="753"/>
      <c r="G16" s="753"/>
      <c r="H16" s="762"/>
      <c r="I16" s="50"/>
      <c r="J16" s="47"/>
      <c r="K16" s="47"/>
      <c r="L16" s="47"/>
      <c r="M16" s="47"/>
      <c r="N16" s="47"/>
      <c r="O16" s="47"/>
      <c r="P16" s="754"/>
      <c r="Q16" s="727"/>
    </row>
    <row r="17" spans="1:17" ht="15" customHeight="1" x14ac:dyDescent="0.25">
      <c r="A17" s="772"/>
      <c r="B17" s="1616">
        <f t="shared" si="0"/>
        <v>10</v>
      </c>
      <c r="C17" s="1455"/>
      <c r="D17" s="757"/>
      <c r="E17" s="761"/>
      <c r="F17" s="753"/>
      <c r="G17" s="753"/>
      <c r="H17" s="762"/>
      <c r="I17" s="50"/>
      <c r="J17" s="47"/>
      <c r="K17" s="47"/>
      <c r="L17" s="47"/>
      <c r="M17" s="47"/>
      <c r="N17" s="47"/>
      <c r="O17" s="47"/>
      <c r="P17" s="754"/>
      <c r="Q17" s="727"/>
    </row>
    <row r="18" spans="1:17" ht="15" customHeight="1" x14ac:dyDescent="0.25">
      <c r="A18" s="772"/>
      <c r="B18" s="1616">
        <f t="shared" si="0"/>
        <v>11</v>
      </c>
      <c r="C18" s="1455"/>
      <c r="D18" s="757"/>
      <c r="E18" s="761"/>
      <c r="F18" s="753"/>
      <c r="G18" s="753"/>
      <c r="H18" s="762"/>
      <c r="I18" s="50"/>
      <c r="J18" s="47"/>
      <c r="K18" s="47"/>
      <c r="L18" s="47"/>
      <c r="M18" s="47"/>
      <c r="N18" s="47"/>
      <c r="O18" s="47"/>
      <c r="P18" s="754"/>
      <c r="Q18" s="727"/>
    </row>
    <row r="19" spans="1:17" ht="15" customHeight="1" x14ac:dyDescent="0.25">
      <c r="A19" s="772"/>
      <c r="B19" s="1616">
        <f t="shared" si="0"/>
        <v>12</v>
      </c>
      <c r="C19" s="1455"/>
      <c r="D19" s="757"/>
      <c r="E19" s="761"/>
      <c r="F19" s="753"/>
      <c r="G19" s="753"/>
      <c r="H19" s="762"/>
      <c r="I19" s="50"/>
      <c r="J19" s="47"/>
      <c r="K19" s="47"/>
      <c r="L19" s="47"/>
      <c r="M19" s="47"/>
      <c r="N19" s="47"/>
      <c r="O19" s="47"/>
      <c r="P19" s="754"/>
      <c r="Q19" s="727"/>
    </row>
    <row r="20" spans="1:17" ht="15" customHeight="1" x14ac:dyDescent="0.25">
      <c r="A20" s="772"/>
      <c r="B20" s="1616">
        <f t="shared" si="0"/>
        <v>13</v>
      </c>
      <c r="C20" s="1455"/>
      <c r="D20" s="757"/>
      <c r="E20" s="761"/>
      <c r="F20" s="753"/>
      <c r="G20" s="753"/>
      <c r="H20" s="762"/>
      <c r="I20" s="50"/>
      <c r="J20" s="47"/>
      <c r="K20" s="47"/>
      <c r="L20" s="47"/>
      <c r="M20" s="47"/>
      <c r="N20" s="47"/>
      <c r="O20" s="47"/>
      <c r="P20" s="754"/>
      <c r="Q20" s="727"/>
    </row>
    <row r="21" spans="1:17" ht="15" customHeight="1" x14ac:dyDescent="0.25">
      <c r="A21" s="772"/>
      <c r="B21" s="1616">
        <f t="shared" si="0"/>
        <v>14</v>
      </c>
      <c r="C21" s="1455"/>
      <c r="D21" s="757"/>
      <c r="E21" s="761"/>
      <c r="F21" s="753"/>
      <c r="G21" s="753"/>
      <c r="H21" s="762"/>
      <c r="I21" s="50"/>
      <c r="J21" s="47"/>
      <c r="K21" s="47"/>
      <c r="L21" s="47"/>
      <c r="M21" s="47"/>
      <c r="N21" s="47"/>
      <c r="O21" s="47"/>
      <c r="P21" s="754"/>
      <c r="Q21" s="727"/>
    </row>
    <row r="22" spans="1:17" ht="15" customHeight="1" x14ac:dyDescent="0.25">
      <c r="A22" s="772"/>
      <c r="B22" s="1616">
        <f t="shared" si="0"/>
        <v>15</v>
      </c>
      <c r="C22" s="1455"/>
      <c r="D22" s="757"/>
      <c r="E22" s="761"/>
      <c r="F22" s="753"/>
      <c r="G22" s="753"/>
      <c r="H22" s="762"/>
      <c r="I22" s="50"/>
      <c r="J22" s="47"/>
      <c r="K22" s="47"/>
      <c r="L22" s="47"/>
      <c r="M22" s="47"/>
      <c r="N22" s="47"/>
      <c r="O22" s="47"/>
      <c r="P22" s="754"/>
      <c r="Q22" s="727"/>
    </row>
    <row r="23" spans="1:17" ht="15" customHeight="1" x14ac:dyDescent="0.25">
      <c r="A23" s="772"/>
      <c r="B23" s="1616">
        <f t="shared" si="0"/>
        <v>16</v>
      </c>
      <c r="C23" s="1455"/>
      <c r="D23" s="757"/>
      <c r="E23" s="761"/>
      <c r="F23" s="753"/>
      <c r="G23" s="753"/>
      <c r="H23" s="762"/>
      <c r="I23" s="50"/>
      <c r="J23" s="47"/>
      <c r="K23" s="47"/>
      <c r="L23" s="47"/>
      <c r="M23" s="47"/>
      <c r="N23" s="47"/>
      <c r="O23" s="47"/>
      <c r="P23" s="754"/>
      <c r="Q23" s="727"/>
    </row>
    <row r="24" spans="1:17" ht="15" customHeight="1" x14ac:dyDescent="0.25">
      <c r="A24" s="772"/>
      <c r="B24" s="1616">
        <f t="shared" si="0"/>
        <v>17</v>
      </c>
      <c r="C24" s="1455"/>
      <c r="D24" s="757"/>
      <c r="E24" s="761"/>
      <c r="F24" s="753"/>
      <c r="G24" s="753"/>
      <c r="H24" s="762"/>
      <c r="I24" s="50"/>
      <c r="J24" s="47"/>
      <c r="K24" s="47"/>
      <c r="L24" s="47"/>
      <c r="M24" s="47"/>
      <c r="N24" s="47"/>
      <c r="O24" s="47"/>
      <c r="P24" s="754"/>
      <c r="Q24" s="727"/>
    </row>
    <row r="25" spans="1:17" ht="15" customHeight="1" x14ac:dyDescent="0.25">
      <c r="A25" s="772"/>
      <c r="B25" s="1616">
        <f t="shared" si="0"/>
        <v>18</v>
      </c>
      <c r="C25" s="1455"/>
      <c r="D25" s="757"/>
      <c r="E25" s="761"/>
      <c r="F25" s="753"/>
      <c r="G25" s="753"/>
      <c r="H25" s="762"/>
      <c r="I25" s="50"/>
      <c r="J25" s="47"/>
      <c r="K25" s="47"/>
      <c r="L25" s="47"/>
      <c r="M25" s="47"/>
      <c r="N25" s="47"/>
      <c r="O25" s="47"/>
      <c r="P25" s="754"/>
      <c r="Q25" s="727"/>
    </row>
    <row r="26" spans="1:17" ht="15" customHeight="1" x14ac:dyDescent="0.25">
      <c r="A26" s="772"/>
      <c r="B26" s="1616">
        <f t="shared" si="0"/>
        <v>19</v>
      </c>
      <c r="C26" s="1455"/>
      <c r="D26" s="757"/>
      <c r="E26" s="761"/>
      <c r="F26" s="753"/>
      <c r="G26" s="753"/>
      <c r="H26" s="762"/>
      <c r="I26" s="50"/>
      <c r="J26" s="47"/>
      <c r="K26" s="47"/>
      <c r="L26" s="47"/>
      <c r="M26" s="47"/>
      <c r="N26" s="47"/>
      <c r="O26" s="47"/>
      <c r="P26" s="754"/>
      <c r="Q26" s="727"/>
    </row>
    <row r="27" spans="1:17" ht="15" customHeight="1" x14ac:dyDescent="0.25">
      <c r="A27" s="772"/>
      <c r="B27" s="737">
        <f t="shared" si="0"/>
        <v>20</v>
      </c>
      <c r="C27" s="1456"/>
      <c r="D27" s="758"/>
      <c r="E27" s="763"/>
      <c r="F27" s="747"/>
      <c r="G27" s="747"/>
      <c r="H27" s="764"/>
      <c r="I27" s="64"/>
      <c r="J27" s="62"/>
      <c r="K27" s="62"/>
      <c r="L27" s="62"/>
      <c r="M27" s="62"/>
      <c r="N27" s="62"/>
      <c r="O27" s="62"/>
      <c r="P27" s="755"/>
      <c r="Q27" s="727"/>
    </row>
    <row r="28" spans="1:17" s="1457" customFormat="1" ht="15" customHeight="1" x14ac:dyDescent="0.25">
      <c r="A28" s="772" t="s">
        <v>1357</v>
      </c>
      <c r="B28" s="732"/>
      <c r="C28" s="732"/>
      <c r="D28" s="732"/>
      <c r="E28" s="716"/>
      <c r="F28" s="716"/>
      <c r="G28" s="716"/>
      <c r="H28" s="716"/>
      <c r="I28" s="716"/>
      <c r="J28" s="716"/>
      <c r="K28" s="716"/>
      <c r="L28" s="716"/>
      <c r="M28" s="716"/>
      <c r="N28" s="749"/>
      <c r="O28" s="749"/>
      <c r="P28" s="749"/>
      <c r="Q28" s="750"/>
    </row>
    <row r="29" spans="1:17" s="1207" customFormat="1" ht="30" customHeight="1" x14ac:dyDescent="0.3">
      <c r="A29" s="886" t="s">
        <v>1371</v>
      </c>
      <c r="B29" s="1364"/>
      <c r="C29" s="1366"/>
      <c r="D29" s="1366"/>
      <c r="E29" s="1366"/>
      <c r="F29" s="1366"/>
      <c r="G29" s="1366"/>
      <c r="H29" s="1366"/>
      <c r="I29" s="1366"/>
      <c r="J29" s="1366"/>
      <c r="K29" s="1366"/>
      <c r="L29" s="1366"/>
      <c r="M29" s="1366"/>
      <c r="N29" s="1366"/>
      <c r="O29" s="810"/>
      <c r="P29" s="1223"/>
      <c r="Q29" s="1227"/>
    </row>
    <row r="30" spans="1:17" s="1207" customFormat="1" ht="15" customHeight="1" x14ac:dyDescent="0.25">
      <c r="A30" s="418"/>
      <c r="B30" s="4"/>
      <c r="C30" s="4"/>
      <c r="D30" s="4"/>
      <c r="E30" s="4"/>
      <c r="F30" s="4"/>
      <c r="G30" s="4"/>
      <c r="H30" s="4"/>
      <c r="I30" s="4"/>
      <c r="J30" s="4"/>
      <c r="K30" s="4"/>
      <c r="L30" s="4"/>
      <c r="M30" s="4"/>
      <c r="N30" s="4"/>
      <c r="O30" s="735"/>
      <c r="P30" s="1223"/>
      <c r="Q30" s="1227"/>
    </row>
    <row r="31" spans="1:17" ht="15" customHeight="1" x14ac:dyDescent="0.25">
      <c r="A31" s="772"/>
      <c r="B31" s="1796" t="s">
        <v>1688</v>
      </c>
      <c r="C31" s="1797"/>
      <c r="D31" s="1683" t="s">
        <v>1826</v>
      </c>
      <c r="E31" s="1684"/>
      <c r="F31" s="773"/>
      <c r="G31" s="716"/>
      <c r="H31" s="716"/>
      <c r="I31" s="716"/>
      <c r="J31" s="716"/>
      <c r="K31" s="716"/>
      <c r="L31" s="716"/>
      <c r="M31" s="716"/>
      <c r="N31" s="716"/>
      <c r="O31" s="716"/>
      <c r="P31" s="716"/>
      <c r="Q31" s="727"/>
    </row>
    <row r="32" spans="1:17" ht="15" customHeight="1" x14ac:dyDescent="0.25">
      <c r="A32" s="772"/>
      <c r="B32" s="1802"/>
      <c r="C32" s="1803"/>
      <c r="D32" s="1612" t="s">
        <v>1372</v>
      </c>
      <c r="E32" s="1609" t="s">
        <v>1373</v>
      </c>
      <c r="F32" s="732"/>
      <c r="G32" s="716"/>
      <c r="H32" s="716"/>
      <c r="I32" s="716"/>
      <c r="J32" s="716"/>
      <c r="K32" s="716"/>
      <c r="L32" s="716"/>
      <c r="M32" s="716"/>
      <c r="N32" s="716"/>
      <c r="O32" s="716"/>
      <c r="P32" s="716"/>
      <c r="Q32" s="727"/>
    </row>
    <row r="33" spans="1:17" ht="15" customHeight="1" x14ac:dyDescent="0.25">
      <c r="A33" s="772"/>
      <c r="B33" s="1824">
        <v>1</v>
      </c>
      <c r="C33" s="1825"/>
      <c r="D33" s="756"/>
      <c r="E33" s="756"/>
      <c r="F33" s="716"/>
      <c r="G33" s="716"/>
      <c r="H33" s="716"/>
      <c r="I33" s="716"/>
      <c r="J33" s="716"/>
      <c r="K33" s="716"/>
      <c r="L33" s="716"/>
      <c r="M33" s="716"/>
      <c r="N33" s="716"/>
      <c r="O33" s="716"/>
      <c r="P33" s="716"/>
      <c r="Q33" s="727"/>
    </row>
    <row r="34" spans="1:17" ht="15" customHeight="1" x14ac:dyDescent="0.25">
      <c r="A34" s="772"/>
      <c r="B34" s="1826">
        <f>B33+1</f>
        <v>2</v>
      </c>
      <c r="C34" s="1827"/>
      <c r="D34" s="757"/>
      <c r="E34" s="757"/>
      <c r="F34" s="716"/>
      <c r="G34" s="716"/>
      <c r="H34" s="716"/>
      <c r="I34" s="716"/>
      <c r="J34" s="716"/>
      <c r="K34" s="716"/>
      <c r="L34" s="716"/>
      <c r="M34" s="716"/>
      <c r="N34" s="716"/>
      <c r="O34" s="716"/>
      <c r="P34" s="716"/>
      <c r="Q34" s="727"/>
    </row>
    <row r="35" spans="1:17" ht="15" customHeight="1" x14ac:dyDescent="0.25">
      <c r="A35" s="772"/>
      <c r="B35" s="1826">
        <f t="shared" ref="B35:B42" si="1">B34+1</f>
        <v>3</v>
      </c>
      <c r="C35" s="1827"/>
      <c r="D35" s="757"/>
      <c r="E35" s="757"/>
      <c r="F35" s="716"/>
      <c r="G35" s="716"/>
      <c r="H35" s="716"/>
      <c r="I35" s="716"/>
      <c r="J35" s="716"/>
      <c r="K35" s="716"/>
      <c r="L35" s="716"/>
      <c r="M35" s="716"/>
      <c r="N35" s="716"/>
      <c r="O35" s="716"/>
      <c r="P35" s="716"/>
      <c r="Q35" s="727"/>
    </row>
    <row r="36" spans="1:17" ht="15" customHeight="1" x14ac:dyDescent="0.25">
      <c r="A36" s="772"/>
      <c r="B36" s="1826">
        <f t="shared" si="1"/>
        <v>4</v>
      </c>
      <c r="C36" s="1827"/>
      <c r="D36" s="757"/>
      <c r="E36" s="757"/>
      <c r="F36" s="716"/>
      <c r="G36" s="716"/>
      <c r="H36" s="716"/>
      <c r="I36" s="716"/>
      <c r="J36" s="716"/>
      <c r="K36" s="716"/>
      <c r="L36" s="716"/>
      <c r="M36" s="716"/>
      <c r="N36" s="716"/>
      <c r="O36" s="716"/>
      <c r="P36" s="716"/>
      <c r="Q36" s="727"/>
    </row>
    <row r="37" spans="1:17" ht="15" customHeight="1" x14ac:dyDescent="0.25">
      <c r="A37" s="772"/>
      <c r="B37" s="1826">
        <f t="shared" si="1"/>
        <v>5</v>
      </c>
      <c r="C37" s="1827"/>
      <c r="D37" s="757"/>
      <c r="E37" s="757"/>
      <c r="F37" s="716"/>
      <c r="G37" s="716"/>
      <c r="H37" s="716"/>
      <c r="I37" s="716"/>
      <c r="J37" s="716"/>
      <c r="K37" s="716"/>
      <c r="L37" s="716"/>
      <c r="M37" s="716"/>
      <c r="N37" s="716"/>
      <c r="O37" s="716"/>
      <c r="P37" s="716"/>
      <c r="Q37" s="727"/>
    </row>
    <row r="38" spans="1:17" ht="15" customHeight="1" x14ac:dyDescent="0.25">
      <c r="A38" s="772"/>
      <c r="B38" s="1826">
        <f t="shared" si="1"/>
        <v>6</v>
      </c>
      <c r="C38" s="1827"/>
      <c r="D38" s="757"/>
      <c r="E38" s="757"/>
      <c r="F38" s="716"/>
      <c r="G38" s="716"/>
      <c r="H38" s="716"/>
      <c r="I38" s="716"/>
      <c r="J38" s="716"/>
      <c r="K38" s="716"/>
      <c r="L38" s="716"/>
      <c r="M38" s="716"/>
      <c r="N38" s="716"/>
      <c r="O38" s="716"/>
      <c r="P38" s="716"/>
      <c r="Q38" s="727"/>
    </row>
    <row r="39" spans="1:17" ht="15" customHeight="1" x14ac:dyDescent="0.25">
      <c r="A39" s="772"/>
      <c r="B39" s="1826">
        <f t="shared" si="1"/>
        <v>7</v>
      </c>
      <c r="C39" s="1827"/>
      <c r="D39" s="757"/>
      <c r="E39" s="757"/>
      <c r="F39" s="716"/>
      <c r="G39" s="716"/>
      <c r="H39" s="716"/>
      <c r="I39" s="716"/>
      <c r="J39" s="716"/>
      <c r="K39" s="716"/>
      <c r="L39" s="716"/>
      <c r="M39" s="716"/>
      <c r="N39" s="716"/>
      <c r="O39" s="716"/>
      <c r="P39" s="716"/>
      <c r="Q39" s="727"/>
    </row>
    <row r="40" spans="1:17" ht="15" customHeight="1" x14ac:dyDescent="0.25">
      <c r="A40" s="772"/>
      <c r="B40" s="1826">
        <f t="shared" si="1"/>
        <v>8</v>
      </c>
      <c r="C40" s="1827"/>
      <c r="D40" s="757"/>
      <c r="E40" s="757"/>
      <c r="F40" s="716"/>
      <c r="G40" s="716"/>
      <c r="H40" s="716"/>
      <c r="I40" s="716"/>
      <c r="J40" s="716"/>
      <c r="K40" s="716"/>
      <c r="L40" s="716"/>
      <c r="M40" s="716"/>
      <c r="N40" s="716"/>
      <c r="O40" s="716"/>
      <c r="P40" s="716"/>
      <c r="Q40" s="727"/>
    </row>
    <row r="41" spans="1:17" ht="15" customHeight="1" x14ac:dyDescent="0.25">
      <c r="A41" s="772"/>
      <c r="B41" s="1826">
        <f t="shared" si="1"/>
        <v>9</v>
      </c>
      <c r="C41" s="1827"/>
      <c r="D41" s="757"/>
      <c r="E41" s="757"/>
      <c r="F41" s="716"/>
      <c r="G41" s="716"/>
      <c r="H41" s="716"/>
      <c r="I41" s="716"/>
      <c r="J41" s="716"/>
      <c r="K41" s="716"/>
      <c r="L41" s="716"/>
      <c r="M41" s="716"/>
      <c r="N41" s="716"/>
      <c r="O41" s="716"/>
      <c r="P41" s="716"/>
      <c r="Q41" s="727"/>
    </row>
    <row r="42" spans="1:17" ht="15" customHeight="1" x14ac:dyDescent="0.25">
      <c r="A42" s="772"/>
      <c r="B42" s="1826">
        <f t="shared" si="1"/>
        <v>10</v>
      </c>
      <c r="C42" s="1827"/>
      <c r="D42" s="758"/>
      <c r="E42" s="758"/>
      <c r="F42" s="716"/>
      <c r="G42" s="716"/>
      <c r="H42" s="716"/>
      <c r="I42" s="716"/>
      <c r="J42" s="716"/>
      <c r="K42" s="716"/>
      <c r="L42" s="716"/>
      <c r="M42" s="716"/>
      <c r="N42" s="716"/>
      <c r="O42" s="716"/>
      <c r="P42" s="716"/>
      <c r="Q42" s="727"/>
    </row>
    <row r="43" spans="1:17" s="1457" customFormat="1" ht="15" customHeight="1" x14ac:dyDescent="0.25">
      <c r="A43" s="772" t="s">
        <v>1357</v>
      </c>
      <c r="B43" s="732"/>
      <c r="C43" s="732"/>
      <c r="D43" s="732"/>
      <c r="E43" s="716"/>
      <c r="F43" s="749"/>
      <c r="G43" s="749"/>
      <c r="H43" s="749"/>
      <c r="I43" s="749"/>
      <c r="J43" s="749"/>
      <c r="K43" s="749"/>
      <c r="L43" s="749"/>
      <c r="M43" s="749"/>
      <c r="N43" s="749"/>
      <c r="O43" s="749"/>
      <c r="P43" s="749"/>
      <c r="Q43" s="750"/>
    </row>
    <row r="44" spans="1:17" s="1207" customFormat="1" ht="30" customHeight="1" x14ac:dyDescent="0.3">
      <c r="A44" s="886" t="s">
        <v>1701</v>
      </c>
      <c r="B44" s="1364"/>
      <c r="C44" s="1366"/>
      <c r="D44" s="1366"/>
      <c r="E44" s="1366"/>
      <c r="F44" s="1366"/>
      <c r="G44" s="1366"/>
      <c r="H44" s="1366"/>
      <c r="I44" s="1366"/>
      <c r="J44" s="1366"/>
      <c r="K44" s="1366"/>
      <c r="L44" s="1366"/>
      <c r="M44" s="1366"/>
      <c r="N44" s="1366"/>
      <c r="O44" s="810"/>
      <c r="P44" s="1223"/>
      <c r="Q44" s="1227"/>
    </row>
    <row r="45" spans="1:17" s="1207" customFormat="1" ht="15" customHeight="1" x14ac:dyDescent="0.25">
      <c r="A45" s="418"/>
      <c r="B45" s="4"/>
      <c r="C45" s="4"/>
      <c r="D45" s="4"/>
      <c r="E45" s="4"/>
      <c r="F45" s="4"/>
      <c r="G45" s="4"/>
      <c r="H45" s="4"/>
      <c r="I45" s="4"/>
      <c r="J45" s="4"/>
      <c r="K45" s="4"/>
      <c r="L45" s="4"/>
      <c r="M45" s="4"/>
      <c r="N45" s="4"/>
      <c r="O45" s="735"/>
      <c r="P45" s="1223"/>
      <c r="Q45" s="1227"/>
    </row>
    <row r="46" spans="1:17" s="1207" customFormat="1" ht="30" customHeight="1" x14ac:dyDescent="0.25">
      <c r="A46" s="772"/>
      <c r="B46" s="1778" t="s">
        <v>1689</v>
      </c>
      <c r="C46" s="1687"/>
      <c r="D46" s="1687" t="s">
        <v>1690</v>
      </c>
      <c r="E46" s="1687" t="s">
        <v>1694</v>
      </c>
      <c r="F46" s="1687"/>
      <c r="G46" s="1687" t="s">
        <v>1691</v>
      </c>
      <c r="H46" s="1687" t="s">
        <v>1697</v>
      </c>
      <c r="I46" s="1676" t="s">
        <v>1697</v>
      </c>
      <c r="J46" s="716"/>
      <c r="K46" s="716"/>
      <c r="L46" s="716"/>
      <c r="M46" s="716"/>
      <c r="N46" s="716"/>
      <c r="O46" s="716"/>
      <c r="P46" s="716"/>
      <c r="Q46" s="727"/>
    </row>
    <row r="47" spans="1:17" s="1207" customFormat="1" ht="30" customHeight="1" x14ac:dyDescent="0.25">
      <c r="A47" s="772"/>
      <c r="B47" s="1778"/>
      <c r="C47" s="1687"/>
      <c r="D47" s="1687"/>
      <c r="E47" s="1612" t="s">
        <v>1695</v>
      </c>
      <c r="F47" s="1612" t="s">
        <v>1696</v>
      </c>
      <c r="G47" s="1687"/>
      <c r="H47" s="1612" t="s">
        <v>1695</v>
      </c>
      <c r="I47" s="1609" t="s">
        <v>1696</v>
      </c>
      <c r="J47" s="716"/>
      <c r="K47" s="716"/>
      <c r="L47" s="716"/>
      <c r="M47" s="716"/>
      <c r="N47" s="716"/>
      <c r="O47" s="716"/>
      <c r="P47" s="716"/>
      <c r="Q47" s="727"/>
    </row>
    <row r="48" spans="1:17" s="1207" customFormat="1" ht="15" customHeight="1" x14ac:dyDescent="0.25">
      <c r="A48" s="772"/>
      <c r="B48" s="1834" t="s">
        <v>1692</v>
      </c>
      <c r="C48" s="1834"/>
      <c r="D48" s="751"/>
      <c r="E48" s="751"/>
      <c r="F48" s="751"/>
      <c r="G48" s="1453"/>
      <c r="H48" s="1453"/>
      <c r="I48" s="756"/>
      <c r="J48" s="716"/>
      <c r="K48" s="716"/>
      <c r="L48" s="716"/>
      <c r="M48" s="716"/>
      <c r="N48" s="716"/>
      <c r="O48" s="716"/>
      <c r="P48" s="716"/>
      <c r="Q48" s="727"/>
    </row>
    <row r="49" spans="1:17" s="1207" customFormat="1" ht="15" customHeight="1" x14ac:dyDescent="0.25">
      <c r="A49" s="772"/>
      <c r="B49" s="1835" t="s">
        <v>1693</v>
      </c>
      <c r="C49" s="1835"/>
      <c r="D49" s="747"/>
      <c r="E49" s="747"/>
      <c r="F49" s="747"/>
      <c r="G49" s="1454"/>
      <c r="H49" s="1454"/>
      <c r="I49" s="758"/>
      <c r="J49" s="716"/>
      <c r="K49" s="716"/>
      <c r="L49" s="716"/>
      <c r="M49" s="716"/>
      <c r="N49" s="716"/>
      <c r="O49" s="716"/>
      <c r="P49" s="716"/>
      <c r="Q49" s="727"/>
    </row>
    <row r="50" spans="1:17" s="1457" customFormat="1" ht="15" customHeight="1" x14ac:dyDescent="0.25">
      <c r="A50" s="772" t="s">
        <v>1357</v>
      </c>
      <c r="B50" s="732"/>
      <c r="C50" s="732"/>
      <c r="D50" s="732"/>
      <c r="E50" s="716"/>
      <c r="F50" s="749"/>
      <c r="G50" s="749"/>
      <c r="H50" s="749"/>
      <c r="I50" s="749"/>
      <c r="J50" s="749"/>
      <c r="K50" s="749"/>
      <c r="L50" s="749"/>
      <c r="M50" s="749"/>
      <c r="N50" s="749"/>
      <c r="O50" s="749"/>
      <c r="P50" s="749"/>
      <c r="Q50" s="750"/>
    </row>
    <row r="51" spans="1:17" s="1207" customFormat="1" ht="30" customHeight="1" x14ac:dyDescent="0.3">
      <c r="A51" s="886" t="s">
        <v>1702</v>
      </c>
      <c r="B51" s="1364"/>
      <c r="C51" s="1366"/>
      <c r="D51" s="1366"/>
      <c r="E51" s="1366"/>
      <c r="F51" s="1366"/>
      <c r="G51" s="1366"/>
      <c r="H51" s="1366"/>
      <c r="I51" s="1366"/>
      <c r="J51" s="1366"/>
      <c r="K51" s="1366"/>
      <c r="L51" s="1366"/>
      <c r="M51" s="1366"/>
      <c r="N51" s="1366"/>
      <c r="O51" s="810"/>
      <c r="P51" s="1223"/>
      <c r="Q51" s="1227"/>
    </row>
    <row r="52" spans="1:17" s="1207" customFormat="1" ht="15" customHeight="1" x14ac:dyDescent="0.25">
      <c r="A52" s="418"/>
      <c r="B52" s="4"/>
      <c r="C52" s="4"/>
      <c r="D52" s="4"/>
      <c r="E52" s="4"/>
      <c r="F52" s="4"/>
      <c r="G52" s="4"/>
      <c r="H52" s="4"/>
      <c r="I52" s="4"/>
      <c r="J52" s="4"/>
      <c r="K52" s="4"/>
      <c r="L52" s="4"/>
      <c r="M52" s="4"/>
      <c r="N52" s="4"/>
      <c r="O52" s="795"/>
      <c r="P52" s="1223"/>
      <c r="Q52" s="1227"/>
    </row>
    <row r="53" spans="1:17" s="1207" customFormat="1" ht="90" customHeight="1" x14ac:dyDescent="0.25">
      <c r="A53" s="772"/>
      <c r="B53" s="745"/>
      <c r="C53" s="1309"/>
      <c r="D53" s="745"/>
      <c r="E53" s="745"/>
      <c r="F53" s="745"/>
      <c r="G53" s="745"/>
      <c r="H53" s="745"/>
      <c r="I53" s="745"/>
      <c r="J53" s="745"/>
      <c r="K53" s="745"/>
      <c r="L53" s="958"/>
      <c r="M53" s="1612" t="s">
        <v>1698</v>
      </c>
      <c r="N53" s="1612" t="s">
        <v>1703</v>
      </c>
      <c r="O53" s="1609" t="s">
        <v>1699</v>
      </c>
      <c r="P53" s="734"/>
      <c r="Q53" s="727"/>
    </row>
    <row r="54" spans="1:17" s="1207" customFormat="1" ht="15" customHeight="1" x14ac:dyDescent="0.25">
      <c r="A54" s="772"/>
      <c r="B54" s="1836" t="s">
        <v>1704</v>
      </c>
      <c r="C54" s="1837"/>
      <c r="D54" s="1837"/>
      <c r="E54" s="1837"/>
      <c r="F54" s="1837"/>
      <c r="G54" s="1837"/>
      <c r="H54" s="1837"/>
      <c r="I54" s="1837"/>
      <c r="J54" s="1837"/>
      <c r="K54" s="1837"/>
      <c r="L54" s="1837"/>
      <c r="M54" s="1458"/>
      <c r="N54" s="1458"/>
      <c r="O54" s="1459"/>
      <c r="P54" s="734"/>
      <c r="Q54" s="727"/>
    </row>
    <row r="55" spans="1:17" s="1207" customFormat="1" ht="15" customHeight="1" x14ac:dyDescent="0.25">
      <c r="A55" s="772"/>
      <c r="B55" s="1828" t="s">
        <v>1705</v>
      </c>
      <c r="C55" s="1829"/>
      <c r="D55" s="1829"/>
      <c r="E55" s="1829"/>
      <c r="F55" s="1829"/>
      <c r="G55" s="1829"/>
      <c r="H55" s="1829"/>
      <c r="I55" s="1829"/>
      <c r="J55" s="1829"/>
      <c r="K55" s="1829"/>
      <c r="L55" s="1829"/>
      <c r="M55" s="47"/>
      <c r="N55" s="47"/>
      <c r="O55" s="757"/>
      <c r="P55" s="734"/>
      <c r="Q55" s="727"/>
    </row>
    <row r="56" spans="1:17" s="1207" customFormat="1" ht="15" customHeight="1" x14ac:dyDescent="0.25">
      <c r="A56" s="772"/>
      <c r="B56" s="1828" t="s">
        <v>1706</v>
      </c>
      <c r="C56" s="1829"/>
      <c r="D56" s="1829"/>
      <c r="E56" s="1829"/>
      <c r="F56" s="1829"/>
      <c r="G56" s="1829"/>
      <c r="H56" s="1829"/>
      <c r="I56" s="1829"/>
      <c r="J56" s="1829"/>
      <c r="K56" s="1829"/>
      <c r="L56" s="1829"/>
      <c r="M56" s="47"/>
      <c r="N56" s="47"/>
      <c r="O56" s="757"/>
      <c r="P56" s="734"/>
      <c r="Q56" s="727"/>
    </row>
    <row r="57" spans="1:17" s="1207" customFormat="1" ht="15" customHeight="1" x14ac:dyDescent="0.25">
      <c r="A57" s="772"/>
      <c r="B57" s="1830" t="s">
        <v>1707</v>
      </c>
      <c r="C57" s="1831"/>
      <c r="D57" s="1831"/>
      <c r="E57" s="1831"/>
      <c r="F57" s="1831"/>
      <c r="G57" s="1831"/>
      <c r="H57" s="1831"/>
      <c r="I57" s="1831"/>
      <c r="J57" s="1831"/>
      <c r="K57" s="1831"/>
      <c r="L57" s="1831"/>
      <c r="M57" s="47"/>
      <c r="N57" s="47"/>
      <c r="O57" s="757"/>
      <c r="P57" s="734"/>
      <c r="Q57" s="727"/>
    </row>
    <row r="58" spans="1:17" s="1207" customFormat="1" ht="15" customHeight="1" x14ac:dyDescent="0.25">
      <c r="A58" s="772"/>
      <c r="B58" s="1828" t="s">
        <v>1708</v>
      </c>
      <c r="C58" s="1829"/>
      <c r="D58" s="1829"/>
      <c r="E58" s="1829"/>
      <c r="F58" s="1829"/>
      <c r="G58" s="1829"/>
      <c r="H58" s="1829"/>
      <c r="I58" s="1829"/>
      <c r="J58" s="1829"/>
      <c r="K58" s="1829"/>
      <c r="L58" s="1829"/>
      <c r="M58" s="47"/>
      <c r="N58" s="47"/>
      <c r="O58" s="757"/>
      <c r="P58" s="734"/>
      <c r="Q58" s="727"/>
    </row>
    <row r="59" spans="1:17" s="1207" customFormat="1" ht="15" customHeight="1" x14ac:dyDescent="0.25">
      <c r="A59" s="772"/>
      <c r="B59" s="1828" t="s">
        <v>1709</v>
      </c>
      <c r="C59" s="1829"/>
      <c r="D59" s="1829"/>
      <c r="E59" s="1829"/>
      <c r="F59" s="1829"/>
      <c r="G59" s="1829"/>
      <c r="H59" s="1829"/>
      <c r="I59" s="1829"/>
      <c r="J59" s="1829"/>
      <c r="K59" s="1829"/>
      <c r="L59" s="1829"/>
      <c r="M59" s="47"/>
      <c r="N59" s="47"/>
      <c r="O59" s="757"/>
      <c r="P59" s="734"/>
      <c r="Q59" s="727"/>
    </row>
    <row r="60" spans="1:17" s="1207" customFormat="1" ht="15" customHeight="1" x14ac:dyDescent="0.25">
      <c r="A60" s="772"/>
      <c r="B60" s="1830" t="s">
        <v>1710</v>
      </c>
      <c r="C60" s="1831"/>
      <c r="D60" s="1831"/>
      <c r="E60" s="1831"/>
      <c r="F60" s="1831"/>
      <c r="G60" s="1831"/>
      <c r="H60" s="1831"/>
      <c r="I60" s="1831"/>
      <c r="J60" s="1831"/>
      <c r="K60" s="1831"/>
      <c r="L60" s="1831"/>
      <c r="M60" s="47"/>
      <c r="N60" s="47"/>
      <c r="O60" s="757"/>
      <c r="P60" s="734"/>
      <c r="Q60" s="727"/>
    </row>
    <row r="61" spans="1:17" s="1207" customFormat="1" ht="15" customHeight="1" x14ac:dyDescent="0.25">
      <c r="A61" s="772"/>
      <c r="B61" s="1830" t="s">
        <v>1711</v>
      </c>
      <c r="C61" s="1831"/>
      <c r="D61" s="1831"/>
      <c r="E61" s="1831"/>
      <c r="F61" s="1831"/>
      <c r="G61" s="1831"/>
      <c r="H61" s="1831"/>
      <c r="I61" s="1831"/>
      <c r="J61" s="1831"/>
      <c r="K61" s="1831"/>
      <c r="L61" s="1831"/>
      <c r="M61" s="47"/>
      <c r="N61" s="47"/>
      <c r="O61" s="757"/>
      <c r="P61" s="734"/>
      <c r="Q61" s="727"/>
    </row>
    <row r="62" spans="1:17" s="1207" customFormat="1" ht="15" customHeight="1" x14ac:dyDescent="0.25">
      <c r="A62" s="772"/>
      <c r="B62" s="1832" t="s">
        <v>1700</v>
      </c>
      <c r="C62" s="1833"/>
      <c r="D62" s="1833"/>
      <c r="E62" s="1833"/>
      <c r="F62" s="1833"/>
      <c r="G62" s="1833"/>
      <c r="H62" s="1833"/>
      <c r="I62" s="1833"/>
      <c r="J62" s="1833"/>
      <c r="K62" s="1833"/>
      <c r="L62" s="1833"/>
      <c r="M62" s="62"/>
      <c r="N62" s="62"/>
      <c r="O62" s="758"/>
      <c r="P62" s="734"/>
      <c r="Q62" s="727"/>
    </row>
    <row r="63" spans="1:17" s="1207" customFormat="1" ht="15" customHeight="1" x14ac:dyDescent="0.25">
      <c r="A63" s="774"/>
      <c r="B63" s="749"/>
      <c r="C63" s="749"/>
      <c r="D63" s="749"/>
      <c r="E63" s="749"/>
      <c r="F63" s="749"/>
      <c r="G63" s="749"/>
      <c r="H63" s="749"/>
      <c r="I63" s="749"/>
      <c r="J63" s="749"/>
      <c r="K63" s="749"/>
      <c r="L63" s="749"/>
      <c r="M63" s="749"/>
      <c r="N63" s="749"/>
      <c r="O63" s="749"/>
      <c r="P63" s="749"/>
      <c r="Q63" s="750"/>
    </row>
    <row r="64" spans="1:17" s="1207" customFormat="1" ht="15" hidden="1" customHeight="1" x14ac:dyDescent="0.25">
      <c r="A64" s="772"/>
      <c r="B64" s="716"/>
      <c r="C64" s="716"/>
      <c r="D64" s="716"/>
      <c r="E64" s="716"/>
      <c r="F64" s="716"/>
      <c r="G64" s="716"/>
      <c r="H64" s="716"/>
      <c r="I64" s="716"/>
      <c r="J64" s="716"/>
      <c r="K64" s="716"/>
      <c r="L64" s="716"/>
      <c r="M64" s="716"/>
      <c r="N64" s="716"/>
      <c r="O64" s="716"/>
      <c r="P64" s="716"/>
      <c r="Q64" s="727"/>
    </row>
    <row r="65" spans="1:17" s="1207" customFormat="1" ht="15" hidden="1" customHeight="1" x14ac:dyDescent="0.25">
      <c r="A65" s="772"/>
      <c r="B65" s="716"/>
      <c r="C65" s="716"/>
      <c r="D65" s="716"/>
      <c r="E65" s="716"/>
      <c r="F65" s="716"/>
      <c r="G65" s="716"/>
      <c r="H65" s="716"/>
      <c r="I65" s="716"/>
      <c r="J65" s="716"/>
      <c r="K65" s="716"/>
      <c r="L65" s="716"/>
      <c r="M65" s="716"/>
      <c r="N65" s="716"/>
      <c r="O65" s="716"/>
      <c r="P65" s="716"/>
      <c r="Q65" s="727"/>
    </row>
    <row r="66" spans="1:17" s="1207" customFormat="1" ht="15" hidden="1" customHeight="1" x14ac:dyDescent="0.25">
      <c r="A66" s="772"/>
      <c r="B66" s="716"/>
      <c r="C66" s="716"/>
      <c r="D66" s="716"/>
      <c r="E66" s="716"/>
      <c r="F66" s="716"/>
      <c r="G66" s="716"/>
      <c r="H66" s="716"/>
      <c r="I66" s="716"/>
      <c r="J66" s="716"/>
      <c r="K66" s="716"/>
      <c r="L66" s="716"/>
      <c r="M66" s="716"/>
      <c r="N66" s="716"/>
      <c r="O66" s="716"/>
      <c r="P66" s="716"/>
      <c r="Q66" s="727"/>
    </row>
    <row r="67" spans="1:17" s="1207" customFormat="1" ht="15" hidden="1" customHeight="1" x14ac:dyDescent="0.25">
      <c r="A67" s="772"/>
      <c r="B67" s="716"/>
      <c r="C67" s="716"/>
      <c r="D67" s="716"/>
      <c r="E67" s="716"/>
      <c r="F67" s="716"/>
      <c r="G67" s="716"/>
      <c r="H67" s="716"/>
      <c r="I67" s="716"/>
      <c r="J67" s="716"/>
      <c r="K67" s="716"/>
      <c r="L67" s="716"/>
      <c r="M67" s="716"/>
      <c r="N67" s="716"/>
      <c r="O67" s="716"/>
      <c r="P67" s="716"/>
      <c r="Q67" s="727"/>
    </row>
    <row r="68" spans="1:17" s="1207" customFormat="1" ht="15" hidden="1" customHeight="1" x14ac:dyDescent="0.25">
      <c r="A68" s="772"/>
      <c r="B68" s="716"/>
      <c r="C68" s="716"/>
      <c r="D68" s="716"/>
      <c r="E68" s="716"/>
      <c r="F68" s="716"/>
      <c r="G68" s="716"/>
      <c r="H68" s="716"/>
      <c r="I68" s="716"/>
      <c r="J68" s="716"/>
      <c r="K68" s="716"/>
      <c r="L68" s="716"/>
      <c r="M68" s="716"/>
      <c r="N68" s="716"/>
      <c r="O68" s="716"/>
      <c r="P68" s="716"/>
      <c r="Q68" s="727"/>
    </row>
    <row r="69" spans="1:17" s="1207" customFormat="1" ht="15" hidden="1" customHeight="1" x14ac:dyDescent="0.25">
      <c r="A69" s="772"/>
      <c r="B69" s="716"/>
      <c r="C69" s="716"/>
      <c r="D69" s="716"/>
      <c r="E69" s="716"/>
      <c r="F69" s="716"/>
      <c r="G69" s="716"/>
      <c r="H69" s="716"/>
      <c r="I69" s="716"/>
      <c r="J69" s="716"/>
      <c r="K69" s="716"/>
      <c r="L69" s="716"/>
      <c r="M69" s="716"/>
      <c r="N69" s="716"/>
      <c r="O69" s="716"/>
      <c r="P69" s="716"/>
      <c r="Q69" s="727"/>
    </row>
    <row r="70" spans="1:17" s="1207" customFormat="1" ht="15" hidden="1" customHeight="1" x14ac:dyDescent="0.25">
      <c r="A70" s="772"/>
      <c r="B70" s="716"/>
      <c r="C70" s="716"/>
      <c r="D70" s="716"/>
      <c r="E70" s="716"/>
      <c r="F70" s="716"/>
      <c r="G70" s="716"/>
      <c r="H70" s="716"/>
      <c r="I70" s="716"/>
      <c r="J70" s="716"/>
      <c r="K70" s="716"/>
      <c r="L70" s="716"/>
      <c r="M70" s="716"/>
      <c r="N70" s="716"/>
      <c r="O70" s="716"/>
      <c r="P70" s="716"/>
      <c r="Q70" s="727"/>
    </row>
    <row r="71" spans="1:17" s="1207" customFormat="1" ht="15" hidden="1" customHeight="1" x14ac:dyDescent="0.25">
      <c r="A71" s="772"/>
      <c r="B71" s="716"/>
      <c r="C71" s="716"/>
      <c r="D71" s="716"/>
      <c r="E71" s="716"/>
      <c r="F71" s="716"/>
      <c r="G71" s="716"/>
      <c r="H71" s="716"/>
      <c r="I71" s="716"/>
      <c r="J71" s="716"/>
      <c r="K71" s="716"/>
      <c r="L71" s="716"/>
      <c r="M71" s="716"/>
      <c r="N71" s="716"/>
      <c r="O71" s="716"/>
      <c r="P71" s="716"/>
      <c r="Q71" s="727"/>
    </row>
    <row r="72" spans="1:17" s="1207" customFormat="1" ht="15" hidden="1" customHeight="1" x14ac:dyDescent="0.25">
      <c r="A72" s="772"/>
      <c r="B72" s="716"/>
      <c r="C72" s="716"/>
      <c r="D72" s="716"/>
      <c r="E72" s="716"/>
      <c r="F72" s="716"/>
      <c r="G72" s="716"/>
      <c r="H72" s="716"/>
      <c r="I72" s="716"/>
      <c r="J72" s="716"/>
      <c r="K72" s="716"/>
      <c r="L72" s="716"/>
      <c r="M72" s="716"/>
      <c r="N72" s="716"/>
      <c r="O72" s="716"/>
      <c r="P72" s="716"/>
      <c r="Q72" s="727"/>
    </row>
    <row r="73" spans="1:17" s="1207" customFormat="1" ht="15" hidden="1" customHeight="1" x14ac:dyDescent="0.25">
      <c r="A73" s="772"/>
      <c r="B73" s="716"/>
      <c r="C73" s="716"/>
      <c r="D73" s="716"/>
      <c r="E73" s="716"/>
      <c r="F73" s="716"/>
      <c r="G73" s="716"/>
      <c r="H73" s="716"/>
      <c r="I73" s="716"/>
      <c r="J73" s="716"/>
      <c r="K73" s="716"/>
      <c r="L73" s="716"/>
      <c r="M73" s="716"/>
      <c r="N73" s="716"/>
      <c r="O73" s="716"/>
      <c r="P73" s="716"/>
      <c r="Q73" s="727"/>
    </row>
    <row r="74" spans="1:17" s="1207" customFormat="1" ht="15" hidden="1" customHeight="1" x14ac:dyDescent="0.25">
      <c r="A74" s="772"/>
      <c r="B74" s="716"/>
      <c r="C74" s="716"/>
      <c r="D74" s="716"/>
      <c r="E74" s="716"/>
      <c r="F74" s="716"/>
      <c r="G74" s="716"/>
      <c r="H74" s="716"/>
      <c r="I74" s="716"/>
      <c r="J74" s="716"/>
      <c r="K74" s="716"/>
      <c r="L74" s="716"/>
      <c r="M74" s="716"/>
      <c r="N74" s="716"/>
      <c r="O74" s="716"/>
      <c r="P74" s="716"/>
      <c r="Q74" s="727"/>
    </row>
    <row r="75" spans="1:17" s="1207" customFormat="1" ht="15" hidden="1" customHeight="1" x14ac:dyDescent="0.25">
      <c r="A75" s="772"/>
      <c r="B75" s="716"/>
      <c r="C75" s="716"/>
      <c r="D75" s="716"/>
      <c r="E75" s="716"/>
      <c r="F75" s="716"/>
      <c r="G75" s="716"/>
      <c r="H75" s="716"/>
      <c r="I75" s="716"/>
      <c r="J75" s="716"/>
      <c r="K75" s="716"/>
      <c r="L75" s="716"/>
      <c r="M75" s="716"/>
      <c r="N75" s="716"/>
      <c r="O75" s="716"/>
      <c r="P75" s="716"/>
      <c r="Q75" s="727"/>
    </row>
    <row r="76" spans="1:17" s="1207" customFormat="1" ht="15" hidden="1" customHeight="1" x14ac:dyDescent="0.25">
      <c r="A76" s="772"/>
      <c r="B76" s="716"/>
      <c r="C76" s="716"/>
      <c r="D76" s="716"/>
      <c r="E76" s="716"/>
      <c r="F76" s="716"/>
      <c r="G76" s="716"/>
      <c r="H76" s="716"/>
      <c r="I76" s="716"/>
      <c r="J76" s="716"/>
      <c r="K76" s="716"/>
      <c r="L76" s="716"/>
      <c r="M76" s="716"/>
      <c r="N76" s="716"/>
      <c r="O76" s="716"/>
      <c r="P76" s="716"/>
      <c r="Q76" s="727"/>
    </row>
    <row r="77" spans="1:17" s="1207" customFormat="1" ht="15" hidden="1" customHeight="1" x14ac:dyDescent="0.25">
      <c r="A77" s="772"/>
      <c r="B77" s="716"/>
      <c r="C77" s="716"/>
      <c r="D77" s="716"/>
      <c r="E77" s="716"/>
      <c r="F77" s="716"/>
      <c r="G77" s="716"/>
      <c r="H77" s="716"/>
      <c r="I77" s="716"/>
      <c r="J77" s="716"/>
      <c r="K77" s="716"/>
      <c r="L77" s="716"/>
      <c r="M77" s="716"/>
      <c r="N77" s="716"/>
      <c r="O77" s="716"/>
      <c r="P77" s="716"/>
      <c r="Q77" s="727"/>
    </row>
    <row r="78" spans="1:17" s="1207" customFormat="1" ht="15" hidden="1" customHeight="1" x14ac:dyDescent="0.25">
      <c r="A78" s="772"/>
      <c r="B78" s="716"/>
      <c r="C78" s="716"/>
      <c r="D78" s="716"/>
      <c r="E78" s="716"/>
      <c r="F78" s="716"/>
      <c r="G78" s="716"/>
      <c r="H78" s="716"/>
      <c r="I78" s="716"/>
      <c r="J78" s="716"/>
      <c r="K78" s="716"/>
      <c r="L78" s="716"/>
      <c r="M78" s="716"/>
      <c r="N78" s="716"/>
      <c r="O78" s="716"/>
      <c r="P78" s="716"/>
      <c r="Q78" s="727"/>
    </row>
    <row r="79" spans="1:17" s="1207" customFormat="1" ht="15" hidden="1" customHeight="1" x14ac:dyDescent="0.25">
      <c r="A79" s="772"/>
      <c r="B79" s="716"/>
      <c r="C79" s="716"/>
      <c r="D79" s="716"/>
      <c r="E79" s="716"/>
      <c r="F79" s="716"/>
      <c r="G79" s="716"/>
      <c r="H79" s="716"/>
      <c r="I79" s="716"/>
      <c r="J79" s="716"/>
      <c r="K79" s="716"/>
      <c r="L79" s="716"/>
      <c r="M79" s="716"/>
      <c r="N79" s="716"/>
      <c r="O79" s="716"/>
      <c r="P79" s="716"/>
      <c r="Q79" s="727"/>
    </row>
    <row r="80" spans="1:17" s="1207" customFormat="1" ht="15" hidden="1" customHeight="1" x14ac:dyDescent="0.25">
      <c r="A80" s="772"/>
      <c r="B80" s="716"/>
      <c r="C80" s="716"/>
      <c r="D80" s="716"/>
      <c r="E80" s="716"/>
      <c r="F80" s="716"/>
      <c r="G80" s="716"/>
      <c r="H80" s="716"/>
      <c r="I80" s="716"/>
      <c r="J80" s="716"/>
      <c r="K80" s="716"/>
      <c r="L80" s="716"/>
      <c r="M80" s="716"/>
      <c r="N80" s="716"/>
      <c r="O80" s="716"/>
      <c r="P80" s="716"/>
      <c r="Q80" s="727"/>
    </row>
    <row r="81" spans="1:17" s="1207" customFormat="1" ht="15" hidden="1" customHeight="1" x14ac:dyDescent="0.25">
      <c r="A81" s="772"/>
      <c r="B81" s="716"/>
      <c r="C81" s="716"/>
      <c r="D81" s="716"/>
      <c r="E81" s="716"/>
      <c r="F81" s="716"/>
      <c r="G81" s="716"/>
      <c r="H81" s="716"/>
      <c r="I81" s="716"/>
      <c r="J81" s="716"/>
      <c r="K81" s="716"/>
      <c r="L81" s="716"/>
      <c r="M81" s="716"/>
      <c r="N81" s="716"/>
      <c r="O81" s="716"/>
      <c r="P81" s="716"/>
      <c r="Q81" s="727"/>
    </row>
    <row r="82" spans="1:17" s="1207" customFormat="1" ht="15" hidden="1" customHeight="1" x14ac:dyDescent="0.25">
      <c r="A82" s="772"/>
      <c r="B82" s="716"/>
      <c r="C82" s="716"/>
      <c r="D82" s="716"/>
      <c r="E82" s="716"/>
      <c r="F82" s="716"/>
      <c r="G82" s="716"/>
      <c r="H82" s="716"/>
      <c r="I82" s="716"/>
      <c r="J82" s="716"/>
      <c r="K82" s="716"/>
      <c r="L82" s="716"/>
      <c r="M82" s="716"/>
      <c r="N82" s="716"/>
      <c r="O82" s="716"/>
      <c r="P82" s="716"/>
      <c r="Q82" s="727"/>
    </row>
    <row r="83" spans="1:17" s="1207" customFormat="1" ht="15" hidden="1" customHeight="1" x14ac:dyDescent="0.25">
      <c r="A83" s="772"/>
      <c r="B83" s="716"/>
      <c r="C83" s="716"/>
      <c r="D83" s="716"/>
      <c r="E83" s="716"/>
      <c r="F83" s="716"/>
      <c r="G83" s="716"/>
      <c r="H83" s="716"/>
      <c r="I83" s="716"/>
      <c r="J83" s="716"/>
      <c r="K83" s="716"/>
      <c r="L83" s="716"/>
      <c r="M83" s="716"/>
      <c r="N83" s="716"/>
      <c r="O83" s="716"/>
      <c r="P83" s="716"/>
      <c r="Q83" s="727"/>
    </row>
    <row r="84" spans="1:17" s="1207" customFormat="1" ht="15" hidden="1" customHeight="1" x14ac:dyDescent="0.25">
      <c r="A84" s="772"/>
      <c r="B84" s="716"/>
      <c r="C84" s="716"/>
      <c r="D84" s="716"/>
      <c r="E84" s="716"/>
      <c r="F84" s="716"/>
      <c r="G84" s="716"/>
      <c r="H84" s="716"/>
      <c r="I84" s="716"/>
      <c r="J84" s="716"/>
      <c r="K84" s="716"/>
      <c r="L84" s="716"/>
      <c r="M84" s="716"/>
      <c r="N84" s="716"/>
      <c r="O84" s="716"/>
      <c r="P84" s="716"/>
      <c r="Q84" s="727"/>
    </row>
    <row r="85" spans="1:17" s="1207" customFormat="1" ht="15" hidden="1" customHeight="1" x14ac:dyDescent="0.25">
      <c r="A85" s="772"/>
      <c r="B85" s="716"/>
      <c r="C85" s="716"/>
      <c r="D85" s="716"/>
      <c r="E85" s="716"/>
      <c r="F85" s="716"/>
      <c r="G85" s="716"/>
      <c r="H85" s="716"/>
      <c r="I85" s="716"/>
      <c r="J85" s="716"/>
      <c r="K85" s="716"/>
      <c r="L85" s="716"/>
      <c r="M85" s="716"/>
      <c r="N85" s="716"/>
      <c r="O85" s="716"/>
      <c r="P85" s="716"/>
      <c r="Q85" s="727"/>
    </row>
    <row r="86" spans="1:17" s="1207" customFormat="1" ht="15" hidden="1" customHeight="1" x14ac:dyDescent="0.25">
      <c r="A86" s="772"/>
      <c r="B86" s="716"/>
      <c r="C86" s="716"/>
      <c r="D86" s="716"/>
      <c r="E86" s="716"/>
      <c r="F86" s="716"/>
      <c r="G86" s="716"/>
      <c r="H86" s="716"/>
      <c r="I86" s="716"/>
      <c r="J86" s="716"/>
      <c r="K86" s="716"/>
      <c r="L86" s="716"/>
      <c r="M86" s="716"/>
      <c r="N86" s="716"/>
      <c r="O86" s="716"/>
      <c r="P86" s="716"/>
      <c r="Q86" s="727"/>
    </row>
    <row r="87" spans="1:17" s="1207" customFormat="1" ht="15" hidden="1" customHeight="1" x14ac:dyDescent="0.25">
      <c r="A87" s="772"/>
      <c r="B87" s="716"/>
      <c r="C87" s="716"/>
      <c r="D87" s="716"/>
      <c r="E87" s="716"/>
      <c r="F87" s="716"/>
      <c r="G87" s="716"/>
      <c r="H87" s="716"/>
      <c r="I87" s="716"/>
      <c r="J87" s="716"/>
      <c r="K87" s="716"/>
      <c r="L87" s="716"/>
      <c r="M87" s="716"/>
      <c r="N87" s="716"/>
      <c r="O87" s="716"/>
      <c r="P87" s="716"/>
      <c r="Q87" s="727"/>
    </row>
    <row r="88" spans="1:17" s="1207" customFormat="1" ht="15" hidden="1" customHeight="1" x14ac:dyDescent="0.25">
      <c r="A88" s="772"/>
      <c r="B88" s="716"/>
      <c r="C88" s="716"/>
      <c r="D88" s="716"/>
      <c r="E88" s="716"/>
      <c r="F88" s="716"/>
      <c r="G88" s="716"/>
      <c r="H88" s="716"/>
      <c r="I88" s="716"/>
      <c r="J88" s="716"/>
      <c r="K88" s="716"/>
      <c r="L88" s="716"/>
      <c r="M88" s="716"/>
      <c r="N88" s="716"/>
      <c r="O88" s="716"/>
      <c r="P88" s="716"/>
      <c r="Q88" s="727"/>
    </row>
    <row r="89" spans="1:17" s="1207" customFormat="1" ht="15" hidden="1" customHeight="1" x14ac:dyDescent="0.25">
      <c r="A89" s="772"/>
      <c r="B89" s="716"/>
      <c r="C89" s="716"/>
      <c r="D89" s="716"/>
      <c r="E89" s="716"/>
      <c r="F89" s="716"/>
      <c r="G89" s="716"/>
      <c r="H89" s="716"/>
      <c r="I89" s="716"/>
      <c r="J89" s="716"/>
      <c r="K89" s="716"/>
      <c r="L89" s="716"/>
      <c r="M89" s="716"/>
      <c r="N89" s="716"/>
      <c r="O89" s="716"/>
      <c r="P89" s="716"/>
      <c r="Q89" s="727"/>
    </row>
    <row r="90" spans="1:17" s="1207" customFormat="1" ht="15" hidden="1" customHeight="1" x14ac:dyDescent="0.25">
      <c r="A90" s="772"/>
      <c r="B90" s="716"/>
      <c r="C90" s="716"/>
      <c r="D90" s="716"/>
      <c r="E90" s="716"/>
      <c r="F90" s="716"/>
      <c r="G90" s="716"/>
      <c r="H90" s="716"/>
      <c r="I90" s="716"/>
      <c r="J90" s="716"/>
      <c r="K90" s="716"/>
      <c r="L90" s="716"/>
      <c r="M90" s="716"/>
      <c r="N90" s="716"/>
      <c r="O90" s="716"/>
      <c r="P90" s="716"/>
      <c r="Q90" s="727"/>
    </row>
    <row r="91" spans="1:17" s="1207" customFormat="1" ht="15" hidden="1" customHeight="1" x14ac:dyDescent="0.25">
      <c r="A91" s="772"/>
      <c r="B91" s="716"/>
      <c r="C91" s="716"/>
      <c r="D91" s="716"/>
      <c r="E91" s="716"/>
      <c r="F91" s="716"/>
      <c r="G91" s="716"/>
      <c r="H91" s="716"/>
      <c r="I91" s="716"/>
      <c r="J91" s="716"/>
      <c r="K91" s="716"/>
      <c r="L91" s="716"/>
      <c r="M91" s="716"/>
      <c r="N91" s="716"/>
      <c r="O91" s="716"/>
      <c r="P91" s="716"/>
      <c r="Q91" s="727"/>
    </row>
    <row r="92" spans="1:17" s="1207" customFormat="1" ht="15" hidden="1" customHeight="1" x14ac:dyDescent="0.25">
      <c r="A92" s="772"/>
      <c r="B92" s="716"/>
      <c r="C92" s="716"/>
      <c r="D92" s="716"/>
      <c r="E92" s="716"/>
      <c r="F92" s="716"/>
      <c r="G92" s="716"/>
      <c r="H92" s="716"/>
      <c r="I92" s="716"/>
      <c r="J92" s="716"/>
      <c r="K92" s="716"/>
      <c r="L92" s="716"/>
      <c r="M92" s="716"/>
      <c r="N92" s="716"/>
      <c r="O92" s="716"/>
      <c r="P92" s="716"/>
      <c r="Q92" s="727"/>
    </row>
    <row r="93" spans="1:17" s="1207" customFormat="1" ht="15" hidden="1" customHeight="1" x14ac:dyDescent="0.25">
      <c r="A93" s="772"/>
      <c r="B93" s="716"/>
      <c r="C93" s="716"/>
      <c r="D93" s="716"/>
      <c r="E93" s="716"/>
      <c r="F93" s="716"/>
      <c r="G93" s="716"/>
      <c r="H93" s="716"/>
      <c r="I93" s="716"/>
      <c r="J93" s="716"/>
      <c r="K93" s="716"/>
      <c r="L93" s="716"/>
      <c r="M93" s="716"/>
      <c r="N93" s="716"/>
      <c r="O93" s="716"/>
      <c r="P93" s="716"/>
      <c r="Q93" s="727"/>
    </row>
    <row r="94" spans="1:17" s="1207" customFormat="1" ht="15" hidden="1" customHeight="1" x14ac:dyDescent="0.25">
      <c r="A94" s="772"/>
      <c r="B94" s="716"/>
      <c r="C94" s="716"/>
      <c r="D94" s="716"/>
      <c r="E94" s="716"/>
      <c r="F94" s="716"/>
      <c r="G94" s="716"/>
      <c r="H94" s="716"/>
      <c r="I94" s="716"/>
      <c r="J94" s="716"/>
      <c r="K94" s="716"/>
      <c r="L94" s="716"/>
      <c r="M94" s="716"/>
      <c r="N94" s="716"/>
      <c r="O94" s="716"/>
      <c r="P94" s="716"/>
      <c r="Q94" s="727"/>
    </row>
    <row r="95" spans="1:17" s="1207" customFormat="1" ht="15" hidden="1" customHeight="1" x14ac:dyDescent="0.25">
      <c r="A95" s="772"/>
      <c r="B95" s="716"/>
      <c r="C95" s="716"/>
      <c r="D95" s="716"/>
      <c r="E95" s="716"/>
      <c r="F95" s="716"/>
      <c r="G95" s="716"/>
      <c r="H95" s="716"/>
      <c r="I95" s="716"/>
      <c r="J95" s="716"/>
      <c r="K95" s="716"/>
      <c r="L95" s="716"/>
      <c r="M95" s="716"/>
      <c r="N95" s="716"/>
      <c r="O95" s="716"/>
      <c r="P95" s="716"/>
      <c r="Q95" s="727"/>
    </row>
    <row r="96" spans="1:17" ht="15" hidden="1" customHeight="1" x14ac:dyDescent="0.25">
      <c r="A96" s="774"/>
      <c r="B96" s="716"/>
      <c r="C96" s="716"/>
      <c r="D96" s="716"/>
      <c r="E96" s="716"/>
      <c r="F96" s="749"/>
      <c r="G96" s="749"/>
      <c r="H96" s="749"/>
      <c r="I96" s="749"/>
      <c r="J96" s="749"/>
      <c r="K96" s="749"/>
      <c r="L96" s="749"/>
      <c r="M96" s="749"/>
      <c r="N96" s="749"/>
      <c r="O96" s="749"/>
      <c r="P96" s="749"/>
      <c r="Q96" s="750"/>
    </row>
  </sheetData>
  <mergeCells count="33">
    <mergeCell ref="B59:L59"/>
    <mergeCell ref="B60:L60"/>
    <mergeCell ref="B61:L61"/>
    <mergeCell ref="B62:L62"/>
    <mergeCell ref="G46:G47"/>
    <mergeCell ref="H46:I46"/>
    <mergeCell ref="B46:C47"/>
    <mergeCell ref="B48:C48"/>
    <mergeCell ref="B49:C49"/>
    <mergeCell ref="E46:F46"/>
    <mergeCell ref="D46:D47"/>
    <mergeCell ref="B54:L54"/>
    <mergeCell ref="B55:L55"/>
    <mergeCell ref="B56:L56"/>
    <mergeCell ref="B57:L57"/>
    <mergeCell ref="B58:L58"/>
    <mergeCell ref="B38:C38"/>
    <mergeCell ref="B39:C39"/>
    <mergeCell ref="B40:C40"/>
    <mergeCell ref="B41:C41"/>
    <mergeCell ref="B42:C42"/>
    <mergeCell ref="B33:C33"/>
    <mergeCell ref="B34:C34"/>
    <mergeCell ref="B35:C35"/>
    <mergeCell ref="B36:C36"/>
    <mergeCell ref="B37:C37"/>
    <mergeCell ref="B4:D4"/>
    <mergeCell ref="E7:H7"/>
    <mergeCell ref="I7:P7"/>
    <mergeCell ref="D31:E31"/>
    <mergeCell ref="B5:D5"/>
    <mergeCell ref="B6:D6"/>
    <mergeCell ref="B31:C32"/>
  </mergeCells>
  <dataValidations disablePrompts="1" count="1">
    <dataValidation type="list" allowBlank="1" showInputMessage="1" showErrorMessage="1" sqref="C8:C27">
      <formula1>LegalEntity</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9CCFF"/>
  </sheetPr>
  <dimension ref="A1:M194"/>
  <sheetViews>
    <sheetView zoomScale="75" zoomScaleNormal="75" workbookViewId="0">
      <pane ySplit="1" topLeftCell="A2" activePane="bottomLeft" state="frozen"/>
      <selection activeCell="B20" sqref="B20"/>
      <selection pane="bottomLeft"/>
    </sheetView>
  </sheetViews>
  <sheetFormatPr defaultColWidth="0" defaultRowHeight="0" customHeight="1" zeroHeight="1" x14ac:dyDescent="0.25"/>
  <cols>
    <col min="1" max="1" width="1.7109375" style="929" customWidth="1"/>
    <col min="2" max="2" width="100.7109375" style="928" customWidth="1"/>
    <col min="3" max="8" width="16.7109375" style="928" customWidth="1"/>
    <col min="9" max="9" width="1.7109375" style="929" customWidth="1"/>
    <col min="10" max="10" width="16.7109375" style="928" hidden="1" customWidth="1"/>
    <col min="11" max="13" width="0" style="928" hidden="1" customWidth="1"/>
    <col min="14" max="16384" width="16.7109375" style="928" hidden="1"/>
  </cols>
  <sheetData>
    <row r="1" spans="1:13" s="716" customFormat="1" ht="30" customHeight="1" x14ac:dyDescent="0.55000000000000004">
      <c r="A1" s="713" t="s">
        <v>1206</v>
      </c>
      <c r="B1" s="714"/>
      <c r="C1" s="1511" t="str">
        <f>CONCATENATE("Reporting unit: ", 'General Info'!$C$50, " ", 'General Info'!$C$49)</f>
        <v xml:space="preserve">Reporting unit: 1 </v>
      </c>
      <c r="D1" s="714"/>
      <c r="E1" s="714"/>
      <c r="F1" s="714"/>
      <c r="G1" s="714"/>
      <c r="H1" s="714"/>
      <c r="I1" s="782"/>
    </row>
    <row r="2" spans="1:13" s="716" customFormat="1" ht="30" customHeight="1" x14ac:dyDescent="0.3">
      <c r="A2" s="776" t="s">
        <v>1207</v>
      </c>
      <c r="B2" s="785"/>
      <c r="C2" s="768"/>
      <c r="D2" s="768"/>
      <c r="E2" s="725"/>
      <c r="F2" s="725"/>
      <c r="G2" s="725"/>
      <c r="H2" s="725"/>
      <c r="I2" s="727"/>
    </row>
    <row r="3" spans="1:13" s="423" customFormat="1" ht="15" customHeight="1" x14ac:dyDescent="0.25">
      <c r="A3" s="836"/>
      <c r="B3" s="734"/>
      <c r="C3" s="734"/>
      <c r="D3" s="735"/>
      <c r="E3" s="735"/>
      <c r="F3" s="735"/>
      <c r="G3" s="716"/>
      <c r="H3" s="716"/>
      <c r="I3" s="727"/>
      <c r="J3" s="716"/>
      <c r="K3" s="716"/>
      <c r="L3" s="716"/>
      <c r="M3" s="716"/>
    </row>
    <row r="4" spans="1:13" s="423" customFormat="1" ht="15" customHeight="1" x14ac:dyDescent="0.25">
      <c r="A4" s="730"/>
      <c r="B4" s="907"/>
      <c r="C4" s="1514" t="s">
        <v>118</v>
      </c>
      <c r="D4" s="716"/>
      <c r="E4" s="716"/>
      <c r="F4" s="716"/>
      <c r="G4" s="716"/>
      <c r="H4" s="716"/>
      <c r="I4" s="727"/>
      <c r="J4" s="716"/>
      <c r="K4" s="716"/>
      <c r="L4" s="716"/>
      <c r="M4" s="716"/>
    </row>
    <row r="5" spans="1:13" s="423" customFormat="1" ht="15" customHeight="1" x14ac:dyDescent="0.25">
      <c r="A5" s="730"/>
      <c r="B5" s="773" t="s">
        <v>1746</v>
      </c>
      <c r="C5" s="1525"/>
      <c r="D5" s="716"/>
      <c r="E5" s="716"/>
      <c r="F5" s="716"/>
      <c r="G5" s="716"/>
      <c r="H5" s="716"/>
      <c r="I5" s="727"/>
      <c r="J5" s="716"/>
      <c r="K5" s="716"/>
      <c r="L5" s="716"/>
      <c r="M5" s="716"/>
    </row>
    <row r="6" spans="1:13" s="423" customFormat="1" ht="15" customHeight="1" x14ac:dyDescent="0.25">
      <c r="A6" s="730"/>
      <c r="B6" s="934" t="s">
        <v>1208</v>
      </c>
      <c r="C6" s="792" t="str">
        <f>IF(AND(ISNUMBER(C8), ISNUMBER(C11), ISNUMBER(C14), ISNUMBER(C15), ISNUMBER(C17), ISNUMBER(C18), ISNUMBER(C21)), C8+C11+C14+C15+C17+C18+C21, "")</f>
        <v/>
      </c>
      <c r="D6" s="716"/>
      <c r="E6" s="716"/>
      <c r="F6" s="716"/>
      <c r="G6" s="716"/>
      <c r="H6" s="716"/>
      <c r="I6" s="727"/>
      <c r="J6" s="716"/>
      <c r="K6" s="716"/>
      <c r="L6" s="716"/>
      <c r="M6" s="716"/>
    </row>
    <row r="7" spans="1:13" s="501" customFormat="1" ht="15" customHeight="1" x14ac:dyDescent="0.25">
      <c r="A7" s="730"/>
      <c r="B7" s="935" t="s">
        <v>1209</v>
      </c>
      <c r="C7" s="461"/>
      <c r="D7" s="716"/>
      <c r="E7" s="716"/>
      <c r="F7" s="716"/>
      <c r="G7" s="716"/>
      <c r="H7" s="716"/>
      <c r="I7" s="727"/>
      <c r="J7" s="492"/>
      <c r="K7" s="492"/>
      <c r="L7" s="492"/>
      <c r="M7" s="492"/>
    </row>
    <row r="8" spans="1:13" s="501" customFormat="1" ht="15" customHeight="1" x14ac:dyDescent="0.25">
      <c r="A8" s="730"/>
      <c r="B8" s="1526" t="s">
        <v>1218</v>
      </c>
      <c r="C8" s="792" t="str">
        <f>IF(AND(ISNUMBER(C9), ISNUMBER(C10)), C9+C10,"")</f>
        <v/>
      </c>
      <c r="D8" s="716"/>
      <c r="E8" s="716"/>
      <c r="F8" s="716"/>
      <c r="G8" s="716"/>
      <c r="H8" s="716"/>
      <c r="I8" s="727"/>
      <c r="J8" s="492"/>
      <c r="K8" s="492"/>
      <c r="L8" s="492"/>
      <c r="M8" s="492"/>
    </row>
    <row r="9" spans="1:13" s="501" customFormat="1" ht="15" customHeight="1" x14ac:dyDescent="0.25">
      <c r="A9" s="730"/>
      <c r="B9" s="1527" t="s">
        <v>762</v>
      </c>
      <c r="C9" s="1242"/>
      <c r="D9" s="716"/>
      <c r="E9" s="716"/>
      <c r="F9" s="716"/>
      <c r="G9" s="716"/>
      <c r="H9" s="716"/>
      <c r="I9" s="727"/>
      <c r="J9" s="492"/>
      <c r="K9" s="492"/>
      <c r="L9" s="492"/>
      <c r="M9" s="492"/>
    </row>
    <row r="10" spans="1:13" s="501" customFormat="1" ht="15" customHeight="1" x14ac:dyDescent="0.25">
      <c r="A10" s="730"/>
      <c r="B10" s="1527" t="s">
        <v>1210</v>
      </c>
      <c r="C10" s="1242"/>
      <c r="D10" s="716"/>
      <c r="E10" s="716"/>
      <c r="F10" s="716"/>
      <c r="G10" s="716"/>
      <c r="H10" s="716"/>
      <c r="I10" s="727"/>
      <c r="J10" s="492"/>
      <c r="K10" s="492"/>
      <c r="L10" s="492"/>
      <c r="M10" s="492"/>
    </row>
    <row r="11" spans="1:13" s="501" customFormat="1" ht="15" customHeight="1" x14ac:dyDescent="0.25">
      <c r="A11" s="730"/>
      <c r="B11" s="1526" t="s">
        <v>1211</v>
      </c>
      <c r="C11" s="792" t="str">
        <f>IF(AND(ISNUMBER(C12), ISNUMBER(C13)), C12+C13,"")</f>
        <v/>
      </c>
      <c r="D11" s="716"/>
      <c r="E11" s="716"/>
      <c r="F11" s="716"/>
      <c r="G11" s="716"/>
      <c r="H11" s="716"/>
      <c r="I11" s="727"/>
      <c r="J11" s="492"/>
      <c r="K11" s="492"/>
      <c r="L11" s="492"/>
      <c r="M11" s="492"/>
    </row>
    <row r="12" spans="1:13" s="501" customFormat="1" ht="15" customHeight="1" x14ac:dyDescent="0.25">
      <c r="A12" s="730"/>
      <c r="B12" s="1527" t="s">
        <v>309</v>
      </c>
      <c r="C12" s="1242"/>
      <c r="D12" s="716"/>
      <c r="E12" s="716"/>
      <c r="F12" s="716"/>
      <c r="G12" s="716"/>
      <c r="H12" s="716"/>
      <c r="I12" s="727"/>
      <c r="J12" s="492"/>
      <c r="K12" s="492"/>
      <c r="L12" s="492"/>
      <c r="M12" s="492"/>
    </row>
    <row r="13" spans="1:13" s="501" customFormat="1" ht="15" customHeight="1" x14ac:dyDescent="0.25">
      <c r="A13" s="730"/>
      <c r="B13" s="1527" t="s">
        <v>310</v>
      </c>
      <c r="C13" s="1242"/>
      <c r="D13" s="716"/>
      <c r="E13" s="716"/>
      <c r="F13" s="716"/>
      <c r="G13" s="716"/>
      <c r="H13" s="716"/>
      <c r="I13" s="727"/>
      <c r="J13" s="492"/>
      <c r="K13" s="492"/>
      <c r="L13" s="492"/>
      <c r="M13" s="492"/>
    </row>
    <row r="14" spans="1:13" s="501" customFormat="1" ht="15" customHeight="1" x14ac:dyDescent="0.25">
      <c r="A14" s="730"/>
      <c r="B14" s="1526" t="s">
        <v>766</v>
      </c>
      <c r="C14" s="1242"/>
      <c r="D14" s="716"/>
      <c r="E14" s="716"/>
      <c r="F14" s="716"/>
      <c r="G14" s="716"/>
      <c r="H14" s="716"/>
      <c r="I14" s="727"/>
      <c r="J14" s="492"/>
      <c r="K14" s="492"/>
      <c r="L14" s="492"/>
      <c r="M14" s="492"/>
    </row>
    <row r="15" spans="1:13" s="501" customFormat="1" ht="15" customHeight="1" x14ac:dyDescent="0.25">
      <c r="A15" s="730"/>
      <c r="B15" s="1526" t="s">
        <v>816</v>
      </c>
      <c r="C15" s="1242"/>
      <c r="D15" s="716"/>
      <c r="E15" s="716"/>
      <c r="F15" s="716"/>
      <c r="G15" s="716"/>
      <c r="H15" s="716"/>
      <c r="I15" s="727"/>
      <c r="J15" s="492"/>
      <c r="K15" s="492"/>
      <c r="L15" s="492"/>
      <c r="M15" s="492"/>
    </row>
    <row r="16" spans="1:13" s="501" customFormat="1" ht="15" customHeight="1" x14ac:dyDescent="0.25">
      <c r="A16" s="730"/>
      <c r="B16" s="935" t="s">
        <v>1212</v>
      </c>
      <c r="C16" s="461"/>
      <c r="D16" s="716"/>
      <c r="E16" s="716"/>
      <c r="F16" s="716"/>
      <c r="G16" s="716"/>
      <c r="H16" s="716"/>
      <c r="I16" s="727"/>
      <c r="J16" s="492"/>
      <c r="K16" s="492"/>
      <c r="L16" s="492"/>
      <c r="M16" s="492"/>
    </row>
    <row r="17" spans="1:13" s="501" customFormat="1" ht="15" customHeight="1" x14ac:dyDescent="0.25">
      <c r="A17" s="730"/>
      <c r="B17" s="1526" t="s">
        <v>1213</v>
      </c>
      <c r="C17" s="1242"/>
      <c r="D17" s="716"/>
      <c r="E17" s="716"/>
      <c r="F17" s="716"/>
      <c r="G17" s="716"/>
      <c r="H17" s="716"/>
      <c r="I17" s="727"/>
      <c r="J17" s="492"/>
      <c r="K17" s="492"/>
      <c r="L17" s="492"/>
      <c r="M17" s="492"/>
    </row>
    <row r="18" spans="1:13" s="501" customFormat="1" ht="15" customHeight="1" x14ac:dyDescent="0.25">
      <c r="A18" s="730"/>
      <c r="B18" s="1526" t="s">
        <v>1214</v>
      </c>
      <c r="C18" s="792" t="str">
        <f>IF(AND(ISNUMBER(C19), ISNUMBER(C20)), C19+C20,"")</f>
        <v/>
      </c>
      <c r="D18" s="716"/>
      <c r="E18" s="716"/>
      <c r="F18" s="716"/>
      <c r="G18" s="716"/>
      <c r="H18" s="716"/>
      <c r="I18" s="727"/>
      <c r="J18" s="492"/>
      <c r="K18" s="492"/>
      <c r="L18" s="492"/>
      <c r="M18" s="492"/>
    </row>
    <row r="19" spans="1:13" s="501" customFormat="1" ht="15" customHeight="1" x14ac:dyDescent="0.25">
      <c r="A19" s="730"/>
      <c r="B19" s="1527" t="s">
        <v>1215</v>
      </c>
      <c r="C19" s="1242"/>
      <c r="D19" s="716"/>
      <c r="E19" s="716"/>
      <c r="F19" s="716"/>
      <c r="G19" s="716"/>
      <c r="H19" s="716"/>
      <c r="I19" s="727"/>
      <c r="J19" s="492"/>
      <c r="K19" s="492"/>
      <c r="L19" s="492"/>
      <c r="M19" s="492"/>
    </row>
    <row r="20" spans="1:13" s="501" customFormat="1" ht="15" customHeight="1" x14ac:dyDescent="0.25">
      <c r="A20" s="730"/>
      <c r="B20" s="1527" t="s">
        <v>1216</v>
      </c>
      <c r="C20" s="1242"/>
      <c r="D20" s="716"/>
      <c r="E20" s="716"/>
      <c r="F20" s="716"/>
      <c r="G20" s="716"/>
      <c r="H20" s="716"/>
      <c r="I20" s="727"/>
      <c r="J20" s="492"/>
      <c r="K20" s="492"/>
      <c r="L20" s="492"/>
      <c r="M20" s="492"/>
    </row>
    <row r="21" spans="1:13" s="501" customFormat="1" ht="15" customHeight="1" x14ac:dyDescent="0.25">
      <c r="A21" s="730"/>
      <c r="B21" s="1526" t="s">
        <v>1217</v>
      </c>
      <c r="C21" s="1242"/>
      <c r="D21" s="716"/>
      <c r="E21" s="716"/>
      <c r="F21" s="716"/>
      <c r="G21" s="716"/>
      <c r="H21" s="716"/>
      <c r="I21" s="727"/>
      <c r="J21" s="492"/>
      <c r="K21" s="492"/>
      <c r="L21" s="492"/>
      <c r="M21" s="492"/>
    </row>
    <row r="22" spans="1:13" s="501" customFormat="1" ht="15" customHeight="1" x14ac:dyDescent="0.25">
      <c r="A22" s="730"/>
      <c r="B22" s="934" t="s">
        <v>1223</v>
      </c>
      <c r="C22" s="1242"/>
      <c r="D22" s="716"/>
      <c r="E22" s="716"/>
      <c r="F22" s="716"/>
      <c r="G22" s="716"/>
      <c r="H22" s="716"/>
      <c r="I22" s="727"/>
      <c r="J22" s="492"/>
      <c r="K22" s="492"/>
      <c r="L22" s="492"/>
      <c r="M22" s="492"/>
    </row>
    <row r="23" spans="1:13" s="501" customFormat="1" ht="15" customHeight="1" x14ac:dyDescent="0.25">
      <c r="A23" s="730"/>
      <c r="B23" s="935" t="s">
        <v>1224</v>
      </c>
      <c r="C23" s="1242"/>
      <c r="D23" s="716"/>
      <c r="E23" s="716"/>
      <c r="F23" s="716"/>
      <c r="G23" s="716"/>
      <c r="H23" s="716"/>
      <c r="I23" s="727"/>
      <c r="J23" s="492"/>
      <c r="K23" s="492"/>
      <c r="L23" s="492"/>
      <c r="M23" s="492"/>
    </row>
    <row r="24" spans="1:13" s="501" customFormat="1" ht="15" customHeight="1" x14ac:dyDescent="0.25">
      <c r="A24" s="730"/>
      <c r="B24" s="804" t="s">
        <v>745</v>
      </c>
      <c r="C24" s="896" t="str">
        <f>IF(AND(C22&gt;0,ISNUMBER(C23),OR(C23=0,C23&gt;C22)),"No","Yes")</f>
        <v>Yes</v>
      </c>
      <c r="D24" s="716"/>
      <c r="E24" s="716"/>
      <c r="F24" s="716"/>
      <c r="G24" s="716"/>
      <c r="H24" s="716"/>
      <c r="I24" s="727"/>
      <c r="J24" s="492"/>
      <c r="K24" s="492"/>
      <c r="L24" s="492"/>
      <c r="M24" s="492"/>
    </row>
    <row r="25" spans="1:13" s="501" customFormat="1" ht="15" customHeight="1" x14ac:dyDescent="0.25">
      <c r="A25" s="730"/>
      <c r="B25" s="935" t="s">
        <v>1225</v>
      </c>
      <c r="C25" s="1242"/>
      <c r="D25" s="716"/>
      <c r="E25" s="716"/>
      <c r="F25" s="716"/>
      <c r="G25" s="716"/>
      <c r="H25" s="716"/>
      <c r="I25" s="727"/>
      <c r="J25" s="492"/>
      <c r="K25" s="492"/>
      <c r="L25" s="492"/>
      <c r="M25" s="492"/>
    </row>
    <row r="26" spans="1:13" s="501" customFormat="1" ht="15" customHeight="1" x14ac:dyDescent="0.25">
      <c r="A26" s="730"/>
      <c r="B26" s="804" t="s">
        <v>139</v>
      </c>
      <c r="C26" s="896" t="str">
        <f>IF(OR(AND(C23&gt;0,C25=0),AND(C25&gt;0,C23=0)),"No","Yes")</f>
        <v>Yes</v>
      </c>
      <c r="D26" s="716"/>
      <c r="E26" s="716"/>
      <c r="F26" s="716"/>
      <c r="G26" s="716"/>
      <c r="H26" s="716"/>
      <c r="I26" s="727"/>
      <c r="J26" s="492"/>
      <c r="K26" s="492"/>
      <c r="L26" s="492"/>
      <c r="M26" s="492"/>
    </row>
    <row r="27" spans="1:13" s="501" customFormat="1" ht="15" customHeight="1" x14ac:dyDescent="0.25">
      <c r="A27" s="730"/>
      <c r="B27" s="934" t="s">
        <v>614</v>
      </c>
      <c r="C27" s="1242"/>
      <c r="D27" s="716"/>
      <c r="E27" s="716"/>
      <c r="F27" s="716"/>
      <c r="G27" s="716"/>
      <c r="H27" s="716"/>
      <c r="I27" s="727"/>
      <c r="J27" s="492"/>
      <c r="K27" s="492"/>
      <c r="L27" s="492"/>
      <c r="M27" s="492"/>
    </row>
    <row r="28" spans="1:13" s="501" customFormat="1" ht="15" customHeight="1" x14ac:dyDescent="0.25">
      <c r="A28" s="730"/>
      <c r="B28" s="938" t="s">
        <v>66</v>
      </c>
      <c r="C28" s="1242"/>
      <c r="D28" s="716"/>
      <c r="E28" s="716"/>
      <c r="F28" s="716"/>
      <c r="G28" s="716"/>
      <c r="H28" s="716"/>
      <c r="I28" s="727"/>
      <c r="J28" s="492"/>
      <c r="K28" s="492"/>
      <c r="L28" s="492"/>
      <c r="M28" s="492"/>
    </row>
    <row r="29" spans="1:13" s="501" customFormat="1" ht="15" customHeight="1" x14ac:dyDescent="0.25">
      <c r="A29" s="730"/>
      <c r="B29" s="1528" t="s">
        <v>1793</v>
      </c>
      <c r="C29" s="461"/>
      <c r="D29" s="716"/>
      <c r="E29" s="716"/>
      <c r="F29" s="716"/>
      <c r="G29" s="716"/>
      <c r="H29" s="716"/>
      <c r="I29" s="727"/>
      <c r="J29" s="492"/>
      <c r="K29" s="492"/>
      <c r="L29" s="492"/>
      <c r="M29" s="492"/>
    </row>
    <row r="30" spans="1:13" s="501" customFormat="1" ht="15" customHeight="1" x14ac:dyDescent="0.25">
      <c r="A30" s="730"/>
      <c r="B30" s="1418" t="s">
        <v>1747</v>
      </c>
      <c r="C30" s="1242"/>
      <c r="D30" s="716"/>
      <c r="E30" s="716"/>
      <c r="F30" s="716"/>
      <c r="G30" s="716"/>
      <c r="H30" s="716"/>
      <c r="I30" s="727"/>
      <c r="J30" s="492"/>
      <c r="K30" s="492"/>
      <c r="L30" s="492"/>
      <c r="M30" s="492"/>
    </row>
    <row r="31" spans="1:13" s="501" customFormat="1" ht="15" customHeight="1" x14ac:dyDescent="0.25">
      <c r="A31" s="730"/>
      <c r="B31" s="789" t="s">
        <v>340</v>
      </c>
      <c r="C31" s="1242"/>
      <c r="D31" s="716"/>
      <c r="E31" s="716"/>
      <c r="F31" s="716"/>
      <c r="G31" s="716"/>
      <c r="H31" s="716"/>
      <c r="I31" s="727"/>
      <c r="J31" s="492"/>
      <c r="K31" s="492"/>
      <c r="L31" s="492"/>
      <c r="M31" s="492"/>
    </row>
    <row r="32" spans="1:13" s="1380" customFormat="1" ht="15" customHeight="1" x14ac:dyDescent="0.25">
      <c r="A32" s="730"/>
      <c r="B32" s="863" t="s">
        <v>220</v>
      </c>
      <c r="C32" s="1529"/>
      <c r="D32" s="716"/>
      <c r="E32" s="716"/>
      <c r="F32" s="716"/>
      <c r="G32" s="716"/>
      <c r="H32" s="716"/>
      <c r="I32" s="727"/>
      <c r="J32" s="1368"/>
      <c r="K32" s="1368"/>
      <c r="L32" s="1368"/>
      <c r="M32" s="1368"/>
    </row>
    <row r="33" spans="1:13" s="423" customFormat="1" ht="15" customHeight="1" x14ac:dyDescent="0.25">
      <c r="A33" s="730"/>
      <c r="B33" s="932" t="s">
        <v>311</v>
      </c>
      <c r="C33" s="933" t="str">
        <f>IF(AND(ISNUMBER(C6), ISNUMBER(C22), ISNUMBER(C27), ISNUMBER(C28),  ISNUMBER(C30),ISNUMBER(C31), ISNUMBER(C32)), SUM(C6, C22, C27:C28, C30:C32), "")</f>
        <v/>
      </c>
      <c r="D33" s="716"/>
      <c r="E33" s="716"/>
      <c r="F33" s="716"/>
      <c r="G33" s="716"/>
      <c r="H33" s="716"/>
      <c r="I33" s="727"/>
      <c r="J33" s="716"/>
      <c r="K33" s="716"/>
      <c r="L33" s="716"/>
      <c r="M33" s="716"/>
    </row>
    <row r="34" spans="1:13" s="716" customFormat="1" ht="15" customHeight="1" x14ac:dyDescent="0.25">
      <c r="A34" s="821"/>
      <c r="I34" s="750"/>
    </row>
    <row r="35" spans="1:13" s="716" customFormat="1" ht="30" customHeight="1" x14ac:dyDescent="0.3">
      <c r="A35" s="776" t="s">
        <v>1819</v>
      </c>
      <c r="B35" s="785"/>
      <c r="C35" s="768"/>
      <c r="D35" s="768"/>
      <c r="E35" s="725"/>
      <c r="F35" s="725"/>
      <c r="G35" s="725"/>
      <c r="H35" s="725"/>
      <c r="I35" s="727"/>
    </row>
    <row r="36" spans="1:13" s="716" customFormat="1" ht="15" customHeight="1" x14ac:dyDescent="0.25">
      <c r="A36" s="821"/>
      <c r="I36" s="727"/>
    </row>
    <row r="37" spans="1:13" s="716" customFormat="1" ht="15" customHeight="1" x14ac:dyDescent="0.25">
      <c r="A37" s="821"/>
      <c r="B37" s="745"/>
      <c r="C37" s="1514" t="s">
        <v>118</v>
      </c>
      <c r="I37" s="727"/>
    </row>
    <row r="38" spans="1:13" s="716" customFormat="1" ht="15" customHeight="1" x14ac:dyDescent="0.25">
      <c r="A38" s="821"/>
      <c r="B38" s="1640" t="s">
        <v>1820</v>
      </c>
      <c r="C38" s="939" t="str">
        <f>IF(AND(ISNUMBER(C39), ISNUMBER(C40),ISNUMBER(C41), ISNUMBER(C42), ISNUMBER(C43), ISNUMBER(C44)), SUM(C39:C44),"")</f>
        <v/>
      </c>
      <c r="I38" s="727"/>
    </row>
    <row r="39" spans="1:13" s="492" customFormat="1" ht="15" customHeight="1" x14ac:dyDescent="0.25">
      <c r="A39" s="821"/>
      <c r="B39" s="790" t="s">
        <v>762</v>
      </c>
      <c r="C39" s="107"/>
      <c r="D39" s="716"/>
      <c r="E39" s="716"/>
      <c r="F39" s="716"/>
      <c r="G39" s="716"/>
      <c r="H39" s="716"/>
      <c r="I39" s="727"/>
    </row>
    <row r="40" spans="1:13" s="492" customFormat="1" ht="15" customHeight="1" x14ac:dyDescent="0.25">
      <c r="A40" s="821"/>
      <c r="B40" s="790" t="s">
        <v>763</v>
      </c>
      <c r="C40" s="107"/>
      <c r="D40" s="716"/>
      <c r="E40" s="716"/>
      <c r="F40" s="716"/>
      <c r="G40" s="716"/>
      <c r="H40" s="716"/>
      <c r="I40" s="727"/>
    </row>
    <row r="41" spans="1:13" s="492" customFormat="1" ht="15" customHeight="1" x14ac:dyDescent="0.25">
      <c r="A41" s="821"/>
      <c r="B41" s="790" t="s">
        <v>764</v>
      </c>
      <c r="C41" s="107"/>
      <c r="D41" s="716"/>
      <c r="E41" s="716"/>
      <c r="F41" s="716"/>
      <c r="G41" s="716"/>
      <c r="H41" s="716"/>
      <c r="I41" s="727"/>
    </row>
    <row r="42" spans="1:13" s="492" customFormat="1" ht="15" customHeight="1" x14ac:dyDescent="0.25">
      <c r="A42" s="821"/>
      <c r="B42" s="790" t="s">
        <v>765</v>
      </c>
      <c r="C42" s="107"/>
      <c r="D42" s="716"/>
      <c r="E42" s="716"/>
      <c r="F42" s="716"/>
      <c r="G42" s="716"/>
      <c r="H42" s="716"/>
      <c r="I42" s="727"/>
    </row>
    <row r="43" spans="1:13" s="492" customFormat="1" ht="15" customHeight="1" x14ac:dyDescent="0.25">
      <c r="A43" s="821"/>
      <c r="B43" s="790" t="s">
        <v>766</v>
      </c>
      <c r="C43" s="107"/>
      <c r="D43" s="716"/>
      <c r="E43" s="716"/>
      <c r="F43" s="716"/>
      <c r="G43" s="716"/>
      <c r="H43" s="716"/>
      <c r="I43" s="727"/>
    </row>
    <row r="44" spans="1:13" s="492" customFormat="1" ht="15" customHeight="1" x14ac:dyDescent="0.25">
      <c r="A44" s="821"/>
      <c r="B44" s="790" t="s">
        <v>767</v>
      </c>
      <c r="C44" s="107"/>
      <c r="D44" s="716"/>
      <c r="E44" s="716"/>
      <c r="F44" s="716"/>
      <c r="G44" s="716"/>
      <c r="H44" s="716"/>
      <c r="I44" s="727"/>
    </row>
    <row r="45" spans="1:13" s="492" customFormat="1" ht="30" customHeight="1" x14ac:dyDescent="0.25">
      <c r="A45" s="821"/>
      <c r="B45" s="1657" t="s">
        <v>1821</v>
      </c>
      <c r="C45" s="864" t="str">
        <f>IF(AND(ISNUMBER(C76), ISNUMBER(C46), ISNUMBER(C50), ISNUMBER(C54), ISNUMBER(C58), ISNUMBER(C62), ISNUMBER(C66)),C76*C46+(1-C76)*(C50+C54+C58+C62+C66)," ")</f>
        <v xml:space="preserve"> </v>
      </c>
      <c r="D45" s="716"/>
      <c r="E45" s="716"/>
      <c r="F45" s="716"/>
      <c r="G45" s="716"/>
      <c r="H45" s="716"/>
      <c r="I45" s="727"/>
    </row>
    <row r="46" spans="1:13" s="492" customFormat="1" ht="15" customHeight="1" x14ac:dyDescent="0.25">
      <c r="A46" s="821"/>
      <c r="B46" s="790" t="s">
        <v>817</v>
      </c>
      <c r="C46" s="883" t="str">
        <f>IF(AND(ISNUMBER(C47),ISNUMBER(C48),ISNUMBER(C49),C49&lt;&gt;0),C47*C48/C49,"")</f>
        <v/>
      </c>
      <c r="D46" s="716"/>
      <c r="E46" s="716"/>
      <c r="F46" s="716"/>
      <c r="G46" s="716"/>
      <c r="H46" s="716"/>
      <c r="I46" s="727"/>
    </row>
    <row r="47" spans="1:13" s="492" customFormat="1" ht="15" customHeight="1" x14ac:dyDescent="0.25">
      <c r="A47" s="821"/>
      <c r="B47" s="940" t="s">
        <v>982</v>
      </c>
      <c r="C47" s="107"/>
      <c r="D47" s="716"/>
      <c r="E47" s="716"/>
      <c r="F47" s="716"/>
      <c r="G47" s="716"/>
      <c r="H47" s="716"/>
      <c r="I47" s="727"/>
    </row>
    <row r="48" spans="1:13" s="492" customFormat="1" ht="15" customHeight="1" x14ac:dyDescent="0.25">
      <c r="A48" s="821"/>
      <c r="B48" s="940" t="s">
        <v>983</v>
      </c>
      <c r="C48" s="107"/>
      <c r="D48" s="716"/>
      <c r="E48" s="716"/>
      <c r="F48" s="716"/>
      <c r="G48" s="716"/>
      <c r="H48" s="716"/>
      <c r="I48" s="727"/>
    </row>
    <row r="49" spans="1:9" s="492" customFormat="1" ht="15" customHeight="1" x14ac:dyDescent="0.25">
      <c r="A49" s="821"/>
      <c r="B49" s="940" t="s">
        <v>984</v>
      </c>
      <c r="C49" s="107"/>
      <c r="D49" s="716"/>
      <c r="E49" s="716"/>
      <c r="F49" s="716"/>
      <c r="G49" s="716"/>
      <c r="H49" s="716"/>
      <c r="I49" s="727"/>
    </row>
    <row r="50" spans="1:9" s="492" customFormat="1" ht="15" customHeight="1" x14ac:dyDescent="0.25">
      <c r="A50" s="821"/>
      <c r="B50" s="790" t="s">
        <v>768</v>
      </c>
      <c r="C50" s="883" t="str">
        <f>IF(AND(ISNUMBER(C51),ISNUMBER(C52),ISNUMBER(C53),C53&lt;&gt;0),C51*C52/C53,"")</f>
        <v/>
      </c>
      <c r="D50" s="716"/>
      <c r="E50" s="716"/>
      <c r="F50" s="716"/>
      <c r="G50" s="716"/>
      <c r="H50" s="716"/>
      <c r="I50" s="727"/>
    </row>
    <row r="51" spans="1:9" s="492" customFormat="1" ht="15" customHeight="1" x14ac:dyDescent="0.25">
      <c r="A51" s="821"/>
      <c r="B51" s="940" t="s">
        <v>982</v>
      </c>
      <c r="C51" s="107"/>
      <c r="D51" s="716"/>
      <c r="E51" s="716"/>
      <c r="F51" s="716"/>
      <c r="G51" s="716"/>
      <c r="H51" s="716"/>
      <c r="I51" s="727"/>
    </row>
    <row r="52" spans="1:9" s="492" customFormat="1" ht="15" customHeight="1" x14ac:dyDescent="0.25">
      <c r="A52" s="821"/>
      <c r="B52" s="940" t="s">
        <v>983</v>
      </c>
      <c r="C52" s="107"/>
      <c r="D52" s="716"/>
      <c r="E52" s="716"/>
      <c r="F52" s="716"/>
      <c r="G52" s="716"/>
      <c r="H52" s="716"/>
      <c r="I52" s="727"/>
    </row>
    <row r="53" spans="1:9" s="492" customFormat="1" ht="15" customHeight="1" x14ac:dyDescent="0.25">
      <c r="A53" s="821"/>
      <c r="B53" s="940" t="s">
        <v>984</v>
      </c>
      <c r="C53" s="107"/>
      <c r="D53" s="716"/>
      <c r="E53" s="716"/>
      <c r="F53" s="716"/>
      <c r="G53" s="716"/>
      <c r="H53" s="716"/>
      <c r="I53" s="727"/>
    </row>
    <row r="54" spans="1:9" s="492" customFormat="1" ht="15" customHeight="1" x14ac:dyDescent="0.25">
      <c r="A54" s="821"/>
      <c r="B54" s="790" t="s">
        <v>769</v>
      </c>
      <c r="C54" s="883" t="str">
        <f>IF(AND(ISNUMBER(C55),ISNUMBER(C56),ISNUMBER(C57),C57&lt;&gt;0),C55*C56/C57,"")</f>
        <v/>
      </c>
      <c r="D54" s="716"/>
      <c r="E54" s="716"/>
      <c r="F54" s="716"/>
      <c r="G54" s="716"/>
      <c r="H54" s="716"/>
      <c r="I54" s="727"/>
    </row>
    <row r="55" spans="1:9" s="492" customFormat="1" ht="15" customHeight="1" x14ac:dyDescent="0.25">
      <c r="A55" s="821"/>
      <c r="B55" s="940" t="s">
        <v>982</v>
      </c>
      <c r="C55" s="107"/>
      <c r="D55" s="716"/>
      <c r="E55" s="716"/>
      <c r="F55" s="716"/>
      <c r="G55" s="716"/>
      <c r="H55" s="716"/>
      <c r="I55" s="727"/>
    </row>
    <row r="56" spans="1:9" s="492" customFormat="1" ht="15" customHeight="1" x14ac:dyDescent="0.25">
      <c r="A56" s="821"/>
      <c r="B56" s="940" t="s">
        <v>983</v>
      </c>
      <c r="C56" s="107"/>
      <c r="D56" s="716"/>
      <c r="E56" s="716"/>
      <c r="F56" s="716"/>
      <c r="G56" s="716"/>
      <c r="H56" s="716"/>
      <c r="I56" s="727"/>
    </row>
    <row r="57" spans="1:9" s="492" customFormat="1" ht="15" customHeight="1" x14ac:dyDescent="0.25">
      <c r="A57" s="821"/>
      <c r="B57" s="940" t="s">
        <v>984</v>
      </c>
      <c r="C57" s="107"/>
      <c r="D57" s="716"/>
      <c r="E57" s="716"/>
      <c r="F57" s="716"/>
      <c r="G57" s="716"/>
      <c r="H57" s="716"/>
      <c r="I57" s="727"/>
    </row>
    <row r="58" spans="1:9" s="492" customFormat="1" ht="15" customHeight="1" x14ac:dyDescent="0.25">
      <c r="A58" s="821"/>
      <c r="B58" s="790" t="s">
        <v>770</v>
      </c>
      <c r="C58" s="883" t="str">
        <f>IF(AND(ISNUMBER(C59),ISNUMBER(C60),ISNUMBER(C61),C61&lt;&gt;0),C59*C60/C61,"")</f>
        <v/>
      </c>
      <c r="D58" s="716"/>
      <c r="E58" s="716"/>
      <c r="F58" s="716"/>
      <c r="G58" s="716"/>
      <c r="H58" s="716"/>
      <c r="I58" s="727"/>
    </row>
    <row r="59" spans="1:9" s="492" customFormat="1" ht="15" customHeight="1" x14ac:dyDescent="0.25">
      <c r="A59" s="821"/>
      <c r="B59" s="940" t="s">
        <v>982</v>
      </c>
      <c r="C59" s="107"/>
      <c r="D59" s="716"/>
      <c r="E59" s="716"/>
      <c r="F59" s="716"/>
      <c r="G59" s="716"/>
      <c r="H59" s="716"/>
      <c r="I59" s="727"/>
    </row>
    <row r="60" spans="1:9" s="492" customFormat="1" ht="15" customHeight="1" x14ac:dyDescent="0.25">
      <c r="A60" s="821"/>
      <c r="B60" s="940" t="s">
        <v>983</v>
      </c>
      <c r="C60" s="107"/>
      <c r="D60" s="716"/>
      <c r="E60" s="716"/>
      <c r="F60" s="716"/>
      <c r="G60" s="716"/>
      <c r="H60" s="716"/>
      <c r="I60" s="727"/>
    </row>
    <row r="61" spans="1:9" s="492" customFormat="1" ht="15" customHeight="1" x14ac:dyDescent="0.25">
      <c r="A61" s="821"/>
      <c r="B61" s="940" t="s">
        <v>984</v>
      </c>
      <c r="C61" s="107"/>
      <c r="D61" s="716"/>
      <c r="E61" s="716"/>
      <c r="F61" s="716"/>
      <c r="G61" s="716"/>
      <c r="H61" s="716"/>
      <c r="I61" s="727"/>
    </row>
    <row r="62" spans="1:9" s="492" customFormat="1" ht="15" customHeight="1" x14ac:dyDescent="0.25">
      <c r="A62" s="821"/>
      <c r="B62" s="790" t="s">
        <v>771</v>
      </c>
      <c r="C62" s="883" t="str">
        <f>IF(AND(ISNUMBER(C63),ISNUMBER(C64),ISNUMBER(C65),C65&lt;&gt;0),C63*C64/C65,"")</f>
        <v/>
      </c>
      <c r="D62" s="716"/>
      <c r="E62" s="716"/>
      <c r="F62" s="716"/>
      <c r="G62" s="716"/>
      <c r="H62" s="716"/>
      <c r="I62" s="727"/>
    </row>
    <row r="63" spans="1:9" s="492" customFormat="1" ht="15" customHeight="1" x14ac:dyDescent="0.25">
      <c r="A63" s="821"/>
      <c r="B63" s="940" t="s">
        <v>982</v>
      </c>
      <c r="C63" s="107"/>
      <c r="D63" s="716"/>
      <c r="E63" s="716"/>
      <c r="F63" s="716"/>
      <c r="G63" s="716"/>
      <c r="H63" s="716"/>
      <c r="I63" s="727"/>
    </row>
    <row r="64" spans="1:9" s="492" customFormat="1" ht="15" customHeight="1" x14ac:dyDescent="0.25">
      <c r="A64" s="821"/>
      <c r="B64" s="940" t="s">
        <v>983</v>
      </c>
      <c r="C64" s="107"/>
      <c r="D64" s="716"/>
      <c r="E64" s="716"/>
      <c r="F64" s="716"/>
      <c r="G64" s="716"/>
      <c r="H64" s="716"/>
      <c r="I64" s="727"/>
    </row>
    <row r="65" spans="1:9" s="492" customFormat="1" ht="15" customHeight="1" x14ac:dyDescent="0.25">
      <c r="A65" s="821"/>
      <c r="B65" s="940" t="s">
        <v>984</v>
      </c>
      <c r="C65" s="107"/>
      <c r="D65" s="716"/>
      <c r="E65" s="716"/>
      <c r="F65" s="716"/>
      <c r="G65" s="716"/>
      <c r="H65" s="716"/>
      <c r="I65" s="727"/>
    </row>
    <row r="66" spans="1:9" s="492" customFormat="1" ht="15" customHeight="1" x14ac:dyDescent="0.25">
      <c r="A66" s="821"/>
      <c r="B66" s="790" t="s">
        <v>772</v>
      </c>
      <c r="C66" s="883" t="str">
        <f>IF(AND(ISNUMBER(C67),ISNUMBER(C68),ISNUMBER(C69),C69&lt;&gt;0),C67*C68/C69,"")</f>
        <v/>
      </c>
      <c r="D66" s="716"/>
      <c r="E66" s="716"/>
      <c r="F66" s="716"/>
      <c r="G66" s="716"/>
      <c r="H66" s="716"/>
      <c r="I66" s="727"/>
    </row>
    <row r="67" spans="1:9" s="492" customFormat="1" ht="15" customHeight="1" x14ac:dyDescent="0.25">
      <c r="A67" s="821"/>
      <c r="B67" s="940" t="s">
        <v>982</v>
      </c>
      <c r="C67" s="107"/>
      <c r="D67" s="716"/>
      <c r="E67" s="716"/>
      <c r="F67" s="716"/>
      <c r="G67" s="716"/>
      <c r="H67" s="716"/>
      <c r="I67" s="727"/>
    </row>
    <row r="68" spans="1:9" s="492" customFormat="1" ht="15" customHeight="1" x14ac:dyDescent="0.25">
      <c r="A68" s="821"/>
      <c r="B68" s="940" t="s">
        <v>983</v>
      </c>
      <c r="C68" s="107"/>
      <c r="D68" s="716"/>
      <c r="E68" s="716"/>
      <c r="F68" s="716"/>
      <c r="G68" s="716"/>
      <c r="H68" s="716"/>
      <c r="I68" s="727"/>
    </row>
    <row r="69" spans="1:9" s="492" customFormat="1" ht="15" customHeight="1" x14ac:dyDescent="0.25">
      <c r="A69" s="821"/>
      <c r="B69" s="940" t="s">
        <v>984</v>
      </c>
      <c r="C69" s="107"/>
      <c r="D69" s="716"/>
      <c r="E69" s="716"/>
      <c r="F69" s="716"/>
      <c r="G69" s="716"/>
      <c r="H69" s="716"/>
      <c r="I69" s="727"/>
    </row>
    <row r="70" spans="1:9" s="492" customFormat="1" ht="15" customHeight="1" x14ac:dyDescent="0.25">
      <c r="A70" s="821"/>
      <c r="B70" s="790" t="s">
        <v>773</v>
      </c>
      <c r="C70" s="883" t="str">
        <f>IF(AND(ISNUMBER(C71),ISNUMBER(C72),ISNUMBER(C73),ISNUMBER(C74),ISNUMBER(C75)),SUM(C71:C75),"")</f>
        <v/>
      </c>
      <c r="D70" s="716"/>
      <c r="E70" s="716"/>
      <c r="F70" s="716"/>
      <c r="G70" s="716"/>
      <c r="H70" s="716"/>
      <c r="I70" s="727"/>
    </row>
    <row r="71" spans="1:9" s="492" customFormat="1" ht="15" customHeight="1" x14ac:dyDescent="0.25">
      <c r="A71" s="821"/>
      <c r="B71" s="940" t="s">
        <v>774</v>
      </c>
      <c r="C71" s="107"/>
      <c r="D71" s="716"/>
      <c r="E71" s="716"/>
      <c r="F71" s="716"/>
      <c r="G71" s="716"/>
      <c r="H71" s="716"/>
      <c r="I71" s="727"/>
    </row>
    <row r="72" spans="1:9" s="492" customFormat="1" ht="15" customHeight="1" x14ac:dyDescent="0.25">
      <c r="A72" s="821"/>
      <c r="B72" s="940" t="s">
        <v>775</v>
      </c>
      <c r="C72" s="107"/>
      <c r="D72" s="716"/>
      <c r="E72" s="716"/>
      <c r="F72" s="716"/>
      <c r="G72" s="716"/>
      <c r="H72" s="716"/>
      <c r="I72" s="727"/>
    </row>
    <row r="73" spans="1:9" s="492" customFormat="1" ht="15" customHeight="1" x14ac:dyDescent="0.25">
      <c r="A73" s="821"/>
      <c r="B73" s="940" t="s">
        <v>776</v>
      </c>
      <c r="C73" s="107"/>
      <c r="D73" s="716"/>
      <c r="E73" s="716"/>
      <c r="F73" s="716"/>
      <c r="G73" s="716"/>
      <c r="H73" s="716"/>
      <c r="I73" s="727"/>
    </row>
    <row r="74" spans="1:9" s="492" customFormat="1" ht="15" customHeight="1" x14ac:dyDescent="0.25">
      <c r="A74" s="821"/>
      <c r="B74" s="940" t="s">
        <v>777</v>
      </c>
      <c r="C74" s="107"/>
      <c r="D74" s="716"/>
      <c r="E74" s="716"/>
      <c r="F74" s="716"/>
      <c r="G74" s="716"/>
      <c r="H74" s="716"/>
      <c r="I74" s="727"/>
    </row>
    <row r="75" spans="1:9" s="492" customFormat="1" ht="15" customHeight="1" x14ac:dyDescent="0.25">
      <c r="A75" s="821"/>
      <c r="B75" s="940" t="s">
        <v>1222</v>
      </c>
      <c r="C75" s="415"/>
      <c r="D75" s="716"/>
      <c r="E75" s="716"/>
      <c r="F75" s="716"/>
      <c r="G75" s="716"/>
      <c r="H75" s="716"/>
      <c r="I75" s="727"/>
    </row>
    <row r="76" spans="1:9" s="492" customFormat="1" ht="15" customHeight="1" x14ac:dyDescent="0.25">
      <c r="A76" s="821"/>
      <c r="B76" s="938" t="s">
        <v>778</v>
      </c>
      <c r="C76" s="793">
        <f>Parameters!F164</f>
        <v>0.5</v>
      </c>
      <c r="D76" s="716"/>
      <c r="E76" s="716"/>
      <c r="F76" s="716"/>
      <c r="G76" s="716"/>
      <c r="H76" s="716"/>
      <c r="I76" s="727"/>
    </row>
    <row r="77" spans="1:9" s="492" customFormat="1" ht="15" customHeight="1" x14ac:dyDescent="0.25">
      <c r="A77" s="821"/>
      <c r="B77" s="941" t="s">
        <v>779</v>
      </c>
      <c r="C77" s="490"/>
      <c r="D77" s="716"/>
      <c r="E77" s="716"/>
      <c r="F77" s="716"/>
      <c r="G77" s="716"/>
      <c r="H77" s="716"/>
      <c r="I77" s="727"/>
    </row>
    <row r="78" spans="1:9" s="492" customFormat="1" ht="15" customHeight="1" x14ac:dyDescent="0.25">
      <c r="A78" s="821"/>
      <c r="B78" s="942" t="s">
        <v>311</v>
      </c>
      <c r="C78" s="943" t="str">
        <f>IF(AND(ISNUMBER(C38),ISNUMBER(C45),ISNUMBER(C70),ISNUMBER(C77)),C38+C45+C70+C77,"")</f>
        <v/>
      </c>
      <c r="D78" s="716"/>
      <c r="E78" s="716"/>
      <c r="F78" s="716"/>
      <c r="G78" s="716"/>
      <c r="H78" s="716"/>
      <c r="I78" s="727"/>
    </row>
    <row r="79" spans="1:9" s="492" customFormat="1" ht="15" customHeight="1" x14ac:dyDescent="0.25">
      <c r="A79" s="748"/>
      <c r="B79" s="749"/>
      <c r="C79" s="749"/>
      <c r="D79" s="749"/>
      <c r="E79" s="749"/>
      <c r="F79" s="749"/>
      <c r="G79" s="716"/>
      <c r="H79" s="716"/>
      <c r="I79" s="750"/>
    </row>
    <row r="80" spans="1:9" s="716" customFormat="1" ht="30" customHeight="1" x14ac:dyDescent="0.3">
      <c r="A80" s="776" t="s">
        <v>899</v>
      </c>
      <c r="B80" s="785"/>
      <c r="C80" s="768"/>
      <c r="D80" s="725"/>
      <c r="E80" s="725"/>
      <c r="F80" s="725"/>
      <c r="G80" s="725"/>
      <c r="H80" s="725"/>
      <c r="I80" s="715"/>
    </row>
    <row r="81" spans="1:9" s="716" customFormat="1" ht="15" customHeight="1" x14ac:dyDescent="0.25">
      <c r="A81" s="821"/>
      <c r="I81" s="727"/>
    </row>
    <row r="82" spans="1:9" s="716" customFormat="1" ht="15" customHeight="1" x14ac:dyDescent="0.25">
      <c r="A82" s="821"/>
      <c r="B82" s="1838" t="s">
        <v>905</v>
      </c>
      <c r="C82" s="1818" t="s">
        <v>900</v>
      </c>
      <c r="D82" s="1818"/>
      <c r="E82" s="1818"/>
      <c r="F82" s="1818" t="s">
        <v>901</v>
      </c>
      <c r="G82" s="1818"/>
      <c r="H82" s="1819"/>
      <c r="I82" s="727"/>
    </row>
    <row r="83" spans="1:9" s="716" customFormat="1" ht="15" customHeight="1" x14ac:dyDescent="0.25">
      <c r="A83" s="821"/>
      <c r="B83" s="1838"/>
      <c r="C83" s="944" t="s">
        <v>902</v>
      </c>
      <c r="D83" s="944" t="s">
        <v>903</v>
      </c>
      <c r="E83" s="944" t="s">
        <v>904</v>
      </c>
      <c r="F83" s="944" t="s">
        <v>902</v>
      </c>
      <c r="G83" s="944" t="s">
        <v>903</v>
      </c>
      <c r="H83" s="945" t="s">
        <v>904</v>
      </c>
      <c r="I83" s="727"/>
    </row>
    <row r="84" spans="1:9" s="492" customFormat="1" ht="15" customHeight="1" x14ac:dyDescent="0.25">
      <c r="A84" s="821"/>
      <c r="B84" s="1645" t="s">
        <v>1794</v>
      </c>
      <c r="C84" s="432"/>
      <c r="D84" s="432"/>
      <c r="E84" s="432"/>
      <c r="F84" s="432"/>
      <c r="G84" s="432"/>
      <c r="H84" s="432"/>
      <c r="I84" s="727"/>
    </row>
    <row r="85" spans="1:9" s="492" customFormat="1" ht="15" customHeight="1" x14ac:dyDescent="0.25">
      <c r="A85" s="821"/>
      <c r="B85" s="1646" t="s">
        <v>1795</v>
      </c>
      <c r="C85" s="107"/>
      <c r="D85" s="107"/>
      <c r="E85" s="107"/>
      <c r="F85" s="107"/>
      <c r="G85" s="107"/>
      <c r="H85" s="107"/>
      <c r="I85" s="727"/>
    </row>
    <row r="86" spans="1:9" s="492" customFormat="1" ht="15" customHeight="1" x14ac:dyDescent="0.25">
      <c r="A86" s="821"/>
      <c r="B86" s="1646" t="s">
        <v>1796</v>
      </c>
      <c r="C86" s="107"/>
      <c r="D86" s="107"/>
      <c r="E86" s="107"/>
      <c r="F86" s="107"/>
      <c r="G86" s="107"/>
      <c r="H86" s="107"/>
      <c r="I86" s="727"/>
    </row>
    <row r="87" spans="1:9" s="492" customFormat="1" ht="15" customHeight="1" x14ac:dyDescent="0.25">
      <c r="A87" s="821"/>
      <c r="B87" s="1646" t="s">
        <v>1797</v>
      </c>
      <c r="C87" s="107"/>
      <c r="D87" s="107"/>
      <c r="E87" s="107"/>
      <c r="F87" s="107"/>
      <c r="G87" s="107"/>
      <c r="H87" s="107"/>
      <c r="I87" s="727"/>
    </row>
    <row r="88" spans="1:9" s="492" customFormat="1" ht="15" customHeight="1" x14ac:dyDescent="0.25">
      <c r="A88" s="821"/>
      <c r="B88" s="1647" t="s">
        <v>1798</v>
      </c>
      <c r="C88" s="55"/>
      <c r="D88" s="55"/>
      <c r="E88" s="55"/>
      <c r="F88" s="55"/>
      <c r="G88" s="55"/>
      <c r="H88" s="504"/>
      <c r="I88" s="727"/>
    </row>
    <row r="89" spans="1:9" s="1368" customFormat="1" ht="15" customHeight="1" x14ac:dyDescent="0.25">
      <c r="A89" s="821"/>
      <c r="B89" s="1530" t="s">
        <v>304</v>
      </c>
      <c r="C89" s="526"/>
      <c r="D89" s="526"/>
      <c r="E89" s="526"/>
      <c r="F89" s="526"/>
      <c r="G89" s="526"/>
      <c r="H89" s="1531"/>
      <c r="I89" s="727"/>
    </row>
    <row r="90" spans="1:9" s="492" customFormat="1" ht="15" customHeight="1" x14ac:dyDescent="0.25">
      <c r="A90" s="748"/>
      <c r="B90" s="749"/>
      <c r="C90" s="749"/>
      <c r="D90" s="749"/>
      <c r="E90" s="749"/>
      <c r="F90" s="749"/>
      <c r="G90" s="749"/>
      <c r="H90" s="749"/>
      <c r="I90" s="750"/>
    </row>
    <row r="91" spans="1:9" s="716" customFormat="1" ht="30" customHeight="1" x14ac:dyDescent="0.3">
      <c r="A91" s="776" t="s">
        <v>1219</v>
      </c>
      <c r="B91" s="785"/>
      <c r="C91" s="768"/>
      <c r="D91" s="768"/>
      <c r="E91" s="725"/>
      <c r="F91" s="725"/>
      <c r="G91" s="725"/>
      <c r="H91" s="725"/>
      <c r="I91" s="715"/>
    </row>
    <row r="92" spans="1:9" s="716" customFormat="1" ht="15" customHeight="1" x14ac:dyDescent="0.25">
      <c r="A92" s="821"/>
      <c r="I92" s="727"/>
    </row>
    <row r="93" spans="1:9" s="716" customFormat="1" ht="15" customHeight="1" x14ac:dyDescent="0.25">
      <c r="A93" s="821"/>
      <c r="B93" s="949" t="s">
        <v>759</v>
      </c>
      <c r="C93" s="950" t="s">
        <v>712</v>
      </c>
      <c r="D93" s="951"/>
      <c r="I93" s="727"/>
    </row>
    <row r="94" spans="1:9" s="492" customFormat="1" ht="15" customHeight="1" x14ac:dyDescent="0.25">
      <c r="A94" s="821"/>
      <c r="B94" s="952" t="str">
        <f t="shared" ref="B94:B125" si="0">"Q" &amp; (ROW(B94)-ROW(B$93))</f>
        <v>Q1</v>
      </c>
      <c r="C94" s="524"/>
      <c r="D94" s="716"/>
      <c r="E94" s="716"/>
      <c r="F94" s="716"/>
      <c r="G94" s="716"/>
      <c r="H94" s="716"/>
      <c r="I94" s="727"/>
    </row>
    <row r="95" spans="1:9" s="492" customFormat="1" ht="15" customHeight="1" x14ac:dyDescent="0.25">
      <c r="A95" s="821"/>
      <c r="B95" s="953" t="str">
        <f t="shared" si="0"/>
        <v>Q2</v>
      </c>
      <c r="C95" s="522"/>
      <c r="D95" s="716"/>
      <c r="E95" s="716"/>
      <c r="F95" s="716"/>
      <c r="G95" s="716"/>
      <c r="H95" s="716"/>
      <c r="I95" s="727"/>
    </row>
    <row r="96" spans="1:9" s="492" customFormat="1" ht="15" customHeight="1" x14ac:dyDescent="0.25">
      <c r="A96" s="821"/>
      <c r="B96" s="953" t="str">
        <f t="shared" si="0"/>
        <v>Q3</v>
      </c>
      <c r="C96" s="522"/>
      <c r="D96" s="716"/>
      <c r="E96" s="716"/>
      <c r="F96" s="716"/>
      <c r="G96" s="716"/>
      <c r="H96" s="716"/>
      <c r="I96" s="727"/>
    </row>
    <row r="97" spans="1:9" s="492" customFormat="1" ht="15" customHeight="1" x14ac:dyDescent="0.25">
      <c r="A97" s="821"/>
      <c r="B97" s="953" t="str">
        <f t="shared" si="0"/>
        <v>Q4</v>
      </c>
      <c r="C97" s="522"/>
      <c r="D97" s="716"/>
      <c r="E97" s="716"/>
      <c r="F97" s="716"/>
      <c r="G97" s="716"/>
      <c r="H97" s="716"/>
      <c r="I97" s="727"/>
    </row>
    <row r="98" spans="1:9" s="492" customFormat="1" ht="15" customHeight="1" x14ac:dyDescent="0.25">
      <c r="A98" s="821"/>
      <c r="B98" s="953" t="str">
        <f t="shared" si="0"/>
        <v>Q5</v>
      </c>
      <c r="C98" s="522"/>
      <c r="D98" s="716"/>
      <c r="E98" s="716"/>
      <c r="F98" s="716"/>
      <c r="G98" s="716"/>
      <c r="H98" s="716"/>
      <c r="I98" s="727"/>
    </row>
    <row r="99" spans="1:9" s="492" customFormat="1" ht="15" customHeight="1" x14ac:dyDescent="0.25">
      <c r="A99" s="821"/>
      <c r="B99" s="953" t="str">
        <f t="shared" si="0"/>
        <v>Q6</v>
      </c>
      <c r="C99" s="522"/>
      <c r="D99" s="716"/>
      <c r="E99" s="716"/>
      <c r="F99" s="716"/>
      <c r="G99" s="716"/>
      <c r="H99" s="716"/>
      <c r="I99" s="727"/>
    </row>
    <row r="100" spans="1:9" s="492" customFormat="1" ht="15" customHeight="1" x14ac:dyDescent="0.25">
      <c r="A100" s="821"/>
      <c r="B100" s="953" t="str">
        <f t="shared" si="0"/>
        <v>Q7</v>
      </c>
      <c r="C100" s="522"/>
      <c r="D100" s="716"/>
      <c r="E100" s="716"/>
      <c r="F100" s="716"/>
      <c r="G100" s="716"/>
      <c r="H100" s="716"/>
      <c r="I100" s="727"/>
    </row>
    <row r="101" spans="1:9" s="492" customFormat="1" ht="15" customHeight="1" x14ac:dyDescent="0.25">
      <c r="A101" s="821"/>
      <c r="B101" s="953" t="str">
        <f t="shared" si="0"/>
        <v>Q8</v>
      </c>
      <c r="C101" s="522"/>
      <c r="D101" s="716"/>
      <c r="E101" s="716"/>
      <c r="F101" s="716"/>
      <c r="G101" s="716"/>
      <c r="H101" s="716"/>
      <c r="I101" s="727"/>
    </row>
    <row r="102" spans="1:9" s="492" customFormat="1" ht="15" customHeight="1" x14ac:dyDescent="0.25">
      <c r="A102" s="821"/>
      <c r="B102" s="953" t="str">
        <f t="shared" si="0"/>
        <v>Q9</v>
      </c>
      <c r="C102" s="522"/>
      <c r="D102" s="716"/>
      <c r="E102" s="716"/>
      <c r="F102" s="716"/>
      <c r="G102" s="716"/>
      <c r="H102" s="716"/>
      <c r="I102" s="727"/>
    </row>
    <row r="103" spans="1:9" s="492" customFormat="1" ht="15" customHeight="1" x14ac:dyDescent="0.25">
      <c r="A103" s="821"/>
      <c r="B103" s="953" t="str">
        <f t="shared" si="0"/>
        <v>Q10</v>
      </c>
      <c r="C103" s="522"/>
      <c r="D103" s="716"/>
      <c r="E103" s="716"/>
      <c r="F103" s="716"/>
      <c r="G103" s="716"/>
      <c r="H103" s="716"/>
      <c r="I103" s="727"/>
    </row>
    <row r="104" spans="1:9" s="492" customFormat="1" ht="15" customHeight="1" x14ac:dyDescent="0.25">
      <c r="A104" s="821"/>
      <c r="B104" s="953" t="str">
        <f t="shared" si="0"/>
        <v>Q11</v>
      </c>
      <c r="C104" s="522"/>
      <c r="D104" s="716"/>
      <c r="E104" s="716"/>
      <c r="F104" s="716"/>
      <c r="G104" s="716"/>
      <c r="H104" s="716"/>
      <c r="I104" s="727"/>
    </row>
    <row r="105" spans="1:9" s="492" customFormat="1" ht="15" customHeight="1" x14ac:dyDescent="0.25">
      <c r="A105" s="821"/>
      <c r="B105" s="953" t="str">
        <f t="shared" si="0"/>
        <v>Q12</v>
      </c>
      <c r="C105" s="522"/>
      <c r="D105" s="716"/>
      <c r="E105" s="716"/>
      <c r="F105" s="716"/>
      <c r="G105" s="716"/>
      <c r="H105" s="716"/>
      <c r="I105" s="727"/>
    </row>
    <row r="106" spans="1:9" s="492" customFormat="1" ht="15" customHeight="1" x14ac:dyDescent="0.25">
      <c r="A106" s="821"/>
      <c r="B106" s="953" t="str">
        <f t="shared" si="0"/>
        <v>Q13</v>
      </c>
      <c r="C106" s="522"/>
      <c r="D106" s="716"/>
      <c r="E106" s="716"/>
      <c r="F106" s="716"/>
      <c r="G106" s="716"/>
      <c r="H106" s="716"/>
      <c r="I106" s="727"/>
    </row>
    <row r="107" spans="1:9" s="492" customFormat="1" ht="15" customHeight="1" x14ac:dyDescent="0.25">
      <c r="A107" s="821"/>
      <c r="B107" s="953" t="str">
        <f t="shared" si="0"/>
        <v>Q14</v>
      </c>
      <c r="C107" s="522"/>
      <c r="D107" s="716"/>
      <c r="E107" s="716"/>
      <c r="F107" s="716"/>
      <c r="G107" s="716"/>
      <c r="H107" s="716"/>
      <c r="I107" s="727"/>
    </row>
    <row r="108" spans="1:9" s="492" customFormat="1" ht="15" customHeight="1" x14ac:dyDescent="0.25">
      <c r="A108" s="821"/>
      <c r="B108" s="953" t="str">
        <f t="shared" si="0"/>
        <v>Q15</v>
      </c>
      <c r="C108" s="522"/>
      <c r="D108" s="716"/>
      <c r="E108" s="716"/>
      <c r="F108" s="716"/>
      <c r="G108" s="716"/>
      <c r="H108" s="716"/>
      <c r="I108" s="727"/>
    </row>
    <row r="109" spans="1:9" s="492" customFormat="1" ht="15" customHeight="1" x14ac:dyDescent="0.25">
      <c r="A109" s="821"/>
      <c r="B109" s="953" t="str">
        <f t="shared" si="0"/>
        <v>Q16</v>
      </c>
      <c r="C109" s="522"/>
      <c r="D109" s="716"/>
      <c r="E109" s="716"/>
      <c r="F109" s="716"/>
      <c r="G109" s="716"/>
      <c r="H109" s="716"/>
      <c r="I109" s="727"/>
    </row>
    <row r="110" spans="1:9" s="492" customFormat="1" ht="15" customHeight="1" x14ac:dyDescent="0.25">
      <c r="A110" s="821"/>
      <c r="B110" s="953" t="str">
        <f t="shared" si="0"/>
        <v>Q17</v>
      </c>
      <c r="C110" s="522"/>
      <c r="D110" s="716"/>
      <c r="E110" s="716"/>
      <c r="F110" s="716"/>
      <c r="G110" s="716"/>
      <c r="H110" s="716"/>
      <c r="I110" s="727"/>
    </row>
    <row r="111" spans="1:9" s="492" customFormat="1" ht="15" customHeight="1" x14ac:dyDescent="0.25">
      <c r="A111" s="821"/>
      <c r="B111" s="953" t="str">
        <f t="shared" si="0"/>
        <v>Q18</v>
      </c>
      <c r="C111" s="522"/>
      <c r="D111" s="716"/>
      <c r="E111" s="716"/>
      <c r="F111" s="716"/>
      <c r="G111" s="716"/>
      <c r="H111" s="716"/>
      <c r="I111" s="727"/>
    </row>
    <row r="112" spans="1:9" s="492" customFormat="1" ht="15" customHeight="1" x14ac:dyDescent="0.25">
      <c r="A112" s="821"/>
      <c r="B112" s="953" t="str">
        <f t="shared" si="0"/>
        <v>Q19</v>
      </c>
      <c r="C112" s="522"/>
      <c r="D112" s="716"/>
      <c r="E112" s="716"/>
      <c r="F112" s="716"/>
      <c r="G112" s="716"/>
      <c r="H112" s="716"/>
      <c r="I112" s="727"/>
    </row>
    <row r="113" spans="1:9" s="492" customFormat="1" ht="15" customHeight="1" x14ac:dyDescent="0.25">
      <c r="A113" s="821"/>
      <c r="B113" s="953" t="str">
        <f t="shared" si="0"/>
        <v>Q20</v>
      </c>
      <c r="C113" s="522"/>
      <c r="D113" s="716"/>
      <c r="E113" s="716"/>
      <c r="F113" s="716"/>
      <c r="G113" s="716"/>
      <c r="H113" s="716"/>
      <c r="I113" s="727"/>
    </row>
    <row r="114" spans="1:9" s="492" customFormat="1" ht="15" customHeight="1" x14ac:dyDescent="0.25">
      <c r="A114" s="821"/>
      <c r="B114" s="953" t="str">
        <f t="shared" si="0"/>
        <v>Q21</v>
      </c>
      <c r="C114" s="522"/>
      <c r="D114" s="716"/>
      <c r="E114" s="716"/>
      <c r="F114" s="716"/>
      <c r="G114" s="716"/>
      <c r="H114" s="716"/>
      <c r="I114" s="727"/>
    </row>
    <row r="115" spans="1:9" s="492" customFormat="1" ht="15" customHeight="1" x14ac:dyDescent="0.25">
      <c r="A115" s="821"/>
      <c r="B115" s="953" t="str">
        <f t="shared" si="0"/>
        <v>Q22</v>
      </c>
      <c r="C115" s="522"/>
      <c r="D115" s="716"/>
      <c r="E115" s="716"/>
      <c r="F115" s="716"/>
      <c r="G115" s="716"/>
      <c r="H115" s="716"/>
      <c r="I115" s="727"/>
    </row>
    <row r="116" spans="1:9" s="492" customFormat="1" ht="15" customHeight="1" x14ac:dyDescent="0.25">
      <c r="A116" s="821"/>
      <c r="B116" s="953" t="str">
        <f t="shared" si="0"/>
        <v>Q23</v>
      </c>
      <c r="C116" s="522"/>
      <c r="D116" s="716"/>
      <c r="E116" s="716"/>
      <c r="F116" s="716"/>
      <c r="G116" s="716"/>
      <c r="H116" s="716"/>
      <c r="I116" s="727"/>
    </row>
    <row r="117" spans="1:9" s="492" customFormat="1" ht="15" customHeight="1" x14ac:dyDescent="0.25">
      <c r="A117" s="821"/>
      <c r="B117" s="953" t="str">
        <f t="shared" si="0"/>
        <v>Q24</v>
      </c>
      <c r="C117" s="522"/>
      <c r="D117" s="716"/>
      <c r="E117" s="716"/>
      <c r="F117" s="716"/>
      <c r="G117" s="716"/>
      <c r="H117" s="716"/>
      <c r="I117" s="727"/>
    </row>
    <row r="118" spans="1:9" s="492" customFormat="1" ht="15" customHeight="1" x14ac:dyDescent="0.25">
      <c r="A118" s="821"/>
      <c r="B118" s="953" t="str">
        <f t="shared" si="0"/>
        <v>Q25</v>
      </c>
      <c r="C118" s="522"/>
      <c r="D118" s="716"/>
      <c r="E118" s="716"/>
      <c r="F118" s="716"/>
      <c r="G118" s="716"/>
      <c r="H118" s="716"/>
      <c r="I118" s="727"/>
    </row>
    <row r="119" spans="1:9" s="492" customFormat="1" ht="15" customHeight="1" x14ac:dyDescent="0.25">
      <c r="A119" s="821"/>
      <c r="B119" s="953" t="str">
        <f t="shared" si="0"/>
        <v>Q26</v>
      </c>
      <c r="C119" s="522"/>
      <c r="D119" s="716"/>
      <c r="E119" s="716"/>
      <c r="F119" s="716"/>
      <c r="G119" s="716"/>
      <c r="H119" s="716"/>
      <c r="I119" s="727"/>
    </row>
    <row r="120" spans="1:9" s="492" customFormat="1" ht="15" customHeight="1" x14ac:dyDescent="0.25">
      <c r="A120" s="821"/>
      <c r="B120" s="953" t="str">
        <f t="shared" si="0"/>
        <v>Q27</v>
      </c>
      <c r="C120" s="522"/>
      <c r="D120" s="716"/>
      <c r="E120" s="716"/>
      <c r="F120" s="716"/>
      <c r="G120" s="716"/>
      <c r="H120" s="716"/>
      <c r="I120" s="727"/>
    </row>
    <row r="121" spans="1:9" s="492" customFormat="1" ht="15" customHeight="1" x14ac:dyDescent="0.25">
      <c r="A121" s="821"/>
      <c r="B121" s="953" t="str">
        <f t="shared" si="0"/>
        <v>Q28</v>
      </c>
      <c r="C121" s="522"/>
      <c r="D121" s="716"/>
      <c r="E121" s="716"/>
      <c r="F121" s="716"/>
      <c r="G121" s="716"/>
      <c r="H121" s="716"/>
      <c r="I121" s="727"/>
    </row>
    <row r="122" spans="1:9" s="492" customFormat="1" ht="15" customHeight="1" x14ac:dyDescent="0.25">
      <c r="A122" s="821"/>
      <c r="B122" s="953" t="str">
        <f t="shared" si="0"/>
        <v>Q29</v>
      </c>
      <c r="C122" s="522"/>
      <c r="D122" s="716"/>
      <c r="E122" s="716"/>
      <c r="F122" s="716"/>
      <c r="G122" s="716"/>
      <c r="H122" s="716"/>
      <c r="I122" s="727"/>
    </row>
    <row r="123" spans="1:9" s="492" customFormat="1" ht="15" customHeight="1" x14ac:dyDescent="0.25">
      <c r="A123" s="821"/>
      <c r="B123" s="953" t="str">
        <f t="shared" si="0"/>
        <v>Q30</v>
      </c>
      <c r="C123" s="522"/>
      <c r="D123" s="716"/>
      <c r="E123" s="716"/>
      <c r="F123" s="716"/>
      <c r="G123" s="716"/>
      <c r="H123" s="716"/>
      <c r="I123" s="727"/>
    </row>
    <row r="124" spans="1:9" s="492" customFormat="1" ht="15" customHeight="1" x14ac:dyDescent="0.25">
      <c r="A124" s="821"/>
      <c r="B124" s="953" t="str">
        <f t="shared" si="0"/>
        <v>Q31</v>
      </c>
      <c r="C124" s="522"/>
      <c r="D124" s="716"/>
      <c r="E124" s="716"/>
      <c r="F124" s="716"/>
      <c r="G124" s="716"/>
      <c r="H124" s="716"/>
      <c r="I124" s="727"/>
    </row>
    <row r="125" spans="1:9" s="492" customFormat="1" ht="15" customHeight="1" x14ac:dyDescent="0.25">
      <c r="A125" s="821"/>
      <c r="B125" s="953" t="str">
        <f t="shared" si="0"/>
        <v>Q32</v>
      </c>
      <c r="C125" s="522"/>
      <c r="D125" s="716"/>
      <c r="E125" s="716"/>
      <c r="F125" s="716"/>
      <c r="G125" s="716"/>
      <c r="H125" s="716"/>
      <c r="I125" s="727"/>
    </row>
    <row r="126" spans="1:9" s="492" customFormat="1" ht="15" customHeight="1" x14ac:dyDescent="0.25">
      <c r="A126" s="821"/>
      <c r="B126" s="953" t="str">
        <f t="shared" ref="B126:B157" si="1">"Q" &amp; (ROW(B126)-ROW(B$93))</f>
        <v>Q33</v>
      </c>
      <c r="C126" s="522"/>
      <c r="D126" s="716"/>
      <c r="E126" s="716"/>
      <c r="F126" s="716"/>
      <c r="G126" s="716"/>
      <c r="H126" s="716"/>
      <c r="I126" s="727"/>
    </row>
    <row r="127" spans="1:9" s="492" customFormat="1" ht="15" customHeight="1" x14ac:dyDescent="0.25">
      <c r="A127" s="821"/>
      <c r="B127" s="953" t="str">
        <f t="shared" si="1"/>
        <v>Q34</v>
      </c>
      <c r="C127" s="522"/>
      <c r="D127" s="716"/>
      <c r="E127" s="716"/>
      <c r="F127" s="716"/>
      <c r="G127" s="716"/>
      <c r="H127" s="716"/>
      <c r="I127" s="727"/>
    </row>
    <row r="128" spans="1:9" s="492" customFormat="1" ht="15" customHeight="1" x14ac:dyDescent="0.25">
      <c r="A128" s="821"/>
      <c r="B128" s="953" t="str">
        <f t="shared" si="1"/>
        <v>Q35</v>
      </c>
      <c r="C128" s="522"/>
      <c r="D128" s="716"/>
      <c r="E128" s="716"/>
      <c r="F128" s="716"/>
      <c r="G128" s="716"/>
      <c r="H128" s="716"/>
      <c r="I128" s="727"/>
    </row>
    <row r="129" spans="1:9" s="492" customFormat="1" ht="15" customHeight="1" x14ac:dyDescent="0.25">
      <c r="A129" s="821"/>
      <c r="B129" s="953" t="str">
        <f t="shared" si="1"/>
        <v>Q36</v>
      </c>
      <c r="C129" s="522"/>
      <c r="D129" s="716"/>
      <c r="E129" s="716"/>
      <c r="F129" s="716"/>
      <c r="G129" s="716"/>
      <c r="H129" s="716"/>
      <c r="I129" s="727"/>
    </row>
    <row r="130" spans="1:9" s="492" customFormat="1" ht="15" customHeight="1" x14ac:dyDescent="0.25">
      <c r="A130" s="821"/>
      <c r="B130" s="953" t="str">
        <f t="shared" si="1"/>
        <v>Q37</v>
      </c>
      <c r="C130" s="522"/>
      <c r="D130" s="716"/>
      <c r="E130" s="716"/>
      <c r="F130" s="716"/>
      <c r="G130" s="716"/>
      <c r="H130" s="716"/>
      <c r="I130" s="727"/>
    </row>
    <row r="131" spans="1:9" s="492" customFormat="1" ht="15" customHeight="1" x14ac:dyDescent="0.25">
      <c r="A131" s="821"/>
      <c r="B131" s="953" t="str">
        <f t="shared" si="1"/>
        <v>Q38</v>
      </c>
      <c r="C131" s="522"/>
      <c r="D131" s="716"/>
      <c r="E131" s="716"/>
      <c r="F131" s="716"/>
      <c r="G131" s="716"/>
      <c r="H131" s="716"/>
      <c r="I131" s="727"/>
    </row>
    <row r="132" spans="1:9" s="492" customFormat="1" ht="15" customHeight="1" x14ac:dyDescent="0.25">
      <c r="A132" s="821"/>
      <c r="B132" s="953" t="str">
        <f t="shared" si="1"/>
        <v>Q39</v>
      </c>
      <c r="C132" s="522"/>
      <c r="D132" s="716"/>
      <c r="E132" s="716"/>
      <c r="F132" s="716"/>
      <c r="G132" s="716"/>
      <c r="H132" s="716"/>
      <c r="I132" s="727"/>
    </row>
    <row r="133" spans="1:9" s="492" customFormat="1" ht="15" customHeight="1" x14ac:dyDescent="0.25">
      <c r="A133" s="821"/>
      <c r="B133" s="953" t="str">
        <f t="shared" si="1"/>
        <v>Q40</v>
      </c>
      <c r="C133" s="522"/>
      <c r="D133" s="716"/>
      <c r="E133" s="716"/>
      <c r="F133" s="716"/>
      <c r="G133" s="716"/>
      <c r="H133" s="716"/>
      <c r="I133" s="727"/>
    </row>
    <row r="134" spans="1:9" s="492" customFormat="1" ht="15" customHeight="1" x14ac:dyDescent="0.25">
      <c r="A134" s="821"/>
      <c r="B134" s="953" t="str">
        <f t="shared" si="1"/>
        <v>Q41</v>
      </c>
      <c r="C134" s="522"/>
      <c r="D134" s="716"/>
      <c r="E134" s="716"/>
      <c r="F134" s="716"/>
      <c r="G134" s="716"/>
      <c r="H134" s="716"/>
      <c r="I134" s="727"/>
    </row>
    <row r="135" spans="1:9" s="492" customFormat="1" ht="15" customHeight="1" x14ac:dyDescent="0.25">
      <c r="A135" s="821"/>
      <c r="B135" s="953" t="str">
        <f t="shared" si="1"/>
        <v>Q42</v>
      </c>
      <c r="C135" s="522"/>
      <c r="D135" s="716"/>
      <c r="E135" s="716"/>
      <c r="F135" s="716"/>
      <c r="G135" s="716"/>
      <c r="H135" s="716"/>
      <c r="I135" s="727"/>
    </row>
    <row r="136" spans="1:9" s="492" customFormat="1" ht="15" customHeight="1" x14ac:dyDescent="0.25">
      <c r="A136" s="821"/>
      <c r="B136" s="953" t="str">
        <f t="shared" si="1"/>
        <v>Q43</v>
      </c>
      <c r="C136" s="522"/>
      <c r="D136" s="716"/>
      <c r="E136" s="716"/>
      <c r="F136" s="716"/>
      <c r="G136" s="716"/>
      <c r="H136" s="716"/>
      <c r="I136" s="727"/>
    </row>
    <row r="137" spans="1:9" s="492" customFormat="1" ht="15" customHeight="1" x14ac:dyDescent="0.25">
      <c r="A137" s="821"/>
      <c r="B137" s="953" t="str">
        <f t="shared" si="1"/>
        <v>Q44</v>
      </c>
      <c r="C137" s="522"/>
      <c r="D137" s="716"/>
      <c r="E137" s="716"/>
      <c r="F137" s="716"/>
      <c r="G137" s="716"/>
      <c r="H137" s="716"/>
      <c r="I137" s="727"/>
    </row>
    <row r="138" spans="1:9" s="492" customFormat="1" ht="15" customHeight="1" x14ac:dyDescent="0.25">
      <c r="A138" s="821"/>
      <c r="B138" s="953" t="str">
        <f t="shared" si="1"/>
        <v>Q45</v>
      </c>
      <c r="C138" s="522"/>
      <c r="D138" s="716"/>
      <c r="E138" s="716"/>
      <c r="F138" s="716"/>
      <c r="G138" s="716"/>
      <c r="H138" s="716"/>
      <c r="I138" s="727"/>
    </row>
    <row r="139" spans="1:9" s="492" customFormat="1" ht="15" customHeight="1" x14ac:dyDescent="0.25">
      <c r="A139" s="821"/>
      <c r="B139" s="953" t="str">
        <f t="shared" si="1"/>
        <v>Q46</v>
      </c>
      <c r="C139" s="522"/>
      <c r="D139" s="716"/>
      <c r="E139" s="716"/>
      <c r="F139" s="716"/>
      <c r="G139" s="716"/>
      <c r="H139" s="716"/>
      <c r="I139" s="727"/>
    </row>
    <row r="140" spans="1:9" s="492" customFormat="1" ht="15" customHeight="1" x14ac:dyDescent="0.25">
      <c r="A140" s="821"/>
      <c r="B140" s="953" t="str">
        <f t="shared" si="1"/>
        <v>Q47</v>
      </c>
      <c r="C140" s="522"/>
      <c r="D140" s="716"/>
      <c r="E140" s="716"/>
      <c r="F140" s="716"/>
      <c r="G140" s="716"/>
      <c r="H140" s="716"/>
      <c r="I140" s="727"/>
    </row>
    <row r="141" spans="1:9" s="492" customFormat="1" ht="15" customHeight="1" x14ac:dyDescent="0.25">
      <c r="A141" s="821"/>
      <c r="B141" s="953" t="str">
        <f t="shared" si="1"/>
        <v>Q48</v>
      </c>
      <c r="C141" s="522"/>
      <c r="D141" s="716"/>
      <c r="E141" s="716"/>
      <c r="F141" s="716"/>
      <c r="G141" s="716"/>
      <c r="H141" s="716"/>
      <c r="I141" s="727"/>
    </row>
    <row r="142" spans="1:9" s="492" customFormat="1" ht="15" customHeight="1" x14ac:dyDescent="0.25">
      <c r="A142" s="821"/>
      <c r="B142" s="953" t="str">
        <f t="shared" si="1"/>
        <v>Q49</v>
      </c>
      <c r="C142" s="522"/>
      <c r="D142" s="716"/>
      <c r="E142" s="716"/>
      <c r="F142" s="716"/>
      <c r="G142" s="716"/>
      <c r="H142" s="716"/>
      <c r="I142" s="727"/>
    </row>
    <row r="143" spans="1:9" s="492" customFormat="1" ht="15" customHeight="1" x14ac:dyDescent="0.25">
      <c r="A143" s="821"/>
      <c r="B143" s="953" t="str">
        <f t="shared" si="1"/>
        <v>Q50</v>
      </c>
      <c r="C143" s="522"/>
      <c r="D143" s="716"/>
      <c r="E143" s="716"/>
      <c r="F143" s="716"/>
      <c r="G143" s="716"/>
      <c r="H143" s="716"/>
      <c r="I143" s="727"/>
    </row>
    <row r="144" spans="1:9" s="492" customFormat="1" ht="15" customHeight="1" x14ac:dyDescent="0.25">
      <c r="A144" s="821"/>
      <c r="B144" s="953" t="str">
        <f t="shared" si="1"/>
        <v>Q51</v>
      </c>
      <c r="C144" s="522"/>
      <c r="D144" s="716"/>
      <c r="E144" s="716"/>
      <c r="F144" s="716"/>
      <c r="G144" s="716"/>
      <c r="H144" s="716"/>
      <c r="I144" s="727"/>
    </row>
    <row r="145" spans="1:9" s="492" customFormat="1" ht="15" customHeight="1" x14ac:dyDescent="0.25">
      <c r="A145" s="821"/>
      <c r="B145" s="953" t="str">
        <f t="shared" si="1"/>
        <v>Q52</v>
      </c>
      <c r="C145" s="522"/>
      <c r="D145" s="716"/>
      <c r="E145" s="716"/>
      <c r="F145" s="716"/>
      <c r="G145" s="716"/>
      <c r="H145" s="716"/>
      <c r="I145" s="727"/>
    </row>
    <row r="146" spans="1:9" s="492" customFormat="1" ht="15" customHeight="1" x14ac:dyDescent="0.25">
      <c r="A146" s="821"/>
      <c r="B146" s="953" t="str">
        <f t="shared" si="1"/>
        <v>Q53</v>
      </c>
      <c r="C146" s="522"/>
      <c r="D146" s="716"/>
      <c r="E146" s="716"/>
      <c r="F146" s="716"/>
      <c r="G146" s="716"/>
      <c r="H146" s="716"/>
      <c r="I146" s="727"/>
    </row>
    <row r="147" spans="1:9" s="492" customFormat="1" ht="15" customHeight="1" x14ac:dyDescent="0.25">
      <c r="A147" s="821"/>
      <c r="B147" s="953" t="str">
        <f t="shared" si="1"/>
        <v>Q54</v>
      </c>
      <c r="C147" s="522"/>
      <c r="D147" s="716"/>
      <c r="E147" s="716"/>
      <c r="F147" s="716"/>
      <c r="G147" s="716"/>
      <c r="H147" s="716"/>
      <c r="I147" s="727"/>
    </row>
    <row r="148" spans="1:9" s="492" customFormat="1" ht="15" customHeight="1" x14ac:dyDescent="0.25">
      <c r="A148" s="821"/>
      <c r="B148" s="953" t="str">
        <f t="shared" si="1"/>
        <v>Q55</v>
      </c>
      <c r="C148" s="522"/>
      <c r="D148" s="716"/>
      <c r="E148" s="716"/>
      <c r="F148" s="716"/>
      <c r="G148" s="716"/>
      <c r="H148" s="716"/>
      <c r="I148" s="727"/>
    </row>
    <row r="149" spans="1:9" s="492" customFormat="1" ht="15" customHeight="1" x14ac:dyDescent="0.25">
      <c r="A149" s="821"/>
      <c r="B149" s="953" t="str">
        <f t="shared" si="1"/>
        <v>Q56</v>
      </c>
      <c r="C149" s="522"/>
      <c r="D149" s="716"/>
      <c r="E149" s="716"/>
      <c r="F149" s="716"/>
      <c r="G149" s="716"/>
      <c r="H149" s="716"/>
      <c r="I149" s="727"/>
    </row>
    <row r="150" spans="1:9" s="492" customFormat="1" ht="15" customHeight="1" x14ac:dyDescent="0.25">
      <c r="A150" s="821"/>
      <c r="B150" s="953" t="str">
        <f t="shared" si="1"/>
        <v>Q57</v>
      </c>
      <c r="C150" s="522"/>
      <c r="D150" s="716"/>
      <c r="E150" s="716"/>
      <c r="F150" s="716"/>
      <c r="G150" s="716"/>
      <c r="H150" s="716"/>
      <c r="I150" s="727"/>
    </row>
    <row r="151" spans="1:9" s="492" customFormat="1" ht="15" customHeight="1" x14ac:dyDescent="0.25">
      <c r="A151" s="821"/>
      <c r="B151" s="953" t="str">
        <f t="shared" si="1"/>
        <v>Q58</v>
      </c>
      <c r="C151" s="522"/>
      <c r="D151" s="716"/>
      <c r="E151" s="716"/>
      <c r="F151" s="716"/>
      <c r="G151" s="716"/>
      <c r="H151" s="716"/>
      <c r="I151" s="727"/>
    </row>
    <row r="152" spans="1:9" s="492" customFormat="1" ht="15" customHeight="1" x14ac:dyDescent="0.25">
      <c r="A152" s="821"/>
      <c r="B152" s="953" t="str">
        <f t="shared" si="1"/>
        <v>Q59</v>
      </c>
      <c r="C152" s="522"/>
      <c r="D152" s="716"/>
      <c r="E152" s="716"/>
      <c r="F152" s="716"/>
      <c r="G152" s="716"/>
      <c r="H152" s="716"/>
      <c r="I152" s="727"/>
    </row>
    <row r="153" spans="1:9" s="492" customFormat="1" ht="15" customHeight="1" x14ac:dyDescent="0.25">
      <c r="A153" s="821"/>
      <c r="B153" s="953" t="str">
        <f t="shared" si="1"/>
        <v>Q60</v>
      </c>
      <c r="C153" s="522"/>
      <c r="D153" s="716"/>
      <c r="E153" s="716"/>
      <c r="F153" s="716"/>
      <c r="G153" s="716"/>
      <c r="H153" s="716"/>
      <c r="I153" s="727"/>
    </row>
    <row r="154" spans="1:9" s="492" customFormat="1" ht="15" customHeight="1" x14ac:dyDescent="0.25">
      <c r="A154" s="821"/>
      <c r="B154" s="953" t="str">
        <f t="shared" si="1"/>
        <v>Q61</v>
      </c>
      <c r="C154" s="522"/>
      <c r="D154" s="716"/>
      <c r="E154" s="716"/>
      <c r="F154" s="716"/>
      <c r="G154" s="716"/>
      <c r="H154" s="716"/>
      <c r="I154" s="727"/>
    </row>
    <row r="155" spans="1:9" s="492" customFormat="1" ht="15" customHeight="1" x14ac:dyDescent="0.25">
      <c r="A155" s="821"/>
      <c r="B155" s="953" t="str">
        <f t="shared" si="1"/>
        <v>Q62</v>
      </c>
      <c r="C155" s="522"/>
      <c r="D155" s="716"/>
      <c r="E155" s="716"/>
      <c r="F155" s="716"/>
      <c r="G155" s="716"/>
      <c r="H155" s="716"/>
      <c r="I155" s="727"/>
    </row>
    <row r="156" spans="1:9" s="492" customFormat="1" ht="15" customHeight="1" x14ac:dyDescent="0.25">
      <c r="A156" s="821"/>
      <c r="B156" s="953" t="str">
        <f t="shared" si="1"/>
        <v>Q63</v>
      </c>
      <c r="C156" s="522"/>
      <c r="D156" s="716"/>
      <c r="E156" s="716"/>
      <c r="F156" s="716"/>
      <c r="G156" s="716"/>
      <c r="H156" s="716"/>
      <c r="I156" s="727"/>
    </row>
    <row r="157" spans="1:9" s="492" customFormat="1" ht="15" customHeight="1" x14ac:dyDescent="0.25">
      <c r="A157" s="821"/>
      <c r="B157" s="953" t="str">
        <f t="shared" si="1"/>
        <v>Q64</v>
      </c>
      <c r="C157" s="522"/>
      <c r="D157" s="716"/>
      <c r="E157" s="716"/>
      <c r="F157" s="716"/>
      <c r="G157" s="716"/>
      <c r="H157" s="716"/>
      <c r="I157" s="727"/>
    </row>
    <row r="158" spans="1:9" s="492" customFormat="1" ht="15" customHeight="1" x14ac:dyDescent="0.25">
      <c r="A158" s="821"/>
      <c r="B158" s="953" t="str">
        <f t="shared" ref="B158:B193" si="2">"Q" &amp; (ROW(B158)-ROW(B$93))</f>
        <v>Q65</v>
      </c>
      <c r="C158" s="522"/>
      <c r="D158" s="716"/>
      <c r="E158" s="716"/>
      <c r="F158" s="716"/>
      <c r="G158" s="716"/>
      <c r="H158" s="716"/>
      <c r="I158" s="727"/>
    </row>
    <row r="159" spans="1:9" s="492" customFormat="1" ht="15" customHeight="1" x14ac:dyDescent="0.25">
      <c r="A159" s="821"/>
      <c r="B159" s="953" t="str">
        <f t="shared" si="2"/>
        <v>Q66</v>
      </c>
      <c r="C159" s="522"/>
      <c r="D159" s="716"/>
      <c r="E159" s="716"/>
      <c r="F159" s="716"/>
      <c r="G159" s="716"/>
      <c r="H159" s="716"/>
      <c r="I159" s="727"/>
    </row>
    <row r="160" spans="1:9" s="492" customFormat="1" ht="15" customHeight="1" x14ac:dyDescent="0.25">
      <c r="A160" s="821"/>
      <c r="B160" s="953" t="str">
        <f t="shared" si="2"/>
        <v>Q67</v>
      </c>
      <c r="C160" s="522"/>
      <c r="D160" s="716"/>
      <c r="E160" s="716"/>
      <c r="F160" s="716"/>
      <c r="G160" s="716"/>
      <c r="H160" s="716"/>
      <c r="I160" s="727"/>
    </row>
    <row r="161" spans="1:9" s="492" customFormat="1" ht="15" customHeight="1" x14ac:dyDescent="0.25">
      <c r="A161" s="821"/>
      <c r="B161" s="953" t="str">
        <f t="shared" si="2"/>
        <v>Q68</v>
      </c>
      <c r="C161" s="522"/>
      <c r="D161" s="716"/>
      <c r="E161" s="716"/>
      <c r="F161" s="716"/>
      <c r="G161" s="716"/>
      <c r="H161" s="716"/>
      <c r="I161" s="727"/>
    </row>
    <row r="162" spans="1:9" s="492" customFormat="1" ht="15" customHeight="1" x14ac:dyDescent="0.25">
      <c r="A162" s="821"/>
      <c r="B162" s="953" t="str">
        <f t="shared" si="2"/>
        <v>Q69</v>
      </c>
      <c r="C162" s="522"/>
      <c r="D162" s="716"/>
      <c r="E162" s="716"/>
      <c r="F162" s="716"/>
      <c r="G162" s="716"/>
      <c r="H162" s="716"/>
      <c r="I162" s="727"/>
    </row>
    <row r="163" spans="1:9" s="492" customFormat="1" ht="15" customHeight="1" x14ac:dyDescent="0.25">
      <c r="A163" s="821"/>
      <c r="B163" s="953" t="str">
        <f t="shared" si="2"/>
        <v>Q70</v>
      </c>
      <c r="C163" s="522"/>
      <c r="D163" s="716"/>
      <c r="E163" s="716"/>
      <c r="F163" s="716"/>
      <c r="G163" s="716"/>
      <c r="H163" s="716"/>
      <c r="I163" s="727"/>
    </row>
    <row r="164" spans="1:9" s="492" customFormat="1" ht="15" customHeight="1" x14ac:dyDescent="0.25">
      <c r="A164" s="821"/>
      <c r="B164" s="953" t="str">
        <f t="shared" si="2"/>
        <v>Q71</v>
      </c>
      <c r="C164" s="522"/>
      <c r="D164" s="716"/>
      <c r="E164" s="716"/>
      <c r="F164" s="716"/>
      <c r="G164" s="716"/>
      <c r="H164" s="716"/>
      <c r="I164" s="727"/>
    </row>
    <row r="165" spans="1:9" s="492" customFormat="1" ht="15" customHeight="1" x14ac:dyDescent="0.25">
      <c r="A165" s="821"/>
      <c r="B165" s="953" t="str">
        <f t="shared" si="2"/>
        <v>Q72</v>
      </c>
      <c r="C165" s="522"/>
      <c r="D165" s="716"/>
      <c r="E165" s="716"/>
      <c r="F165" s="716"/>
      <c r="G165" s="716"/>
      <c r="H165" s="716"/>
      <c r="I165" s="727"/>
    </row>
    <row r="166" spans="1:9" s="492" customFormat="1" ht="15" customHeight="1" x14ac:dyDescent="0.25">
      <c r="A166" s="821"/>
      <c r="B166" s="953" t="str">
        <f t="shared" si="2"/>
        <v>Q73</v>
      </c>
      <c r="C166" s="522"/>
      <c r="D166" s="716"/>
      <c r="E166" s="716"/>
      <c r="F166" s="716"/>
      <c r="G166" s="716"/>
      <c r="H166" s="716"/>
      <c r="I166" s="727"/>
    </row>
    <row r="167" spans="1:9" s="492" customFormat="1" ht="15" customHeight="1" x14ac:dyDescent="0.25">
      <c r="A167" s="821"/>
      <c r="B167" s="953" t="str">
        <f t="shared" si="2"/>
        <v>Q74</v>
      </c>
      <c r="C167" s="522"/>
      <c r="D167" s="716"/>
      <c r="E167" s="716"/>
      <c r="F167" s="716"/>
      <c r="G167" s="716"/>
      <c r="H167" s="716"/>
      <c r="I167" s="727"/>
    </row>
    <row r="168" spans="1:9" s="492" customFormat="1" ht="15" customHeight="1" x14ac:dyDescent="0.25">
      <c r="A168" s="821"/>
      <c r="B168" s="953" t="str">
        <f t="shared" si="2"/>
        <v>Q75</v>
      </c>
      <c r="C168" s="522"/>
      <c r="D168" s="716"/>
      <c r="E168" s="716"/>
      <c r="F168" s="716"/>
      <c r="G168" s="716"/>
      <c r="H168" s="716"/>
      <c r="I168" s="727"/>
    </row>
    <row r="169" spans="1:9" s="492" customFormat="1" ht="15" customHeight="1" x14ac:dyDescent="0.25">
      <c r="A169" s="821"/>
      <c r="B169" s="953" t="str">
        <f t="shared" si="2"/>
        <v>Q76</v>
      </c>
      <c r="C169" s="522"/>
      <c r="D169" s="716"/>
      <c r="E169" s="716"/>
      <c r="F169" s="716"/>
      <c r="G169" s="716"/>
      <c r="H169" s="716"/>
      <c r="I169" s="727"/>
    </row>
    <row r="170" spans="1:9" s="492" customFormat="1" ht="15" customHeight="1" x14ac:dyDescent="0.25">
      <c r="A170" s="821"/>
      <c r="B170" s="953" t="str">
        <f t="shared" si="2"/>
        <v>Q77</v>
      </c>
      <c r="C170" s="522"/>
      <c r="D170" s="716"/>
      <c r="E170" s="716"/>
      <c r="F170" s="716"/>
      <c r="G170" s="716"/>
      <c r="H170" s="716"/>
      <c r="I170" s="727"/>
    </row>
    <row r="171" spans="1:9" s="492" customFormat="1" ht="15" customHeight="1" x14ac:dyDescent="0.25">
      <c r="A171" s="821"/>
      <c r="B171" s="953" t="str">
        <f t="shared" si="2"/>
        <v>Q78</v>
      </c>
      <c r="C171" s="522"/>
      <c r="D171" s="716"/>
      <c r="E171" s="716"/>
      <c r="F171" s="716"/>
      <c r="G171" s="716"/>
      <c r="H171" s="716"/>
      <c r="I171" s="727"/>
    </row>
    <row r="172" spans="1:9" s="492" customFormat="1" ht="15" customHeight="1" x14ac:dyDescent="0.25">
      <c r="A172" s="821"/>
      <c r="B172" s="953" t="str">
        <f t="shared" si="2"/>
        <v>Q79</v>
      </c>
      <c r="C172" s="522"/>
      <c r="D172" s="716"/>
      <c r="E172" s="716"/>
      <c r="F172" s="716"/>
      <c r="G172" s="716"/>
      <c r="H172" s="716"/>
      <c r="I172" s="727"/>
    </row>
    <row r="173" spans="1:9" s="492" customFormat="1" ht="15" customHeight="1" x14ac:dyDescent="0.25">
      <c r="A173" s="821"/>
      <c r="B173" s="953" t="str">
        <f t="shared" si="2"/>
        <v>Q80</v>
      </c>
      <c r="C173" s="522"/>
      <c r="D173" s="716"/>
      <c r="E173" s="716"/>
      <c r="F173" s="716"/>
      <c r="G173" s="716"/>
      <c r="H173" s="716"/>
      <c r="I173" s="727"/>
    </row>
    <row r="174" spans="1:9" s="492" customFormat="1" ht="15" customHeight="1" x14ac:dyDescent="0.25">
      <c r="A174" s="821"/>
      <c r="B174" s="953" t="str">
        <f t="shared" si="2"/>
        <v>Q81</v>
      </c>
      <c r="C174" s="522"/>
      <c r="D174" s="716"/>
      <c r="E174" s="716"/>
      <c r="F174" s="716"/>
      <c r="G174" s="716"/>
      <c r="H174" s="716"/>
      <c r="I174" s="727"/>
    </row>
    <row r="175" spans="1:9" s="492" customFormat="1" ht="15" customHeight="1" x14ac:dyDescent="0.25">
      <c r="A175" s="821"/>
      <c r="B175" s="953" t="str">
        <f t="shared" si="2"/>
        <v>Q82</v>
      </c>
      <c r="C175" s="522"/>
      <c r="D175" s="716"/>
      <c r="E175" s="716"/>
      <c r="F175" s="716"/>
      <c r="G175" s="716"/>
      <c r="H175" s="716"/>
      <c r="I175" s="727"/>
    </row>
    <row r="176" spans="1:9" s="492" customFormat="1" ht="15" customHeight="1" x14ac:dyDescent="0.25">
      <c r="A176" s="821"/>
      <c r="B176" s="953" t="str">
        <f t="shared" si="2"/>
        <v>Q83</v>
      </c>
      <c r="C176" s="522"/>
      <c r="D176" s="716"/>
      <c r="E176" s="716"/>
      <c r="F176" s="716"/>
      <c r="G176" s="716"/>
      <c r="H176" s="716"/>
      <c r="I176" s="727"/>
    </row>
    <row r="177" spans="1:9" s="492" customFormat="1" ht="15" customHeight="1" x14ac:dyDescent="0.25">
      <c r="A177" s="821"/>
      <c r="B177" s="953" t="str">
        <f t="shared" si="2"/>
        <v>Q84</v>
      </c>
      <c r="C177" s="522"/>
      <c r="D177" s="716"/>
      <c r="E177" s="716"/>
      <c r="F177" s="716"/>
      <c r="G177" s="716"/>
      <c r="H177" s="716"/>
      <c r="I177" s="727"/>
    </row>
    <row r="178" spans="1:9" s="492" customFormat="1" ht="15" customHeight="1" x14ac:dyDescent="0.25">
      <c r="A178" s="821"/>
      <c r="B178" s="953" t="str">
        <f t="shared" si="2"/>
        <v>Q85</v>
      </c>
      <c r="C178" s="522"/>
      <c r="D178" s="716"/>
      <c r="E178" s="716"/>
      <c r="F178" s="716"/>
      <c r="G178" s="716"/>
      <c r="H178" s="716"/>
      <c r="I178" s="727"/>
    </row>
    <row r="179" spans="1:9" s="492" customFormat="1" ht="15" customHeight="1" x14ac:dyDescent="0.25">
      <c r="A179" s="821"/>
      <c r="B179" s="953" t="str">
        <f t="shared" si="2"/>
        <v>Q86</v>
      </c>
      <c r="C179" s="522"/>
      <c r="D179" s="716"/>
      <c r="E179" s="716"/>
      <c r="F179" s="716"/>
      <c r="G179" s="716"/>
      <c r="H179" s="716"/>
      <c r="I179" s="727"/>
    </row>
    <row r="180" spans="1:9" s="492" customFormat="1" ht="15" customHeight="1" x14ac:dyDescent="0.25">
      <c r="A180" s="821"/>
      <c r="B180" s="953" t="str">
        <f t="shared" si="2"/>
        <v>Q87</v>
      </c>
      <c r="C180" s="522"/>
      <c r="D180" s="716"/>
      <c r="E180" s="716"/>
      <c r="F180" s="716"/>
      <c r="G180" s="716"/>
      <c r="H180" s="716"/>
      <c r="I180" s="727"/>
    </row>
    <row r="181" spans="1:9" s="492" customFormat="1" ht="15" customHeight="1" x14ac:dyDescent="0.25">
      <c r="A181" s="821"/>
      <c r="B181" s="953" t="str">
        <f t="shared" si="2"/>
        <v>Q88</v>
      </c>
      <c r="C181" s="522"/>
      <c r="D181" s="716"/>
      <c r="E181" s="716"/>
      <c r="F181" s="716"/>
      <c r="G181" s="716"/>
      <c r="H181" s="716"/>
      <c r="I181" s="727"/>
    </row>
    <row r="182" spans="1:9" s="492" customFormat="1" ht="15" customHeight="1" x14ac:dyDescent="0.25">
      <c r="A182" s="821"/>
      <c r="B182" s="953" t="str">
        <f t="shared" si="2"/>
        <v>Q89</v>
      </c>
      <c r="C182" s="522"/>
      <c r="D182" s="716"/>
      <c r="E182" s="716"/>
      <c r="F182" s="716"/>
      <c r="G182" s="716"/>
      <c r="H182" s="716"/>
      <c r="I182" s="727"/>
    </row>
    <row r="183" spans="1:9" s="492" customFormat="1" ht="15" customHeight="1" x14ac:dyDescent="0.25">
      <c r="A183" s="821"/>
      <c r="B183" s="953" t="str">
        <f t="shared" si="2"/>
        <v>Q90</v>
      </c>
      <c r="C183" s="522"/>
      <c r="D183" s="716"/>
      <c r="E183" s="716"/>
      <c r="F183" s="716"/>
      <c r="G183" s="716"/>
      <c r="H183" s="716"/>
      <c r="I183" s="727"/>
    </row>
    <row r="184" spans="1:9" s="492" customFormat="1" ht="15" customHeight="1" x14ac:dyDescent="0.25">
      <c r="A184" s="821"/>
      <c r="B184" s="953" t="str">
        <f t="shared" si="2"/>
        <v>Q91</v>
      </c>
      <c r="C184" s="522"/>
      <c r="D184" s="716"/>
      <c r="E184" s="716"/>
      <c r="F184" s="716"/>
      <c r="G184" s="716"/>
      <c r="H184" s="716"/>
      <c r="I184" s="727"/>
    </row>
    <row r="185" spans="1:9" s="492" customFormat="1" ht="15" customHeight="1" x14ac:dyDescent="0.25">
      <c r="A185" s="821"/>
      <c r="B185" s="953" t="str">
        <f t="shared" si="2"/>
        <v>Q92</v>
      </c>
      <c r="C185" s="522"/>
      <c r="D185" s="716"/>
      <c r="E185" s="716"/>
      <c r="F185" s="716"/>
      <c r="G185" s="716"/>
      <c r="H185" s="716"/>
      <c r="I185" s="727"/>
    </row>
    <row r="186" spans="1:9" s="492" customFormat="1" ht="15" customHeight="1" x14ac:dyDescent="0.25">
      <c r="A186" s="821"/>
      <c r="B186" s="953" t="str">
        <f t="shared" si="2"/>
        <v>Q93</v>
      </c>
      <c r="C186" s="522"/>
      <c r="D186" s="716"/>
      <c r="E186" s="716"/>
      <c r="F186" s="716"/>
      <c r="G186" s="716"/>
      <c r="H186" s="716"/>
      <c r="I186" s="727"/>
    </row>
    <row r="187" spans="1:9" s="492" customFormat="1" ht="15" customHeight="1" x14ac:dyDescent="0.25">
      <c r="A187" s="821"/>
      <c r="B187" s="953" t="str">
        <f t="shared" si="2"/>
        <v>Q94</v>
      </c>
      <c r="C187" s="522"/>
      <c r="D187" s="716"/>
      <c r="E187" s="716"/>
      <c r="F187" s="716"/>
      <c r="G187" s="716"/>
      <c r="H187" s="716"/>
      <c r="I187" s="727"/>
    </row>
    <row r="188" spans="1:9" s="492" customFormat="1" ht="15" customHeight="1" x14ac:dyDescent="0.25">
      <c r="A188" s="821"/>
      <c r="B188" s="953" t="str">
        <f t="shared" si="2"/>
        <v>Q95</v>
      </c>
      <c r="C188" s="522"/>
      <c r="D188" s="716"/>
      <c r="E188" s="716"/>
      <c r="F188" s="716"/>
      <c r="G188" s="716"/>
      <c r="H188" s="716"/>
      <c r="I188" s="727"/>
    </row>
    <row r="189" spans="1:9" s="492" customFormat="1" ht="15" customHeight="1" x14ac:dyDescent="0.25">
      <c r="A189" s="821"/>
      <c r="B189" s="953" t="str">
        <f t="shared" si="2"/>
        <v>Q96</v>
      </c>
      <c r="C189" s="522"/>
      <c r="D189" s="716"/>
      <c r="E189" s="716"/>
      <c r="F189" s="716"/>
      <c r="G189" s="716"/>
      <c r="H189" s="716"/>
      <c r="I189" s="727"/>
    </row>
    <row r="190" spans="1:9" s="492" customFormat="1" ht="15" customHeight="1" x14ac:dyDescent="0.25">
      <c r="A190" s="821"/>
      <c r="B190" s="953" t="str">
        <f t="shared" si="2"/>
        <v>Q97</v>
      </c>
      <c r="C190" s="522"/>
      <c r="D190" s="716"/>
      <c r="E190" s="716"/>
      <c r="F190" s="716"/>
      <c r="G190" s="716"/>
      <c r="H190" s="716"/>
      <c r="I190" s="727"/>
    </row>
    <row r="191" spans="1:9" s="492" customFormat="1" ht="15" customHeight="1" x14ac:dyDescent="0.25">
      <c r="A191" s="821"/>
      <c r="B191" s="953" t="str">
        <f t="shared" si="2"/>
        <v>Q98</v>
      </c>
      <c r="C191" s="522"/>
      <c r="D191" s="716"/>
      <c r="E191" s="716"/>
      <c r="F191" s="716"/>
      <c r="G191" s="716"/>
      <c r="H191" s="716"/>
      <c r="I191" s="727"/>
    </row>
    <row r="192" spans="1:9" s="492" customFormat="1" ht="15" customHeight="1" x14ac:dyDescent="0.25">
      <c r="A192" s="821"/>
      <c r="B192" s="953" t="str">
        <f t="shared" si="2"/>
        <v>Q99</v>
      </c>
      <c r="C192" s="522"/>
      <c r="D192" s="716"/>
      <c r="E192" s="716"/>
      <c r="F192" s="716"/>
      <c r="G192" s="716"/>
      <c r="H192" s="716"/>
      <c r="I192" s="727"/>
    </row>
    <row r="193" spans="1:9" s="492" customFormat="1" ht="15" customHeight="1" x14ac:dyDescent="0.25">
      <c r="A193" s="821"/>
      <c r="B193" s="954" t="str">
        <f t="shared" si="2"/>
        <v>Q100</v>
      </c>
      <c r="C193" s="523"/>
      <c r="D193" s="716"/>
      <c r="E193" s="716"/>
      <c r="F193" s="716"/>
      <c r="G193" s="716"/>
      <c r="H193" s="716"/>
      <c r="I193" s="727"/>
    </row>
    <row r="194" spans="1:9" s="716" customFormat="1" ht="15" customHeight="1" x14ac:dyDescent="0.25">
      <c r="A194" s="748"/>
      <c r="B194" s="749"/>
      <c r="C194" s="749"/>
      <c r="D194" s="749"/>
      <c r="E194" s="749"/>
      <c r="F194" s="749"/>
      <c r="G194" s="749"/>
      <c r="H194" s="749"/>
      <c r="I194" s="750"/>
    </row>
  </sheetData>
  <mergeCells count="3">
    <mergeCell ref="B82:B83"/>
    <mergeCell ref="C82:E82"/>
    <mergeCell ref="F82:H82"/>
  </mergeCells>
  <conditionalFormatting sqref="C12:C15 C17 C19:C23 C25 C27:C28 C30:C32 C39:C44 C47:C49 C51:C53 C55:C57 C59:C61 C63:C65 C67:C69 C71:C75 C77 D84:D89 G84:G89">
    <cfRule type="cellIs" dxfId="67" priority="6" stopIfTrue="1" operator="lessThan">
      <formula>0</formula>
    </cfRule>
  </conditionalFormatting>
  <conditionalFormatting sqref="C24">
    <cfRule type="cellIs" dxfId="66" priority="4" stopIfTrue="1" operator="equal">
      <formula>"No"</formula>
    </cfRule>
    <cfRule type="cellIs" dxfId="65" priority="5" stopIfTrue="1" operator="equal">
      <formula>"Yes"</formula>
    </cfRule>
  </conditionalFormatting>
  <conditionalFormatting sqref="C26">
    <cfRule type="cellIs" dxfId="64" priority="1" stopIfTrue="1" operator="equal">
      <formula>"No"</formula>
    </cfRule>
    <cfRule type="cellIs" dxfId="63" priority="3" stopIfTrue="1" operator="equal">
      <formula>"Yes"</formula>
    </cfRule>
  </conditionalFormatting>
  <conditionalFormatting sqref="E84:E89 H84:H89">
    <cfRule type="cellIs" dxfId="62" priority="48" stopIfTrue="1" operator="greaterThan">
      <formula>0</formula>
    </cfRule>
  </conditionalFormatting>
  <dataValidations disablePrompts="1" count="1">
    <dataValidation type="list" allowBlank="1" showInputMessage="1" showErrorMessage="1" sqref="C94:C193">
      <formula1>QNumericZ100</formula1>
    </dataValidation>
  </dataValidation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4" manualBreakCount="4">
    <brk id="34" max="8" man="1"/>
    <brk id="79" max="8" man="1"/>
    <brk id="129" max="8" man="1"/>
    <brk id="18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9CCFF"/>
  </sheetPr>
  <dimension ref="A1:IK245"/>
  <sheetViews>
    <sheetView zoomScale="75" zoomScaleNormal="75" zoomScaleSheetLayoutView="50" workbookViewId="0">
      <pane xSplit="5" ySplit="1" topLeftCell="F2" activePane="bottomRight" state="frozen"/>
      <selection pane="topRight"/>
      <selection pane="bottomLeft"/>
      <selection pane="bottomRight"/>
    </sheetView>
  </sheetViews>
  <sheetFormatPr defaultColWidth="0" defaultRowHeight="15" customHeight="1" zeroHeight="1" x14ac:dyDescent="0.25"/>
  <cols>
    <col min="1" max="1" width="1.7109375" style="928" customWidth="1"/>
    <col min="2" max="2" width="8.7109375" style="928" customWidth="1"/>
    <col min="3" max="4" width="12.7109375" style="928" customWidth="1"/>
    <col min="5" max="5" width="24.7109375" style="928" customWidth="1"/>
    <col min="6" max="238" width="16.7109375" style="928" customWidth="1"/>
    <col min="239" max="239" width="1.7109375" style="928" customWidth="1"/>
    <col min="240" max="245" width="0" style="928" hidden="1" customWidth="1"/>
    <col min="246" max="16384" width="16.7109375" style="928" hidden="1"/>
  </cols>
  <sheetData>
    <row r="1" spans="1:239" s="1224" customFormat="1" ht="30" customHeight="1" x14ac:dyDescent="0.55000000000000004">
      <c r="A1" s="723" t="s">
        <v>1524</v>
      </c>
      <c r="B1" s="724"/>
      <c r="C1" s="724"/>
      <c r="D1" s="724"/>
      <c r="E1" s="724"/>
      <c r="F1" s="724"/>
      <c r="G1" s="724"/>
      <c r="H1" s="724"/>
      <c r="I1" s="724"/>
      <c r="J1" s="1511" t="str">
        <f>CONCATENATE("Reporting unit: ", 'General Info'!$C$50, " ", 'General Info'!$C$49)</f>
        <v xml:space="preserve">Reporting unit: 1 </v>
      </c>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IE1" s="1225"/>
    </row>
    <row r="2" spans="1:239" s="1222" customFormat="1" ht="45" customHeight="1" x14ac:dyDescent="0.25">
      <c r="A2" s="780" t="s">
        <v>819</v>
      </c>
      <c r="B2" s="785"/>
      <c r="C2" s="768"/>
      <c r="D2" s="768"/>
      <c r="E2" s="768"/>
      <c r="F2" s="768"/>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1228"/>
      <c r="IE2" s="1226"/>
    </row>
    <row r="3" spans="1:239" s="1222" customFormat="1" ht="15" customHeight="1" x14ac:dyDescent="0.3">
      <c r="A3" s="728"/>
      <c r="B3" s="1796" t="s">
        <v>820</v>
      </c>
      <c r="C3" s="1796"/>
      <c r="D3" s="1796"/>
      <c r="E3" s="1796"/>
      <c r="F3" s="1818" t="s">
        <v>1525</v>
      </c>
      <c r="G3" s="1818"/>
      <c r="H3" s="1818"/>
      <c r="I3" s="1818"/>
      <c r="J3" s="1818"/>
      <c r="K3" s="1818" t="s">
        <v>1525</v>
      </c>
      <c r="L3" s="1818"/>
      <c r="M3" s="1818"/>
      <c r="N3" s="1818"/>
      <c r="O3" s="1818" t="s">
        <v>1525</v>
      </c>
      <c r="P3" s="1818"/>
      <c r="Q3" s="1818"/>
      <c r="R3" s="1818"/>
      <c r="S3" s="1818" t="s">
        <v>1525</v>
      </c>
      <c r="T3" s="1818"/>
      <c r="U3" s="1818"/>
      <c r="V3" s="1818"/>
      <c r="W3" s="1818" t="s">
        <v>1525</v>
      </c>
      <c r="X3" s="1818"/>
      <c r="Y3" s="1818"/>
      <c r="Z3" s="1818"/>
      <c r="AA3" s="1818" t="s">
        <v>1525</v>
      </c>
      <c r="AB3" s="1818"/>
      <c r="AC3" s="1818"/>
      <c r="AD3" s="1818"/>
      <c r="AE3" s="1818" t="s">
        <v>1525</v>
      </c>
      <c r="AF3" s="1818"/>
      <c r="AG3" s="1818"/>
      <c r="AH3" s="1818"/>
      <c r="AI3" s="1818" t="s">
        <v>1525</v>
      </c>
      <c r="AJ3" s="1818"/>
      <c r="AK3" s="1818"/>
      <c r="AL3" s="1818"/>
      <c r="AM3" s="1818" t="s">
        <v>1525</v>
      </c>
      <c r="AN3" s="1818"/>
      <c r="AO3" s="1818"/>
      <c r="AP3" s="1818"/>
      <c r="AQ3" s="1818" t="s">
        <v>1525</v>
      </c>
      <c r="AR3" s="1818"/>
      <c r="AS3" s="1818"/>
      <c r="AT3" s="1818"/>
      <c r="AU3" s="1818" t="s">
        <v>1525</v>
      </c>
      <c r="AV3" s="1818"/>
      <c r="AW3" s="1818"/>
      <c r="AX3" s="1818"/>
      <c r="AY3" s="1818" t="s">
        <v>1525</v>
      </c>
      <c r="AZ3" s="1818"/>
      <c r="BA3" s="1818"/>
      <c r="BB3" s="1818"/>
      <c r="BC3" s="1818" t="s">
        <v>1525</v>
      </c>
      <c r="BD3" s="1818"/>
      <c r="BE3" s="1818"/>
      <c r="BF3" s="1818"/>
      <c r="BG3" s="1818" t="s">
        <v>1525</v>
      </c>
      <c r="BH3" s="1818"/>
      <c r="BI3" s="1818"/>
      <c r="BJ3" s="1818"/>
      <c r="BK3" s="1818" t="s">
        <v>1525</v>
      </c>
      <c r="BL3" s="1818"/>
      <c r="BM3" s="1818"/>
      <c r="BN3" s="1818"/>
      <c r="BO3" s="1818" t="s">
        <v>1525</v>
      </c>
      <c r="BP3" s="1818"/>
      <c r="BQ3" s="1818"/>
      <c r="BR3" s="1818"/>
      <c r="BS3" s="1818" t="s">
        <v>1525</v>
      </c>
      <c r="BT3" s="1818"/>
      <c r="BU3" s="1818"/>
      <c r="BV3" s="1818"/>
      <c r="BW3" s="1818" t="s">
        <v>1525</v>
      </c>
      <c r="BX3" s="1818"/>
      <c r="BY3" s="1818"/>
      <c r="BZ3" s="1818"/>
      <c r="CA3" s="1818" t="s">
        <v>1525</v>
      </c>
      <c r="CB3" s="1818"/>
      <c r="CC3" s="1818"/>
      <c r="CD3" s="1818"/>
      <c r="CE3" s="1818" t="s">
        <v>1525</v>
      </c>
      <c r="CF3" s="1818"/>
      <c r="CG3" s="1818"/>
      <c r="CH3" s="1818"/>
      <c r="CI3" s="1818" t="s">
        <v>1525</v>
      </c>
      <c r="CJ3" s="1818"/>
      <c r="CK3" s="1818"/>
      <c r="CL3" s="1818"/>
      <c r="CM3" s="1818" t="s">
        <v>1525</v>
      </c>
      <c r="CN3" s="1818"/>
      <c r="CO3" s="1818"/>
      <c r="CP3" s="1818"/>
      <c r="CQ3" s="1818" t="s">
        <v>1525</v>
      </c>
      <c r="CR3" s="1818"/>
      <c r="CS3" s="1818"/>
      <c r="CT3" s="1818"/>
      <c r="CU3" s="1818" t="s">
        <v>1525</v>
      </c>
      <c r="CV3" s="1818"/>
      <c r="CW3" s="1818"/>
      <c r="CX3" s="1818"/>
      <c r="CY3" s="1818" t="s">
        <v>1525</v>
      </c>
      <c r="CZ3" s="1818"/>
      <c r="DA3" s="1818"/>
      <c r="DB3" s="1818"/>
      <c r="DC3" s="1818" t="s">
        <v>1525</v>
      </c>
      <c r="DD3" s="1818"/>
      <c r="DE3" s="1818"/>
      <c r="DF3" s="1818"/>
      <c r="DG3" s="1818" t="s">
        <v>1525</v>
      </c>
      <c r="DH3" s="1818"/>
      <c r="DI3" s="1818"/>
      <c r="DJ3" s="1818"/>
      <c r="DK3" s="1818" t="s">
        <v>1525</v>
      </c>
      <c r="DL3" s="1818"/>
      <c r="DM3" s="1818"/>
      <c r="DN3" s="1818"/>
      <c r="DO3" s="1818" t="s">
        <v>1525</v>
      </c>
      <c r="DP3" s="1818"/>
      <c r="DQ3" s="1818"/>
      <c r="DR3" s="1818"/>
      <c r="DS3" s="1818" t="s">
        <v>1525</v>
      </c>
      <c r="DT3" s="1818"/>
      <c r="DU3" s="1818"/>
      <c r="DV3" s="1818"/>
      <c r="DW3" s="1818" t="s">
        <v>1525</v>
      </c>
      <c r="DX3" s="1818"/>
      <c r="DY3" s="1818"/>
      <c r="DZ3" s="1818"/>
      <c r="EA3" s="1818" t="s">
        <v>1525</v>
      </c>
      <c r="EB3" s="1818"/>
      <c r="EC3" s="1818"/>
      <c r="ED3" s="1818"/>
      <c r="EE3" s="1818" t="s">
        <v>1525</v>
      </c>
      <c r="EF3" s="1818"/>
      <c r="EG3" s="1818"/>
      <c r="EH3" s="1818"/>
      <c r="EI3" s="1818" t="s">
        <v>1525</v>
      </c>
      <c r="EJ3" s="1818"/>
      <c r="EK3" s="1818"/>
      <c r="EL3" s="1818"/>
      <c r="EM3" s="1818" t="s">
        <v>1525</v>
      </c>
      <c r="EN3" s="1818"/>
      <c r="EO3" s="1818"/>
      <c r="EP3" s="1818"/>
      <c r="EQ3" s="1818" t="s">
        <v>1525</v>
      </c>
      <c r="ER3" s="1818"/>
      <c r="ES3" s="1818"/>
      <c r="ET3" s="1818"/>
      <c r="EU3" s="1818" t="s">
        <v>1525</v>
      </c>
      <c r="EV3" s="1818"/>
      <c r="EW3" s="1818"/>
      <c r="EX3" s="1818"/>
      <c r="EY3" s="1818" t="s">
        <v>1525</v>
      </c>
      <c r="EZ3" s="1818"/>
      <c r="FA3" s="1818"/>
      <c r="FB3" s="1818"/>
      <c r="FC3" s="1818" t="s">
        <v>1525</v>
      </c>
      <c r="FD3" s="1818"/>
      <c r="FE3" s="1818"/>
      <c r="FF3" s="1818"/>
      <c r="FG3" s="1818" t="s">
        <v>1525</v>
      </c>
      <c r="FH3" s="1818"/>
      <c r="FI3" s="1818"/>
      <c r="FJ3" s="1818"/>
      <c r="FK3" s="1818" t="s">
        <v>1525</v>
      </c>
      <c r="FL3" s="1818"/>
      <c r="FM3" s="1818"/>
      <c r="FN3" s="1818"/>
      <c r="FO3" s="1818" t="s">
        <v>1525</v>
      </c>
      <c r="FP3" s="1818"/>
      <c r="FQ3" s="1818"/>
      <c r="FR3" s="1818"/>
      <c r="FS3" s="1818" t="s">
        <v>1525</v>
      </c>
      <c r="FT3" s="1818"/>
      <c r="FU3" s="1818"/>
      <c r="FV3" s="1818"/>
      <c r="FW3" s="1818" t="s">
        <v>1525</v>
      </c>
      <c r="FX3" s="1818"/>
      <c r="FY3" s="1818"/>
      <c r="FZ3" s="1818"/>
      <c r="GA3" s="1818" t="s">
        <v>1525</v>
      </c>
      <c r="GB3" s="1818"/>
      <c r="GC3" s="1818"/>
      <c r="GD3" s="1818"/>
      <c r="GE3" s="1818" t="s">
        <v>1525</v>
      </c>
      <c r="GF3" s="1818"/>
      <c r="GG3" s="1818"/>
      <c r="GH3" s="1818"/>
      <c r="GI3" s="1818" t="s">
        <v>1525</v>
      </c>
      <c r="GJ3" s="1818"/>
      <c r="GK3" s="1818"/>
      <c r="GL3" s="1818"/>
      <c r="GM3" s="1818" t="s">
        <v>1525</v>
      </c>
      <c r="GN3" s="1818"/>
      <c r="GO3" s="1818"/>
      <c r="GP3" s="1818"/>
      <c r="GQ3" s="1818" t="s">
        <v>1525</v>
      </c>
      <c r="GR3" s="1818"/>
      <c r="GS3" s="1818"/>
      <c r="GT3" s="1818"/>
      <c r="GU3" s="1818" t="s">
        <v>1525</v>
      </c>
      <c r="GV3" s="1818"/>
      <c r="GW3" s="1818"/>
      <c r="GX3" s="1818"/>
      <c r="GY3" s="1818" t="s">
        <v>1525</v>
      </c>
      <c r="GZ3" s="1818"/>
      <c r="HA3" s="1818"/>
      <c r="HB3" s="1818"/>
      <c r="HC3" s="1818" t="s">
        <v>1525</v>
      </c>
      <c r="HD3" s="1818"/>
      <c r="HE3" s="1818"/>
      <c r="HF3" s="1818"/>
      <c r="HG3" s="1818" t="s">
        <v>1525</v>
      </c>
      <c r="HH3" s="1818"/>
      <c r="HI3" s="1818"/>
      <c r="HJ3" s="1818"/>
      <c r="HK3" s="1818" t="s">
        <v>1525</v>
      </c>
      <c r="HL3" s="1818"/>
      <c r="HM3" s="1818"/>
      <c r="HN3" s="1818"/>
      <c r="HO3" s="1818" t="s">
        <v>1525</v>
      </c>
      <c r="HP3" s="1818"/>
      <c r="HQ3" s="1818"/>
      <c r="HR3" s="1818"/>
      <c r="HS3" s="1818" t="s">
        <v>1525</v>
      </c>
      <c r="HT3" s="1818"/>
      <c r="HU3" s="1818"/>
      <c r="HV3" s="1860"/>
      <c r="HW3" s="1848" t="s">
        <v>1585</v>
      </c>
      <c r="HX3" s="1845"/>
      <c r="HY3" s="1845"/>
      <c r="HZ3" s="1845"/>
      <c r="IA3" s="1845"/>
      <c r="IB3" s="1845"/>
      <c r="IC3" s="1848" t="s">
        <v>1586</v>
      </c>
      <c r="ID3" s="1845"/>
      <c r="IE3" s="1226"/>
    </row>
    <row r="4" spans="1:239" s="1222" customFormat="1" ht="15" customHeight="1" x14ac:dyDescent="0.25">
      <c r="A4" s="836"/>
      <c r="B4" s="1799"/>
      <c r="C4" s="1799"/>
      <c r="D4" s="1799"/>
      <c r="E4" s="1799"/>
      <c r="F4" s="1679" t="s">
        <v>821</v>
      </c>
      <c r="G4" s="1679" t="s">
        <v>1802</v>
      </c>
      <c r="H4" s="1679" t="s">
        <v>822</v>
      </c>
      <c r="I4" s="1679" t="s">
        <v>1526</v>
      </c>
      <c r="J4" s="1679" t="s">
        <v>1527</v>
      </c>
      <c r="K4" s="1818" t="s">
        <v>1530</v>
      </c>
      <c r="L4" s="1818"/>
      <c r="M4" s="1818"/>
      <c r="N4" s="1818"/>
      <c r="O4" s="1818" t="s">
        <v>1531</v>
      </c>
      <c r="P4" s="1818"/>
      <c r="Q4" s="1818"/>
      <c r="R4" s="1818"/>
      <c r="S4" s="1818" t="s">
        <v>1532</v>
      </c>
      <c r="T4" s="1818"/>
      <c r="U4" s="1818"/>
      <c r="V4" s="1818"/>
      <c r="W4" s="1818" t="s">
        <v>1533</v>
      </c>
      <c r="X4" s="1818"/>
      <c r="Y4" s="1818"/>
      <c r="Z4" s="1818"/>
      <c r="AA4" s="1818" t="s">
        <v>1534</v>
      </c>
      <c r="AB4" s="1818"/>
      <c r="AC4" s="1818"/>
      <c r="AD4" s="1818"/>
      <c r="AE4" s="1818" t="s">
        <v>1535</v>
      </c>
      <c r="AF4" s="1818"/>
      <c r="AG4" s="1818"/>
      <c r="AH4" s="1818"/>
      <c r="AI4" s="1818" t="s">
        <v>1536</v>
      </c>
      <c r="AJ4" s="1818"/>
      <c r="AK4" s="1818"/>
      <c r="AL4" s="1818"/>
      <c r="AM4" s="1818" t="s">
        <v>1537</v>
      </c>
      <c r="AN4" s="1818"/>
      <c r="AO4" s="1818"/>
      <c r="AP4" s="1818"/>
      <c r="AQ4" s="1818" t="s">
        <v>1538</v>
      </c>
      <c r="AR4" s="1818"/>
      <c r="AS4" s="1818"/>
      <c r="AT4" s="1818"/>
      <c r="AU4" s="1818" t="s">
        <v>1539</v>
      </c>
      <c r="AV4" s="1818"/>
      <c r="AW4" s="1818"/>
      <c r="AX4" s="1818"/>
      <c r="AY4" s="1818" t="s">
        <v>1540</v>
      </c>
      <c r="AZ4" s="1818"/>
      <c r="BA4" s="1818"/>
      <c r="BB4" s="1818"/>
      <c r="BC4" s="1818" t="s">
        <v>1541</v>
      </c>
      <c r="BD4" s="1818"/>
      <c r="BE4" s="1818"/>
      <c r="BF4" s="1818"/>
      <c r="BG4" s="1818" t="s">
        <v>1542</v>
      </c>
      <c r="BH4" s="1818"/>
      <c r="BI4" s="1818"/>
      <c r="BJ4" s="1818"/>
      <c r="BK4" s="1818" t="s">
        <v>1543</v>
      </c>
      <c r="BL4" s="1818"/>
      <c r="BM4" s="1818"/>
      <c r="BN4" s="1818"/>
      <c r="BO4" s="1818" t="s">
        <v>1544</v>
      </c>
      <c r="BP4" s="1818"/>
      <c r="BQ4" s="1818"/>
      <c r="BR4" s="1818"/>
      <c r="BS4" s="1818" t="s">
        <v>1545</v>
      </c>
      <c r="BT4" s="1818"/>
      <c r="BU4" s="1818"/>
      <c r="BV4" s="1818"/>
      <c r="BW4" s="1818" t="s">
        <v>1546</v>
      </c>
      <c r="BX4" s="1818"/>
      <c r="BY4" s="1818"/>
      <c r="BZ4" s="1818"/>
      <c r="CA4" s="1818" t="s">
        <v>1547</v>
      </c>
      <c r="CB4" s="1818"/>
      <c r="CC4" s="1818"/>
      <c r="CD4" s="1818"/>
      <c r="CE4" s="1818" t="s">
        <v>1548</v>
      </c>
      <c r="CF4" s="1818"/>
      <c r="CG4" s="1818"/>
      <c r="CH4" s="1818"/>
      <c r="CI4" s="1818" t="s">
        <v>1551</v>
      </c>
      <c r="CJ4" s="1818"/>
      <c r="CK4" s="1818"/>
      <c r="CL4" s="1818"/>
      <c r="CM4" s="1818" t="s">
        <v>1550</v>
      </c>
      <c r="CN4" s="1818"/>
      <c r="CO4" s="1818"/>
      <c r="CP4" s="1818"/>
      <c r="CQ4" s="1818" t="s">
        <v>1549</v>
      </c>
      <c r="CR4" s="1818"/>
      <c r="CS4" s="1818"/>
      <c r="CT4" s="1818"/>
      <c r="CU4" s="1818" t="s">
        <v>1552</v>
      </c>
      <c r="CV4" s="1818"/>
      <c r="CW4" s="1818"/>
      <c r="CX4" s="1818"/>
      <c r="CY4" s="1818" t="s">
        <v>1553</v>
      </c>
      <c r="CZ4" s="1818"/>
      <c r="DA4" s="1818"/>
      <c r="DB4" s="1818"/>
      <c r="DC4" s="1818" t="s">
        <v>1554</v>
      </c>
      <c r="DD4" s="1818"/>
      <c r="DE4" s="1818"/>
      <c r="DF4" s="1818"/>
      <c r="DG4" s="1818" t="s">
        <v>1555</v>
      </c>
      <c r="DH4" s="1818"/>
      <c r="DI4" s="1818"/>
      <c r="DJ4" s="1818"/>
      <c r="DK4" s="1818" t="s">
        <v>1556</v>
      </c>
      <c r="DL4" s="1818"/>
      <c r="DM4" s="1818"/>
      <c r="DN4" s="1818"/>
      <c r="DO4" s="1818" t="s">
        <v>1557</v>
      </c>
      <c r="DP4" s="1818"/>
      <c r="DQ4" s="1818"/>
      <c r="DR4" s="1818"/>
      <c r="DS4" s="1818" t="s">
        <v>1558</v>
      </c>
      <c r="DT4" s="1818"/>
      <c r="DU4" s="1818"/>
      <c r="DV4" s="1818"/>
      <c r="DW4" s="1818" t="s">
        <v>1559</v>
      </c>
      <c r="DX4" s="1818"/>
      <c r="DY4" s="1818"/>
      <c r="DZ4" s="1818"/>
      <c r="EA4" s="1818" t="s">
        <v>1560</v>
      </c>
      <c r="EB4" s="1818"/>
      <c r="EC4" s="1818"/>
      <c r="ED4" s="1818"/>
      <c r="EE4" s="1818" t="s">
        <v>1561</v>
      </c>
      <c r="EF4" s="1818"/>
      <c r="EG4" s="1818"/>
      <c r="EH4" s="1818"/>
      <c r="EI4" s="1818" t="s">
        <v>1562</v>
      </c>
      <c r="EJ4" s="1818"/>
      <c r="EK4" s="1818"/>
      <c r="EL4" s="1818"/>
      <c r="EM4" s="1818" t="s">
        <v>1563</v>
      </c>
      <c r="EN4" s="1818"/>
      <c r="EO4" s="1818"/>
      <c r="EP4" s="1818"/>
      <c r="EQ4" s="1818" t="s">
        <v>1564</v>
      </c>
      <c r="ER4" s="1818"/>
      <c r="ES4" s="1818"/>
      <c r="ET4" s="1818"/>
      <c r="EU4" s="1818" t="s">
        <v>1565</v>
      </c>
      <c r="EV4" s="1818"/>
      <c r="EW4" s="1818"/>
      <c r="EX4" s="1818"/>
      <c r="EY4" s="1818" t="s">
        <v>1566</v>
      </c>
      <c r="EZ4" s="1818"/>
      <c r="FA4" s="1818"/>
      <c r="FB4" s="1818"/>
      <c r="FC4" s="1818" t="s">
        <v>1567</v>
      </c>
      <c r="FD4" s="1818"/>
      <c r="FE4" s="1818"/>
      <c r="FF4" s="1818"/>
      <c r="FG4" s="1818" t="s">
        <v>1568</v>
      </c>
      <c r="FH4" s="1818"/>
      <c r="FI4" s="1818"/>
      <c r="FJ4" s="1818"/>
      <c r="FK4" s="1818" t="s">
        <v>1569</v>
      </c>
      <c r="FL4" s="1818"/>
      <c r="FM4" s="1818"/>
      <c r="FN4" s="1818"/>
      <c r="FO4" s="1818" t="s">
        <v>1570</v>
      </c>
      <c r="FP4" s="1818"/>
      <c r="FQ4" s="1818"/>
      <c r="FR4" s="1818"/>
      <c r="FS4" s="1818" t="s">
        <v>1571</v>
      </c>
      <c r="FT4" s="1818"/>
      <c r="FU4" s="1818"/>
      <c r="FV4" s="1818"/>
      <c r="FW4" s="1818" t="s">
        <v>1572</v>
      </c>
      <c r="FX4" s="1818"/>
      <c r="FY4" s="1818"/>
      <c r="FZ4" s="1818"/>
      <c r="GA4" s="1818" t="s">
        <v>1573</v>
      </c>
      <c r="GB4" s="1818"/>
      <c r="GC4" s="1818"/>
      <c r="GD4" s="1818"/>
      <c r="GE4" s="1818" t="s">
        <v>1574</v>
      </c>
      <c r="GF4" s="1818"/>
      <c r="GG4" s="1818"/>
      <c r="GH4" s="1818"/>
      <c r="GI4" s="1818" t="s">
        <v>1575</v>
      </c>
      <c r="GJ4" s="1818"/>
      <c r="GK4" s="1818"/>
      <c r="GL4" s="1818"/>
      <c r="GM4" s="1818" t="s">
        <v>1576</v>
      </c>
      <c r="GN4" s="1818"/>
      <c r="GO4" s="1818"/>
      <c r="GP4" s="1818"/>
      <c r="GQ4" s="1818" t="s">
        <v>1577</v>
      </c>
      <c r="GR4" s="1818"/>
      <c r="GS4" s="1818"/>
      <c r="GT4" s="1818"/>
      <c r="GU4" s="1818" t="s">
        <v>1578</v>
      </c>
      <c r="GV4" s="1818"/>
      <c r="GW4" s="1818"/>
      <c r="GX4" s="1818"/>
      <c r="GY4" s="1818" t="s">
        <v>1579</v>
      </c>
      <c r="GZ4" s="1818"/>
      <c r="HA4" s="1818"/>
      <c r="HB4" s="1818"/>
      <c r="HC4" s="1818" t="s">
        <v>1580</v>
      </c>
      <c r="HD4" s="1818"/>
      <c r="HE4" s="1818"/>
      <c r="HF4" s="1818"/>
      <c r="HG4" s="1818" t="s">
        <v>1581</v>
      </c>
      <c r="HH4" s="1818"/>
      <c r="HI4" s="1818"/>
      <c r="HJ4" s="1818"/>
      <c r="HK4" s="1818" t="s">
        <v>1582</v>
      </c>
      <c r="HL4" s="1818"/>
      <c r="HM4" s="1818"/>
      <c r="HN4" s="1818"/>
      <c r="HO4" s="1818" t="s">
        <v>1583</v>
      </c>
      <c r="HP4" s="1818"/>
      <c r="HQ4" s="1818"/>
      <c r="HR4" s="1818"/>
      <c r="HS4" s="1818" t="s">
        <v>1584</v>
      </c>
      <c r="HT4" s="1818"/>
      <c r="HU4" s="1818"/>
      <c r="HV4" s="1860"/>
      <c r="HW4" s="1846" t="s">
        <v>821</v>
      </c>
      <c r="HX4" s="1679" t="s">
        <v>1802</v>
      </c>
      <c r="HY4" s="1679" t="s">
        <v>822</v>
      </c>
      <c r="HZ4" s="1679" t="s">
        <v>1748</v>
      </c>
      <c r="IA4" s="1679" t="s">
        <v>1749</v>
      </c>
      <c r="IB4" s="1839" t="s">
        <v>1750</v>
      </c>
      <c r="IC4" s="1846" t="s">
        <v>821</v>
      </c>
      <c r="ID4" s="1795" t="s">
        <v>1805</v>
      </c>
      <c r="IE4" s="1226"/>
    </row>
    <row r="5" spans="1:239" s="1222" customFormat="1" ht="15" customHeight="1" x14ac:dyDescent="0.25">
      <c r="A5" s="730"/>
      <c r="B5" s="1802"/>
      <c r="C5" s="1802"/>
      <c r="D5" s="1802"/>
      <c r="E5" s="1802"/>
      <c r="F5" s="1680"/>
      <c r="G5" s="1680"/>
      <c r="H5" s="1680"/>
      <c r="I5" s="1680"/>
      <c r="J5" s="1680"/>
      <c r="K5" s="1628" t="s">
        <v>823</v>
      </c>
      <c r="L5" s="1628" t="s">
        <v>1803</v>
      </c>
      <c r="M5" s="1628" t="s">
        <v>824</v>
      </c>
      <c r="N5" s="1628" t="s">
        <v>1804</v>
      </c>
      <c r="O5" s="1651" t="s">
        <v>823</v>
      </c>
      <c r="P5" s="1651" t="s">
        <v>1803</v>
      </c>
      <c r="Q5" s="1651" t="s">
        <v>824</v>
      </c>
      <c r="R5" s="1651" t="s">
        <v>1804</v>
      </c>
      <c r="S5" s="1651" t="s">
        <v>823</v>
      </c>
      <c r="T5" s="1651" t="s">
        <v>1803</v>
      </c>
      <c r="U5" s="1651" t="s">
        <v>824</v>
      </c>
      <c r="V5" s="1651" t="s">
        <v>1804</v>
      </c>
      <c r="W5" s="1651" t="s">
        <v>823</v>
      </c>
      <c r="X5" s="1651" t="s">
        <v>1803</v>
      </c>
      <c r="Y5" s="1651" t="s">
        <v>824</v>
      </c>
      <c r="Z5" s="1651" t="s">
        <v>1804</v>
      </c>
      <c r="AA5" s="1651" t="s">
        <v>823</v>
      </c>
      <c r="AB5" s="1651" t="s">
        <v>1803</v>
      </c>
      <c r="AC5" s="1651" t="s">
        <v>824</v>
      </c>
      <c r="AD5" s="1651" t="s">
        <v>1804</v>
      </c>
      <c r="AE5" s="1651" t="s">
        <v>823</v>
      </c>
      <c r="AF5" s="1651" t="s">
        <v>1803</v>
      </c>
      <c r="AG5" s="1651" t="s">
        <v>824</v>
      </c>
      <c r="AH5" s="1651" t="s">
        <v>1804</v>
      </c>
      <c r="AI5" s="1651" t="s">
        <v>823</v>
      </c>
      <c r="AJ5" s="1651" t="s">
        <v>1803</v>
      </c>
      <c r="AK5" s="1651" t="s">
        <v>824</v>
      </c>
      <c r="AL5" s="1651" t="s">
        <v>1804</v>
      </c>
      <c r="AM5" s="1651" t="s">
        <v>823</v>
      </c>
      <c r="AN5" s="1651" t="s">
        <v>1803</v>
      </c>
      <c r="AO5" s="1651" t="s">
        <v>824</v>
      </c>
      <c r="AP5" s="1651" t="s">
        <v>1804</v>
      </c>
      <c r="AQ5" s="1651" t="s">
        <v>823</v>
      </c>
      <c r="AR5" s="1651" t="s">
        <v>1803</v>
      </c>
      <c r="AS5" s="1651" t="s">
        <v>824</v>
      </c>
      <c r="AT5" s="1651" t="s">
        <v>1804</v>
      </c>
      <c r="AU5" s="1651" t="s">
        <v>823</v>
      </c>
      <c r="AV5" s="1651" t="s">
        <v>1803</v>
      </c>
      <c r="AW5" s="1651" t="s">
        <v>824</v>
      </c>
      <c r="AX5" s="1651" t="s">
        <v>1804</v>
      </c>
      <c r="AY5" s="1651" t="s">
        <v>823</v>
      </c>
      <c r="AZ5" s="1651" t="s">
        <v>1803</v>
      </c>
      <c r="BA5" s="1651" t="s">
        <v>824</v>
      </c>
      <c r="BB5" s="1651" t="s">
        <v>1804</v>
      </c>
      <c r="BC5" s="1651" t="s">
        <v>823</v>
      </c>
      <c r="BD5" s="1651" t="s">
        <v>1803</v>
      </c>
      <c r="BE5" s="1651" t="s">
        <v>824</v>
      </c>
      <c r="BF5" s="1651" t="s">
        <v>1804</v>
      </c>
      <c r="BG5" s="1651" t="s">
        <v>823</v>
      </c>
      <c r="BH5" s="1651" t="s">
        <v>1803</v>
      </c>
      <c r="BI5" s="1651" t="s">
        <v>824</v>
      </c>
      <c r="BJ5" s="1651" t="s">
        <v>1804</v>
      </c>
      <c r="BK5" s="1651" t="s">
        <v>823</v>
      </c>
      <c r="BL5" s="1651" t="s">
        <v>1803</v>
      </c>
      <c r="BM5" s="1651" t="s">
        <v>824</v>
      </c>
      <c r="BN5" s="1651" t="s">
        <v>1804</v>
      </c>
      <c r="BO5" s="1651" t="s">
        <v>823</v>
      </c>
      <c r="BP5" s="1651" t="s">
        <v>1803</v>
      </c>
      <c r="BQ5" s="1651" t="s">
        <v>824</v>
      </c>
      <c r="BR5" s="1651" t="s">
        <v>1804</v>
      </c>
      <c r="BS5" s="1651" t="s">
        <v>823</v>
      </c>
      <c r="BT5" s="1651" t="s">
        <v>1803</v>
      </c>
      <c r="BU5" s="1651" t="s">
        <v>824</v>
      </c>
      <c r="BV5" s="1651" t="s">
        <v>1804</v>
      </c>
      <c r="BW5" s="1651" t="s">
        <v>823</v>
      </c>
      <c r="BX5" s="1651" t="s">
        <v>1803</v>
      </c>
      <c r="BY5" s="1651" t="s">
        <v>824</v>
      </c>
      <c r="BZ5" s="1651" t="s">
        <v>1804</v>
      </c>
      <c r="CA5" s="1651" t="s">
        <v>823</v>
      </c>
      <c r="CB5" s="1651" t="s">
        <v>1803</v>
      </c>
      <c r="CC5" s="1651" t="s">
        <v>824</v>
      </c>
      <c r="CD5" s="1651" t="s">
        <v>1804</v>
      </c>
      <c r="CE5" s="1651" t="s">
        <v>823</v>
      </c>
      <c r="CF5" s="1651" t="s">
        <v>1803</v>
      </c>
      <c r="CG5" s="1651" t="s">
        <v>824</v>
      </c>
      <c r="CH5" s="1651" t="s">
        <v>1804</v>
      </c>
      <c r="CI5" s="1651" t="s">
        <v>823</v>
      </c>
      <c r="CJ5" s="1651" t="s">
        <v>1803</v>
      </c>
      <c r="CK5" s="1651" t="s">
        <v>824</v>
      </c>
      <c r="CL5" s="1651" t="s">
        <v>1804</v>
      </c>
      <c r="CM5" s="1651" t="s">
        <v>823</v>
      </c>
      <c r="CN5" s="1651" t="s">
        <v>1803</v>
      </c>
      <c r="CO5" s="1651" t="s">
        <v>824</v>
      </c>
      <c r="CP5" s="1651" t="s">
        <v>1804</v>
      </c>
      <c r="CQ5" s="1651" t="s">
        <v>823</v>
      </c>
      <c r="CR5" s="1651" t="s">
        <v>1803</v>
      </c>
      <c r="CS5" s="1651" t="s">
        <v>824</v>
      </c>
      <c r="CT5" s="1651" t="s">
        <v>1804</v>
      </c>
      <c r="CU5" s="1651" t="s">
        <v>823</v>
      </c>
      <c r="CV5" s="1651" t="s">
        <v>1803</v>
      </c>
      <c r="CW5" s="1651" t="s">
        <v>824</v>
      </c>
      <c r="CX5" s="1651" t="s">
        <v>1804</v>
      </c>
      <c r="CY5" s="1651" t="s">
        <v>823</v>
      </c>
      <c r="CZ5" s="1651" t="s">
        <v>1803</v>
      </c>
      <c r="DA5" s="1651" t="s">
        <v>824</v>
      </c>
      <c r="DB5" s="1651" t="s">
        <v>1804</v>
      </c>
      <c r="DC5" s="1651" t="s">
        <v>823</v>
      </c>
      <c r="DD5" s="1651" t="s">
        <v>1803</v>
      </c>
      <c r="DE5" s="1651" t="s">
        <v>824</v>
      </c>
      <c r="DF5" s="1651" t="s">
        <v>1804</v>
      </c>
      <c r="DG5" s="1651" t="s">
        <v>823</v>
      </c>
      <c r="DH5" s="1651" t="s">
        <v>1803</v>
      </c>
      <c r="DI5" s="1651" t="s">
        <v>824</v>
      </c>
      <c r="DJ5" s="1651" t="s">
        <v>1804</v>
      </c>
      <c r="DK5" s="1651" t="s">
        <v>823</v>
      </c>
      <c r="DL5" s="1651" t="s">
        <v>1803</v>
      </c>
      <c r="DM5" s="1651" t="s">
        <v>824</v>
      </c>
      <c r="DN5" s="1651" t="s">
        <v>1804</v>
      </c>
      <c r="DO5" s="1651" t="s">
        <v>823</v>
      </c>
      <c r="DP5" s="1651" t="s">
        <v>1803</v>
      </c>
      <c r="DQ5" s="1651" t="s">
        <v>824</v>
      </c>
      <c r="DR5" s="1651" t="s">
        <v>1804</v>
      </c>
      <c r="DS5" s="1651" t="s">
        <v>823</v>
      </c>
      <c r="DT5" s="1651" t="s">
        <v>1803</v>
      </c>
      <c r="DU5" s="1651" t="s">
        <v>824</v>
      </c>
      <c r="DV5" s="1651" t="s">
        <v>1804</v>
      </c>
      <c r="DW5" s="1651" t="s">
        <v>823</v>
      </c>
      <c r="DX5" s="1651" t="s">
        <v>1803</v>
      </c>
      <c r="DY5" s="1651" t="s">
        <v>824</v>
      </c>
      <c r="DZ5" s="1651" t="s">
        <v>1804</v>
      </c>
      <c r="EA5" s="1651" t="s">
        <v>823</v>
      </c>
      <c r="EB5" s="1651" t="s">
        <v>1803</v>
      </c>
      <c r="EC5" s="1651" t="s">
        <v>824</v>
      </c>
      <c r="ED5" s="1651" t="s">
        <v>1804</v>
      </c>
      <c r="EE5" s="1651" t="s">
        <v>823</v>
      </c>
      <c r="EF5" s="1651" t="s">
        <v>1803</v>
      </c>
      <c r="EG5" s="1651" t="s">
        <v>824</v>
      </c>
      <c r="EH5" s="1651" t="s">
        <v>1804</v>
      </c>
      <c r="EI5" s="1651" t="s">
        <v>823</v>
      </c>
      <c r="EJ5" s="1651" t="s">
        <v>1803</v>
      </c>
      <c r="EK5" s="1651" t="s">
        <v>824</v>
      </c>
      <c r="EL5" s="1651" t="s">
        <v>1804</v>
      </c>
      <c r="EM5" s="1651" t="s">
        <v>823</v>
      </c>
      <c r="EN5" s="1651" t="s">
        <v>1803</v>
      </c>
      <c r="EO5" s="1651" t="s">
        <v>824</v>
      </c>
      <c r="EP5" s="1651" t="s">
        <v>1804</v>
      </c>
      <c r="EQ5" s="1651" t="s">
        <v>823</v>
      </c>
      <c r="ER5" s="1651" t="s">
        <v>1803</v>
      </c>
      <c r="ES5" s="1651" t="s">
        <v>824</v>
      </c>
      <c r="ET5" s="1651" t="s">
        <v>1804</v>
      </c>
      <c r="EU5" s="1651" t="s">
        <v>823</v>
      </c>
      <c r="EV5" s="1651" t="s">
        <v>1803</v>
      </c>
      <c r="EW5" s="1651" t="s">
        <v>824</v>
      </c>
      <c r="EX5" s="1651" t="s">
        <v>1804</v>
      </c>
      <c r="EY5" s="1651" t="s">
        <v>823</v>
      </c>
      <c r="EZ5" s="1651" t="s">
        <v>1803</v>
      </c>
      <c r="FA5" s="1651" t="s">
        <v>824</v>
      </c>
      <c r="FB5" s="1651" t="s">
        <v>1804</v>
      </c>
      <c r="FC5" s="1651" t="s">
        <v>823</v>
      </c>
      <c r="FD5" s="1651" t="s">
        <v>1803</v>
      </c>
      <c r="FE5" s="1651" t="s">
        <v>824</v>
      </c>
      <c r="FF5" s="1651" t="s">
        <v>1804</v>
      </c>
      <c r="FG5" s="1651" t="s">
        <v>823</v>
      </c>
      <c r="FH5" s="1651" t="s">
        <v>1803</v>
      </c>
      <c r="FI5" s="1651" t="s">
        <v>824</v>
      </c>
      <c r="FJ5" s="1651" t="s">
        <v>1804</v>
      </c>
      <c r="FK5" s="1651" t="s">
        <v>823</v>
      </c>
      <c r="FL5" s="1651" t="s">
        <v>1803</v>
      </c>
      <c r="FM5" s="1651" t="s">
        <v>824</v>
      </c>
      <c r="FN5" s="1651" t="s">
        <v>1804</v>
      </c>
      <c r="FO5" s="1651" t="s">
        <v>823</v>
      </c>
      <c r="FP5" s="1651" t="s">
        <v>1803</v>
      </c>
      <c r="FQ5" s="1651" t="s">
        <v>824</v>
      </c>
      <c r="FR5" s="1651" t="s">
        <v>1804</v>
      </c>
      <c r="FS5" s="1651" t="s">
        <v>823</v>
      </c>
      <c r="FT5" s="1651" t="s">
        <v>1803</v>
      </c>
      <c r="FU5" s="1651" t="s">
        <v>824</v>
      </c>
      <c r="FV5" s="1651" t="s">
        <v>1804</v>
      </c>
      <c r="FW5" s="1651" t="s">
        <v>823</v>
      </c>
      <c r="FX5" s="1651" t="s">
        <v>1803</v>
      </c>
      <c r="FY5" s="1651" t="s">
        <v>824</v>
      </c>
      <c r="FZ5" s="1651" t="s">
        <v>1804</v>
      </c>
      <c r="GA5" s="1651" t="s">
        <v>823</v>
      </c>
      <c r="GB5" s="1651" t="s">
        <v>1803</v>
      </c>
      <c r="GC5" s="1651" t="s">
        <v>824</v>
      </c>
      <c r="GD5" s="1651" t="s">
        <v>1804</v>
      </c>
      <c r="GE5" s="1651" t="s">
        <v>823</v>
      </c>
      <c r="GF5" s="1651" t="s">
        <v>1803</v>
      </c>
      <c r="GG5" s="1651" t="s">
        <v>824</v>
      </c>
      <c r="GH5" s="1651" t="s">
        <v>1804</v>
      </c>
      <c r="GI5" s="1651" t="s">
        <v>823</v>
      </c>
      <c r="GJ5" s="1651" t="s">
        <v>1803</v>
      </c>
      <c r="GK5" s="1651" t="s">
        <v>824</v>
      </c>
      <c r="GL5" s="1651" t="s">
        <v>1804</v>
      </c>
      <c r="GM5" s="1651" t="s">
        <v>823</v>
      </c>
      <c r="GN5" s="1651" t="s">
        <v>1803</v>
      </c>
      <c r="GO5" s="1651" t="s">
        <v>824</v>
      </c>
      <c r="GP5" s="1651" t="s">
        <v>1804</v>
      </c>
      <c r="GQ5" s="1651" t="s">
        <v>823</v>
      </c>
      <c r="GR5" s="1651" t="s">
        <v>1803</v>
      </c>
      <c r="GS5" s="1651" t="s">
        <v>824</v>
      </c>
      <c r="GT5" s="1651" t="s">
        <v>1804</v>
      </c>
      <c r="GU5" s="1651" t="s">
        <v>823</v>
      </c>
      <c r="GV5" s="1651" t="s">
        <v>1803</v>
      </c>
      <c r="GW5" s="1651" t="s">
        <v>824</v>
      </c>
      <c r="GX5" s="1651" t="s">
        <v>1804</v>
      </c>
      <c r="GY5" s="1651" t="s">
        <v>823</v>
      </c>
      <c r="GZ5" s="1651" t="s">
        <v>1803</v>
      </c>
      <c r="HA5" s="1651" t="s">
        <v>824</v>
      </c>
      <c r="HB5" s="1651" t="s">
        <v>1804</v>
      </c>
      <c r="HC5" s="1651" t="s">
        <v>823</v>
      </c>
      <c r="HD5" s="1651" t="s">
        <v>1803</v>
      </c>
      <c r="HE5" s="1651" t="s">
        <v>824</v>
      </c>
      <c r="HF5" s="1651" t="s">
        <v>1804</v>
      </c>
      <c r="HG5" s="1651" t="s">
        <v>823</v>
      </c>
      <c r="HH5" s="1651" t="s">
        <v>1803</v>
      </c>
      <c r="HI5" s="1651" t="s">
        <v>824</v>
      </c>
      <c r="HJ5" s="1651" t="s">
        <v>1804</v>
      </c>
      <c r="HK5" s="1651" t="s">
        <v>823</v>
      </c>
      <c r="HL5" s="1651" t="s">
        <v>1803</v>
      </c>
      <c r="HM5" s="1651" t="s">
        <v>824</v>
      </c>
      <c r="HN5" s="1651" t="s">
        <v>1804</v>
      </c>
      <c r="HO5" s="1651" t="s">
        <v>823</v>
      </c>
      <c r="HP5" s="1651" t="s">
        <v>1803</v>
      </c>
      <c r="HQ5" s="1651" t="s">
        <v>824</v>
      </c>
      <c r="HR5" s="1651" t="s">
        <v>1804</v>
      </c>
      <c r="HS5" s="1651" t="s">
        <v>823</v>
      </c>
      <c r="HT5" s="1651" t="s">
        <v>1803</v>
      </c>
      <c r="HU5" s="1651" t="s">
        <v>824</v>
      </c>
      <c r="HV5" s="1651" t="s">
        <v>1804</v>
      </c>
      <c r="HW5" s="1847"/>
      <c r="HX5" s="1680"/>
      <c r="HY5" s="1680"/>
      <c r="HZ5" s="1680"/>
      <c r="IA5" s="1680"/>
      <c r="IB5" s="1840"/>
      <c r="IC5" s="1847"/>
      <c r="ID5" s="1801"/>
      <c r="IE5" s="1226"/>
    </row>
    <row r="6" spans="1:239" s="1223" customFormat="1" ht="15" customHeight="1" x14ac:dyDescent="0.25">
      <c r="A6" s="730"/>
      <c r="B6" s="1636" t="s">
        <v>643</v>
      </c>
      <c r="C6" s="1636"/>
      <c r="D6" s="1636"/>
      <c r="E6" s="1636"/>
      <c r="F6" s="1259"/>
      <c r="G6" s="1259"/>
      <c r="H6" s="1247"/>
      <c r="I6" s="1247"/>
      <c r="J6" s="1247"/>
      <c r="K6" s="1247"/>
      <c r="L6" s="1247"/>
      <c r="M6" s="1247"/>
      <c r="N6" s="1247"/>
      <c r="O6" s="1247"/>
      <c r="P6" s="1247"/>
      <c r="Q6" s="1247"/>
      <c r="R6" s="1247"/>
      <c r="S6" s="1247"/>
      <c r="T6" s="1247"/>
      <c r="U6" s="1247"/>
      <c r="V6" s="1247"/>
      <c r="W6" s="1247"/>
      <c r="X6" s="1247"/>
      <c r="Y6" s="1247"/>
      <c r="Z6" s="1247"/>
      <c r="AA6" s="1247"/>
      <c r="AB6" s="1247"/>
      <c r="AC6" s="1247"/>
      <c r="AD6" s="1247"/>
      <c r="AE6" s="1247"/>
      <c r="AF6" s="1247"/>
      <c r="AG6" s="1247"/>
      <c r="AH6" s="1247"/>
      <c r="AI6" s="1247"/>
      <c r="AJ6" s="1247"/>
      <c r="AK6" s="1247"/>
      <c r="AL6" s="1247"/>
      <c r="AM6" s="1247"/>
      <c r="AN6" s="1247"/>
      <c r="AO6" s="1247"/>
      <c r="AP6" s="1247"/>
      <c r="AQ6" s="1247"/>
      <c r="AR6" s="1247"/>
      <c r="AS6" s="1247"/>
      <c r="AT6" s="1247"/>
      <c r="AU6" s="1247"/>
      <c r="AV6" s="1247"/>
      <c r="AW6" s="1247"/>
      <c r="AX6" s="1247"/>
      <c r="AY6" s="1247"/>
      <c r="AZ6" s="1247"/>
      <c r="BA6" s="1247"/>
      <c r="BB6" s="1247"/>
      <c r="BC6" s="1247"/>
      <c r="BD6" s="1247"/>
      <c r="BE6" s="1247"/>
      <c r="BF6" s="1247"/>
      <c r="BG6" s="1247"/>
      <c r="BH6" s="1247"/>
      <c r="BI6" s="1247"/>
      <c r="BJ6" s="1247"/>
      <c r="BK6" s="1247"/>
      <c r="BL6" s="1247"/>
      <c r="BM6" s="1247"/>
      <c r="BN6" s="1247"/>
      <c r="BO6" s="1247"/>
      <c r="BP6" s="1247"/>
      <c r="BQ6" s="1247"/>
      <c r="BR6" s="1247"/>
      <c r="BS6" s="1247"/>
      <c r="BT6" s="1247"/>
      <c r="BU6" s="1247"/>
      <c r="BV6" s="1247"/>
      <c r="BW6" s="1247"/>
      <c r="BX6" s="1247"/>
      <c r="BY6" s="1247"/>
      <c r="BZ6" s="1247"/>
      <c r="CA6" s="1247"/>
      <c r="CB6" s="1247"/>
      <c r="CC6" s="1247"/>
      <c r="CD6" s="1247"/>
      <c r="CE6" s="1247"/>
      <c r="CF6" s="1247"/>
      <c r="CG6" s="1247"/>
      <c r="CH6" s="1247"/>
      <c r="CI6" s="1247"/>
      <c r="CJ6" s="1247"/>
      <c r="CK6" s="1247"/>
      <c r="CL6" s="1247"/>
      <c r="CM6" s="1247"/>
      <c r="CN6" s="1247"/>
      <c r="CO6" s="1247"/>
      <c r="CP6" s="1247"/>
      <c r="CQ6" s="1247"/>
      <c r="CR6" s="1247"/>
      <c r="CS6" s="1247"/>
      <c r="CT6" s="1247"/>
      <c r="CU6" s="1247"/>
      <c r="CV6" s="1247"/>
      <c r="CW6" s="1247"/>
      <c r="CX6" s="1247"/>
      <c r="CY6" s="1247"/>
      <c r="CZ6" s="1247"/>
      <c r="DA6" s="1247"/>
      <c r="DB6" s="1247"/>
      <c r="DC6" s="1247"/>
      <c r="DD6" s="1247"/>
      <c r="DE6" s="1247"/>
      <c r="DF6" s="1247"/>
      <c r="DG6" s="1247"/>
      <c r="DH6" s="1247"/>
      <c r="DI6" s="1247"/>
      <c r="DJ6" s="1247"/>
      <c r="DK6" s="1247"/>
      <c r="DL6" s="1247"/>
      <c r="DM6" s="1247"/>
      <c r="DN6" s="1247"/>
      <c r="DO6" s="1247"/>
      <c r="DP6" s="1247"/>
      <c r="DQ6" s="1247"/>
      <c r="DR6" s="1247"/>
      <c r="DS6" s="1247"/>
      <c r="DT6" s="1247"/>
      <c r="DU6" s="1247"/>
      <c r="DV6" s="1247"/>
      <c r="DW6" s="1247"/>
      <c r="DX6" s="1247"/>
      <c r="DY6" s="1247"/>
      <c r="DZ6" s="1247"/>
      <c r="EA6" s="1247"/>
      <c r="EB6" s="1247"/>
      <c r="EC6" s="1247"/>
      <c r="ED6" s="1247"/>
      <c r="EE6" s="1247"/>
      <c r="EF6" s="1247"/>
      <c r="EG6" s="1247"/>
      <c r="EH6" s="1247"/>
      <c r="EI6" s="1247"/>
      <c r="EJ6" s="1247"/>
      <c r="EK6" s="1247"/>
      <c r="EL6" s="1247"/>
      <c r="EM6" s="1247"/>
      <c r="EN6" s="1247"/>
      <c r="EO6" s="1247"/>
      <c r="EP6" s="1247"/>
      <c r="EQ6" s="1247"/>
      <c r="ER6" s="1247"/>
      <c r="ES6" s="1247"/>
      <c r="ET6" s="1247"/>
      <c r="EU6" s="1247"/>
      <c r="EV6" s="1247"/>
      <c r="EW6" s="1247"/>
      <c r="EX6" s="1247"/>
      <c r="EY6" s="1247"/>
      <c r="EZ6" s="1247"/>
      <c r="FA6" s="1247"/>
      <c r="FB6" s="1247"/>
      <c r="FC6" s="1247"/>
      <c r="FD6" s="1247"/>
      <c r="FE6" s="1247"/>
      <c r="FF6" s="1247"/>
      <c r="FG6" s="1247"/>
      <c r="FH6" s="1247"/>
      <c r="FI6" s="1247"/>
      <c r="FJ6" s="1247"/>
      <c r="FK6" s="1247"/>
      <c r="FL6" s="1247"/>
      <c r="FM6" s="1247"/>
      <c r="FN6" s="1247"/>
      <c r="FO6" s="1247"/>
      <c r="FP6" s="1247"/>
      <c r="FQ6" s="1247"/>
      <c r="FR6" s="1247"/>
      <c r="FS6" s="1247"/>
      <c r="FT6" s="1247"/>
      <c r="FU6" s="1247"/>
      <c r="FV6" s="1247"/>
      <c r="FW6" s="1247"/>
      <c r="FX6" s="1247"/>
      <c r="FY6" s="1247"/>
      <c r="FZ6" s="1247"/>
      <c r="GA6" s="1247"/>
      <c r="GB6" s="1247"/>
      <c r="GC6" s="1247"/>
      <c r="GD6" s="1247"/>
      <c r="GE6" s="1247"/>
      <c r="GF6" s="1247"/>
      <c r="GG6" s="1247"/>
      <c r="GH6" s="1247"/>
      <c r="GI6" s="1247"/>
      <c r="GJ6" s="1247"/>
      <c r="GK6" s="1247"/>
      <c r="GL6" s="1247"/>
      <c r="GM6" s="1247"/>
      <c r="GN6" s="1247"/>
      <c r="GO6" s="1247"/>
      <c r="GP6" s="1247"/>
      <c r="GQ6" s="1247"/>
      <c r="GR6" s="1247"/>
      <c r="GS6" s="1247"/>
      <c r="GT6" s="1247"/>
      <c r="GU6" s="1247"/>
      <c r="GV6" s="1247"/>
      <c r="GW6" s="1247"/>
      <c r="GX6" s="1247"/>
      <c r="GY6" s="1247"/>
      <c r="GZ6" s="1247"/>
      <c r="HA6" s="1247"/>
      <c r="HB6" s="1247"/>
      <c r="HC6" s="1247"/>
      <c r="HD6" s="1247"/>
      <c r="HE6" s="1247"/>
      <c r="HF6" s="1247"/>
      <c r="HG6" s="1247"/>
      <c r="HH6" s="1247"/>
      <c r="HI6" s="1247"/>
      <c r="HJ6" s="1247"/>
      <c r="HK6" s="1247"/>
      <c r="HL6" s="1247"/>
      <c r="HM6" s="1247"/>
      <c r="HN6" s="1247"/>
      <c r="HO6" s="1247"/>
      <c r="HP6" s="1247"/>
      <c r="HQ6" s="1247"/>
      <c r="HR6" s="1247"/>
      <c r="HS6" s="1247"/>
      <c r="HT6" s="1247"/>
      <c r="HU6" s="1247"/>
      <c r="HV6" s="1251"/>
      <c r="HW6" s="1249"/>
      <c r="HX6" s="1247"/>
      <c r="HY6" s="1247"/>
      <c r="HZ6" s="1247"/>
      <c r="IA6" s="1247"/>
      <c r="IB6" s="1251"/>
      <c r="IC6" s="1249"/>
      <c r="ID6" s="1250"/>
      <c r="IE6" s="1227"/>
    </row>
    <row r="7" spans="1:239" s="1223" customFormat="1" ht="15" customHeight="1" x14ac:dyDescent="0.25">
      <c r="A7" s="730"/>
      <c r="B7" s="936" t="s">
        <v>644</v>
      </c>
      <c r="C7" s="936"/>
      <c r="D7" s="936"/>
      <c r="E7" s="936"/>
      <c r="F7" s="1260"/>
      <c r="G7" s="1260"/>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241"/>
      <c r="AO7" s="1241"/>
      <c r="AP7" s="1241"/>
      <c r="AQ7" s="1241"/>
      <c r="AR7" s="1241"/>
      <c r="AS7" s="1241"/>
      <c r="AT7" s="1241"/>
      <c r="AU7" s="1241"/>
      <c r="AV7" s="1241"/>
      <c r="AW7" s="1241"/>
      <c r="AX7" s="1241"/>
      <c r="AY7" s="1241"/>
      <c r="AZ7" s="1241"/>
      <c r="BA7" s="1241"/>
      <c r="BB7" s="1241"/>
      <c r="BC7" s="1241"/>
      <c r="BD7" s="1241"/>
      <c r="BE7" s="1241"/>
      <c r="BF7" s="1241"/>
      <c r="BG7" s="1241"/>
      <c r="BH7" s="1241"/>
      <c r="BI7" s="1241"/>
      <c r="BJ7" s="1241"/>
      <c r="BK7" s="1241"/>
      <c r="BL7" s="1241"/>
      <c r="BM7" s="1241"/>
      <c r="BN7" s="1241"/>
      <c r="BO7" s="1241"/>
      <c r="BP7" s="1241"/>
      <c r="BQ7" s="1241"/>
      <c r="BR7" s="1241"/>
      <c r="BS7" s="1241"/>
      <c r="BT7" s="1241"/>
      <c r="BU7" s="1241"/>
      <c r="BV7" s="1241"/>
      <c r="BW7" s="1241"/>
      <c r="BX7" s="1241"/>
      <c r="BY7" s="1241"/>
      <c r="BZ7" s="1241"/>
      <c r="CA7" s="1241"/>
      <c r="CB7" s="1241"/>
      <c r="CC7" s="1241"/>
      <c r="CD7" s="1241"/>
      <c r="CE7" s="1241"/>
      <c r="CF7" s="1241"/>
      <c r="CG7" s="1241"/>
      <c r="CH7" s="1241"/>
      <c r="CI7" s="1241"/>
      <c r="CJ7" s="1241"/>
      <c r="CK7" s="1241"/>
      <c r="CL7" s="1241"/>
      <c r="CM7" s="1241"/>
      <c r="CN7" s="1241"/>
      <c r="CO7" s="1241"/>
      <c r="CP7" s="1241"/>
      <c r="CQ7" s="1241"/>
      <c r="CR7" s="1241"/>
      <c r="CS7" s="1241"/>
      <c r="CT7" s="1241"/>
      <c r="CU7" s="1241"/>
      <c r="CV7" s="1241"/>
      <c r="CW7" s="1241"/>
      <c r="CX7" s="1241"/>
      <c r="CY7" s="1241"/>
      <c r="CZ7" s="1241"/>
      <c r="DA7" s="1241"/>
      <c r="DB7" s="1241"/>
      <c r="DC7" s="1241"/>
      <c r="DD7" s="1241"/>
      <c r="DE7" s="1241"/>
      <c r="DF7" s="1241"/>
      <c r="DG7" s="1241"/>
      <c r="DH7" s="1241"/>
      <c r="DI7" s="1241"/>
      <c r="DJ7" s="1241"/>
      <c r="DK7" s="1241"/>
      <c r="DL7" s="1241"/>
      <c r="DM7" s="1241"/>
      <c r="DN7" s="1241"/>
      <c r="DO7" s="1241"/>
      <c r="DP7" s="1241"/>
      <c r="DQ7" s="1241"/>
      <c r="DR7" s="1241"/>
      <c r="DS7" s="1241"/>
      <c r="DT7" s="1241"/>
      <c r="DU7" s="1241"/>
      <c r="DV7" s="1241"/>
      <c r="DW7" s="1241"/>
      <c r="DX7" s="1241"/>
      <c r="DY7" s="1241"/>
      <c r="DZ7" s="1241"/>
      <c r="EA7" s="1241"/>
      <c r="EB7" s="1241"/>
      <c r="EC7" s="1241"/>
      <c r="ED7" s="1241"/>
      <c r="EE7" s="1241"/>
      <c r="EF7" s="1241"/>
      <c r="EG7" s="1241"/>
      <c r="EH7" s="1241"/>
      <c r="EI7" s="1241"/>
      <c r="EJ7" s="1241"/>
      <c r="EK7" s="1241"/>
      <c r="EL7" s="1241"/>
      <c r="EM7" s="1241"/>
      <c r="EN7" s="1241"/>
      <c r="EO7" s="1241"/>
      <c r="EP7" s="1241"/>
      <c r="EQ7" s="1241"/>
      <c r="ER7" s="1241"/>
      <c r="ES7" s="1241"/>
      <c r="ET7" s="1241"/>
      <c r="EU7" s="1241"/>
      <c r="EV7" s="1241"/>
      <c r="EW7" s="1241"/>
      <c r="EX7" s="1241"/>
      <c r="EY7" s="1241"/>
      <c r="EZ7" s="1241"/>
      <c r="FA7" s="1241"/>
      <c r="FB7" s="1241"/>
      <c r="FC7" s="1241"/>
      <c r="FD7" s="1241"/>
      <c r="FE7" s="1241"/>
      <c r="FF7" s="1241"/>
      <c r="FG7" s="1241"/>
      <c r="FH7" s="1241"/>
      <c r="FI7" s="1241"/>
      <c r="FJ7" s="1241"/>
      <c r="FK7" s="1241"/>
      <c r="FL7" s="1241"/>
      <c r="FM7" s="1241"/>
      <c r="FN7" s="1241"/>
      <c r="FO7" s="1241"/>
      <c r="FP7" s="1241"/>
      <c r="FQ7" s="1241"/>
      <c r="FR7" s="1241"/>
      <c r="FS7" s="1241"/>
      <c r="FT7" s="1241"/>
      <c r="FU7" s="1241"/>
      <c r="FV7" s="1241"/>
      <c r="FW7" s="1241"/>
      <c r="FX7" s="1241"/>
      <c r="FY7" s="1241"/>
      <c r="FZ7" s="1241"/>
      <c r="GA7" s="1241"/>
      <c r="GB7" s="1241"/>
      <c r="GC7" s="1241"/>
      <c r="GD7" s="1241"/>
      <c r="GE7" s="1241"/>
      <c r="GF7" s="1241"/>
      <c r="GG7" s="1241"/>
      <c r="GH7" s="1241"/>
      <c r="GI7" s="1241"/>
      <c r="GJ7" s="1241"/>
      <c r="GK7" s="1241"/>
      <c r="GL7" s="1241"/>
      <c r="GM7" s="1241"/>
      <c r="GN7" s="1241"/>
      <c r="GO7" s="1241"/>
      <c r="GP7" s="1241"/>
      <c r="GQ7" s="1241"/>
      <c r="GR7" s="1241"/>
      <c r="GS7" s="1241"/>
      <c r="GT7" s="1241"/>
      <c r="GU7" s="1241"/>
      <c r="GV7" s="1241"/>
      <c r="GW7" s="1241"/>
      <c r="GX7" s="1241"/>
      <c r="GY7" s="1241"/>
      <c r="GZ7" s="1241"/>
      <c r="HA7" s="1241"/>
      <c r="HB7" s="1241"/>
      <c r="HC7" s="1241"/>
      <c r="HD7" s="1241"/>
      <c r="HE7" s="1241"/>
      <c r="HF7" s="1241"/>
      <c r="HG7" s="1241"/>
      <c r="HH7" s="1241"/>
      <c r="HI7" s="1241"/>
      <c r="HJ7" s="1241"/>
      <c r="HK7" s="1241"/>
      <c r="HL7" s="1241"/>
      <c r="HM7" s="1241"/>
      <c r="HN7" s="1241"/>
      <c r="HO7" s="1241"/>
      <c r="HP7" s="1241"/>
      <c r="HQ7" s="1241"/>
      <c r="HR7" s="1241"/>
      <c r="HS7" s="1241"/>
      <c r="HT7" s="1241"/>
      <c r="HU7" s="1241"/>
      <c r="HV7" s="1253"/>
      <c r="HW7" s="1252"/>
      <c r="HX7" s="1241"/>
      <c r="HY7" s="1241"/>
      <c r="HZ7" s="1241"/>
      <c r="IA7" s="1241"/>
      <c r="IB7" s="1253"/>
      <c r="IC7" s="1252"/>
      <c r="ID7" s="1242"/>
      <c r="IE7" s="1227"/>
    </row>
    <row r="8" spans="1:239" s="1223" customFormat="1" ht="15" customHeight="1" x14ac:dyDescent="0.25">
      <c r="A8" s="730"/>
      <c r="B8" s="936" t="s">
        <v>825</v>
      </c>
      <c r="C8" s="936"/>
      <c r="D8" s="936"/>
      <c r="E8" s="936"/>
      <c r="F8" s="1260"/>
      <c r="G8" s="1260"/>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1"/>
      <c r="AL8" s="1241"/>
      <c r="AM8" s="1241"/>
      <c r="AN8" s="1241"/>
      <c r="AO8" s="1241"/>
      <c r="AP8" s="1241"/>
      <c r="AQ8" s="1241"/>
      <c r="AR8" s="1241"/>
      <c r="AS8" s="1241"/>
      <c r="AT8" s="1241"/>
      <c r="AU8" s="1241"/>
      <c r="AV8" s="1241"/>
      <c r="AW8" s="1241"/>
      <c r="AX8" s="1241"/>
      <c r="AY8" s="1241"/>
      <c r="AZ8" s="1241"/>
      <c r="BA8" s="1241"/>
      <c r="BB8" s="1241"/>
      <c r="BC8" s="1241"/>
      <c r="BD8" s="1241"/>
      <c r="BE8" s="1241"/>
      <c r="BF8" s="1241"/>
      <c r="BG8" s="1241"/>
      <c r="BH8" s="1241"/>
      <c r="BI8" s="1241"/>
      <c r="BJ8" s="1241"/>
      <c r="BK8" s="1241"/>
      <c r="BL8" s="1241"/>
      <c r="BM8" s="1241"/>
      <c r="BN8" s="1241"/>
      <c r="BO8" s="1241"/>
      <c r="BP8" s="1241"/>
      <c r="BQ8" s="1241"/>
      <c r="BR8" s="1241"/>
      <c r="BS8" s="1241"/>
      <c r="BT8" s="1241"/>
      <c r="BU8" s="1241"/>
      <c r="BV8" s="1241"/>
      <c r="BW8" s="1241"/>
      <c r="BX8" s="1241"/>
      <c r="BY8" s="1241"/>
      <c r="BZ8" s="1241"/>
      <c r="CA8" s="1241"/>
      <c r="CB8" s="1241"/>
      <c r="CC8" s="1241"/>
      <c r="CD8" s="1241"/>
      <c r="CE8" s="1241"/>
      <c r="CF8" s="1241"/>
      <c r="CG8" s="1241"/>
      <c r="CH8" s="1241"/>
      <c r="CI8" s="1241"/>
      <c r="CJ8" s="1241"/>
      <c r="CK8" s="1241"/>
      <c r="CL8" s="1241"/>
      <c r="CM8" s="1241"/>
      <c r="CN8" s="1241"/>
      <c r="CO8" s="1241"/>
      <c r="CP8" s="1241"/>
      <c r="CQ8" s="1241"/>
      <c r="CR8" s="1241"/>
      <c r="CS8" s="1241"/>
      <c r="CT8" s="1241"/>
      <c r="CU8" s="1241"/>
      <c r="CV8" s="1241"/>
      <c r="CW8" s="1241"/>
      <c r="CX8" s="1241"/>
      <c r="CY8" s="1241"/>
      <c r="CZ8" s="1241"/>
      <c r="DA8" s="1241"/>
      <c r="DB8" s="1241"/>
      <c r="DC8" s="1241"/>
      <c r="DD8" s="1241"/>
      <c r="DE8" s="1241"/>
      <c r="DF8" s="1241"/>
      <c r="DG8" s="1241"/>
      <c r="DH8" s="1241"/>
      <c r="DI8" s="1241"/>
      <c r="DJ8" s="1241"/>
      <c r="DK8" s="1241"/>
      <c r="DL8" s="1241"/>
      <c r="DM8" s="1241"/>
      <c r="DN8" s="1241"/>
      <c r="DO8" s="1241"/>
      <c r="DP8" s="1241"/>
      <c r="DQ8" s="1241"/>
      <c r="DR8" s="1241"/>
      <c r="DS8" s="1241"/>
      <c r="DT8" s="1241"/>
      <c r="DU8" s="1241"/>
      <c r="DV8" s="1241"/>
      <c r="DW8" s="1241"/>
      <c r="DX8" s="1241"/>
      <c r="DY8" s="1241"/>
      <c r="DZ8" s="1241"/>
      <c r="EA8" s="1241"/>
      <c r="EB8" s="1241"/>
      <c r="EC8" s="1241"/>
      <c r="ED8" s="1241"/>
      <c r="EE8" s="1241"/>
      <c r="EF8" s="1241"/>
      <c r="EG8" s="1241"/>
      <c r="EH8" s="1241"/>
      <c r="EI8" s="1241"/>
      <c r="EJ8" s="1241"/>
      <c r="EK8" s="1241"/>
      <c r="EL8" s="1241"/>
      <c r="EM8" s="1241"/>
      <c r="EN8" s="1241"/>
      <c r="EO8" s="1241"/>
      <c r="EP8" s="1241"/>
      <c r="EQ8" s="1241"/>
      <c r="ER8" s="1241"/>
      <c r="ES8" s="1241"/>
      <c r="ET8" s="1241"/>
      <c r="EU8" s="1241"/>
      <c r="EV8" s="1241"/>
      <c r="EW8" s="1241"/>
      <c r="EX8" s="1241"/>
      <c r="EY8" s="1241"/>
      <c r="EZ8" s="1241"/>
      <c r="FA8" s="1241"/>
      <c r="FB8" s="1241"/>
      <c r="FC8" s="1241"/>
      <c r="FD8" s="1241"/>
      <c r="FE8" s="1241"/>
      <c r="FF8" s="1241"/>
      <c r="FG8" s="1241"/>
      <c r="FH8" s="1241"/>
      <c r="FI8" s="1241"/>
      <c r="FJ8" s="1241"/>
      <c r="FK8" s="1241"/>
      <c r="FL8" s="1241"/>
      <c r="FM8" s="1241"/>
      <c r="FN8" s="1241"/>
      <c r="FO8" s="1241"/>
      <c r="FP8" s="1241"/>
      <c r="FQ8" s="1241"/>
      <c r="FR8" s="1241"/>
      <c r="FS8" s="1241"/>
      <c r="FT8" s="1241"/>
      <c r="FU8" s="1241"/>
      <c r="FV8" s="1241"/>
      <c r="FW8" s="1241"/>
      <c r="FX8" s="1241"/>
      <c r="FY8" s="1241"/>
      <c r="FZ8" s="1241"/>
      <c r="GA8" s="1241"/>
      <c r="GB8" s="1241"/>
      <c r="GC8" s="1241"/>
      <c r="GD8" s="1241"/>
      <c r="GE8" s="1241"/>
      <c r="GF8" s="1241"/>
      <c r="GG8" s="1241"/>
      <c r="GH8" s="1241"/>
      <c r="GI8" s="1241"/>
      <c r="GJ8" s="1241"/>
      <c r="GK8" s="1241"/>
      <c r="GL8" s="1241"/>
      <c r="GM8" s="1241"/>
      <c r="GN8" s="1241"/>
      <c r="GO8" s="1241"/>
      <c r="GP8" s="1241"/>
      <c r="GQ8" s="1241"/>
      <c r="GR8" s="1241"/>
      <c r="GS8" s="1241"/>
      <c r="GT8" s="1241"/>
      <c r="GU8" s="1241"/>
      <c r="GV8" s="1241"/>
      <c r="GW8" s="1241"/>
      <c r="GX8" s="1241"/>
      <c r="GY8" s="1241"/>
      <c r="GZ8" s="1241"/>
      <c r="HA8" s="1241"/>
      <c r="HB8" s="1241"/>
      <c r="HC8" s="1241"/>
      <c r="HD8" s="1241"/>
      <c r="HE8" s="1241"/>
      <c r="HF8" s="1241"/>
      <c r="HG8" s="1241"/>
      <c r="HH8" s="1241"/>
      <c r="HI8" s="1241"/>
      <c r="HJ8" s="1241"/>
      <c r="HK8" s="1241"/>
      <c r="HL8" s="1241"/>
      <c r="HM8" s="1241"/>
      <c r="HN8" s="1241"/>
      <c r="HO8" s="1241"/>
      <c r="HP8" s="1241"/>
      <c r="HQ8" s="1241"/>
      <c r="HR8" s="1241"/>
      <c r="HS8" s="1241"/>
      <c r="HT8" s="1241"/>
      <c r="HU8" s="1241"/>
      <c r="HV8" s="1253"/>
      <c r="HW8" s="1252"/>
      <c r="HX8" s="1241"/>
      <c r="HY8" s="1241"/>
      <c r="HZ8" s="1241"/>
      <c r="IA8" s="1241"/>
      <c r="IB8" s="1253"/>
      <c r="IC8" s="1252"/>
      <c r="ID8" s="1242"/>
      <c r="IE8" s="1227"/>
    </row>
    <row r="9" spans="1:239" s="1223" customFormat="1" ht="15" customHeight="1" x14ac:dyDescent="0.25">
      <c r="A9" s="730"/>
      <c r="B9" s="936" t="s">
        <v>645</v>
      </c>
      <c r="C9" s="936"/>
      <c r="D9" s="936"/>
      <c r="E9" s="936"/>
      <c r="F9" s="1260"/>
      <c r="G9" s="1260"/>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41"/>
      <c r="AP9" s="1241"/>
      <c r="AQ9" s="1241"/>
      <c r="AR9" s="1241"/>
      <c r="AS9" s="1241"/>
      <c r="AT9" s="1241"/>
      <c r="AU9" s="1241"/>
      <c r="AV9" s="1241"/>
      <c r="AW9" s="1241"/>
      <c r="AX9" s="1241"/>
      <c r="AY9" s="1241"/>
      <c r="AZ9" s="1241"/>
      <c r="BA9" s="1241"/>
      <c r="BB9" s="1241"/>
      <c r="BC9" s="1241"/>
      <c r="BD9" s="1241"/>
      <c r="BE9" s="1241"/>
      <c r="BF9" s="1241"/>
      <c r="BG9" s="1241"/>
      <c r="BH9" s="1241"/>
      <c r="BI9" s="1241"/>
      <c r="BJ9" s="1241"/>
      <c r="BK9" s="1241"/>
      <c r="BL9" s="1241"/>
      <c r="BM9" s="1241"/>
      <c r="BN9" s="1241"/>
      <c r="BO9" s="1241"/>
      <c r="BP9" s="1241"/>
      <c r="BQ9" s="1241"/>
      <c r="BR9" s="1241"/>
      <c r="BS9" s="1241"/>
      <c r="BT9" s="1241"/>
      <c r="BU9" s="1241"/>
      <c r="BV9" s="1241"/>
      <c r="BW9" s="1241"/>
      <c r="BX9" s="1241"/>
      <c r="BY9" s="1241"/>
      <c r="BZ9" s="1241"/>
      <c r="CA9" s="1241"/>
      <c r="CB9" s="1241"/>
      <c r="CC9" s="1241"/>
      <c r="CD9" s="1241"/>
      <c r="CE9" s="1241"/>
      <c r="CF9" s="1241"/>
      <c r="CG9" s="1241"/>
      <c r="CH9" s="1241"/>
      <c r="CI9" s="1241"/>
      <c r="CJ9" s="1241"/>
      <c r="CK9" s="1241"/>
      <c r="CL9" s="1241"/>
      <c r="CM9" s="1241"/>
      <c r="CN9" s="1241"/>
      <c r="CO9" s="1241"/>
      <c r="CP9" s="1241"/>
      <c r="CQ9" s="1241"/>
      <c r="CR9" s="1241"/>
      <c r="CS9" s="1241"/>
      <c r="CT9" s="1241"/>
      <c r="CU9" s="1241"/>
      <c r="CV9" s="1241"/>
      <c r="CW9" s="1241"/>
      <c r="CX9" s="1241"/>
      <c r="CY9" s="1241"/>
      <c r="CZ9" s="1241"/>
      <c r="DA9" s="1241"/>
      <c r="DB9" s="1241"/>
      <c r="DC9" s="1241"/>
      <c r="DD9" s="1241"/>
      <c r="DE9" s="1241"/>
      <c r="DF9" s="1241"/>
      <c r="DG9" s="1241"/>
      <c r="DH9" s="1241"/>
      <c r="DI9" s="1241"/>
      <c r="DJ9" s="1241"/>
      <c r="DK9" s="1241"/>
      <c r="DL9" s="1241"/>
      <c r="DM9" s="1241"/>
      <c r="DN9" s="1241"/>
      <c r="DO9" s="1241"/>
      <c r="DP9" s="1241"/>
      <c r="DQ9" s="1241"/>
      <c r="DR9" s="1241"/>
      <c r="DS9" s="1241"/>
      <c r="DT9" s="1241"/>
      <c r="DU9" s="1241"/>
      <c r="DV9" s="1241"/>
      <c r="DW9" s="1241"/>
      <c r="DX9" s="1241"/>
      <c r="DY9" s="1241"/>
      <c r="DZ9" s="1241"/>
      <c r="EA9" s="1241"/>
      <c r="EB9" s="1241"/>
      <c r="EC9" s="1241"/>
      <c r="ED9" s="1241"/>
      <c r="EE9" s="1241"/>
      <c r="EF9" s="1241"/>
      <c r="EG9" s="1241"/>
      <c r="EH9" s="1241"/>
      <c r="EI9" s="1241"/>
      <c r="EJ9" s="1241"/>
      <c r="EK9" s="1241"/>
      <c r="EL9" s="1241"/>
      <c r="EM9" s="1241"/>
      <c r="EN9" s="1241"/>
      <c r="EO9" s="1241"/>
      <c r="EP9" s="1241"/>
      <c r="EQ9" s="1241"/>
      <c r="ER9" s="1241"/>
      <c r="ES9" s="1241"/>
      <c r="ET9" s="1241"/>
      <c r="EU9" s="1241"/>
      <c r="EV9" s="1241"/>
      <c r="EW9" s="1241"/>
      <c r="EX9" s="1241"/>
      <c r="EY9" s="1241"/>
      <c r="EZ9" s="1241"/>
      <c r="FA9" s="1241"/>
      <c r="FB9" s="1241"/>
      <c r="FC9" s="1241"/>
      <c r="FD9" s="1241"/>
      <c r="FE9" s="1241"/>
      <c r="FF9" s="1241"/>
      <c r="FG9" s="1241"/>
      <c r="FH9" s="1241"/>
      <c r="FI9" s="1241"/>
      <c r="FJ9" s="1241"/>
      <c r="FK9" s="1241"/>
      <c r="FL9" s="1241"/>
      <c r="FM9" s="1241"/>
      <c r="FN9" s="1241"/>
      <c r="FO9" s="1241"/>
      <c r="FP9" s="1241"/>
      <c r="FQ9" s="1241"/>
      <c r="FR9" s="1241"/>
      <c r="FS9" s="1241"/>
      <c r="FT9" s="1241"/>
      <c r="FU9" s="1241"/>
      <c r="FV9" s="1241"/>
      <c r="FW9" s="1241"/>
      <c r="FX9" s="1241"/>
      <c r="FY9" s="1241"/>
      <c r="FZ9" s="1241"/>
      <c r="GA9" s="1241"/>
      <c r="GB9" s="1241"/>
      <c r="GC9" s="1241"/>
      <c r="GD9" s="1241"/>
      <c r="GE9" s="1241"/>
      <c r="GF9" s="1241"/>
      <c r="GG9" s="1241"/>
      <c r="GH9" s="1241"/>
      <c r="GI9" s="1241"/>
      <c r="GJ9" s="1241"/>
      <c r="GK9" s="1241"/>
      <c r="GL9" s="1241"/>
      <c r="GM9" s="1241"/>
      <c r="GN9" s="1241"/>
      <c r="GO9" s="1241"/>
      <c r="GP9" s="1241"/>
      <c r="GQ9" s="1241"/>
      <c r="GR9" s="1241"/>
      <c r="GS9" s="1241"/>
      <c r="GT9" s="1241"/>
      <c r="GU9" s="1241"/>
      <c r="GV9" s="1241"/>
      <c r="GW9" s="1241"/>
      <c r="GX9" s="1241"/>
      <c r="GY9" s="1241"/>
      <c r="GZ9" s="1241"/>
      <c r="HA9" s="1241"/>
      <c r="HB9" s="1241"/>
      <c r="HC9" s="1241"/>
      <c r="HD9" s="1241"/>
      <c r="HE9" s="1241"/>
      <c r="HF9" s="1241"/>
      <c r="HG9" s="1241"/>
      <c r="HH9" s="1241"/>
      <c r="HI9" s="1241"/>
      <c r="HJ9" s="1241"/>
      <c r="HK9" s="1241"/>
      <c r="HL9" s="1241"/>
      <c r="HM9" s="1241"/>
      <c r="HN9" s="1241"/>
      <c r="HO9" s="1241"/>
      <c r="HP9" s="1241"/>
      <c r="HQ9" s="1241"/>
      <c r="HR9" s="1241"/>
      <c r="HS9" s="1241"/>
      <c r="HT9" s="1241"/>
      <c r="HU9" s="1241"/>
      <c r="HV9" s="1253"/>
      <c r="HW9" s="1252"/>
      <c r="HX9" s="1241"/>
      <c r="HY9" s="1241"/>
      <c r="HZ9" s="1241"/>
      <c r="IA9" s="1241"/>
      <c r="IB9" s="1253"/>
      <c r="IC9" s="1252"/>
      <c r="ID9" s="1242"/>
      <c r="IE9" s="1227"/>
    </row>
    <row r="10" spans="1:239" s="1223" customFormat="1" ht="15" customHeight="1" x14ac:dyDescent="0.25">
      <c r="A10" s="730"/>
      <c r="B10" s="936" t="s">
        <v>826</v>
      </c>
      <c r="C10" s="936"/>
      <c r="D10" s="936"/>
      <c r="E10" s="936"/>
      <c r="F10" s="1260"/>
      <c r="G10" s="1260"/>
      <c r="H10" s="1241"/>
      <c r="I10" s="1241"/>
      <c r="J10" s="1241"/>
      <c r="K10" s="1241"/>
      <c r="L10" s="1241"/>
      <c r="M10" s="1241"/>
      <c r="N10" s="1241"/>
      <c r="O10" s="1241"/>
      <c r="P10" s="1241"/>
      <c r="Q10" s="1241"/>
      <c r="R10" s="1241"/>
      <c r="S10" s="1241"/>
      <c r="T10" s="1241"/>
      <c r="U10" s="1241"/>
      <c r="V10" s="1241"/>
      <c r="W10" s="1241"/>
      <c r="X10" s="1241"/>
      <c r="Y10" s="1241"/>
      <c r="Z10" s="1241"/>
      <c r="AA10" s="1241"/>
      <c r="AB10" s="1241"/>
      <c r="AC10" s="1241"/>
      <c r="AD10" s="1241"/>
      <c r="AE10" s="1241"/>
      <c r="AF10" s="1241"/>
      <c r="AG10" s="1241"/>
      <c r="AH10" s="1241"/>
      <c r="AI10" s="1241"/>
      <c r="AJ10" s="1241"/>
      <c r="AK10" s="1241"/>
      <c r="AL10" s="1241"/>
      <c r="AM10" s="1241"/>
      <c r="AN10" s="1241"/>
      <c r="AO10" s="1241"/>
      <c r="AP10" s="1241"/>
      <c r="AQ10" s="1241"/>
      <c r="AR10" s="1241"/>
      <c r="AS10" s="1241"/>
      <c r="AT10" s="1241"/>
      <c r="AU10" s="1241"/>
      <c r="AV10" s="1241"/>
      <c r="AW10" s="1241"/>
      <c r="AX10" s="1241"/>
      <c r="AY10" s="1241"/>
      <c r="AZ10" s="1241"/>
      <c r="BA10" s="1241"/>
      <c r="BB10" s="1241"/>
      <c r="BC10" s="1241"/>
      <c r="BD10" s="1241"/>
      <c r="BE10" s="1241"/>
      <c r="BF10" s="1241"/>
      <c r="BG10" s="1241"/>
      <c r="BH10" s="1241"/>
      <c r="BI10" s="1241"/>
      <c r="BJ10" s="1241"/>
      <c r="BK10" s="1241"/>
      <c r="BL10" s="1241"/>
      <c r="BM10" s="1241"/>
      <c r="BN10" s="1241"/>
      <c r="BO10" s="1241"/>
      <c r="BP10" s="1241"/>
      <c r="BQ10" s="1241"/>
      <c r="BR10" s="1241"/>
      <c r="BS10" s="1241"/>
      <c r="BT10" s="1241"/>
      <c r="BU10" s="1241"/>
      <c r="BV10" s="1241"/>
      <c r="BW10" s="1241"/>
      <c r="BX10" s="1241"/>
      <c r="BY10" s="1241"/>
      <c r="BZ10" s="1241"/>
      <c r="CA10" s="1241"/>
      <c r="CB10" s="1241"/>
      <c r="CC10" s="1241"/>
      <c r="CD10" s="1241"/>
      <c r="CE10" s="1241"/>
      <c r="CF10" s="1241"/>
      <c r="CG10" s="1241"/>
      <c r="CH10" s="1241"/>
      <c r="CI10" s="1241"/>
      <c r="CJ10" s="1241"/>
      <c r="CK10" s="1241"/>
      <c r="CL10" s="1241"/>
      <c r="CM10" s="1241"/>
      <c r="CN10" s="1241"/>
      <c r="CO10" s="1241"/>
      <c r="CP10" s="1241"/>
      <c r="CQ10" s="1241"/>
      <c r="CR10" s="1241"/>
      <c r="CS10" s="1241"/>
      <c r="CT10" s="1241"/>
      <c r="CU10" s="1241"/>
      <c r="CV10" s="1241"/>
      <c r="CW10" s="1241"/>
      <c r="CX10" s="1241"/>
      <c r="CY10" s="1241"/>
      <c r="CZ10" s="1241"/>
      <c r="DA10" s="1241"/>
      <c r="DB10" s="1241"/>
      <c r="DC10" s="1241"/>
      <c r="DD10" s="1241"/>
      <c r="DE10" s="1241"/>
      <c r="DF10" s="1241"/>
      <c r="DG10" s="1241"/>
      <c r="DH10" s="1241"/>
      <c r="DI10" s="1241"/>
      <c r="DJ10" s="1241"/>
      <c r="DK10" s="1241"/>
      <c r="DL10" s="1241"/>
      <c r="DM10" s="1241"/>
      <c r="DN10" s="1241"/>
      <c r="DO10" s="1241"/>
      <c r="DP10" s="1241"/>
      <c r="DQ10" s="1241"/>
      <c r="DR10" s="1241"/>
      <c r="DS10" s="1241"/>
      <c r="DT10" s="1241"/>
      <c r="DU10" s="1241"/>
      <c r="DV10" s="1241"/>
      <c r="DW10" s="1241"/>
      <c r="DX10" s="1241"/>
      <c r="DY10" s="1241"/>
      <c r="DZ10" s="1241"/>
      <c r="EA10" s="1241"/>
      <c r="EB10" s="1241"/>
      <c r="EC10" s="1241"/>
      <c r="ED10" s="1241"/>
      <c r="EE10" s="1241"/>
      <c r="EF10" s="1241"/>
      <c r="EG10" s="1241"/>
      <c r="EH10" s="1241"/>
      <c r="EI10" s="1241"/>
      <c r="EJ10" s="1241"/>
      <c r="EK10" s="1241"/>
      <c r="EL10" s="1241"/>
      <c r="EM10" s="1241"/>
      <c r="EN10" s="1241"/>
      <c r="EO10" s="1241"/>
      <c r="EP10" s="1241"/>
      <c r="EQ10" s="1241"/>
      <c r="ER10" s="1241"/>
      <c r="ES10" s="1241"/>
      <c r="ET10" s="1241"/>
      <c r="EU10" s="1241"/>
      <c r="EV10" s="1241"/>
      <c r="EW10" s="1241"/>
      <c r="EX10" s="1241"/>
      <c r="EY10" s="1241"/>
      <c r="EZ10" s="1241"/>
      <c r="FA10" s="1241"/>
      <c r="FB10" s="1241"/>
      <c r="FC10" s="1241"/>
      <c r="FD10" s="1241"/>
      <c r="FE10" s="1241"/>
      <c r="FF10" s="1241"/>
      <c r="FG10" s="1241"/>
      <c r="FH10" s="1241"/>
      <c r="FI10" s="1241"/>
      <c r="FJ10" s="1241"/>
      <c r="FK10" s="1241"/>
      <c r="FL10" s="1241"/>
      <c r="FM10" s="1241"/>
      <c r="FN10" s="1241"/>
      <c r="FO10" s="1241"/>
      <c r="FP10" s="1241"/>
      <c r="FQ10" s="1241"/>
      <c r="FR10" s="1241"/>
      <c r="FS10" s="1241"/>
      <c r="FT10" s="1241"/>
      <c r="FU10" s="1241"/>
      <c r="FV10" s="1241"/>
      <c r="FW10" s="1241"/>
      <c r="FX10" s="1241"/>
      <c r="FY10" s="1241"/>
      <c r="FZ10" s="1241"/>
      <c r="GA10" s="1241"/>
      <c r="GB10" s="1241"/>
      <c r="GC10" s="1241"/>
      <c r="GD10" s="1241"/>
      <c r="GE10" s="1241"/>
      <c r="GF10" s="1241"/>
      <c r="GG10" s="1241"/>
      <c r="GH10" s="1241"/>
      <c r="GI10" s="1241"/>
      <c r="GJ10" s="1241"/>
      <c r="GK10" s="1241"/>
      <c r="GL10" s="1241"/>
      <c r="GM10" s="1241"/>
      <c r="GN10" s="1241"/>
      <c r="GO10" s="1241"/>
      <c r="GP10" s="1241"/>
      <c r="GQ10" s="1241"/>
      <c r="GR10" s="1241"/>
      <c r="GS10" s="1241"/>
      <c r="GT10" s="1241"/>
      <c r="GU10" s="1241"/>
      <c r="GV10" s="1241"/>
      <c r="GW10" s="1241"/>
      <c r="GX10" s="1241"/>
      <c r="GY10" s="1241"/>
      <c r="GZ10" s="1241"/>
      <c r="HA10" s="1241"/>
      <c r="HB10" s="1241"/>
      <c r="HC10" s="1241"/>
      <c r="HD10" s="1241"/>
      <c r="HE10" s="1241"/>
      <c r="HF10" s="1241"/>
      <c r="HG10" s="1241"/>
      <c r="HH10" s="1241"/>
      <c r="HI10" s="1241"/>
      <c r="HJ10" s="1241"/>
      <c r="HK10" s="1241"/>
      <c r="HL10" s="1241"/>
      <c r="HM10" s="1241"/>
      <c r="HN10" s="1241"/>
      <c r="HO10" s="1241"/>
      <c r="HP10" s="1241"/>
      <c r="HQ10" s="1241"/>
      <c r="HR10" s="1241"/>
      <c r="HS10" s="1241"/>
      <c r="HT10" s="1241"/>
      <c r="HU10" s="1241"/>
      <c r="HV10" s="1253"/>
      <c r="HW10" s="1252"/>
      <c r="HX10" s="1241"/>
      <c r="HY10" s="1241"/>
      <c r="HZ10" s="1241"/>
      <c r="IA10" s="1241"/>
      <c r="IB10" s="1253"/>
      <c r="IC10" s="1252"/>
      <c r="ID10" s="1242"/>
      <c r="IE10" s="1227"/>
    </row>
    <row r="11" spans="1:239" s="1223" customFormat="1" ht="15" customHeight="1" x14ac:dyDescent="0.25">
      <c r="A11" s="730"/>
      <c r="B11" s="936" t="s">
        <v>827</v>
      </c>
      <c r="C11" s="936"/>
      <c r="D11" s="936"/>
      <c r="E11" s="936"/>
      <c r="F11" s="1260"/>
      <c r="G11" s="1260"/>
      <c r="H11" s="1241"/>
      <c r="I11" s="1241"/>
      <c r="J11" s="1241"/>
      <c r="K11" s="1241"/>
      <c r="L11" s="1241"/>
      <c r="M11" s="1241"/>
      <c r="N11" s="1241"/>
      <c r="O11" s="1241"/>
      <c r="P11" s="1241"/>
      <c r="Q11" s="1241"/>
      <c r="R11" s="1241"/>
      <c r="S11" s="1241"/>
      <c r="T11" s="1241"/>
      <c r="U11" s="1241"/>
      <c r="V11" s="1241"/>
      <c r="W11" s="1241"/>
      <c r="X11" s="1241"/>
      <c r="Y11" s="1241"/>
      <c r="Z11" s="1241"/>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53"/>
      <c r="HW11" s="1252"/>
      <c r="HX11" s="1241"/>
      <c r="HY11" s="1241"/>
      <c r="HZ11" s="1241"/>
      <c r="IA11" s="1241"/>
      <c r="IB11" s="1253"/>
      <c r="IC11" s="1252"/>
      <c r="ID11" s="1242"/>
      <c r="IE11" s="1227"/>
    </row>
    <row r="12" spans="1:239" s="1223" customFormat="1" ht="15" customHeight="1" x14ac:dyDescent="0.25">
      <c r="A12" s="730"/>
      <c r="B12" s="936" t="s">
        <v>828</v>
      </c>
      <c r="C12" s="936"/>
      <c r="D12" s="936"/>
      <c r="E12" s="936"/>
      <c r="F12" s="1260"/>
      <c r="G12" s="1260"/>
      <c r="H12" s="1241"/>
      <c r="I12" s="1241"/>
      <c r="J12" s="1241"/>
      <c r="K12" s="1241"/>
      <c r="L12" s="1241"/>
      <c r="M12" s="1241"/>
      <c r="N12" s="1241"/>
      <c r="O12" s="1241"/>
      <c r="P12" s="1241"/>
      <c r="Q12" s="1241"/>
      <c r="R12" s="1241"/>
      <c r="S12" s="1241"/>
      <c r="T12" s="1241"/>
      <c r="U12" s="1241"/>
      <c r="V12" s="1241"/>
      <c r="W12" s="1241"/>
      <c r="X12" s="1241"/>
      <c r="Y12" s="1241"/>
      <c r="Z12" s="1241"/>
      <c r="AA12" s="1241"/>
      <c r="AB12" s="1241"/>
      <c r="AC12" s="1241"/>
      <c r="AD12" s="1241"/>
      <c r="AE12" s="1241"/>
      <c r="AF12" s="1241"/>
      <c r="AG12" s="1241"/>
      <c r="AH12" s="1241"/>
      <c r="AI12" s="1241"/>
      <c r="AJ12" s="1241"/>
      <c r="AK12" s="1241"/>
      <c r="AL12" s="1241"/>
      <c r="AM12" s="1241"/>
      <c r="AN12" s="1241"/>
      <c r="AO12" s="1241"/>
      <c r="AP12" s="1241"/>
      <c r="AQ12" s="1241"/>
      <c r="AR12" s="1241"/>
      <c r="AS12" s="1241"/>
      <c r="AT12" s="1241"/>
      <c r="AU12" s="1241"/>
      <c r="AV12" s="1241"/>
      <c r="AW12" s="1241"/>
      <c r="AX12" s="1241"/>
      <c r="AY12" s="1241"/>
      <c r="AZ12" s="1241"/>
      <c r="BA12" s="1241"/>
      <c r="BB12" s="1241"/>
      <c r="BC12" s="1241"/>
      <c r="BD12" s="1241"/>
      <c r="BE12" s="1241"/>
      <c r="BF12" s="1241"/>
      <c r="BG12" s="1241"/>
      <c r="BH12" s="1241"/>
      <c r="BI12" s="1241"/>
      <c r="BJ12" s="1241"/>
      <c r="BK12" s="1241"/>
      <c r="BL12" s="1241"/>
      <c r="BM12" s="1241"/>
      <c r="BN12" s="1241"/>
      <c r="BO12" s="1241"/>
      <c r="BP12" s="1241"/>
      <c r="BQ12" s="1241"/>
      <c r="BR12" s="1241"/>
      <c r="BS12" s="1241"/>
      <c r="BT12" s="1241"/>
      <c r="BU12" s="1241"/>
      <c r="BV12" s="1241"/>
      <c r="BW12" s="1241"/>
      <c r="BX12" s="1241"/>
      <c r="BY12" s="1241"/>
      <c r="BZ12" s="1241"/>
      <c r="CA12" s="1241"/>
      <c r="CB12" s="1241"/>
      <c r="CC12" s="1241"/>
      <c r="CD12" s="1241"/>
      <c r="CE12" s="1241"/>
      <c r="CF12" s="1241"/>
      <c r="CG12" s="1241"/>
      <c r="CH12" s="1241"/>
      <c r="CI12" s="1241"/>
      <c r="CJ12" s="1241"/>
      <c r="CK12" s="1241"/>
      <c r="CL12" s="1241"/>
      <c r="CM12" s="1241"/>
      <c r="CN12" s="1241"/>
      <c r="CO12" s="1241"/>
      <c r="CP12" s="1241"/>
      <c r="CQ12" s="1241"/>
      <c r="CR12" s="1241"/>
      <c r="CS12" s="1241"/>
      <c r="CT12" s="1241"/>
      <c r="CU12" s="1241"/>
      <c r="CV12" s="1241"/>
      <c r="CW12" s="1241"/>
      <c r="CX12" s="1241"/>
      <c r="CY12" s="1241"/>
      <c r="CZ12" s="1241"/>
      <c r="DA12" s="1241"/>
      <c r="DB12" s="1241"/>
      <c r="DC12" s="1241"/>
      <c r="DD12" s="1241"/>
      <c r="DE12" s="1241"/>
      <c r="DF12" s="1241"/>
      <c r="DG12" s="1241"/>
      <c r="DH12" s="1241"/>
      <c r="DI12" s="1241"/>
      <c r="DJ12" s="1241"/>
      <c r="DK12" s="1241"/>
      <c r="DL12" s="1241"/>
      <c r="DM12" s="1241"/>
      <c r="DN12" s="1241"/>
      <c r="DO12" s="1241"/>
      <c r="DP12" s="1241"/>
      <c r="DQ12" s="1241"/>
      <c r="DR12" s="1241"/>
      <c r="DS12" s="1241"/>
      <c r="DT12" s="1241"/>
      <c r="DU12" s="1241"/>
      <c r="DV12" s="1241"/>
      <c r="DW12" s="1241"/>
      <c r="DX12" s="1241"/>
      <c r="DY12" s="1241"/>
      <c r="DZ12" s="1241"/>
      <c r="EA12" s="1241"/>
      <c r="EB12" s="1241"/>
      <c r="EC12" s="1241"/>
      <c r="ED12" s="1241"/>
      <c r="EE12" s="1241"/>
      <c r="EF12" s="1241"/>
      <c r="EG12" s="1241"/>
      <c r="EH12" s="1241"/>
      <c r="EI12" s="1241"/>
      <c r="EJ12" s="1241"/>
      <c r="EK12" s="1241"/>
      <c r="EL12" s="1241"/>
      <c r="EM12" s="1241"/>
      <c r="EN12" s="1241"/>
      <c r="EO12" s="1241"/>
      <c r="EP12" s="1241"/>
      <c r="EQ12" s="1241"/>
      <c r="ER12" s="1241"/>
      <c r="ES12" s="1241"/>
      <c r="ET12" s="1241"/>
      <c r="EU12" s="1241"/>
      <c r="EV12" s="1241"/>
      <c r="EW12" s="1241"/>
      <c r="EX12" s="1241"/>
      <c r="EY12" s="1241"/>
      <c r="EZ12" s="1241"/>
      <c r="FA12" s="1241"/>
      <c r="FB12" s="1241"/>
      <c r="FC12" s="1241"/>
      <c r="FD12" s="1241"/>
      <c r="FE12" s="1241"/>
      <c r="FF12" s="1241"/>
      <c r="FG12" s="1241"/>
      <c r="FH12" s="1241"/>
      <c r="FI12" s="1241"/>
      <c r="FJ12" s="1241"/>
      <c r="FK12" s="1241"/>
      <c r="FL12" s="1241"/>
      <c r="FM12" s="1241"/>
      <c r="FN12" s="1241"/>
      <c r="FO12" s="1241"/>
      <c r="FP12" s="1241"/>
      <c r="FQ12" s="1241"/>
      <c r="FR12" s="1241"/>
      <c r="FS12" s="1241"/>
      <c r="FT12" s="1241"/>
      <c r="FU12" s="1241"/>
      <c r="FV12" s="1241"/>
      <c r="FW12" s="1241"/>
      <c r="FX12" s="1241"/>
      <c r="FY12" s="1241"/>
      <c r="FZ12" s="1241"/>
      <c r="GA12" s="1241"/>
      <c r="GB12" s="1241"/>
      <c r="GC12" s="1241"/>
      <c r="GD12" s="1241"/>
      <c r="GE12" s="1241"/>
      <c r="GF12" s="1241"/>
      <c r="GG12" s="1241"/>
      <c r="GH12" s="1241"/>
      <c r="GI12" s="1241"/>
      <c r="GJ12" s="1241"/>
      <c r="GK12" s="1241"/>
      <c r="GL12" s="1241"/>
      <c r="GM12" s="1241"/>
      <c r="GN12" s="1241"/>
      <c r="GO12" s="1241"/>
      <c r="GP12" s="1241"/>
      <c r="GQ12" s="1241"/>
      <c r="GR12" s="1241"/>
      <c r="GS12" s="1241"/>
      <c r="GT12" s="1241"/>
      <c r="GU12" s="1241"/>
      <c r="GV12" s="1241"/>
      <c r="GW12" s="1241"/>
      <c r="GX12" s="1241"/>
      <c r="GY12" s="1241"/>
      <c r="GZ12" s="1241"/>
      <c r="HA12" s="1241"/>
      <c r="HB12" s="1241"/>
      <c r="HC12" s="1241"/>
      <c r="HD12" s="1241"/>
      <c r="HE12" s="1241"/>
      <c r="HF12" s="1241"/>
      <c r="HG12" s="1241"/>
      <c r="HH12" s="1241"/>
      <c r="HI12" s="1241"/>
      <c r="HJ12" s="1241"/>
      <c r="HK12" s="1241"/>
      <c r="HL12" s="1241"/>
      <c r="HM12" s="1241"/>
      <c r="HN12" s="1241"/>
      <c r="HO12" s="1241"/>
      <c r="HP12" s="1241"/>
      <c r="HQ12" s="1241"/>
      <c r="HR12" s="1241"/>
      <c r="HS12" s="1241"/>
      <c r="HT12" s="1241"/>
      <c r="HU12" s="1241"/>
      <c r="HV12" s="1253"/>
      <c r="HW12" s="1252"/>
      <c r="HX12" s="1241"/>
      <c r="HY12" s="1241"/>
      <c r="HZ12" s="1241"/>
      <c r="IA12" s="1241"/>
      <c r="IB12" s="1253"/>
      <c r="IC12" s="1252"/>
      <c r="ID12" s="1242"/>
      <c r="IE12" s="1227"/>
    </row>
    <row r="13" spans="1:239" s="1223" customFormat="1" ht="15" customHeight="1" x14ac:dyDescent="0.25">
      <c r="A13" s="730"/>
      <c r="B13" s="936" t="s">
        <v>829</v>
      </c>
      <c r="C13" s="936"/>
      <c r="D13" s="936"/>
      <c r="E13" s="936"/>
      <c r="F13" s="1260"/>
      <c r="G13" s="1260"/>
      <c r="H13" s="1241"/>
      <c r="I13" s="1241"/>
      <c r="J13" s="1241"/>
      <c r="K13" s="1241"/>
      <c r="L13" s="1241"/>
      <c r="M13" s="1241"/>
      <c r="N13" s="1241"/>
      <c r="O13" s="1241"/>
      <c r="P13" s="1241"/>
      <c r="Q13" s="1241"/>
      <c r="R13" s="1241"/>
      <c r="S13" s="1241"/>
      <c r="T13" s="1241"/>
      <c r="U13" s="1241"/>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1241"/>
      <c r="AS13" s="1241"/>
      <c r="AT13" s="1241"/>
      <c r="AU13" s="1241"/>
      <c r="AV13" s="1241"/>
      <c r="AW13" s="1241"/>
      <c r="AX13" s="1241"/>
      <c r="AY13" s="1241"/>
      <c r="AZ13" s="1241"/>
      <c r="BA13" s="1241"/>
      <c r="BB13" s="1241"/>
      <c r="BC13" s="1241"/>
      <c r="BD13" s="1241"/>
      <c r="BE13" s="1241"/>
      <c r="BF13" s="1241"/>
      <c r="BG13" s="1241"/>
      <c r="BH13" s="1241"/>
      <c r="BI13" s="1241"/>
      <c r="BJ13" s="1241"/>
      <c r="BK13" s="1241"/>
      <c r="BL13" s="1241"/>
      <c r="BM13" s="1241"/>
      <c r="BN13" s="1241"/>
      <c r="BO13" s="1241"/>
      <c r="BP13" s="1241"/>
      <c r="BQ13" s="1241"/>
      <c r="BR13" s="1241"/>
      <c r="BS13" s="1241"/>
      <c r="BT13" s="1241"/>
      <c r="BU13" s="1241"/>
      <c r="BV13" s="1241"/>
      <c r="BW13" s="1241"/>
      <c r="BX13" s="1241"/>
      <c r="BY13" s="1241"/>
      <c r="BZ13" s="1241"/>
      <c r="CA13" s="1241"/>
      <c r="CB13" s="1241"/>
      <c r="CC13" s="1241"/>
      <c r="CD13" s="1241"/>
      <c r="CE13" s="1241"/>
      <c r="CF13" s="1241"/>
      <c r="CG13" s="1241"/>
      <c r="CH13" s="1241"/>
      <c r="CI13" s="1241"/>
      <c r="CJ13" s="1241"/>
      <c r="CK13" s="1241"/>
      <c r="CL13" s="1241"/>
      <c r="CM13" s="1241"/>
      <c r="CN13" s="1241"/>
      <c r="CO13" s="1241"/>
      <c r="CP13" s="1241"/>
      <c r="CQ13" s="1241"/>
      <c r="CR13" s="1241"/>
      <c r="CS13" s="1241"/>
      <c r="CT13" s="1241"/>
      <c r="CU13" s="1241"/>
      <c r="CV13" s="1241"/>
      <c r="CW13" s="1241"/>
      <c r="CX13" s="1241"/>
      <c r="CY13" s="1241"/>
      <c r="CZ13" s="1241"/>
      <c r="DA13" s="1241"/>
      <c r="DB13" s="1241"/>
      <c r="DC13" s="1241"/>
      <c r="DD13" s="1241"/>
      <c r="DE13" s="1241"/>
      <c r="DF13" s="1241"/>
      <c r="DG13" s="1241"/>
      <c r="DH13" s="1241"/>
      <c r="DI13" s="1241"/>
      <c r="DJ13" s="1241"/>
      <c r="DK13" s="1241"/>
      <c r="DL13" s="1241"/>
      <c r="DM13" s="1241"/>
      <c r="DN13" s="1241"/>
      <c r="DO13" s="1241"/>
      <c r="DP13" s="1241"/>
      <c r="DQ13" s="1241"/>
      <c r="DR13" s="1241"/>
      <c r="DS13" s="1241"/>
      <c r="DT13" s="1241"/>
      <c r="DU13" s="1241"/>
      <c r="DV13" s="1241"/>
      <c r="DW13" s="1241"/>
      <c r="DX13" s="1241"/>
      <c r="DY13" s="1241"/>
      <c r="DZ13" s="1241"/>
      <c r="EA13" s="1241"/>
      <c r="EB13" s="1241"/>
      <c r="EC13" s="1241"/>
      <c r="ED13" s="1241"/>
      <c r="EE13" s="1241"/>
      <c r="EF13" s="1241"/>
      <c r="EG13" s="1241"/>
      <c r="EH13" s="1241"/>
      <c r="EI13" s="1241"/>
      <c r="EJ13" s="1241"/>
      <c r="EK13" s="1241"/>
      <c r="EL13" s="1241"/>
      <c r="EM13" s="1241"/>
      <c r="EN13" s="1241"/>
      <c r="EO13" s="1241"/>
      <c r="EP13" s="1241"/>
      <c r="EQ13" s="1241"/>
      <c r="ER13" s="1241"/>
      <c r="ES13" s="1241"/>
      <c r="ET13" s="1241"/>
      <c r="EU13" s="1241"/>
      <c r="EV13" s="1241"/>
      <c r="EW13" s="1241"/>
      <c r="EX13" s="1241"/>
      <c r="EY13" s="1241"/>
      <c r="EZ13" s="1241"/>
      <c r="FA13" s="1241"/>
      <c r="FB13" s="1241"/>
      <c r="FC13" s="1241"/>
      <c r="FD13" s="1241"/>
      <c r="FE13" s="1241"/>
      <c r="FF13" s="1241"/>
      <c r="FG13" s="1241"/>
      <c r="FH13" s="1241"/>
      <c r="FI13" s="1241"/>
      <c r="FJ13" s="1241"/>
      <c r="FK13" s="1241"/>
      <c r="FL13" s="1241"/>
      <c r="FM13" s="1241"/>
      <c r="FN13" s="1241"/>
      <c r="FO13" s="1241"/>
      <c r="FP13" s="1241"/>
      <c r="FQ13" s="1241"/>
      <c r="FR13" s="1241"/>
      <c r="FS13" s="1241"/>
      <c r="FT13" s="1241"/>
      <c r="FU13" s="1241"/>
      <c r="FV13" s="1241"/>
      <c r="FW13" s="1241"/>
      <c r="FX13" s="1241"/>
      <c r="FY13" s="1241"/>
      <c r="FZ13" s="1241"/>
      <c r="GA13" s="1241"/>
      <c r="GB13" s="1241"/>
      <c r="GC13" s="1241"/>
      <c r="GD13" s="1241"/>
      <c r="GE13" s="1241"/>
      <c r="GF13" s="1241"/>
      <c r="GG13" s="1241"/>
      <c r="GH13" s="1241"/>
      <c r="GI13" s="1241"/>
      <c r="GJ13" s="1241"/>
      <c r="GK13" s="1241"/>
      <c r="GL13" s="1241"/>
      <c r="GM13" s="1241"/>
      <c r="GN13" s="1241"/>
      <c r="GO13" s="1241"/>
      <c r="GP13" s="1241"/>
      <c r="GQ13" s="1241"/>
      <c r="GR13" s="1241"/>
      <c r="GS13" s="1241"/>
      <c r="GT13" s="1241"/>
      <c r="GU13" s="1241"/>
      <c r="GV13" s="1241"/>
      <c r="GW13" s="1241"/>
      <c r="GX13" s="1241"/>
      <c r="GY13" s="1241"/>
      <c r="GZ13" s="1241"/>
      <c r="HA13" s="1241"/>
      <c r="HB13" s="1241"/>
      <c r="HC13" s="1241"/>
      <c r="HD13" s="1241"/>
      <c r="HE13" s="1241"/>
      <c r="HF13" s="1241"/>
      <c r="HG13" s="1241"/>
      <c r="HH13" s="1241"/>
      <c r="HI13" s="1241"/>
      <c r="HJ13" s="1241"/>
      <c r="HK13" s="1241"/>
      <c r="HL13" s="1241"/>
      <c r="HM13" s="1241"/>
      <c r="HN13" s="1241"/>
      <c r="HO13" s="1241"/>
      <c r="HP13" s="1241"/>
      <c r="HQ13" s="1241"/>
      <c r="HR13" s="1241"/>
      <c r="HS13" s="1241"/>
      <c r="HT13" s="1241"/>
      <c r="HU13" s="1241"/>
      <c r="HV13" s="1253"/>
      <c r="HW13" s="1252"/>
      <c r="HX13" s="1241"/>
      <c r="HY13" s="1241"/>
      <c r="HZ13" s="1241"/>
      <c r="IA13" s="1241"/>
      <c r="IB13" s="1253"/>
      <c r="IC13" s="1252"/>
      <c r="ID13" s="1242"/>
      <c r="IE13" s="1227"/>
    </row>
    <row r="14" spans="1:239" s="1223" customFormat="1" ht="15" customHeight="1" x14ac:dyDescent="0.25">
      <c r="A14" s="730"/>
      <c r="B14" s="936" t="s">
        <v>830</v>
      </c>
      <c r="C14" s="936"/>
      <c r="D14" s="936"/>
      <c r="E14" s="936"/>
      <c r="F14" s="1260"/>
      <c r="G14" s="1260"/>
      <c r="H14" s="1241"/>
      <c r="I14" s="1241"/>
      <c r="J14" s="1241"/>
      <c r="K14" s="1241"/>
      <c r="L14" s="1241"/>
      <c r="M14" s="1241"/>
      <c r="N14" s="1241"/>
      <c r="O14" s="1241"/>
      <c r="P14" s="1241"/>
      <c r="Q14" s="1241"/>
      <c r="R14" s="1241"/>
      <c r="S14" s="1241"/>
      <c r="T14" s="1241"/>
      <c r="U14" s="1241"/>
      <c r="V14" s="1241"/>
      <c r="W14" s="1241"/>
      <c r="X14" s="1241"/>
      <c r="Y14" s="1241"/>
      <c r="Z14" s="1241"/>
      <c r="AA14" s="1241"/>
      <c r="AB14" s="1241"/>
      <c r="AC14" s="1241"/>
      <c r="AD14" s="1241"/>
      <c r="AE14" s="1241"/>
      <c r="AF14" s="1241"/>
      <c r="AG14" s="1241"/>
      <c r="AH14" s="1241"/>
      <c r="AI14" s="1241"/>
      <c r="AJ14" s="1241"/>
      <c r="AK14" s="1241"/>
      <c r="AL14" s="1241"/>
      <c r="AM14" s="1241"/>
      <c r="AN14" s="1241"/>
      <c r="AO14" s="1241"/>
      <c r="AP14" s="1241"/>
      <c r="AQ14" s="1241"/>
      <c r="AR14" s="1241"/>
      <c r="AS14" s="1241"/>
      <c r="AT14" s="1241"/>
      <c r="AU14" s="1241"/>
      <c r="AV14" s="1241"/>
      <c r="AW14" s="1241"/>
      <c r="AX14" s="1241"/>
      <c r="AY14" s="1241"/>
      <c r="AZ14" s="1241"/>
      <c r="BA14" s="1241"/>
      <c r="BB14" s="1241"/>
      <c r="BC14" s="1241"/>
      <c r="BD14" s="1241"/>
      <c r="BE14" s="1241"/>
      <c r="BF14" s="1241"/>
      <c r="BG14" s="1241"/>
      <c r="BH14" s="1241"/>
      <c r="BI14" s="1241"/>
      <c r="BJ14" s="1241"/>
      <c r="BK14" s="1241"/>
      <c r="BL14" s="1241"/>
      <c r="BM14" s="1241"/>
      <c r="BN14" s="1241"/>
      <c r="BO14" s="1241"/>
      <c r="BP14" s="1241"/>
      <c r="BQ14" s="1241"/>
      <c r="BR14" s="1241"/>
      <c r="BS14" s="1241"/>
      <c r="BT14" s="1241"/>
      <c r="BU14" s="1241"/>
      <c r="BV14" s="1241"/>
      <c r="BW14" s="1241"/>
      <c r="BX14" s="1241"/>
      <c r="BY14" s="1241"/>
      <c r="BZ14" s="1241"/>
      <c r="CA14" s="1241"/>
      <c r="CB14" s="1241"/>
      <c r="CC14" s="1241"/>
      <c r="CD14" s="1241"/>
      <c r="CE14" s="1241"/>
      <c r="CF14" s="1241"/>
      <c r="CG14" s="1241"/>
      <c r="CH14" s="1241"/>
      <c r="CI14" s="1241"/>
      <c r="CJ14" s="1241"/>
      <c r="CK14" s="1241"/>
      <c r="CL14" s="1241"/>
      <c r="CM14" s="1241"/>
      <c r="CN14" s="1241"/>
      <c r="CO14" s="1241"/>
      <c r="CP14" s="1241"/>
      <c r="CQ14" s="1241"/>
      <c r="CR14" s="1241"/>
      <c r="CS14" s="1241"/>
      <c r="CT14" s="1241"/>
      <c r="CU14" s="1241"/>
      <c r="CV14" s="1241"/>
      <c r="CW14" s="1241"/>
      <c r="CX14" s="1241"/>
      <c r="CY14" s="1241"/>
      <c r="CZ14" s="1241"/>
      <c r="DA14" s="1241"/>
      <c r="DB14" s="1241"/>
      <c r="DC14" s="1241"/>
      <c r="DD14" s="1241"/>
      <c r="DE14" s="1241"/>
      <c r="DF14" s="1241"/>
      <c r="DG14" s="1241"/>
      <c r="DH14" s="1241"/>
      <c r="DI14" s="1241"/>
      <c r="DJ14" s="1241"/>
      <c r="DK14" s="1241"/>
      <c r="DL14" s="1241"/>
      <c r="DM14" s="1241"/>
      <c r="DN14" s="1241"/>
      <c r="DO14" s="1241"/>
      <c r="DP14" s="1241"/>
      <c r="DQ14" s="1241"/>
      <c r="DR14" s="1241"/>
      <c r="DS14" s="1241"/>
      <c r="DT14" s="1241"/>
      <c r="DU14" s="1241"/>
      <c r="DV14" s="1241"/>
      <c r="DW14" s="1241"/>
      <c r="DX14" s="1241"/>
      <c r="DY14" s="1241"/>
      <c r="DZ14" s="1241"/>
      <c r="EA14" s="1241"/>
      <c r="EB14" s="1241"/>
      <c r="EC14" s="1241"/>
      <c r="ED14" s="1241"/>
      <c r="EE14" s="1241"/>
      <c r="EF14" s="1241"/>
      <c r="EG14" s="1241"/>
      <c r="EH14" s="1241"/>
      <c r="EI14" s="1241"/>
      <c r="EJ14" s="1241"/>
      <c r="EK14" s="1241"/>
      <c r="EL14" s="1241"/>
      <c r="EM14" s="1241"/>
      <c r="EN14" s="1241"/>
      <c r="EO14" s="1241"/>
      <c r="EP14" s="1241"/>
      <c r="EQ14" s="1241"/>
      <c r="ER14" s="1241"/>
      <c r="ES14" s="1241"/>
      <c r="ET14" s="1241"/>
      <c r="EU14" s="1241"/>
      <c r="EV14" s="1241"/>
      <c r="EW14" s="1241"/>
      <c r="EX14" s="1241"/>
      <c r="EY14" s="1241"/>
      <c r="EZ14" s="1241"/>
      <c r="FA14" s="1241"/>
      <c r="FB14" s="1241"/>
      <c r="FC14" s="1241"/>
      <c r="FD14" s="1241"/>
      <c r="FE14" s="1241"/>
      <c r="FF14" s="1241"/>
      <c r="FG14" s="1241"/>
      <c r="FH14" s="1241"/>
      <c r="FI14" s="1241"/>
      <c r="FJ14" s="1241"/>
      <c r="FK14" s="1241"/>
      <c r="FL14" s="1241"/>
      <c r="FM14" s="1241"/>
      <c r="FN14" s="1241"/>
      <c r="FO14" s="1241"/>
      <c r="FP14" s="1241"/>
      <c r="FQ14" s="1241"/>
      <c r="FR14" s="1241"/>
      <c r="FS14" s="1241"/>
      <c r="FT14" s="1241"/>
      <c r="FU14" s="1241"/>
      <c r="FV14" s="1241"/>
      <c r="FW14" s="1241"/>
      <c r="FX14" s="1241"/>
      <c r="FY14" s="1241"/>
      <c r="FZ14" s="1241"/>
      <c r="GA14" s="1241"/>
      <c r="GB14" s="1241"/>
      <c r="GC14" s="1241"/>
      <c r="GD14" s="1241"/>
      <c r="GE14" s="1241"/>
      <c r="GF14" s="1241"/>
      <c r="GG14" s="1241"/>
      <c r="GH14" s="1241"/>
      <c r="GI14" s="1241"/>
      <c r="GJ14" s="1241"/>
      <c r="GK14" s="1241"/>
      <c r="GL14" s="1241"/>
      <c r="GM14" s="1241"/>
      <c r="GN14" s="1241"/>
      <c r="GO14" s="1241"/>
      <c r="GP14" s="1241"/>
      <c r="GQ14" s="1241"/>
      <c r="GR14" s="1241"/>
      <c r="GS14" s="1241"/>
      <c r="GT14" s="1241"/>
      <c r="GU14" s="1241"/>
      <c r="GV14" s="1241"/>
      <c r="GW14" s="1241"/>
      <c r="GX14" s="1241"/>
      <c r="GY14" s="1241"/>
      <c r="GZ14" s="1241"/>
      <c r="HA14" s="1241"/>
      <c r="HB14" s="1241"/>
      <c r="HC14" s="1241"/>
      <c r="HD14" s="1241"/>
      <c r="HE14" s="1241"/>
      <c r="HF14" s="1241"/>
      <c r="HG14" s="1241"/>
      <c r="HH14" s="1241"/>
      <c r="HI14" s="1241"/>
      <c r="HJ14" s="1241"/>
      <c r="HK14" s="1241"/>
      <c r="HL14" s="1241"/>
      <c r="HM14" s="1241"/>
      <c r="HN14" s="1241"/>
      <c r="HO14" s="1241"/>
      <c r="HP14" s="1241"/>
      <c r="HQ14" s="1241"/>
      <c r="HR14" s="1241"/>
      <c r="HS14" s="1241"/>
      <c r="HT14" s="1241"/>
      <c r="HU14" s="1241"/>
      <c r="HV14" s="1253"/>
      <c r="HW14" s="1252"/>
      <c r="HX14" s="1241"/>
      <c r="HY14" s="1241"/>
      <c r="HZ14" s="1241"/>
      <c r="IA14" s="1241"/>
      <c r="IB14" s="1253"/>
      <c r="IC14" s="1252"/>
      <c r="ID14" s="1242"/>
      <c r="IE14" s="1227"/>
    </row>
    <row r="15" spans="1:239" s="1223" customFormat="1" ht="15" customHeight="1" x14ac:dyDescent="0.25">
      <c r="A15" s="730"/>
      <c r="B15" s="936" t="s">
        <v>831</v>
      </c>
      <c r="C15" s="936"/>
      <c r="D15" s="936"/>
      <c r="E15" s="936"/>
      <c r="F15" s="1260"/>
      <c r="G15" s="1260"/>
      <c r="H15" s="1241"/>
      <c r="I15" s="1241"/>
      <c r="J15" s="1241"/>
      <c r="K15" s="1241"/>
      <c r="L15" s="1241"/>
      <c r="M15" s="1241"/>
      <c r="N15" s="1241"/>
      <c r="O15" s="1241"/>
      <c r="P15" s="1241"/>
      <c r="Q15" s="1241"/>
      <c r="R15" s="1241"/>
      <c r="S15" s="1241"/>
      <c r="T15" s="1241"/>
      <c r="U15" s="1241"/>
      <c r="V15" s="1241"/>
      <c r="W15" s="1241"/>
      <c r="X15" s="1241"/>
      <c r="Y15" s="1241"/>
      <c r="Z15" s="1241"/>
      <c r="AA15" s="1241"/>
      <c r="AB15" s="1241"/>
      <c r="AC15" s="1241"/>
      <c r="AD15" s="1241"/>
      <c r="AE15" s="1241"/>
      <c r="AF15" s="1241"/>
      <c r="AG15" s="1241"/>
      <c r="AH15" s="1241"/>
      <c r="AI15" s="1241"/>
      <c r="AJ15" s="1241"/>
      <c r="AK15" s="1241"/>
      <c r="AL15" s="1241"/>
      <c r="AM15" s="1241"/>
      <c r="AN15" s="1241"/>
      <c r="AO15" s="1241"/>
      <c r="AP15" s="1241"/>
      <c r="AQ15" s="1241"/>
      <c r="AR15" s="1241"/>
      <c r="AS15" s="1241"/>
      <c r="AT15" s="1241"/>
      <c r="AU15" s="1241"/>
      <c r="AV15" s="1241"/>
      <c r="AW15" s="1241"/>
      <c r="AX15" s="1241"/>
      <c r="AY15" s="1241"/>
      <c r="AZ15" s="1241"/>
      <c r="BA15" s="1241"/>
      <c r="BB15" s="1241"/>
      <c r="BC15" s="1241"/>
      <c r="BD15" s="1241"/>
      <c r="BE15" s="1241"/>
      <c r="BF15" s="1241"/>
      <c r="BG15" s="1241"/>
      <c r="BH15" s="1241"/>
      <c r="BI15" s="1241"/>
      <c r="BJ15" s="1241"/>
      <c r="BK15" s="1241"/>
      <c r="BL15" s="1241"/>
      <c r="BM15" s="1241"/>
      <c r="BN15" s="1241"/>
      <c r="BO15" s="1241"/>
      <c r="BP15" s="1241"/>
      <c r="BQ15" s="1241"/>
      <c r="BR15" s="1241"/>
      <c r="BS15" s="1241"/>
      <c r="BT15" s="1241"/>
      <c r="BU15" s="1241"/>
      <c r="BV15" s="1241"/>
      <c r="BW15" s="1241"/>
      <c r="BX15" s="1241"/>
      <c r="BY15" s="1241"/>
      <c r="BZ15" s="1241"/>
      <c r="CA15" s="1241"/>
      <c r="CB15" s="1241"/>
      <c r="CC15" s="1241"/>
      <c r="CD15" s="1241"/>
      <c r="CE15" s="1241"/>
      <c r="CF15" s="1241"/>
      <c r="CG15" s="1241"/>
      <c r="CH15" s="1241"/>
      <c r="CI15" s="1241"/>
      <c r="CJ15" s="1241"/>
      <c r="CK15" s="1241"/>
      <c r="CL15" s="1241"/>
      <c r="CM15" s="1241"/>
      <c r="CN15" s="1241"/>
      <c r="CO15" s="1241"/>
      <c r="CP15" s="1241"/>
      <c r="CQ15" s="1241"/>
      <c r="CR15" s="1241"/>
      <c r="CS15" s="1241"/>
      <c r="CT15" s="1241"/>
      <c r="CU15" s="1241"/>
      <c r="CV15" s="1241"/>
      <c r="CW15" s="1241"/>
      <c r="CX15" s="1241"/>
      <c r="CY15" s="1241"/>
      <c r="CZ15" s="1241"/>
      <c r="DA15" s="1241"/>
      <c r="DB15" s="1241"/>
      <c r="DC15" s="1241"/>
      <c r="DD15" s="1241"/>
      <c r="DE15" s="1241"/>
      <c r="DF15" s="1241"/>
      <c r="DG15" s="1241"/>
      <c r="DH15" s="1241"/>
      <c r="DI15" s="1241"/>
      <c r="DJ15" s="1241"/>
      <c r="DK15" s="1241"/>
      <c r="DL15" s="1241"/>
      <c r="DM15" s="1241"/>
      <c r="DN15" s="1241"/>
      <c r="DO15" s="1241"/>
      <c r="DP15" s="1241"/>
      <c r="DQ15" s="1241"/>
      <c r="DR15" s="1241"/>
      <c r="DS15" s="1241"/>
      <c r="DT15" s="1241"/>
      <c r="DU15" s="1241"/>
      <c r="DV15" s="1241"/>
      <c r="DW15" s="1241"/>
      <c r="DX15" s="1241"/>
      <c r="DY15" s="1241"/>
      <c r="DZ15" s="1241"/>
      <c r="EA15" s="1241"/>
      <c r="EB15" s="1241"/>
      <c r="EC15" s="1241"/>
      <c r="ED15" s="1241"/>
      <c r="EE15" s="1241"/>
      <c r="EF15" s="1241"/>
      <c r="EG15" s="1241"/>
      <c r="EH15" s="1241"/>
      <c r="EI15" s="1241"/>
      <c r="EJ15" s="1241"/>
      <c r="EK15" s="1241"/>
      <c r="EL15" s="1241"/>
      <c r="EM15" s="1241"/>
      <c r="EN15" s="1241"/>
      <c r="EO15" s="1241"/>
      <c r="EP15" s="1241"/>
      <c r="EQ15" s="1241"/>
      <c r="ER15" s="1241"/>
      <c r="ES15" s="1241"/>
      <c r="ET15" s="1241"/>
      <c r="EU15" s="1241"/>
      <c r="EV15" s="1241"/>
      <c r="EW15" s="1241"/>
      <c r="EX15" s="1241"/>
      <c r="EY15" s="1241"/>
      <c r="EZ15" s="1241"/>
      <c r="FA15" s="1241"/>
      <c r="FB15" s="1241"/>
      <c r="FC15" s="1241"/>
      <c r="FD15" s="1241"/>
      <c r="FE15" s="1241"/>
      <c r="FF15" s="1241"/>
      <c r="FG15" s="1241"/>
      <c r="FH15" s="1241"/>
      <c r="FI15" s="1241"/>
      <c r="FJ15" s="1241"/>
      <c r="FK15" s="1241"/>
      <c r="FL15" s="1241"/>
      <c r="FM15" s="1241"/>
      <c r="FN15" s="1241"/>
      <c r="FO15" s="1241"/>
      <c r="FP15" s="1241"/>
      <c r="FQ15" s="1241"/>
      <c r="FR15" s="1241"/>
      <c r="FS15" s="1241"/>
      <c r="FT15" s="1241"/>
      <c r="FU15" s="1241"/>
      <c r="FV15" s="1241"/>
      <c r="FW15" s="1241"/>
      <c r="FX15" s="1241"/>
      <c r="FY15" s="1241"/>
      <c r="FZ15" s="1241"/>
      <c r="GA15" s="1241"/>
      <c r="GB15" s="1241"/>
      <c r="GC15" s="1241"/>
      <c r="GD15" s="1241"/>
      <c r="GE15" s="1241"/>
      <c r="GF15" s="1241"/>
      <c r="GG15" s="1241"/>
      <c r="GH15" s="1241"/>
      <c r="GI15" s="1241"/>
      <c r="GJ15" s="1241"/>
      <c r="GK15" s="1241"/>
      <c r="GL15" s="1241"/>
      <c r="GM15" s="1241"/>
      <c r="GN15" s="1241"/>
      <c r="GO15" s="1241"/>
      <c r="GP15" s="1241"/>
      <c r="GQ15" s="1241"/>
      <c r="GR15" s="1241"/>
      <c r="GS15" s="1241"/>
      <c r="GT15" s="1241"/>
      <c r="GU15" s="1241"/>
      <c r="GV15" s="1241"/>
      <c r="GW15" s="1241"/>
      <c r="GX15" s="1241"/>
      <c r="GY15" s="1241"/>
      <c r="GZ15" s="1241"/>
      <c r="HA15" s="1241"/>
      <c r="HB15" s="1241"/>
      <c r="HC15" s="1241"/>
      <c r="HD15" s="1241"/>
      <c r="HE15" s="1241"/>
      <c r="HF15" s="1241"/>
      <c r="HG15" s="1241"/>
      <c r="HH15" s="1241"/>
      <c r="HI15" s="1241"/>
      <c r="HJ15" s="1241"/>
      <c r="HK15" s="1241"/>
      <c r="HL15" s="1241"/>
      <c r="HM15" s="1241"/>
      <c r="HN15" s="1241"/>
      <c r="HO15" s="1241"/>
      <c r="HP15" s="1241"/>
      <c r="HQ15" s="1241"/>
      <c r="HR15" s="1241"/>
      <c r="HS15" s="1241"/>
      <c r="HT15" s="1241"/>
      <c r="HU15" s="1241"/>
      <c r="HV15" s="1253"/>
      <c r="HW15" s="1252"/>
      <c r="HX15" s="1241"/>
      <c r="HY15" s="1241"/>
      <c r="HZ15" s="1241"/>
      <c r="IA15" s="1241"/>
      <c r="IB15" s="1253"/>
      <c r="IC15" s="1252"/>
      <c r="ID15" s="1242"/>
      <c r="IE15" s="1227"/>
    </row>
    <row r="16" spans="1:239" s="1223" customFormat="1" ht="15" customHeight="1" x14ac:dyDescent="0.25">
      <c r="A16" s="730"/>
      <c r="B16" s="936" t="s">
        <v>832</v>
      </c>
      <c r="C16" s="936"/>
      <c r="D16" s="936"/>
      <c r="E16" s="936"/>
      <c r="F16" s="1260"/>
      <c r="G16" s="1260"/>
      <c r="H16" s="1241"/>
      <c r="I16" s="1241"/>
      <c r="J16" s="1241"/>
      <c r="K16" s="1241"/>
      <c r="L16" s="1241"/>
      <c r="M16" s="1241"/>
      <c r="N16" s="1241"/>
      <c r="O16" s="1241"/>
      <c r="P16" s="1241"/>
      <c r="Q16" s="1241"/>
      <c r="R16" s="1241"/>
      <c r="S16" s="1241"/>
      <c r="T16" s="1241"/>
      <c r="U16" s="1241"/>
      <c r="V16" s="1241"/>
      <c r="W16" s="1241"/>
      <c r="X16" s="1241"/>
      <c r="Y16" s="1241"/>
      <c r="Z16" s="1241"/>
      <c r="AA16" s="1241"/>
      <c r="AB16" s="1241"/>
      <c r="AC16" s="1241"/>
      <c r="AD16" s="1241"/>
      <c r="AE16" s="1241"/>
      <c r="AF16" s="1241"/>
      <c r="AG16" s="1241"/>
      <c r="AH16" s="1241"/>
      <c r="AI16" s="1241"/>
      <c r="AJ16" s="1241"/>
      <c r="AK16" s="1241"/>
      <c r="AL16" s="1241"/>
      <c r="AM16" s="1241"/>
      <c r="AN16" s="1241"/>
      <c r="AO16" s="1241"/>
      <c r="AP16" s="1241"/>
      <c r="AQ16" s="1241"/>
      <c r="AR16" s="1241"/>
      <c r="AS16" s="1241"/>
      <c r="AT16" s="1241"/>
      <c r="AU16" s="1241"/>
      <c r="AV16" s="1241"/>
      <c r="AW16" s="1241"/>
      <c r="AX16" s="1241"/>
      <c r="AY16" s="1241"/>
      <c r="AZ16" s="1241"/>
      <c r="BA16" s="1241"/>
      <c r="BB16" s="1241"/>
      <c r="BC16" s="1241"/>
      <c r="BD16" s="1241"/>
      <c r="BE16" s="1241"/>
      <c r="BF16" s="1241"/>
      <c r="BG16" s="1241"/>
      <c r="BH16" s="1241"/>
      <c r="BI16" s="1241"/>
      <c r="BJ16" s="1241"/>
      <c r="BK16" s="1241"/>
      <c r="BL16" s="1241"/>
      <c r="BM16" s="1241"/>
      <c r="BN16" s="1241"/>
      <c r="BO16" s="1241"/>
      <c r="BP16" s="1241"/>
      <c r="BQ16" s="1241"/>
      <c r="BR16" s="1241"/>
      <c r="BS16" s="1241"/>
      <c r="BT16" s="1241"/>
      <c r="BU16" s="1241"/>
      <c r="BV16" s="1241"/>
      <c r="BW16" s="1241"/>
      <c r="BX16" s="1241"/>
      <c r="BY16" s="1241"/>
      <c r="BZ16" s="1241"/>
      <c r="CA16" s="1241"/>
      <c r="CB16" s="1241"/>
      <c r="CC16" s="1241"/>
      <c r="CD16" s="1241"/>
      <c r="CE16" s="1241"/>
      <c r="CF16" s="1241"/>
      <c r="CG16" s="1241"/>
      <c r="CH16" s="1241"/>
      <c r="CI16" s="1241"/>
      <c r="CJ16" s="1241"/>
      <c r="CK16" s="1241"/>
      <c r="CL16" s="1241"/>
      <c r="CM16" s="1241"/>
      <c r="CN16" s="1241"/>
      <c r="CO16" s="1241"/>
      <c r="CP16" s="1241"/>
      <c r="CQ16" s="1241"/>
      <c r="CR16" s="1241"/>
      <c r="CS16" s="1241"/>
      <c r="CT16" s="1241"/>
      <c r="CU16" s="1241"/>
      <c r="CV16" s="1241"/>
      <c r="CW16" s="1241"/>
      <c r="CX16" s="1241"/>
      <c r="CY16" s="1241"/>
      <c r="CZ16" s="1241"/>
      <c r="DA16" s="1241"/>
      <c r="DB16" s="1241"/>
      <c r="DC16" s="1241"/>
      <c r="DD16" s="1241"/>
      <c r="DE16" s="1241"/>
      <c r="DF16" s="1241"/>
      <c r="DG16" s="1241"/>
      <c r="DH16" s="1241"/>
      <c r="DI16" s="1241"/>
      <c r="DJ16" s="1241"/>
      <c r="DK16" s="1241"/>
      <c r="DL16" s="1241"/>
      <c r="DM16" s="1241"/>
      <c r="DN16" s="1241"/>
      <c r="DO16" s="1241"/>
      <c r="DP16" s="1241"/>
      <c r="DQ16" s="1241"/>
      <c r="DR16" s="1241"/>
      <c r="DS16" s="1241"/>
      <c r="DT16" s="1241"/>
      <c r="DU16" s="1241"/>
      <c r="DV16" s="1241"/>
      <c r="DW16" s="1241"/>
      <c r="DX16" s="1241"/>
      <c r="DY16" s="1241"/>
      <c r="DZ16" s="1241"/>
      <c r="EA16" s="1241"/>
      <c r="EB16" s="1241"/>
      <c r="EC16" s="1241"/>
      <c r="ED16" s="1241"/>
      <c r="EE16" s="1241"/>
      <c r="EF16" s="1241"/>
      <c r="EG16" s="1241"/>
      <c r="EH16" s="1241"/>
      <c r="EI16" s="1241"/>
      <c r="EJ16" s="1241"/>
      <c r="EK16" s="1241"/>
      <c r="EL16" s="1241"/>
      <c r="EM16" s="1241"/>
      <c r="EN16" s="1241"/>
      <c r="EO16" s="1241"/>
      <c r="EP16" s="1241"/>
      <c r="EQ16" s="1241"/>
      <c r="ER16" s="1241"/>
      <c r="ES16" s="1241"/>
      <c r="ET16" s="1241"/>
      <c r="EU16" s="1241"/>
      <c r="EV16" s="1241"/>
      <c r="EW16" s="1241"/>
      <c r="EX16" s="1241"/>
      <c r="EY16" s="1241"/>
      <c r="EZ16" s="1241"/>
      <c r="FA16" s="1241"/>
      <c r="FB16" s="1241"/>
      <c r="FC16" s="1241"/>
      <c r="FD16" s="1241"/>
      <c r="FE16" s="1241"/>
      <c r="FF16" s="1241"/>
      <c r="FG16" s="1241"/>
      <c r="FH16" s="1241"/>
      <c r="FI16" s="1241"/>
      <c r="FJ16" s="1241"/>
      <c r="FK16" s="1241"/>
      <c r="FL16" s="1241"/>
      <c r="FM16" s="1241"/>
      <c r="FN16" s="1241"/>
      <c r="FO16" s="1241"/>
      <c r="FP16" s="1241"/>
      <c r="FQ16" s="1241"/>
      <c r="FR16" s="1241"/>
      <c r="FS16" s="1241"/>
      <c r="FT16" s="1241"/>
      <c r="FU16" s="1241"/>
      <c r="FV16" s="1241"/>
      <c r="FW16" s="1241"/>
      <c r="FX16" s="1241"/>
      <c r="FY16" s="1241"/>
      <c r="FZ16" s="1241"/>
      <c r="GA16" s="1241"/>
      <c r="GB16" s="1241"/>
      <c r="GC16" s="1241"/>
      <c r="GD16" s="1241"/>
      <c r="GE16" s="1241"/>
      <c r="GF16" s="1241"/>
      <c r="GG16" s="1241"/>
      <c r="GH16" s="1241"/>
      <c r="GI16" s="1241"/>
      <c r="GJ16" s="1241"/>
      <c r="GK16" s="1241"/>
      <c r="GL16" s="1241"/>
      <c r="GM16" s="1241"/>
      <c r="GN16" s="1241"/>
      <c r="GO16" s="1241"/>
      <c r="GP16" s="1241"/>
      <c r="GQ16" s="1241"/>
      <c r="GR16" s="1241"/>
      <c r="GS16" s="1241"/>
      <c r="GT16" s="1241"/>
      <c r="GU16" s="1241"/>
      <c r="GV16" s="1241"/>
      <c r="GW16" s="1241"/>
      <c r="GX16" s="1241"/>
      <c r="GY16" s="1241"/>
      <c r="GZ16" s="1241"/>
      <c r="HA16" s="1241"/>
      <c r="HB16" s="1241"/>
      <c r="HC16" s="1241"/>
      <c r="HD16" s="1241"/>
      <c r="HE16" s="1241"/>
      <c r="HF16" s="1241"/>
      <c r="HG16" s="1241"/>
      <c r="HH16" s="1241"/>
      <c r="HI16" s="1241"/>
      <c r="HJ16" s="1241"/>
      <c r="HK16" s="1241"/>
      <c r="HL16" s="1241"/>
      <c r="HM16" s="1241"/>
      <c r="HN16" s="1241"/>
      <c r="HO16" s="1241"/>
      <c r="HP16" s="1241"/>
      <c r="HQ16" s="1241"/>
      <c r="HR16" s="1241"/>
      <c r="HS16" s="1241"/>
      <c r="HT16" s="1241"/>
      <c r="HU16" s="1241"/>
      <c r="HV16" s="1253"/>
      <c r="HW16" s="1252"/>
      <c r="HX16" s="1241"/>
      <c r="HY16" s="1241"/>
      <c r="HZ16" s="1241"/>
      <c r="IA16" s="1241"/>
      <c r="IB16" s="1253"/>
      <c r="IC16" s="1252"/>
      <c r="ID16" s="1242"/>
      <c r="IE16" s="1227"/>
    </row>
    <row r="17" spans="1:239" s="1223" customFormat="1" ht="15.75" customHeight="1" x14ac:dyDescent="0.25">
      <c r="A17" s="730"/>
      <c r="B17" s="936" t="s">
        <v>833</v>
      </c>
      <c r="C17" s="936"/>
      <c r="D17" s="936"/>
      <c r="E17" s="936"/>
      <c r="F17" s="1260"/>
      <c r="G17" s="1260"/>
      <c r="H17" s="1241"/>
      <c r="I17" s="1241"/>
      <c r="J17" s="1241"/>
      <c r="K17" s="1241"/>
      <c r="L17" s="1241"/>
      <c r="M17" s="1241"/>
      <c r="N17" s="1241"/>
      <c r="O17" s="1241"/>
      <c r="P17" s="1241"/>
      <c r="Q17" s="1241"/>
      <c r="R17" s="1241"/>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1241"/>
      <c r="AS17" s="1241"/>
      <c r="AT17" s="1241"/>
      <c r="AU17" s="1241"/>
      <c r="AV17" s="1241"/>
      <c r="AW17" s="1241"/>
      <c r="AX17" s="1241"/>
      <c r="AY17" s="1241"/>
      <c r="AZ17" s="1241"/>
      <c r="BA17" s="1241"/>
      <c r="BB17" s="1241"/>
      <c r="BC17" s="1241"/>
      <c r="BD17" s="1241"/>
      <c r="BE17" s="1241"/>
      <c r="BF17" s="1241"/>
      <c r="BG17" s="1241"/>
      <c r="BH17" s="1241"/>
      <c r="BI17" s="1241"/>
      <c r="BJ17" s="1241"/>
      <c r="BK17" s="1241"/>
      <c r="BL17" s="1241"/>
      <c r="BM17" s="1241"/>
      <c r="BN17" s="1241"/>
      <c r="BO17" s="1241"/>
      <c r="BP17" s="1241"/>
      <c r="BQ17" s="1241"/>
      <c r="BR17" s="1241"/>
      <c r="BS17" s="1241"/>
      <c r="BT17" s="1241"/>
      <c r="BU17" s="1241"/>
      <c r="BV17" s="1241"/>
      <c r="BW17" s="1241"/>
      <c r="BX17" s="1241"/>
      <c r="BY17" s="1241"/>
      <c r="BZ17" s="1241"/>
      <c r="CA17" s="1241"/>
      <c r="CB17" s="1241"/>
      <c r="CC17" s="1241"/>
      <c r="CD17" s="1241"/>
      <c r="CE17" s="1241"/>
      <c r="CF17" s="1241"/>
      <c r="CG17" s="1241"/>
      <c r="CH17" s="1241"/>
      <c r="CI17" s="1241"/>
      <c r="CJ17" s="1241"/>
      <c r="CK17" s="1241"/>
      <c r="CL17" s="1241"/>
      <c r="CM17" s="1241"/>
      <c r="CN17" s="1241"/>
      <c r="CO17" s="1241"/>
      <c r="CP17" s="1241"/>
      <c r="CQ17" s="1241"/>
      <c r="CR17" s="1241"/>
      <c r="CS17" s="1241"/>
      <c r="CT17" s="1241"/>
      <c r="CU17" s="1241"/>
      <c r="CV17" s="1241"/>
      <c r="CW17" s="1241"/>
      <c r="CX17" s="1241"/>
      <c r="CY17" s="1241"/>
      <c r="CZ17" s="1241"/>
      <c r="DA17" s="1241"/>
      <c r="DB17" s="1241"/>
      <c r="DC17" s="1241"/>
      <c r="DD17" s="1241"/>
      <c r="DE17" s="1241"/>
      <c r="DF17" s="1241"/>
      <c r="DG17" s="1241"/>
      <c r="DH17" s="1241"/>
      <c r="DI17" s="1241"/>
      <c r="DJ17" s="1241"/>
      <c r="DK17" s="1241"/>
      <c r="DL17" s="1241"/>
      <c r="DM17" s="1241"/>
      <c r="DN17" s="1241"/>
      <c r="DO17" s="1241"/>
      <c r="DP17" s="1241"/>
      <c r="DQ17" s="1241"/>
      <c r="DR17" s="1241"/>
      <c r="DS17" s="1241"/>
      <c r="DT17" s="1241"/>
      <c r="DU17" s="1241"/>
      <c r="DV17" s="1241"/>
      <c r="DW17" s="1241"/>
      <c r="DX17" s="1241"/>
      <c r="DY17" s="1241"/>
      <c r="DZ17" s="1241"/>
      <c r="EA17" s="1241"/>
      <c r="EB17" s="1241"/>
      <c r="EC17" s="1241"/>
      <c r="ED17" s="1241"/>
      <c r="EE17" s="1241"/>
      <c r="EF17" s="1241"/>
      <c r="EG17" s="1241"/>
      <c r="EH17" s="1241"/>
      <c r="EI17" s="1241"/>
      <c r="EJ17" s="1241"/>
      <c r="EK17" s="1241"/>
      <c r="EL17" s="1241"/>
      <c r="EM17" s="1241"/>
      <c r="EN17" s="1241"/>
      <c r="EO17" s="1241"/>
      <c r="EP17" s="1241"/>
      <c r="EQ17" s="1241"/>
      <c r="ER17" s="1241"/>
      <c r="ES17" s="1241"/>
      <c r="ET17" s="1241"/>
      <c r="EU17" s="1241"/>
      <c r="EV17" s="1241"/>
      <c r="EW17" s="1241"/>
      <c r="EX17" s="1241"/>
      <c r="EY17" s="1241"/>
      <c r="EZ17" s="1241"/>
      <c r="FA17" s="1241"/>
      <c r="FB17" s="1241"/>
      <c r="FC17" s="1241"/>
      <c r="FD17" s="1241"/>
      <c r="FE17" s="1241"/>
      <c r="FF17" s="1241"/>
      <c r="FG17" s="1241"/>
      <c r="FH17" s="1241"/>
      <c r="FI17" s="1241"/>
      <c r="FJ17" s="1241"/>
      <c r="FK17" s="1241"/>
      <c r="FL17" s="1241"/>
      <c r="FM17" s="1241"/>
      <c r="FN17" s="1241"/>
      <c r="FO17" s="1241"/>
      <c r="FP17" s="1241"/>
      <c r="FQ17" s="1241"/>
      <c r="FR17" s="1241"/>
      <c r="FS17" s="1241"/>
      <c r="FT17" s="1241"/>
      <c r="FU17" s="1241"/>
      <c r="FV17" s="1241"/>
      <c r="FW17" s="1241"/>
      <c r="FX17" s="1241"/>
      <c r="FY17" s="1241"/>
      <c r="FZ17" s="1241"/>
      <c r="GA17" s="1241"/>
      <c r="GB17" s="1241"/>
      <c r="GC17" s="1241"/>
      <c r="GD17" s="1241"/>
      <c r="GE17" s="1241"/>
      <c r="GF17" s="1241"/>
      <c r="GG17" s="1241"/>
      <c r="GH17" s="1241"/>
      <c r="GI17" s="1241"/>
      <c r="GJ17" s="1241"/>
      <c r="GK17" s="1241"/>
      <c r="GL17" s="1241"/>
      <c r="GM17" s="1241"/>
      <c r="GN17" s="1241"/>
      <c r="GO17" s="1241"/>
      <c r="GP17" s="1241"/>
      <c r="GQ17" s="1241"/>
      <c r="GR17" s="1241"/>
      <c r="GS17" s="1241"/>
      <c r="GT17" s="1241"/>
      <c r="GU17" s="1241"/>
      <c r="GV17" s="1241"/>
      <c r="GW17" s="1241"/>
      <c r="GX17" s="1241"/>
      <c r="GY17" s="1241"/>
      <c r="GZ17" s="1241"/>
      <c r="HA17" s="1241"/>
      <c r="HB17" s="1241"/>
      <c r="HC17" s="1241"/>
      <c r="HD17" s="1241"/>
      <c r="HE17" s="1241"/>
      <c r="HF17" s="1241"/>
      <c r="HG17" s="1241"/>
      <c r="HH17" s="1241"/>
      <c r="HI17" s="1241"/>
      <c r="HJ17" s="1241"/>
      <c r="HK17" s="1241"/>
      <c r="HL17" s="1241"/>
      <c r="HM17" s="1241"/>
      <c r="HN17" s="1241"/>
      <c r="HO17" s="1241"/>
      <c r="HP17" s="1241"/>
      <c r="HQ17" s="1241"/>
      <c r="HR17" s="1241"/>
      <c r="HS17" s="1241"/>
      <c r="HT17" s="1241"/>
      <c r="HU17" s="1241"/>
      <c r="HV17" s="1253"/>
      <c r="HW17" s="1252"/>
      <c r="HX17" s="1241"/>
      <c r="HY17" s="1241"/>
      <c r="HZ17" s="1241"/>
      <c r="IA17" s="1241"/>
      <c r="IB17" s="1253"/>
      <c r="IC17" s="1252"/>
      <c r="ID17" s="1242"/>
      <c r="IE17" s="1227"/>
    </row>
    <row r="18" spans="1:239" s="1223" customFormat="1" ht="15" customHeight="1" x14ac:dyDescent="0.25">
      <c r="A18" s="730"/>
      <c r="B18" s="936" t="s">
        <v>834</v>
      </c>
      <c r="C18" s="936"/>
      <c r="D18" s="936"/>
      <c r="E18" s="936"/>
      <c r="F18" s="1260"/>
      <c r="G18" s="1260"/>
      <c r="H18" s="1241"/>
      <c r="I18" s="1241"/>
      <c r="J18" s="1241"/>
      <c r="K18" s="1241"/>
      <c r="L18" s="1241"/>
      <c r="M18" s="1241"/>
      <c r="N18" s="1241"/>
      <c r="O18" s="1241"/>
      <c r="P18" s="1241"/>
      <c r="Q18" s="1241"/>
      <c r="R18" s="1241"/>
      <c r="S18" s="1241"/>
      <c r="T18" s="1241"/>
      <c r="U18" s="1241"/>
      <c r="V18" s="1241"/>
      <c r="W18" s="1241"/>
      <c r="X18" s="1241"/>
      <c r="Y18" s="1241"/>
      <c r="Z18" s="1241"/>
      <c r="AA18" s="1241"/>
      <c r="AB18" s="1241"/>
      <c r="AC18" s="1241"/>
      <c r="AD18" s="1241"/>
      <c r="AE18" s="1241"/>
      <c r="AF18" s="1241"/>
      <c r="AG18" s="1241"/>
      <c r="AH18" s="1241"/>
      <c r="AI18" s="1241"/>
      <c r="AJ18" s="1241"/>
      <c r="AK18" s="1241"/>
      <c r="AL18" s="1241"/>
      <c r="AM18" s="1241"/>
      <c r="AN18" s="1241"/>
      <c r="AO18" s="1241"/>
      <c r="AP18" s="1241"/>
      <c r="AQ18" s="1241"/>
      <c r="AR18" s="1241"/>
      <c r="AS18" s="1241"/>
      <c r="AT18" s="1241"/>
      <c r="AU18" s="1241"/>
      <c r="AV18" s="1241"/>
      <c r="AW18" s="1241"/>
      <c r="AX18" s="1241"/>
      <c r="AY18" s="1241"/>
      <c r="AZ18" s="1241"/>
      <c r="BA18" s="1241"/>
      <c r="BB18" s="1241"/>
      <c r="BC18" s="1241"/>
      <c r="BD18" s="1241"/>
      <c r="BE18" s="1241"/>
      <c r="BF18" s="1241"/>
      <c r="BG18" s="1241"/>
      <c r="BH18" s="1241"/>
      <c r="BI18" s="1241"/>
      <c r="BJ18" s="1241"/>
      <c r="BK18" s="1241"/>
      <c r="BL18" s="1241"/>
      <c r="BM18" s="1241"/>
      <c r="BN18" s="1241"/>
      <c r="BO18" s="1241"/>
      <c r="BP18" s="1241"/>
      <c r="BQ18" s="1241"/>
      <c r="BR18" s="1241"/>
      <c r="BS18" s="1241"/>
      <c r="BT18" s="1241"/>
      <c r="BU18" s="1241"/>
      <c r="BV18" s="1241"/>
      <c r="BW18" s="1241"/>
      <c r="BX18" s="1241"/>
      <c r="BY18" s="1241"/>
      <c r="BZ18" s="1241"/>
      <c r="CA18" s="1241"/>
      <c r="CB18" s="1241"/>
      <c r="CC18" s="1241"/>
      <c r="CD18" s="1241"/>
      <c r="CE18" s="1241"/>
      <c r="CF18" s="1241"/>
      <c r="CG18" s="1241"/>
      <c r="CH18" s="1241"/>
      <c r="CI18" s="1241"/>
      <c r="CJ18" s="1241"/>
      <c r="CK18" s="1241"/>
      <c r="CL18" s="1241"/>
      <c r="CM18" s="1241"/>
      <c r="CN18" s="1241"/>
      <c r="CO18" s="1241"/>
      <c r="CP18" s="1241"/>
      <c r="CQ18" s="1241"/>
      <c r="CR18" s="1241"/>
      <c r="CS18" s="1241"/>
      <c r="CT18" s="1241"/>
      <c r="CU18" s="1241"/>
      <c r="CV18" s="1241"/>
      <c r="CW18" s="1241"/>
      <c r="CX18" s="1241"/>
      <c r="CY18" s="1241"/>
      <c r="CZ18" s="1241"/>
      <c r="DA18" s="1241"/>
      <c r="DB18" s="1241"/>
      <c r="DC18" s="1241"/>
      <c r="DD18" s="1241"/>
      <c r="DE18" s="1241"/>
      <c r="DF18" s="1241"/>
      <c r="DG18" s="1241"/>
      <c r="DH18" s="1241"/>
      <c r="DI18" s="1241"/>
      <c r="DJ18" s="1241"/>
      <c r="DK18" s="1241"/>
      <c r="DL18" s="1241"/>
      <c r="DM18" s="1241"/>
      <c r="DN18" s="1241"/>
      <c r="DO18" s="1241"/>
      <c r="DP18" s="1241"/>
      <c r="DQ18" s="1241"/>
      <c r="DR18" s="1241"/>
      <c r="DS18" s="1241"/>
      <c r="DT18" s="1241"/>
      <c r="DU18" s="1241"/>
      <c r="DV18" s="1241"/>
      <c r="DW18" s="1241"/>
      <c r="DX18" s="1241"/>
      <c r="DY18" s="1241"/>
      <c r="DZ18" s="1241"/>
      <c r="EA18" s="1241"/>
      <c r="EB18" s="1241"/>
      <c r="EC18" s="1241"/>
      <c r="ED18" s="1241"/>
      <c r="EE18" s="1241"/>
      <c r="EF18" s="1241"/>
      <c r="EG18" s="1241"/>
      <c r="EH18" s="1241"/>
      <c r="EI18" s="1241"/>
      <c r="EJ18" s="1241"/>
      <c r="EK18" s="1241"/>
      <c r="EL18" s="1241"/>
      <c r="EM18" s="1241"/>
      <c r="EN18" s="1241"/>
      <c r="EO18" s="1241"/>
      <c r="EP18" s="1241"/>
      <c r="EQ18" s="1241"/>
      <c r="ER18" s="1241"/>
      <c r="ES18" s="1241"/>
      <c r="ET18" s="1241"/>
      <c r="EU18" s="1241"/>
      <c r="EV18" s="1241"/>
      <c r="EW18" s="1241"/>
      <c r="EX18" s="1241"/>
      <c r="EY18" s="1241"/>
      <c r="EZ18" s="1241"/>
      <c r="FA18" s="1241"/>
      <c r="FB18" s="1241"/>
      <c r="FC18" s="1241"/>
      <c r="FD18" s="1241"/>
      <c r="FE18" s="1241"/>
      <c r="FF18" s="1241"/>
      <c r="FG18" s="1241"/>
      <c r="FH18" s="1241"/>
      <c r="FI18" s="1241"/>
      <c r="FJ18" s="1241"/>
      <c r="FK18" s="1241"/>
      <c r="FL18" s="1241"/>
      <c r="FM18" s="1241"/>
      <c r="FN18" s="1241"/>
      <c r="FO18" s="1241"/>
      <c r="FP18" s="1241"/>
      <c r="FQ18" s="1241"/>
      <c r="FR18" s="1241"/>
      <c r="FS18" s="1241"/>
      <c r="FT18" s="1241"/>
      <c r="FU18" s="1241"/>
      <c r="FV18" s="1241"/>
      <c r="FW18" s="1241"/>
      <c r="FX18" s="1241"/>
      <c r="FY18" s="1241"/>
      <c r="FZ18" s="1241"/>
      <c r="GA18" s="1241"/>
      <c r="GB18" s="1241"/>
      <c r="GC18" s="1241"/>
      <c r="GD18" s="1241"/>
      <c r="GE18" s="1241"/>
      <c r="GF18" s="1241"/>
      <c r="GG18" s="1241"/>
      <c r="GH18" s="1241"/>
      <c r="GI18" s="1241"/>
      <c r="GJ18" s="1241"/>
      <c r="GK18" s="1241"/>
      <c r="GL18" s="1241"/>
      <c r="GM18" s="1241"/>
      <c r="GN18" s="1241"/>
      <c r="GO18" s="1241"/>
      <c r="GP18" s="1241"/>
      <c r="GQ18" s="1241"/>
      <c r="GR18" s="1241"/>
      <c r="GS18" s="1241"/>
      <c r="GT18" s="1241"/>
      <c r="GU18" s="1241"/>
      <c r="GV18" s="1241"/>
      <c r="GW18" s="1241"/>
      <c r="GX18" s="1241"/>
      <c r="GY18" s="1241"/>
      <c r="GZ18" s="1241"/>
      <c r="HA18" s="1241"/>
      <c r="HB18" s="1241"/>
      <c r="HC18" s="1241"/>
      <c r="HD18" s="1241"/>
      <c r="HE18" s="1241"/>
      <c r="HF18" s="1241"/>
      <c r="HG18" s="1241"/>
      <c r="HH18" s="1241"/>
      <c r="HI18" s="1241"/>
      <c r="HJ18" s="1241"/>
      <c r="HK18" s="1241"/>
      <c r="HL18" s="1241"/>
      <c r="HM18" s="1241"/>
      <c r="HN18" s="1241"/>
      <c r="HO18" s="1241"/>
      <c r="HP18" s="1241"/>
      <c r="HQ18" s="1241"/>
      <c r="HR18" s="1241"/>
      <c r="HS18" s="1241"/>
      <c r="HT18" s="1241"/>
      <c r="HU18" s="1241"/>
      <c r="HV18" s="1253"/>
      <c r="HW18" s="1252"/>
      <c r="HX18" s="1241"/>
      <c r="HY18" s="1241"/>
      <c r="HZ18" s="1241"/>
      <c r="IA18" s="1241"/>
      <c r="IB18" s="1253"/>
      <c r="IC18" s="1252"/>
      <c r="ID18" s="1242"/>
      <c r="IE18" s="1227"/>
    </row>
    <row r="19" spans="1:239" s="1223" customFormat="1" ht="15" customHeight="1" x14ac:dyDescent="0.25">
      <c r="A19" s="730"/>
      <c r="B19" s="936" t="s">
        <v>835</v>
      </c>
      <c r="C19" s="936"/>
      <c r="D19" s="936"/>
      <c r="E19" s="936"/>
      <c r="F19" s="1260"/>
      <c r="G19" s="1260"/>
      <c r="H19" s="1241"/>
      <c r="I19" s="1241"/>
      <c r="J19" s="1241"/>
      <c r="K19" s="1241"/>
      <c r="L19" s="1241"/>
      <c r="M19" s="1241"/>
      <c r="N19" s="1241"/>
      <c r="O19" s="1241"/>
      <c r="P19" s="1241"/>
      <c r="Q19" s="1241"/>
      <c r="R19" s="1241"/>
      <c r="S19" s="1241"/>
      <c r="T19" s="1241"/>
      <c r="U19" s="1241"/>
      <c r="V19" s="1241"/>
      <c r="W19" s="1241"/>
      <c r="X19" s="1241"/>
      <c r="Y19" s="1241"/>
      <c r="Z19" s="1241"/>
      <c r="AA19" s="1241"/>
      <c r="AB19" s="1241"/>
      <c r="AC19" s="1241"/>
      <c r="AD19" s="1241"/>
      <c r="AE19" s="1241"/>
      <c r="AF19" s="1241"/>
      <c r="AG19" s="1241"/>
      <c r="AH19" s="1241"/>
      <c r="AI19" s="1241"/>
      <c r="AJ19" s="1241"/>
      <c r="AK19" s="1241"/>
      <c r="AL19" s="1241"/>
      <c r="AM19" s="1241"/>
      <c r="AN19" s="1241"/>
      <c r="AO19" s="1241"/>
      <c r="AP19" s="1241"/>
      <c r="AQ19" s="1241"/>
      <c r="AR19" s="1241"/>
      <c r="AS19" s="1241"/>
      <c r="AT19" s="1241"/>
      <c r="AU19" s="1241"/>
      <c r="AV19" s="1241"/>
      <c r="AW19" s="1241"/>
      <c r="AX19" s="1241"/>
      <c r="AY19" s="1241"/>
      <c r="AZ19" s="1241"/>
      <c r="BA19" s="1241"/>
      <c r="BB19" s="1241"/>
      <c r="BC19" s="1241"/>
      <c r="BD19" s="1241"/>
      <c r="BE19" s="1241"/>
      <c r="BF19" s="1241"/>
      <c r="BG19" s="1241"/>
      <c r="BH19" s="1241"/>
      <c r="BI19" s="1241"/>
      <c r="BJ19" s="1241"/>
      <c r="BK19" s="1241"/>
      <c r="BL19" s="1241"/>
      <c r="BM19" s="1241"/>
      <c r="BN19" s="1241"/>
      <c r="BO19" s="1241"/>
      <c r="BP19" s="1241"/>
      <c r="BQ19" s="1241"/>
      <c r="BR19" s="1241"/>
      <c r="BS19" s="1241"/>
      <c r="BT19" s="1241"/>
      <c r="BU19" s="1241"/>
      <c r="BV19" s="1241"/>
      <c r="BW19" s="1241"/>
      <c r="BX19" s="1241"/>
      <c r="BY19" s="1241"/>
      <c r="BZ19" s="1241"/>
      <c r="CA19" s="1241"/>
      <c r="CB19" s="1241"/>
      <c r="CC19" s="1241"/>
      <c r="CD19" s="1241"/>
      <c r="CE19" s="1241"/>
      <c r="CF19" s="1241"/>
      <c r="CG19" s="1241"/>
      <c r="CH19" s="1241"/>
      <c r="CI19" s="1241"/>
      <c r="CJ19" s="1241"/>
      <c r="CK19" s="1241"/>
      <c r="CL19" s="1241"/>
      <c r="CM19" s="1241"/>
      <c r="CN19" s="1241"/>
      <c r="CO19" s="1241"/>
      <c r="CP19" s="1241"/>
      <c r="CQ19" s="1241"/>
      <c r="CR19" s="1241"/>
      <c r="CS19" s="1241"/>
      <c r="CT19" s="1241"/>
      <c r="CU19" s="1241"/>
      <c r="CV19" s="1241"/>
      <c r="CW19" s="1241"/>
      <c r="CX19" s="1241"/>
      <c r="CY19" s="1241"/>
      <c r="CZ19" s="1241"/>
      <c r="DA19" s="1241"/>
      <c r="DB19" s="1241"/>
      <c r="DC19" s="1241"/>
      <c r="DD19" s="1241"/>
      <c r="DE19" s="1241"/>
      <c r="DF19" s="1241"/>
      <c r="DG19" s="1241"/>
      <c r="DH19" s="1241"/>
      <c r="DI19" s="1241"/>
      <c r="DJ19" s="1241"/>
      <c r="DK19" s="1241"/>
      <c r="DL19" s="1241"/>
      <c r="DM19" s="1241"/>
      <c r="DN19" s="1241"/>
      <c r="DO19" s="1241"/>
      <c r="DP19" s="1241"/>
      <c r="DQ19" s="1241"/>
      <c r="DR19" s="1241"/>
      <c r="DS19" s="1241"/>
      <c r="DT19" s="1241"/>
      <c r="DU19" s="1241"/>
      <c r="DV19" s="1241"/>
      <c r="DW19" s="1241"/>
      <c r="DX19" s="1241"/>
      <c r="DY19" s="1241"/>
      <c r="DZ19" s="1241"/>
      <c r="EA19" s="1241"/>
      <c r="EB19" s="1241"/>
      <c r="EC19" s="1241"/>
      <c r="ED19" s="1241"/>
      <c r="EE19" s="1241"/>
      <c r="EF19" s="1241"/>
      <c r="EG19" s="1241"/>
      <c r="EH19" s="1241"/>
      <c r="EI19" s="1241"/>
      <c r="EJ19" s="1241"/>
      <c r="EK19" s="1241"/>
      <c r="EL19" s="1241"/>
      <c r="EM19" s="1241"/>
      <c r="EN19" s="1241"/>
      <c r="EO19" s="1241"/>
      <c r="EP19" s="1241"/>
      <c r="EQ19" s="1241"/>
      <c r="ER19" s="1241"/>
      <c r="ES19" s="1241"/>
      <c r="ET19" s="1241"/>
      <c r="EU19" s="1241"/>
      <c r="EV19" s="1241"/>
      <c r="EW19" s="1241"/>
      <c r="EX19" s="1241"/>
      <c r="EY19" s="1241"/>
      <c r="EZ19" s="1241"/>
      <c r="FA19" s="1241"/>
      <c r="FB19" s="1241"/>
      <c r="FC19" s="1241"/>
      <c r="FD19" s="1241"/>
      <c r="FE19" s="1241"/>
      <c r="FF19" s="1241"/>
      <c r="FG19" s="1241"/>
      <c r="FH19" s="1241"/>
      <c r="FI19" s="1241"/>
      <c r="FJ19" s="1241"/>
      <c r="FK19" s="1241"/>
      <c r="FL19" s="1241"/>
      <c r="FM19" s="1241"/>
      <c r="FN19" s="1241"/>
      <c r="FO19" s="1241"/>
      <c r="FP19" s="1241"/>
      <c r="FQ19" s="1241"/>
      <c r="FR19" s="1241"/>
      <c r="FS19" s="1241"/>
      <c r="FT19" s="1241"/>
      <c r="FU19" s="1241"/>
      <c r="FV19" s="1241"/>
      <c r="FW19" s="1241"/>
      <c r="FX19" s="1241"/>
      <c r="FY19" s="1241"/>
      <c r="FZ19" s="1241"/>
      <c r="GA19" s="1241"/>
      <c r="GB19" s="1241"/>
      <c r="GC19" s="1241"/>
      <c r="GD19" s="1241"/>
      <c r="GE19" s="1241"/>
      <c r="GF19" s="1241"/>
      <c r="GG19" s="1241"/>
      <c r="GH19" s="1241"/>
      <c r="GI19" s="1241"/>
      <c r="GJ19" s="1241"/>
      <c r="GK19" s="1241"/>
      <c r="GL19" s="1241"/>
      <c r="GM19" s="1241"/>
      <c r="GN19" s="1241"/>
      <c r="GO19" s="1241"/>
      <c r="GP19" s="1241"/>
      <c r="GQ19" s="1241"/>
      <c r="GR19" s="1241"/>
      <c r="GS19" s="1241"/>
      <c r="GT19" s="1241"/>
      <c r="GU19" s="1241"/>
      <c r="GV19" s="1241"/>
      <c r="GW19" s="1241"/>
      <c r="GX19" s="1241"/>
      <c r="GY19" s="1241"/>
      <c r="GZ19" s="1241"/>
      <c r="HA19" s="1241"/>
      <c r="HB19" s="1241"/>
      <c r="HC19" s="1241"/>
      <c r="HD19" s="1241"/>
      <c r="HE19" s="1241"/>
      <c r="HF19" s="1241"/>
      <c r="HG19" s="1241"/>
      <c r="HH19" s="1241"/>
      <c r="HI19" s="1241"/>
      <c r="HJ19" s="1241"/>
      <c r="HK19" s="1241"/>
      <c r="HL19" s="1241"/>
      <c r="HM19" s="1241"/>
      <c r="HN19" s="1241"/>
      <c r="HO19" s="1241"/>
      <c r="HP19" s="1241"/>
      <c r="HQ19" s="1241"/>
      <c r="HR19" s="1241"/>
      <c r="HS19" s="1241"/>
      <c r="HT19" s="1241"/>
      <c r="HU19" s="1241"/>
      <c r="HV19" s="1253"/>
      <c r="HW19" s="1252"/>
      <c r="HX19" s="1241"/>
      <c r="HY19" s="1241"/>
      <c r="HZ19" s="1241"/>
      <c r="IA19" s="1241"/>
      <c r="IB19" s="1253"/>
      <c r="IC19" s="1252"/>
      <c r="ID19" s="1242"/>
      <c r="IE19" s="1227"/>
    </row>
    <row r="20" spans="1:239" s="1223" customFormat="1" ht="15" customHeight="1" x14ac:dyDescent="0.25">
      <c r="A20" s="730"/>
      <c r="B20" s="936" t="s">
        <v>836</v>
      </c>
      <c r="C20" s="936"/>
      <c r="D20" s="936"/>
      <c r="E20" s="936"/>
      <c r="F20" s="1260"/>
      <c r="G20" s="1260"/>
      <c r="H20" s="1241"/>
      <c r="I20" s="1241"/>
      <c r="J20" s="1241"/>
      <c r="K20" s="1241"/>
      <c r="L20" s="1241"/>
      <c r="M20" s="1241"/>
      <c r="N20" s="1241"/>
      <c r="O20" s="1241"/>
      <c r="P20" s="1241"/>
      <c r="Q20" s="1241"/>
      <c r="R20" s="1241"/>
      <c r="S20" s="1241"/>
      <c r="T20" s="1241"/>
      <c r="U20" s="1241"/>
      <c r="V20" s="1241"/>
      <c r="W20" s="1241"/>
      <c r="X20" s="1241"/>
      <c r="Y20" s="1241"/>
      <c r="Z20" s="1241"/>
      <c r="AA20" s="1241"/>
      <c r="AB20" s="1241"/>
      <c r="AC20" s="1241"/>
      <c r="AD20" s="1241"/>
      <c r="AE20" s="1241"/>
      <c r="AF20" s="1241"/>
      <c r="AG20" s="1241"/>
      <c r="AH20" s="1241"/>
      <c r="AI20" s="1241"/>
      <c r="AJ20" s="1241"/>
      <c r="AK20" s="1241"/>
      <c r="AL20" s="1241"/>
      <c r="AM20" s="1241"/>
      <c r="AN20" s="1241"/>
      <c r="AO20" s="1241"/>
      <c r="AP20" s="1241"/>
      <c r="AQ20" s="1241"/>
      <c r="AR20" s="1241"/>
      <c r="AS20" s="1241"/>
      <c r="AT20" s="1241"/>
      <c r="AU20" s="1241"/>
      <c r="AV20" s="1241"/>
      <c r="AW20" s="1241"/>
      <c r="AX20" s="1241"/>
      <c r="AY20" s="1241"/>
      <c r="AZ20" s="1241"/>
      <c r="BA20" s="1241"/>
      <c r="BB20" s="1241"/>
      <c r="BC20" s="1241"/>
      <c r="BD20" s="1241"/>
      <c r="BE20" s="1241"/>
      <c r="BF20" s="1241"/>
      <c r="BG20" s="1241"/>
      <c r="BH20" s="1241"/>
      <c r="BI20" s="1241"/>
      <c r="BJ20" s="1241"/>
      <c r="BK20" s="1241"/>
      <c r="BL20" s="1241"/>
      <c r="BM20" s="1241"/>
      <c r="BN20" s="1241"/>
      <c r="BO20" s="1241"/>
      <c r="BP20" s="1241"/>
      <c r="BQ20" s="1241"/>
      <c r="BR20" s="1241"/>
      <c r="BS20" s="1241"/>
      <c r="BT20" s="1241"/>
      <c r="BU20" s="1241"/>
      <c r="BV20" s="1241"/>
      <c r="BW20" s="1241"/>
      <c r="BX20" s="1241"/>
      <c r="BY20" s="1241"/>
      <c r="BZ20" s="1241"/>
      <c r="CA20" s="1241"/>
      <c r="CB20" s="1241"/>
      <c r="CC20" s="1241"/>
      <c r="CD20" s="1241"/>
      <c r="CE20" s="1241"/>
      <c r="CF20" s="1241"/>
      <c r="CG20" s="1241"/>
      <c r="CH20" s="1241"/>
      <c r="CI20" s="1241"/>
      <c r="CJ20" s="1241"/>
      <c r="CK20" s="1241"/>
      <c r="CL20" s="1241"/>
      <c r="CM20" s="1241"/>
      <c r="CN20" s="1241"/>
      <c r="CO20" s="1241"/>
      <c r="CP20" s="1241"/>
      <c r="CQ20" s="1241"/>
      <c r="CR20" s="1241"/>
      <c r="CS20" s="1241"/>
      <c r="CT20" s="1241"/>
      <c r="CU20" s="1241"/>
      <c r="CV20" s="1241"/>
      <c r="CW20" s="1241"/>
      <c r="CX20" s="1241"/>
      <c r="CY20" s="1241"/>
      <c r="CZ20" s="1241"/>
      <c r="DA20" s="1241"/>
      <c r="DB20" s="1241"/>
      <c r="DC20" s="1241"/>
      <c r="DD20" s="1241"/>
      <c r="DE20" s="1241"/>
      <c r="DF20" s="1241"/>
      <c r="DG20" s="1241"/>
      <c r="DH20" s="1241"/>
      <c r="DI20" s="1241"/>
      <c r="DJ20" s="1241"/>
      <c r="DK20" s="1241"/>
      <c r="DL20" s="1241"/>
      <c r="DM20" s="1241"/>
      <c r="DN20" s="1241"/>
      <c r="DO20" s="1241"/>
      <c r="DP20" s="1241"/>
      <c r="DQ20" s="1241"/>
      <c r="DR20" s="1241"/>
      <c r="DS20" s="1241"/>
      <c r="DT20" s="1241"/>
      <c r="DU20" s="1241"/>
      <c r="DV20" s="1241"/>
      <c r="DW20" s="1241"/>
      <c r="DX20" s="1241"/>
      <c r="DY20" s="1241"/>
      <c r="DZ20" s="1241"/>
      <c r="EA20" s="1241"/>
      <c r="EB20" s="1241"/>
      <c r="EC20" s="1241"/>
      <c r="ED20" s="1241"/>
      <c r="EE20" s="1241"/>
      <c r="EF20" s="1241"/>
      <c r="EG20" s="1241"/>
      <c r="EH20" s="1241"/>
      <c r="EI20" s="1241"/>
      <c r="EJ20" s="1241"/>
      <c r="EK20" s="1241"/>
      <c r="EL20" s="1241"/>
      <c r="EM20" s="1241"/>
      <c r="EN20" s="1241"/>
      <c r="EO20" s="1241"/>
      <c r="EP20" s="1241"/>
      <c r="EQ20" s="1241"/>
      <c r="ER20" s="1241"/>
      <c r="ES20" s="1241"/>
      <c r="ET20" s="1241"/>
      <c r="EU20" s="1241"/>
      <c r="EV20" s="1241"/>
      <c r="EW20" s="1241"/>
      <c r="EX20" s="1241"/>
      <c r="EY20" s="1241"/>
      <c r="EZ20" s="1241"/>
      <c r="FA20" s="1241"/>
      <c r="FB20" s="1241"/>
      <c r="FC20" s="1241"/>
      <c r="FD20" s="1241"/>
      <c r="FE20" s="1241"/>
      <c r="FF20" s="1241"/>
      <c r="FG20" s="1241"/>
      <c r="FH20" s="1241"/>
      <c r="FI20" s="1241"/>
      <c r="FJ20" s="1241"/>
      <c r="FK20" s="1241"/>
      <c r="FL20" s="1241"/>
      <c r="FM20" s="1241"/>
      <c r="FN20" s="1241"/>
      <c r="FO20" s="1241"/>
      <c r="FP20" s="1241"/>
      <c r="FQ20" s="1241"/>
      <c r="FR20" s="1241"/>
      <c r="FS20" s="1241"/>
      <c r="FT20" s="1241"/>
      <c r="FU20" s="1241"/>
      <c r="FV20" s="1241"/>
      <c r="FW20" s="1241"/>
      <c r="FX20" s="1241"/>
      <c r="FY20" s="1241"/>
      <c r="FZ20" s="1241"/>
      <c r="GA20" s="1241"/>
      <c r="GB20" s="1241"/>
      <c r="GC20" s="1241"/>
      <c r="GD20" s="1241"/>
      <c r="GE20" s="1241"/>
      <c r="GF20" s="1241"/>
      <c r="GG20" s="1241"/>
      <c r="GH20" s="1241"/>
      <c r="GI20" s="1241"/>
      <c r="GJ20" s="1241"/>
      <c r="GK20" s="1241"/>
      <c r="GL20" s="1241"/>
      <c r="GM20" s="1241"/>
      <c r="GN20" s="1241"/>
      <c r="GO20" s="1241"/>
      <c r="GP20" s="1241"/>
      <c r="GQ20" s="1241"/>
      <c r="GR20" s="1241"/>
      <c r="GS20" s="1241"/>
      <c r="GT20" s="1241"/>
      <c r="GU20" s="1241"/>
      <c r="GV20" s="1241"/>
      <c r="GW20" s="1241"/>
      <c r="GX20" s="1241"/>
      <c r="GY20" s="1241"/>
      <c r="GZ20" s="1241"/>
      <c r="HA20" s="1241"/>
      <c r="HB20" s="1241"/>
      <c r="HC20" s="1241"/>
      <c r="HD20" s="1241"/>
      <c r="HE20" s="1241"/>
      <c r="HF20" s="1241"/>
      <c r="HG20" s="1241"/>
      <c r="HH20" s="1241"/>
      <c r="HI20" s="1241"/>
      <c r="HJ20" s="1241"/>
      <c r="HK20" s="1241"/>
      <c r="HL20" s="1241"/>
      <c r="HM20" s="1241"/>
      <c r="HN20" s="1241"/>
      <c r="HO20" s="1241"/>
      <c r="HP20" s="1241"/>
      <c r="HQ20" s="1241"/>
      <c r="HR20" s="1241"/>
      <c r="HS20" s="1241"/>
      <c r="HT20" s="1241"/>
      <c r="HU20" s="1241"/>
      <c r="HV20" s="1253"/>
      <c r="HW20" s="1252"/>
      <c r="HX20" s="1241"/>
      <c r="HY20" s="1241"/>
      <c r="HZ20" s="1241"/>
      <c r="IA20" s="1241"/>
      <c r="IB20" s="1253"/>
      <c r="IC20" s="1252"/>
      <c r="ID20" s="1242"/>
      <c r="IE20" s="1227"/>
    </row>
    <row r="21" spans="1:239" s="1223" customFormat="1" ht="15" customHeight="1" x14ac:dyDescent="0.25">
      <c r="A21" s="730"/>
      <c r="B21" s="936" t="s">
        <v>837</v>
      </c>
      <c r="C21" s="936"/>
      <c r="D21" s="936"/>
      <c r="E21" s="936"/>
      <c r="F21" s="1260"/>
      <c r="G21" s="1260"/>
      <c r="H21" s="1241"/>
      <c r="I21" s="1241"/>
      <c r="J21" s="1241"/>
      <c r="K21" s="1241"/>
      <c r="L21" s="1241"/>
      <c r="M21" s="1241"/>
      <c r="N21" s="1241"/>
      <c r="O21" s="1241"/>
      <c r="P21" s="1241"/>
      <c r="Q21" s="1241"/>
      <c r="R21" s="1241"/>
      <c r="S21" s="1241"/>
      <c r="T21" s="1241"/>
      <c r="U21" s="1241"/>
      <c r="V21" s="1241"/>
      <c r="W21" s="1241"/>
      <c r="X21" s="1241"/>
      <c r="Y21" s="1241"/>
      <c r="Z21" s="1241"/>
      <c r="AA21" s="1241"/>
      <c r="AB21" s="1241"/>
      <c r="AC21" s="1241"/>
      <c r="AD21" s="1241"/>
      <c r="AE21" s="1241"/>
      <c r="AF21" s="1241"/>
      <c r="AG21" s="1241"/>
      <c r="AH21" s="1241"/>
      <c r="AI21" s="1241"/>
      <c r="AJ21" s="1241"/>
      <c r="AK21" s="1241"/>
      <c r="AL21" s="1241"/>
      <c r="AM21" s="1241"/>
      <c r="AN21" s="1241"/>
      <c r="AO21" s="1241"/>
      <c r="AP21" s="1241"/>
      <c r="AQ21" s="1241"/>
      <c r="AR21" s="1241"/>
      <c r="AS21" s="1241"/>
      <c r="AT21" s="1241"/>
      <c r="AU21" s="1241"/>
      <c r="AV21" s="1241"/>
      <c r="AW21" s="1241"/>
      <c r="AX21" s="1241"/>
      <c r="AY21" s="1241"/>
      <c r="AZ21" s="1241"/>
      <c r="BA21" s="1241"/>
      <c r="BB21" s="1241"/>
      <c r="BC21" s="1241"/>
      <c r="BD21" s="1241"/>
      <c r="BE21" s="1241"/>
      <c r="BF21" s="1241"/>
      <c r="BG21" s="1241"/>
      <c r="BH21" s="1241"/>
      <c r="BI21" s="1241"/>
      <c r="BJ21" s="1241"/>
      <c r="BK21" s="1241"/>
      <c r="BL21" s="1241"/>
      <c r="BM21" s="1241"/>
      <c r="BN21" s="1241"/>
      <c r="BO21" s="1241"/>
      <c r="BP21" s="1241"/>
      <c r="BQ21" s="1241"/>
      <c r="BR21" s="1241"/>
      <c r="BS21" s="1241"/>
      <c r="BT21" s="1241"/>
      <c r="BU21" s="1241"/>
      <c r="BV21" s="1241"/>
      <c r="BW21" s="1241"/>
      <c r="BX21" s="1241"/>
      <c r="BY21" s="1241"/>
      <c r="BZ21" s="1241"/>
      <c r="CA21" s="1241"/>
      <c r="CB21" s="1241"/>
      <c r="CC21" s="1241"/>
      <c r="CD21" s="1241"/>
      <c r="CE21" s="1241"/>
      <c r="CF21" s="1241"/>
      <c r="CG21" s="1241"/>
      <c r="CH21" s="1241"/>
      <c r="CI21" s="1241"/>
      <c r="CJ21" s="1241"/>
      <c r="CK21" s="1241"/>
      <c r="CL21" s="1241"/>
      <c r="CM21" s="1241"/>
      <c r="CN21" s="1241"/>
      <c r="CO21" s="1241"/>
      <c r="CP21" s="1241"/>
      <c r="CQ21" s="1241"/>
      <c r="CR21" s="1241"/>
      <c r="CS21" s="1241"/>
      <c r="CT21" s="1241"/>
      <c r="CU21" s="1241"/>
      <c r="CV21" s="1241"/>
      <c r="CW21" s="1241"/>
      <c r="CX21" s="1241"/>
      <c r="CY21" s="1241"/>
      <c r="CZ21" s="1241"/>
      <c r="DA21" s="1241"/>
      <c r="DB21" s="1241"/>
      <c r="DC21" s="1241"/>
      <c r="DD21" s="1241"/>
      <c r="DE21" s="1241"/>
      <c r="DF21" s="1241"/>
      <c r="DG21" s="1241"/>
      <c r="DH21" s="1241"/>
      <c r="DI21" s="1241"/>
      <c r="DJ21" s="1241"/>
      <c r="DK21" s="1241"/>
      <c r="DL21" s="1241"/>
      <c r="DM21" s="1241"/>
      <c r="DN21" s="1241"/>
      <c r="DO21" s="1241"/>
      <c r="DP21" s="1241"/>
      <c r="DQ21" s="1241"/>
      <c r="DR21" s="1241"/>
      <c r="DS21" s="1241"/>
      <c r="DT21" s="1241"/>
      <c r="DU21" s="1241"/>
      <c r="DV21" s="1241"/>
      <c r="DW21" s="1241"/>
      <c r="DX21" s="1241"/>
      <c r="DY21" s="1241"/>
      <c r="DZ21" s="1241"/>
      <c r="EA21" s="1241"/>
      <c r="EB21" s="1241"/>
      <c r="EC21" s="1241"/>
      <c r="ED21" s="1241"/>
      <c r="EE21" s="1241"/>
      <c r="EF21" s="1241"/>
      <c r="EG21" s="1241"/>
      <c r="EH21" s="1241"/>
      <c r="EI21" s="1241"/>
      <c r="EJ21" s="1241"/>
      <c r="EK21" s="1241"/>
      <c r="EL21" s="1241"/>
      <c r="EM21" s="1241"/>
      <c r="EN21" s="1241"/>
      <c r="EO21" s="1241"/>
      <c r="EP21" s="1241"/>
      <c r="EQ21" s="1241"/>
      <c r="ER21" s="1241"/>
      <c r="ES21" s="1241"/>
      <c r="ET21" s="1241"/>
      <c r="EU21" s="1241"/>
      <c r="EV21" s="1241"/>
      <c r="EW21" s="1241"/>
      <c r="EX21" s="1241"/>
      <c r="EY21" s="1241"/>
      <c r="EZ21" s="1241"/>
      <c r="FA21" s="1241"/>
      <c r="FB21" s="1241"/>
      <c r="FC21" s="1241"/>
      <c r="FD21" s="1241"/>
      <c r="FE21" s="1241"/>
      <c r="FF21" s="1241"/>
      <c r="FG21" s="1241"/>
      <c r="FH21" s="1241"/>
      <c r="FI21" s="1241"/>
      <c r="FJ21" s="1241"/>
      <c r="FK21" s="1241"/>
      <c r="FL21" s="1241"/>
      <c r="FM21" s="1241"/>
      <c r="FN21" s="1241"/>
      <c r="FO21" s="1241"/>
      <c r="FP21" s="1241"/>
      <c r="FQ21" s="1241"/>
      <c r="FR21" s="1241"/>
      <c r="FS21" s="1241"/>
      <c r="FT21" s="1241"/>
      <c r="FU21" s="1241"/>
      <c r="FV21" s="1241"/>
      <c r="FW21" s="1241"/>
      <c r="FX21" s="1241"/>
      <c r="FY21" s="1241"/>
      <c r="FZ21" s="1241"/>
      <c r="GA21" s="1241"/>
      <c r="GB21" s="1241"/>
      <c r="GC21" s="1241"/>
      <c r="GD21" s="1241"/>
      <c r="GE21" s="1241"/>
      <c r="GF21" s="1241"/>
      <c r="GG21" s="1241"/>
      <c r="GH21" s="1241"/>
      <c r="GI21" s="1241"/>
      <c r="GJ21" s="1241"/>
      <c r="GK21" s="1241"/>
      <c r="GL21" s="1241"/>
      <c r="GM21" s="1241"/>
      <c r="GN21" s="1241"/>
      <c r="GO21" s="1241"/>
      <c r="GP21" s="1241"/>
      <c r="GQ21" s="1241"/>
      <c r="GR21" s="1241"/>
      <c r="GS21" s="1241"/>
      <c r="GT21" s="1241"/>
      <c r="GU21" s="1241"/>
      <c r="GV21" s="1241"/>
      <c r="GW21" s="1241"/>
      <c r="GX21" s="1241"/>
      <c r="GY21" s="1241"/>
      <c r="GZ21" s="1241"/>
      <c r="HA21" s="1241"/>
      <c r="HB21" s="1241"/>
      <c r="HC21" s="1241"/>
      <c r="HD21" s="1241"/>
      <c r="HE21" s="1241"/>
      <c r="HF21" s="1241"/>
      <c r="HG21" s="1241"/>
      <c r="HH21" s="1241"/>
      <c r="HI21" s="1241"/>
      <c r="HJ21" s="1241"/>
      <c r="HK21" s="1241"/>
      <c r="HL21" s="1241"/>
      <c r="HM21" s="1241"/>
      <c r="HN21" s="1241"/>
      <c r="HO21" s="1241"/>
      <c r="HP21" s="1241"/>
      <c r="HQ21" s="1241"/>
      <c r="HR21" s="1241"/>
      <c r="HS21" s="1241"/>
      <c r="HT21" s="1241"/>
      <c r="HU21" s="1241"/>
      <c r="HV21" s="1253"/>
      <c r="HW21" s="1252"/>
      <c r="HX21" s="1241"/>
      <c r="HY21" s="1241"/>
      <c r="HZ21" s="1241"/>
      <c r="IA21" s="1241"/>
      <c r="IB21" s="1253"/>
      <c r="IC21" s="1252"/>
      <c r="ID21" s="1242"/>
      <c r="IE21" s="1227"/>
    </row>
    <row r="22" spans="1:239" s="1223" customFormat="1" ht="15" customHeight="1" x14ac:dyDescent="0.25">
      <c r="A22" s="730"/>
      <c r="B22" s="936" t="s">
        <v>838</v>
      </c>
      <c r="C22" s="936"/>
      <c r="D22" s="936"/>
      <c r="E22" s="936"/>
      <c r="F22" s="1260"/>
      <c r="G22" s="1260"/>
      <c r="H22" s="1241"/>
      <c r="I22" s="1241"/>
      <c r="J22" s="1241"/>
      <c r="K22" s="1241"/>
      <c r="L22" s="1241"/>
      <c r="M22" s="1241"/>
      <c r="N22" s="1241"/>
      <c r="O22" s="1241"/>
      <c r="P22" s="1241"/>
      <c r="Q22" s="1241"/>
      <c r="R22" s="1241"/>
      <c r="S22" s="1241"/>
      <c r="T22" s="1241"/>
      <c r="U22" s="1241"/>
      <c r="V22" s="1241"/>
      <c r="W22" s="1241"/>
      <c r="X22" s="1241"/>
      <c r="Y22" s="1241"/>
      <c r="Z22" s="1241"/>
      <c r="AA22" s="1241"/>
      <c r="AB22" s="1241"/>
      <c r="AC22" s="1241"/>
      <c r="AD22" s="1241"/>
      <c r="AE22" s="1241"/>
      <c r="AF22" s="1241"/>
      <c r="AG22" s="1241"/>
      <c r="AH22" s="1241"/>
      <c r="AI22" s="1241"/>
      <c r="AJ22" s="1241"/>
      <c r="AK22" s="1241"/>
      <c r="AL22" s="1241"/>
      <c r="AM22" s="1241"/>
      <c r="AN22" s="1241"/>
      <c r="AO22" s="1241"/>
      <c r="AP22" s="1241"/>
      <c r="AQ22" s="1241"/>
      <c r="AR22" s="1241"/>
      <c r="AS22" s="1241"/>
      <c r="AT22" s="1241"/>
      <c r="AU22" s="1241"/>
      <c r="AV22" s="1241"/>
      <c r="AW22" s="1241"/>
      <c r="AX22" s="1241"/>
      <c r="AY22" s="1241"/>
      <c r="AZ22" s="1241"/>
      <c r="BA22" s="1241"/>
      <c r="BB22" s="1241"/>
      <c r="BC22" s="1241"/>
      <c r="BD22" s="1241"/>
      <c r="BE22" s="1241"/>
      <c r="BF22" s="1241"/>
      <c r="BG22" s="1241"/>
      <c r="BH22" s="1241"/>
      <c r="BI22" s="1241"/>
      <c r="BJ22" s="1241"/>
      <c r="BK22" s="1241"/>
      <c r="BL22" s="1241"/>
      <c r="BM22" s="1241"/>
      <c r="BN22" s="1241"/>
      <c r="BO22" s="1241"/>
      <c r="BP22" s="1241"/>
      <c r="BQ22" s="1241"/>
      <c r="BR22" s="1241"/>
      <c r="BS22" s="1241"/>
      <c r="BT22" s="1241"/>
      <c r="BU22" s="1241"/>
      <c r="BV22" s="1241"/>
      <c r="BW22" s="1241"/>
      <c r="BX22" s="1241"/>
      <c r="BY22" s="1241"/>
      <c r="BZ22" s="1241"/>
      <c r="CA22" s="1241"/>
      <c r="CB22" s="1241"/>
      <c r="CC22" s="1241"/>
      <c r="CD22" s="1241"/>
      <c r="CE22" s="1241"/>
      <c r="CF22" s="1241"/>
      <c r="CG22" s="1241"/>
      <c r="CH22" s="1241"/>
      <c r="CI22" s="1241"/>
      <c r="CJ22" s="1241"/>
      <c r="CK22" s="1241"/>
      <c r="CL22" s="1241"/>
      <c r="CM22" s="1241"/>
      <c r="CN22" s="1241"/>
      <c r="CO22" s="1241"/>
      <c r="CP22" s="1241"/>
      <c r="CQ22" s="1241"/>
      <c r="CR22" s="1241"/>
      <c r="CS22" s="1241"/>
      <c r="CT22" s="1241"/>
      <c r="CU22" s="1241"/>
      <c r="CV22" s="1241"/>
      <c r="CW22" s="1241"/>
      <c r="CX22" s="1241"/>
      <c r="CY22" s="1241"/>
      <c r="CZ22" s="1241"/>
      <c r="DA22" s="1241"/>
      <c r="DB22" s="1241"/>
      <c r="DC22" s="1241"/>
      <c r="DD22" s="1241"/>
      <c r="DE22" s="1241"/>
      <c r="DF22" s="1241"/>
      <c r="DG22" s="1241"/>
      <c r="DH22" s="1241"/>
      <c r="DI22" s="1241"/>
      <c r="DJ22" s="1241"/>
      <c r="DK22" s="1241"/>
      <c r="DL22" s="1241"/>
      <c r="DM22" s="1241"/>
      <c r="DN22" s="1241"/>
      <c r="DO22" s="1241"/>
      <c r="DP22" s="1241"/>
      <c r="DQ22" s="1241"/>
      <c r="DR22" s="1241"/>
      <c r="DS22" s="1241"/>
      <c r="DT22" s="1241"/>
      <c r="DU22" s="1241"/>
      <c r="DV22" s="1241"/>
      <c r="DW22" s="1241"/>
      <c r="DX22" s="1241"/>
      <c r="DY22" s="1241"/>
      <c r="DZ22" s="1241"/>
      <c r="EA22" s="1241"/>
      <c r="EB22" s="1241"/>
      <c r="EC22" s="1241"/>
      <c r="ED22" s="1241"/>
      <c r="EE22" s="1241"/>
      <c r="EF22" s="1241"/>
      <c r="EG22" s="1241"/>
      <c r="EH22" s="1241"/>
      <c r="EI22" s="1241"/>
      <c r="EJ22" s="1241"/>
      <c r="EK22" s="1241"/>
      <c r="EL22" s="1241"/>
      <c r="EM22" s="1241"/>
      <c r="EN22" s="1241"/>
      <c r="EO22" s="1241"/>
      <c r="EP22" s="1241"/>
      <c r="EQ22" s="1241"/>
      <c r="ER22" s="1241"/>
      <c r="ES22" s="1241"/>
      <c r="ET22" s="1241"/>
      <c r="EU22" s="1241"/>
      <c r="EV22" s="1241"/>
      <c r="EW22" s="1241"/>
      <c r="EX22" s="1241"/>
      <c r="EY22" s="1241"/>
      <c r="EZ22" s="1241"/>
      <c r="FA22" s="1241"/>
      <c r="FB22" s="1241"/>
      <c r="FC22" s="1241"/>
      <c r="FD22" s="1241"/>
      <c r="FE22" s="1241"/>
      <c r="FF22" s="1241"/>
      <c r="FG22" s="1241"/>
      <c r="FH22" s="1241"/>
      <c r="FI22" s="1241"/>
      <c r="FJ22" s="1241"/>
      <c r="FK22" s="1241"/>
      <c r="FL22" s="1241"/>
      <c r="FM22" s="1241"/>
      <c r="FN22" s="1241"/>
      <c r="FO22" s="1241"/>
      <c r="FP22" s="1241"/>
      <c r="FQ22" s="1241"/>
      <c r="FR22" s="1241"/>
      <c r="FS22" s="1241"/>
      <c r="FT22" s="1241"/>
      <c r="FU22" s="1241"/>
      <c r="FV22" s="1241"/>
      <c r="FW22" s="1241"/>
      <c r="FX22" s="1241"/>
      <c r="FY22" s="1241"/>
      <c r="FZ22" s="1241"/>
      <c r="GA22" s="1241"/>
      <c r="GB22" s="1241"/>
      <c r="GC22" s="1241"/>
      <c r="GD22" s="1241"/>
      <c r="GE22" s="1241"/>
      <c r="GF22" s="1241"/>
      <c r="GG22" s="1241"/>
      <c r="GH22" s="1241"/>
      <c r="GI22" s="1241"/>
      <c r="GJ22" s="1241"/>
      <c r="GK22" s="1241"/>
      <c r="GL22" s="1241"/>
      <c r="GM22" s="1241"/>
      <c r="GN22" s="1241"/>
      <c r="GO22" s="1241"/>
      <c r="GP22" s="1241"/>
      <c r="GQ22" s="1241"/>
      <c r="GR22" s="1241"/>
      <c r="GS22" s="1241"/>
      <c r="GT22" s="1241"/>
      <c r="GU22" s="1241"/>
      <c r="GV22" s="1241"/>
      <c r="GW22" s="1241"/>
      <c r="GX22" s="1241"/>
      <c r="GY22" s="1241"/>
      <c r="GZ22" s="1241"/>
      <c r="HA22" s="1241"/>
      <c r="HB22" s="1241"/>
      <c r="HC22" s="1241"/>
      <c r="HD22" s="1241"/>
      <c r="HE22" s="1241"/>
      <c r="HF22" s="1241"/>
      <c r="HG22" s="1241"/>
      <c r="HH22" s="1241"/>
      <c r="HI22" s="1241"/>
      <c r="HJ22" s="1241"/>
      <c r="HK22" s="1241"/>
      <c r="HL22" s="1241"/>
      <c r="HM22" s="1241"/>
      <c r="HN22" s="1241"/>
      <c r="HO22" s="1241"/>
      <c r="HP22" s="1241"/>
      <c r="HQ22" s="1241"/>
      <c r="HR22" s="1241"/>
      <c r="HS22" s="1241"/>
      <c r="HT22" s="1241"/>
      <c r="HU22" s="1241"/>
      <c r="HV22" s="1253"/>
      <c r="HW22" s="1252"/>
      <c r="HX22" s="1241"/>
      <c r="HY22" s="1241"/>
      <c r="HZ22" s="1241"/>
      <c r="IA22" s="1241"/>
      <c r="IB22" s="1253"/>
      <c r="IC22" s="1252"/>
      <c r="ID22" s="1242"/>
      <c r="IE22" s="1227"/>
    </row>
    <row r="23" spans="1:239" s="1223" customFormat="1" ht="15" customHeight="1" x14ac:dyDescent="0.25">
      <c r="A23" s="730"/>
      <c r="B23" s="936" t="s">
        <v>839</v>
      </c>
      <c r="C23" s="936"/>
      <c r="D23" s="936"/>
      <c r="E23" s="936"/>
      <c r="F23" s="1260"/>
      <c r="G23" s="1260"/>
      <c r="H23" s="1241"/>
      <c r="I23" s="1241"/>
      <c r="J23" s="1241"/>
      <c r="K23" s="1241"/>
      <c r="L23" s="1241"/>
      <c r="M23" s="1241"/>
      <c r="N23" s="1241"/>
      <c r="O23" s="1241"/>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1"/>
      <c r="AM23" s="1241"/>
      <c r="AN23" s="1241"/>
      <c r="AO23" s="1241"/>
      <c r="AP23" s="1241"/>
      <c r="AQ23" s="1241"/>
      <c r="AR23" s="1241"/>
      <c r="AS23" s="1241"/>
      <c r="AT23" s="1241"/>
      <c r="AU23" s="1241"/>
      <c r="AV23" s="1241"/>
      <c r="AW23" s="1241"/>
      <c r="AX23" s="1241"/>
      <c r="AY23" s="1241"/>
      <c r="AZ23" s="1241"/>
      <c r="BA23" s="1241"/>
      <c r="BB23" s="1241"/>
      <c r="BC23" s="1241"/>
      <c r="BD23" s="1241"/>
      <c r="BE23" s="1241"/>
      <c r="BF23" s="1241"/>
      <c r="BG23" s="1241"/>
      <c r="BH23" s="1241"/>
      <c r="BI23" s="1241"/>
      <c r="BJ23" s="1241"/>
      <c r="BK23" s="1241"/>
      <c r="BL23" s="1241"/>
      <c r="BM23" s="1241"/>
      <c r="BN23" s="1241"/>
      <c r="BO23" s="1241"/>
      <c r="BP23" s="1241"/>
      <c r="BQ23" s="1241"/>
      <c r="BR23" s="1241"/>
      <c r="BS23" s="1241"/>
      <c r="BT23" s="1241"/>
      <c r="BU23" s="1241"/>
      <c r="BV23" s="1241"/>
      <c r="BW23" s="1241"/>
      <c r="BX23" s="1241"/>
      <c r="BY23" s="1241"/>
      <c r="BZ23" s="1241"/>
      <c r="CA23" s="1241"/>
      <c r="CB23" s="1241"/>
      <c r="CC23" s="1241"/>
      <c r="CD23" s="1241"/>
      <c r="CE23" s="1241"/>
      <c r="CF23" s="1241"/>
      <c r="CG23" s="1241"/>
      <c r="CH23" s="1241"/>
      <c r="CI23" s="1241"/>
      <c r="CJ23" s="1241"/>
      <c r="CK23" s="1241"/>
      <c r="CL23" s="1241"/>
      <c r="CM23" s="1241"/>
      <c r="CN23" s="1241"/>
      <c r="CO23" s="1241"/>
      <c r="CP23" s="1241"/>
      <c r="CQ23" s="1241"/>
      <c r="CR23" s="1241"/>
      <c r="CS23" s="1241"/>
      <c r="CT23" s="1241"/>
      <c r="CU23" s="1241"/>
      <c r="CV23" s="1241"/>
      <c r="CW23" s="1241"/>
      <c r="CX23" s="1241"/>
      <c r="CY23" s="1241"/>
      <c r="CZ23" s="1241"/>
      <c r="DA23" s="1241"/>
      <c r="DB23" s="1241"/>
      <c r="DC23" s="1241"/>
      <c r="DD23" s="1241"/>
      <c r="DE23" s="1241"/>
      <c r="DF23" s="1241"/>
      <c r="DG23" s="1241"/>
      <c r="DH23" s="1241"/>
      <c r="DI23" s="1241"/>
      <c r="DJ23" s="1241"/>
      <c r="DK23" s="1241"/>
      <c r="DL23" s="1241"/>
      <c r="DM23" s="1241"/>
      <c r="DN23" s="1241"/>
      <c r="DO23" s="1241"/>
      <c r="DP23" s="1241"/>
      <c r="DQ23" s="1241"/>
      <c r="DR23" s="1241"/>
      <c r="DS23" s="1241"/>
      <c r="DT23" s="1241"/>
      <c r="DU23" s="1241"/>
      <c r="DV23" s="1241"/>
      <c r="DW23" s="1241"/>
      <c r="DX23" s="1241"/>
      <c r="DY23" s="1241"/>
      <c r="DZ23" s="1241"/>
      <c r="EA23" s="1241"/>
      <c r="EB23" s="1241"/>
      <c r="EC23" s="1241"/>
      <c r="ED23" s="1241"/>
      <c r="EE23" s="1241"/>
      <c r="EF23" s="1241"/>
      <c r="EG23" s="1241"/>
      <c r="EH23" s="1241"/>
      <c r="EI23" s="1241"/>
      <c r="EJ23" s="1241"/>
      <c r="EK23" s="1241"/>
      <c r="EL23" s="1241"/>
      <c r="EM23" s="1241"/>
      <c r="EN23" s="1241"/>
      <c r="EO23" s="1241"/>
      <c r="EP23" s="1241"/>
      <c r="EQ23" s="1241"/>
      <c r="ER23" s="1241"/>
      <c r="ES23" s="1241"/>
      <c r="ET23" s="1241"/>
      <c r="EU23" s="1241"/>
      <c r="EV23" s="1241"/>
      <c r="EW23" s="1241"/>
      <c r="EX23" s="1241"/>
      <c r="EY23" s="1241"/>
      <c r="EZ23" s="1241"/>
      <c r="FA23" s="1241"/>
      <c r="FB23" s="1241"/>
      <c r="FC23" s="1241"/>
      <c r="FD23" s="1241"/>
      <c r="FE23" s="1241"/>
      <c r="FF23" s="1241"/>
      <c r="FG23" s="1241"/>
      <c r="FH23" s="1241"/>
      <c r="FI23" s="1241"/>
      <c r="FJ23" s="1241"/>
      <c r="FK23" s="1241"/>
      <c r="FL23" s="1241"/>
      <c r="FM23" s="1241"/>
      <c r="FN23" s="1241"/>
      <c r="FO23" s="1241"/>
      <c r="FP23" s="1241"/>
      <c r="FQ23" s="1241"/>
      <c r="FR23" s="1241"/>
      <c r="FS23" s="1241"/>
      <c r="FT23" s="1241"/>
      <c r="FU23" s="1241"/>
      <c r="FV23" s="1241"/>
      <c r="FW23" s="1241"/>
      <c r="FX23" s="1241"/>
      <c r="FY23" s="1241"/>
      <c r="FZ23" s="1241"/>
      <c r="GA23" s="1241"/>
      <c r="GB23" s="1241"/>
      <c r="GC23" s="1241"/>
      <c r="GD23" s="1241"/>
      <c r="GE23" s="1241"/>
      <c r="GF23" s="1241"/>
      <c r="GG23" s="1241"/>
      <c r="GH23" s="1241"/>
      <c r="GI23" s="1241"/>
      <c r="GJ23" s="1241"/>
      <c r="GK23" s="1241"/>
      <c r="GL23" s="1241"/>
      <c r="GM23" s="1241"/>
      <c r="GN23" s="1241"/>
      <c r="GO23" s="1241"/>
      <c r="GP23" s="1241"/>
      <c r="GQ23" s="1241"/>
      <c r="GR23" s="1241"/>
      <c r="GS23" s="1241"/>
      <c r="GT23" s="1241"/>
      <c r="GU23" s="1241"/>
      <c r="GV23" s="1241"/>
      <c r="GW23" s="1241"/>
      <c r="GX23" s="1241"/>
      <c r="GY23" s="1241"/>
      <c r="GZ23" s="1241"/>
      <c r="HA23" s="1241"/>
      <c r="HB23" s="1241"/>
      <c r="HC23" s="1241"/>
      <c r="HD23" s="1241"/>
      <c r="HE23" s="1241"/>
      <c r="HF23" s="1241"/>
      <c r="HG23" s="1241"/>
      <c r="HH23" s="1241"/>
      <c r="HI23" s="1241"/>
      <c r="HJ23" s="1241"/>
      <c r="HK23" s="1241"/>
      <c r="HL23" s="1241"/>
      <c r="HM23" s="1241"/>
      <c r="HN23" s="1241"/>
      <c r="HO23" s="1241"/>
      <c r="HP23" s="1241"/>
      <c r="HQ23" s="1241"/>
      <c r="HR23" s="1241"/>
      <c r="HS23" s="1241"/>
      <c r="HT23" s="1241"/>
      <c r="HU23" s="1241"/>
      <c r="HV23" s="1253"/>
      <c r="HW23" s="1252"/>
      <c r="HX23" s="1241"/>
      <c r="HY23" s="1241"/>
      <c r="HZ23" s="1241"/>
      <c r="IA23" s="1241"/>
      <c r="IB23" s="1253"/>
      <c r="IC23" s="1252"/>
      <c r="ID23" s="1242"/>
      <c r="IE23" s="1227"/>
    </row>
    <row r="24" spans="1:239" s="1223" customFormat="1" ht="15" customHeight="1" x14ac:dyDescent="0.25">
      <c r="A24" s="730"/>
      <c r="B24" s="936" t="s">
        <v>840</v>
      </c>
      <c r="C24" s="936"/>
      <c r="D24" s="936"/>
      <c r="E24" s="936"/>
      <c r="F24" s="1260"/>
      <c r="G24" s="1260"/>
      <c r="H24" s="1241"/>
      <c r="I24" s="1241"/>
      <c r="J24" s="1241"/>
      <c r="K24" s="1241"/>
      <c r="L24" s="1241"/>
      <c r="M24" s="1241"/>
      <c r="N24" s="1241"/>
      <c r="O24" s="1241"/>
      <c r="P24" s="1241"/>
      <c r="Q24" s="1241"/>
      <c r="R24" s="1241"/>
      <c r="S24" s="1241"/>
      <c r="T24" s="1241"/>
      <c r="U24" s="1241"/>
      <c r="V24" s="1241"/>
      <c r="W24" s="1241"/>
      <c r="X24" s="1241"/>
      <c r="Y24" s="1241"/>
      <c r="Z24" s="1241"/>
      <c r="AA24" s="1241"/>
      <c r="AB24" s="1241"/>
      <c r="AC24" s="1241"/>
      <c r="AD24" s="1241"/>
      <c r="AE24" s="1241"/>
      <c r="AF24" s="1241"/>
      <c r="AG24" s="1241"/>
      <c r="AH24" s="1241"/>
      <c r="AI24" s="1241"/>
      <c r="AJ24" s="1241"/>
      <c r="AK24" s="1241"/>
      <c r="AL24" s="1241"/>
      <c r="AM24" s="1241"/>
      <c r="AN24" s="1241"/>
      <c r="AO24" s="1241"/>
      <c r="AP24" s="1241"/>
      <c r="AQ24" s="1241"/>
      <c r="AR24" s="1241"/>
      <c r="AS24" s="1241"/>
      <c r="AT24" s="1241"/>
      <c r="AU24" s="1241"/>
      <c r="AV24" s="1241"/>
      <c r="AW24" s="1241"/>
      <c r="AX24" s="1241"/>
      <c r="AY24" s="1241"/>
      <c r="AZ24" s="1241"/>
      <c r="BA24" s="1241"/>
      <c r="BB24" s="1241"/>
      <c r="BC24" s="1241"/>
      <c r="BD24" s="1241"/>
      <c r="BE24" s="1241"/>
      <c r="BF24" s="1241"/>
      <c r="BG24" s="1241"/>
      <c r="BH24" s="1241"/>
      <c r="BI24" s="1241"/>
      <c r="BJ24" s="1241"/>
      <c r="BK24" s="1241"/>
      <c r="BL24" s="1241"/>
      <c r="BM24" s="1241"/>
      <c r="BN24" s="1241"/>
      <c r="BO24" s="1241"/>
      <c r="BP24" s="1241"/>
      <c r="BQ24" s="1241"/>
      <c r="BR24" s="1241"/>
      <c r="BS24" s="1241"/>
      <c r="BT24" s="1241"/>
      <c r="BU24" s="1241"/>
      <c r="BV24" s="1241"/>
      <c r="BW24" s="1241"/>
      <c r="BX24" s="1241"/>
      <c r="BY24" s="1241"/>
      <c r="BZ24" s="1241"/>
      <c r="CA24" s="1241"/>
      <c r="CB24" s="1241"/>
      <c r="CC24" s="1241"/>
      <c r="CD24" s="1241"/>
      <c r="CE24" s="1241"/>
      <c r="CF24" s="1241"/>
      <c r="CG24" s="1241"/>
      <c r="CH24" s="1241"/>
      <c r="CI24" s="1241"/>
      <c r="CJ24" s="1241"/>
      <c r="CK24" s="1241"/>
      <c r="CL24" s="1241"/>
      <c r="CM24" s="1241"/>
      <c r="CN24" s="1241"/>
      <c r="CO24" s="1241"/>
      <c r="CP24" s="1241"/>
      <c r="CQ24" s="1241"/>
      <c r="CR24" s="1241"/>
      <c r="CS24" s="1241"/>
      <c r="CT24" s="1241"/>
      <c r="CU24" s="1241"/>
      <c r="CV24" s="1241"/>
      <c r="CW24" s="1241"/>
      <c r="CX24" s="1241"/>
      <c r="CY24" s="1241"/>
      <c r="CZ24" s="1241"/>
      <c r="DA24" s="1241"/>
      <c r="DB24" s="1241"/>
      <c r="DC24" s="1241"/>
      <c r="DD24" s="1241"/>
      <c r="DE24" s="1241"/>
      <c r="DF24" s="1241"/>
      <c r="DG24" s="1241"/>
      <c r="DH24" s="1241"/>
      <c r="DI24" s="1241"/>
      <c r="DJ24" s="1241"/>
      <c r="DK24" s="1241"/>
      <c r="DL24" s="1241"/>
      <c r="DM24" s="1241"/>
      <c r="DN24" s="1241"/>
      <c r="DO24" s="1241"/>
      <c r="DP24" s="1241"/>
      <c r="DQ24" s="1241"/>
      <c r="DR24" s="1241"/>
      <c r="DS24" s="1241"/>
      <c r="DT24" s="1241"/>
      <c r="DU24" s="1241"/>
      <c r="DV24" s="1241"/>
      <c r="DW24" s="1241"/>
      <c r="DX24" s="1241"/>
      <c r="DY24" s="1241"/>
      <c r="DZ24" s="1241"/>
      <c r="EA24" s="1241"/>
      <c r="EB24" s="1241"/>
      <c r="EC24" s="1241"/>
      <c r="ED24" s="1241"/>
      <c r="EE24" s="1241"/>
      <c r="EF24" s="1241"/>
      <c r="EG24" s="1241"/>
      <c r="EH24" s="1241"/>
      <c r="EI24" s="1241"/>
      <c r="EJ24" s="1241"/>
      <c r="EK24" s="1241"/>
      <c r="EL24" s="1241"/>
      <c r="EM24" s="1241"/>
      <c r="EN24" s="1241"/>
      <c r="EO24" s="1241"/>
      <c r="EP24" s="1241"/>
      <c r="EQ24" s="1241"/>
      <c r="ER24" s="1241"/>
      <c r="ES24" s="1241"/>
      <c r="ET24" s="1241"/>
      <c r="EU24" s="1241"/>
      <c r="EV24" s="1241"/>
      <c r="EW24" s="1241"/>
      <c r="EX24" s="1241"/>
      <c r="EY24" s="1241"/>
      <c r="EZ24" s="1241"/>
      <c r="FA24" s="1241"/>
      <c r="FB24" s="1241"/>
      <c r="FC24" s="1241"/>
      <c r="FD24" s="1241"/>
      <c r="FE24" s="1241"/>
      <c r="FF24" s="1241"/>
      <c r="FG24" s="1241"/>
      <c r="FH24" s="1241"/>
      <c r="FI24" s="1241"/>
      <c r="FJ24" s="1241"/>
      <c r="FK24" s="1241"/>
      <c r="FL24" s="1241"/>
      <c r="FM24" s="1241"/>
      <c r="FN24" s="1241"/>
      <c r="FO24" s="1241"/>
      <c r="FP24" s="1241"/>
      <c r="FQ24" s="1241"/>
      <c r="FR24" s="1241"/>
      <c r="FS24" s="1241"/>
      <c r="FT24" s="1241"/>
      <c r="FU24" s="1241"/>
      <c r="FV24" s="1241"/>
      <c r="FW24" s="1241"/>
      <c r="FX24" s="1241"/>
      <c r="FY24" s="1241"/>
      <c r="FZ24" s="1241"/>
      <c r="GA24" s="1241"/>
      <c r="GB24" s="1241"/>
      <c r="GC24" s="1241"/>
      <c r="GD24" s="1241"/>
      <c r="GE24" s="1241"/>
      <c r="GF24" s="1241"/>
      <c r="GG24" s="1241"/>
      <c r="GH24" s="1241"/>
      <c r="GI24" s="1241"/>
      <c r="GJ24" s="1241"/>
      <c r="GK24" s="1241"/>
      <c r="GL24" s="1241"/>
      <c r="GM24" s="1241"/>
      <c r="GN24" s="1241"/>
      <c r="GO24" s="1241"/>
      <c r="GP24" s="1241"/>
      <c r="GQ24" s="1241"/>
      <c r="GR24" s="1241"/>
      <c r="GS24" s="1241"/>
      <c r="GT24" s="1241"/>
      <c r="GU24" s="1241"/>
      <c r="GV24" s="1241"/>
      <c r="GW24" s="1241"/>
      <c r="GX24" s="1241"/>
      <c r="GY24" s="1241"/>
      <c r="GZ24" s="1241"/>
      <c r="HA24" s="1241"/>
      <c r="HB24" s="1241"/>
      <c r="HC24" s="1241"/>
      <c r="HD24" s="1241"/>
      <c r="HE24" s="1241"/>
      <c r="HF24" s="1241"/>
      <c r="HG24" s="1241"/>
      <c r="HH24" s="1241"/>
      <c r="HI24" s="1241"/>
      <c r="HJ24" s="1241"/>
      <c r="HK24" s="1241"/>
      <c r="HL24" s="1241"/>
      <c r="HM24" s="1241"/>
      <c r="HN24" s="1241"/>
      <c r="HO24" s="1241"/>
      <c r="HP24" s="1241"/>
      <c r="HQ24" s="1241"/>
      <c r="HR24" s="1241"/>
      <c r="HS24" s="1241"/>
      <c r="HT24" s="1241"/>
      <c r="HU24" s="1241"/>
      <c r="HV24" s="1253"/>
      <c r="HW24" s="1252"/>
      <c r="HX24" s="1241"/>
      <c r="HY24" s="1241"/>
      <c r="HZ24" s="1241"/>
      <c r="IA24" s="1241"/>
      <c r="IB24" s="1253"/>
      <c r="IC24" s="1252"/>
      <c r="ID24" s="1242"/>
      <c r="IE24" s="1227"/>
    </row>
    <row r="25" spans="1:239" s="1223" customFormat="1" ht="15" customHeight="1" x14ac:dyDescent="0.25">
      <c r="A25" s="730"/>
      <c r="B25" s="936" t="s">
        <v>841</v>
      </c>
      <c r="C25" s="936"/>
      <c r="D25" s="936"/>
      <c r="E25" s="936"/>
      <c r="F25" s="1260"/>
      <c r="G25" s="1260"/>
      <c r="H25" s="1241"/>
      <c r="I25" s="1241"/>
      <c r="J25" s="1241"/>
      <c r="K25" s="1241"/>
      <c r="L25" s="1241"/>
      <c r="M25" s="1241"/>
      <c r="N25" s="1241"/>
      <c r="O25" s="1241"/>
      <c r="P25" s="1241"/>
      <c r="Q25" s="1241"/>
      <c r="R25" s="1241"/>
      <c r="S25" s="1241"/>
      <c r="T25" s="1241"/>
      <c r="U25" s="1241"/>
      <c r="V25" s="1241"/>
      <c r="W25" s="1241"/>
      <c r="X25" s="1241"/>
      <c r="Y25" s="1241"/>
      <c r="Z25" s="1241"/>
      <c r="AA25" s="1241"/>
      <c r="AB25" s="1241"/>
      <c r="AC25" s="1241"/>
      <c r="AD25" s="1241"/>
      <c r="AE25" s="1241"/>
      <c r="AF25" s="1241"/>
      <c r="AG25" s="1241"/>
      <c r="AH25" s="1241"/>
      <c r="AI25" s="1241"/>
      <c r="AJ25" s="1241"/>
      <c r="AK25" s="1241"/>
      <c r="AL25" s="1241"/>
      <c r="AM25" s="1241"/>
      <c r="AN25" s="1241"/>
      <c r="AO25" s="1241"/>
      <c r="AP25" s="1241"/>
      <c r="AQ25" s="1241"/>
      <c r="AR25" s="1241"/>
      <c r="AS25" s="1241"/>
      <c r="AT25" s="1241"/>
      <c r="AU25" s="1241"/>
      <c r="AV25" s="1241"/>
      <c r="AW25" s="1241"/>
      <c r="AX25" s="1241"/>
      <c r="AY25" s="1241"/>
      <c r="AZ25" s="1241"/>
      <c r="BA25" s="1241"/>
      <c r="BB25" s="1241"/>
      <c r="BC25" s="1241"/>
      <c r="BD25" s="1241"/>
      <c r="BE25" s="1241"/>
      <c r="BF25" s="1241"/>
      <c r="BG25" s="1241"/>
      <c r="BH25" s="1241"/>
      <c r="BI25" s="1241"/>
      <c r="BJ25" s="1241"/>
      <c r="BK25" s="1241"/>
      <c r="BL25" s="1241"/>
      <c r="BM25" s="1241"/>
      <c r="BN25" s="1241"/>
      <c r="BO25" s="1241"/>
      <c r="BP25" s="1241"/>
      <c r="BQ25" s="1241"/>
      <c r="BR25" s="1241"/>
      <c r="BS25" s="1241"/>
      <c r="BT25" s="1241"/>
      <c r="BU25" s="1241"/>
      <c r="BV25" s="1241"/>
      <c r="BW25" s="1241"/>
      <c r="BX25" s="1241"/>
      <c r="BY25" s="1241"/>
      <c r="BZ25" s="1241"/>
      <c r="CA25" s="1241"/>
      <c r="CB25" s="1241"/>
      <c r="CC25" s="1241"/>
      <c r="CD25" s="1241"/>
      <c r="CE25" s="1241"/>
      <c r="CF25" s="1241"/>
      <c r="CG25" s="1241"/>
      <c r="CH25" s="1241"/>
      <c r="CI25" s="1241"/>
      <c r="CJ25" s="1241"/>
      <c r="CK25" s="1241"/>
      <c r="CL25" s="1241"/>
      <c r="CM25" s="1241"/>
      <c r="CN25" s="1241"/>
      <c r="CO25" s="1241"/>
      <c r="CP25" s="1241"/>
      <c r="CQ25" s="1241"/>
      <c r="CR25" s="1241"/>
      <c r="CS25" s="1241"/>
      <c r="CT25" s="1241"/>
      <c r="CU25" s="1241"/>
      <c r="CV25" s="1241"/>
      <c r="CW25" s="1241"/>
      <c r="CX25" s="1241"/>
      <c r="CY25" s="1241"/>
      <c r="CZ25" s="1241"/>
      <c r="DA25" s="1241"/>
      <c r="DB25" s="1241"/>
      <c r="DC25" s="1241"/>
      <c r="DD25" s="1241"/>
      <c r="DE25" s="1241"/>
      <c r="DF25" s="1241"/>
      <c r="DG25" s="1241"/>
      <c r="DH25" s="1241"/>
      <c r="DI25" s="1241"/>
      <c r="DJ25" s="1241"/>
      <c r="DK25" s="1241"/>
      <c r="DL25" s="1241"/>
      <c r="DM25" s="1241"/>
      <c r="DN25" s="1241"/>
      <c r="DO25" s="1241"/>
      <c r="DP25" s="1241"/>
      <c r="DQ25" s="1241"/>
      <c r="DR25" s="1241"/>
      <c r="DS25" s="1241"/>
      <c r="DT25" s="1241"/>
      <c r="DU25" s="1241"/>
      <c r="DV25" s="1241"/>
      <c r="DW25" s="1241"/>
      <c r="DX25" s="1241"/>
      <c r="DY25" s="1241"/>
      <c r="DZ25" s="1241"/>
      <c r="EA25" s="1241"/>
      <c r="EB25" s="1241"/>
      <c r="EC25" s="1241"/>
      <c r="ED25" s="1241"/>
      <c r="EE25" s="1241"/>
      <c r="EF25" s="1241"/>
      <c r="EG25" s="1241"/>
      <c r="EH25" s="1241"/>
      <c r="EI25" s="1241"/>
      <c r="EJ25" s="1241"/>
      <c r="EK25" s="1241"/>
      <c r="EL25" s="1241"/>
      <c r="EM25" s="1241"/>
      <c r="EN25" s="1241"/>
      <c r="EO25" s="1241"/>
      <c r="EP25" s="1241"/>
      <c r="EQ25" s="1241"/>
      <c r="ER25" s="1241"/>
      <c r="ES25" s="1241"/>
      <c r="ET25" s="1241"/>
      <c r="EU25" s="1241"/>
      <c r="EV25" s="1241"/>
      <c r="EW25" s="1241"/>
      <c r="EX25" s="1241"/>
      <c r="EY25" s="1241"/>
      <c r="EZ25" s="1241"/>
      <c r="FA25" s="1241"/>
      <c r="FB25" s="1241"/>
      <c r="FC25" s="1241"/>
      <c r="FD25" s="1241"/>
      <c r="FE25" s="1241"/>
      <c r="FF25" s="1241"/>
      <c r="FG25" s="1241"/>
      <c r="FH25" s="1241"/>
      <c r="FI25" s="1241"/>
      <c r="FJ25" s="1241"/>
      <c r="FK25" s="1241"/>
      <c r="FL25" s="1241"/>
      <c r="FM25" s="1241"/>
      <c r="FN25" s="1241"/>
      <c r="FO25" s="1241"/>
      <c r="FP25" s="1241"/>
      <c r="FQ25" s="1241"/>
      <c r="FR25" s="1241"/>
      <c r="FS25" s="1241"/>
      <c r="FT25" s="1241"/>
      <c r="FU25" s="1241"/>
      <c r="FV25" s="1241"/>
      <c r="FW25" s="1241"/>
      <c r="FX25" s="1241"/>
      <c r="FY25" s="1241"/>
      <c r="FZ25" s="1241"/>
      <c r="GA25" s="1241"/>
      <c r="GB25" s="1241"/>
      <c r="GC25" s="1241"/>
      <c r="GD25" s="1241"/>
      <c r="GE25" s="1241"/>
      <c r="GF25" s="1241"/>
      <c r="GG25" s="1241"/>
      <c r="GH25" s="1241"/>
      <c r="GI25" s="1241"/>
      <c r="GJ25" s="1241"/>
      <c r="GK25" s="1241"/>
      <c r="GL25" s="1241"/>
      <c r="GM25" s="1241"/>
      <c r="GN25" s="1241"/>
      <c r="GO25" s="1241"/>
      <c r="GP25" s="1241"/>
      <c r="GQ25" s="1241"/>
      <c r="GR25" s="1241"/>
      <c r="GS25" s="1241"/>
      <c r="GT25" s="1241"/>
      <c r="GU25" s="1241"/>
      <c r="GV25" s="1241"/>
      <c r="GW25" s="1241"/>
      <c r="GX25" s="1241"/>
      <c r="GY25" s="1241"/>
      <c r="GZ25" s="1241"/>
      <c r="HA25" s="1241"/>
      <c r="HB25" s="1241"/>
      <c r="HC25" s="1241"/>
      <c r="HD25" s="1241"/>
      <c r="HE25" s="1241"/>
      <c r="HF25" s="1241"/>
      <c r="HG25" s="1241"/>
      <c r="HH25" s="1241"/>
      <c r="HI25" s="1241"/>
      <c r="HJ25" s="1241"/>
      <c r="HK25" s="1241"/>
      <c r="HL25" s="1241"/>
      <c r="HM25" s="1241"/>
      <c r="HN25" s="1241"/>
      <c r="HO25" s="1241"/>
      <c r="HP25" s="1241"/>
      <c r="HQ25" s="1241"/>
      <c r="HR25" s="1241"/>
      <c r="HS25" s="1241"/>
      <c r="HT25" s="1241"/>
      <c r="HU25" s="1241"/>
      <c r="HV25" s="1253"/>
      <c r="HW25" s="1252"/>
      <c r="HX25" s="1241"/>
      <c r="HY25" s="1241"/>
      <c r="HZ25" s="1241"/>
      <c r="IA25" s="1241"/>
      <c r="IB25" s="1253"/>
      <c r="IC25" s="1252"/>
      <c r="ID25" s="1242"/>
      <c r="IE25" s="1227"/>
    </row>
    <row r="26" spans="1:239" s="1223" customFormat="1" ht="15" customHeight="1" x14ac:dyDescent="0.25">
      <c r="A26" s="730"/>
      <c r="B26" s="936" t="s">
        <v>842</v>
      </c>
      <c r="C26" s="936"/>
      <c r="D26" s="936"/>
      <c r="E26" s="936"/>
      <c r="F26" s="1260"/>
      <c r="G26" s="1260"/>
      <c r="H26" s="1241"/>
      <c r="I26" s="1241"/>
      <c r="J26" s="1241"/>
      <c r="K26" s="1241"/>
      <c r="L26" s="1241"/>
      <c r="M26" s="1241"/>
      <c r="N26" s="1241"/>
      <c r="O26" s="1241"/>
      <c r="P26" s="1241"/>
      <c r="Q26" s="1241"/>
      <c r="R26" s="1241"/>
      <c r="S26" s="1241"/>
      <c r="T26" s="1241"/>
      <c r="U26" s="1241"/>
      <c r="V26" s="1241"/>
      <c r="W26" s="1241"/>
      <c r="X26" s="1241"/>
      <c r="Y26" s="1241"/>
      <c r="Z26" s="1241"/>
      <c r="AA26" s="1241"/>
      <c r="AB26" s="1241"/>
      <c r="AC26" s="1241"/>
      <c r="AD26" s="1241"/>
      <c r="AE26" s="1241"/>
      <c r="AF26" s="1241"/>
      <c r="AG26" s="1241"/>
      <c r="AH26" s="1241"/>
      <c r="AI26" s="1241"/>
      <c r="AJ26" s="1241"/>
      <c r="AK26" s="1241"/>
      <c r="AL26" s="1241"/>
      <c r="AM26" s="1241"/>
      <c r="AN26" s="1241"/>
      <c r="AO26" s="1241"/>
      <c r="AP26" s="1241"/>
      <c r="AQ26" s="1241"/>
      <c r="AR26" s="1241"/>
      <c r="AS26" s="1241"/>
      <c r="AT26" s="1241"/>
      <c r="AU26" s="1241"/>
      <c r="AV26" s="1241"/>
      <c r="AW26" s="1241"/>
      <c r="AX26" s="1241"/>
      <c r="AY26" s="1241"/>
      <c r="AZ26" s="1241"/>
      <c r="BA26" s="1241"/>
      <c r="BB26" s="1241"/>
      <c r="BC26" s="1241"/>
      <c r="BD26" s="1241"/>
      <c r="BE26" s="1241"/>
      <c r="BF26" s="1241"/>
      <c r="BG26" s="1241"/>
      <c r="BH26" s="1241"/>
      <c r="BI26" s="1241"/>
      <c r="BJ26" s="1241"/>
      <c r="BK26" s="1241"/>
      <c r="BL26" s="1241"/>
      <c r="BM26" s="1241"/>
      <c r="BN26" s="1241"/>
      <c r="BO26" s="1241"/>
      <c r="BP26" s="1241"/>
      <c r="BQ26" s="1241"/>
      <c r="BR26" s="1241"/>
      <c r="BS26" s="1241"/>
      <c r="BT26" s="1241"/>
      <c r="BU26" s="1241"/>
      <c r="BV26" s="1241"/>
      <c r="BW26" s="1241"/>
      <c r="BX26" s="1241"/>
      <c r="BY26" s="1241"/>
      <c r="BZ26" s="1241"/>
      <c r="CA26" s="1241"/>
      <c r="CB26" s="1241"/>
      <c r="CC26" s="1241"/>
      <c r="CD26" s="1241"/>
      <c r="CE26" s="1241"/>
      <c r="CF26" s="1241"/>
      <c r="CG26" s="1241"/>
      <c r="CH26" s="1241"/>
      <c r="CI26" s="1241"/>
      <c r="CJ26" s="1241"/>
      <c r="CK26" s="1241"/>
      <c r="CL26" s="1241"/>
      <c r="CM26" s="1241"/>
      <c r="CN26" s="1241"/>
      <c r="CO26" s="1241"/>
      <c r="CP26" s="1241"/>
      <c r="CQ26" s="1241"/>
      <c r="CR26" s="1241"/>
      <c r="CS26" s="1241"/>
      <c r="CT26" s="1241"/>
      <c r="CU26" s="1241"/>
      <c r="CV26" s="1241"/>
      <c r="CW26" s="1241"/>
      <c r="CX26" s="1241"/>
      <c r="CY26" s="1241"/>
      <c r="CZ26" s="1241"/>
      <c r="DA26" s="1241"/>
      <c r="DB26" s="1241"/>
      <c r="DC26" s="1241"/>
      <c r="DD26" s="1241"/>
      <c r="DE26" s="1241"/>
      <c r="DF26" s="1241"/>
      <c r="DG26" s="1241"/>
      <c r="DH26" s="1241"/>
      <c r="DI26" s="1241"/>
      <c r="DJ26" s="1241"/>
      <c r="DK26" s="1241"/>
      <c r="DL26" s="1241"/>
      <c r="DM26" s="1241"/>
      <c r="DN26" s="1241"/>
      <c r="DO26" s="1241"/>
      <c r="DP26" s="1241"/>
      <c r="DQ26" s="1241"/>
      <c r="DR26" s="1241"/>
      <c r="DS26" s="1241"/>
      <c r="DT26" s="1241"/>
      <c r="DU26" s="1241"/>
      <c r="DV26" s="1241"/>
      <c r="DW26" s="1241"/>
      <c r="DX26" s="1241"/>
      <c r="DY26" s="1241"/>
      <c r="DZ26" s="1241"/>
      <c r="EA26" s="1241"/>
      <c r="EB26" s="1241"/>
      <c r="EC26" s="1241"/>
      <c r="ED26" s="1241"/>
      <c r="EE26" s="1241"/>
      <c r="EF26" s="1241"/>
      <c r="EG26" s="1241"/>
      <c r="EH26" s="1241"/>
      <c r="EI26" s="1241"/>
      <c r="EJ26" s="1241"/>
      <c r="EK26" s="1241"/>
      <c r="EL26" s="1241"/>
      <c r="EM26" s="1241"/>
      <c r="EN26" s="1241"/>
      <c r="EO26" s="1241"/>
      <c r="EP26" s="1241"/>
      <c r="EQ26" s="1241"/>
      <c r="ER26" s="1241"/>
      <c r="ES26" s="1241"/>
      <c r="ET26" s="1241"/>
      <c r="EU26" s="1241"/>
      <c r="EV26" s="1241"/>
      <c r="EW26" s="1241"/>
      <c r="EX26" s="1241"/>
      <c r="EY26" s="1241"/>
      <c r="EZ26" s="1241"/>
      <c r="FA26" s="1241"/>
      <c r="FB26" s="1241"/>
      <c r="FC26" s="1241"/>
      <c r="FD26" s="1241"/>
      <c r="FE26" s="1241"/>
      <c r="FF26" s="1241"/>
      <c r="FG26" s="1241"/>
      <c r="FH26" s="1241"/>
      <c r="FI26" s="1241"/>
      <c r="FJ26" s="1241"/>
      <c r="FK26" s="1241"/>
      <c r="FL26" s="1241"/>
      <c r="FM26" s="1241"/>
      <c r="FN26" s="1241"/>
      <c r="FO26" s="1241"/>
      <c r="FP26" s="1241"/>
      <c r="FQ26" s="1241"/>
      <c r="FR26" s="1241"/>
      <c r="FS26" s="1241"/>
      <c r="FT26" s="1241"/>
      <c r="FU26" s="1241"/>
      <c r="FV26" s="1241"/>
      <c r="FW26" s="1241"/>
      <c r="FX26" s="1241"/>
      <c r="FY26" s="1241"/>
      <c r="FZ26" s="1241"/>
      <c r="GA26" s="1241"/>
      <c r="GB26" s="1241"/>
      <c r="GC26" s="1241"/>
      <c r="GD26" s="1241"/>
      <c r="GE26" s="1241"/>
      <c r="GF26" s="1241"/>
      <c r="GG26" s="1241"/>
      <c r="GH26" s="1241"/>
      <c r="GI26" s="1241"/>
      <c r="GJ26" s="1241"/>
      <c r="GK26" s="1241"/>
      <c r="GL26" s="1241"/>
      <c r="GM26" s="1241"/>
      <c r="GN26" s="1241"/>
      <c r="GO26" s="1241"/>
      <c r="GP26" s="1241"/>
      <c r="GQ26" s="1241"/>
      <c r="GR26" s="1241"/>
      <c r="GS26" s="1241"/>
      <c r="GT26" s="1241"/>
      <c r="GU26" s="1241"/>
      <c r="GV26" s="1241"/>
      <c r="GW26" s="1241"/>
      <c r="GX26" s="1241"/>
      <c r="GY26" s="1241"/>
      <c r="GZ26" s="1241"/>
      <c r="HA26" s="1241"/>
      <c r="HB26" s="1241"/>
      <c r="HC26" s="1241"/>
      <c r="HD26" s="1241"/>
      <c r="HE26" s="1241"/>
      <c r="HF26" s="1241"/>
      <c r="HG26" s="1241"/>
      <c r="HH26" s="1241"/>
      <c r="HI26" s="1241"/>
      <c r="HJ26" s="1241"/>
      <c r="HK26" s="1241"/>
      <c r="HL26" s="1241"/>
      <c r="HM26" s="1241"/>
      <c r="HN26" s="1241"/>
      <c r="HO26" s="1241"/>
      <c r="HP26" s="1241"/>
      <c r="HQ26" s="1241"/>
      <c r="HR26" s="1241"/>
      <c r="HS26" s="1241"/>
      <c r="HT26" s="1241"/>
      <c r="HU26" s="1241"/>
      <c r="HV26" s="1253"/>
      <c r="HW26" s="1252"/>
      <c r="HX26" s="1241"/>
      <c r="HY26" s="1241"/>
      <c r="HZ26" s="1241"/>
      <c r="IA26" s="1241"/>
      <c r="IB26" s="1253"/>
      <c r="IC26" s="1252"/>
      <c r="ID26" s="1242"/>
      <c r="IE26" s="1227"/>
    </row>
    <row r="27" spans="1:239" s="1223" customFormat="1" ht="15" customHeight="1" x14ac:dyDescent="0.25">
      <c r="A27" s="730"/>
      <c r="B27" s="936" t="s">
        <v>843</v>
      </c>
      <c r="C27" s="936"/>
      <c r="D27" s="936"/>
      <c r="E27" s="936"/>
      <c r="F27" s="1260"/>
      <c r="G27" s="1260"/>
      <c r="H27" s="1241"/>
      <c r="I27" s="1241"/>
      <c r="J27" s="1241"/>
      <c r="K27" s="1241"/>
      <c r="L27" s="1241"/>
      <c r="M27" s="1241"/>
      <c r="N27" s="1241"/>
      <c r="O27" s="1241"/>
      <c r="P27" s="1241"/>
      <c r="Q27" s="1241"/>
      <c r="R27" s="1241"/>
      <c r="S27" s="1241"/>
      <c r="T27" s="1241"/>
      <c r="U27" s="1241"/>
      <c r="V27" s="1241"/>
      <c r="W27" s="1241"/>
      <c r="X27" s="1241"/>
      <c r="Y27" s="1241"/>
      <c r="Z27" s="1241"/>
      <c r="AA27" s="1241"/>
      <c r="AB27" s="1241"/>
      <c r="AC27" s="1241"/>
      <c r="AD27" s="1241"/>
      <c r="AE27" s="1241"/>
      <c r="AF27" s="1241"/>
      <c r="AG27" s="1241"/>
      <c r="AH27" s="1241"/>
      <c r="AI27" s="1241"/>
      <c r="AJ27" s="1241"/>
      <c r="AK27" s="1241"/>
      <c r="AL27" s="1241"/>
      <c r="AM27" s="1241"/>
      <c r="AN27" s="1241"/>
      <c r="AO27" s="1241"/>
      <c r="AP27" s="1241"/>
      <c r="AQ27" s="1241"/>
      <c r="AR27" s="1241"/>
      <c r="AS27" s="1241"/>
      <c r="AT27" s="1241"/>
      <c r="AU27" s="1241"/>
      <c r="AV27" s="1241"/>
      <c r="AW27" s="1241"/>
      <c r="AX27" s="1241"/>
      <c r="AY27" s="1241"/>
      <c r="AZ27" s="1241"/>
      <c r="BA27" s="1241"/>
      <c r="BB27" s="1241"/>
      <c r="BC27" s="1241"/>
      <c r="BD27" s="1241"/>
      <c r="BE27" s="1241"/>
      <c r="BF27" s="1241"/>
      <c r="BG27" s="1241"/>
      <c r="BH27" s="1241"/>
      <c r="BI27" s="1241"/>
      <c r="BJ27" s="1241"/>
      <c r="BK27" s="1241"/>
      <c r="BL27" s="1241"/>
      <c r="BM27" s="1241"/>
      <c r="BN27" s="1241"/>
      <c r="BO27" s="1241"/>
      <c r="BP27" s="1241"/>
      <c r="BQ27" s="1241"/>
      <c r="BR27" s="1241"/>
      <c r="BS27" s="1241"/>
      <c r="BT27" s="1241"/>
      <c r="BU27" s="1241"/>
      <c r="BV27" s="1241"/>
      <c r="BW27" s="1241"/>
      <c r="BX27" s="1241"/>
      <c r="BY27" s="1241"/>
      <c r="BZ27" s="1241"/>
      <c r="CA27" s="1241"/>
      <c r="CB27" s="1241"/>
      <c r="CC27" s="1241"/>
      <c r="CD27" s="1241"/>
      <c r="CE27" s="1241"/>
      <c r="CF27" s="1241"/>
      <c r="CG27" s="1241"/>
      <c r="CH27" s="1241"/>
      <c r="CI27" s="1241"/>
      <c r="CJ27" s="1241"/>
      <c r="CK27" s="1241"/>
      <c r="CL27" s="1241"/>
      <c r="CM27" s="1241"/>
      <c r="CN27" s="1241"/>
      <c r="CO27" s="1241"/>
      <c r="CP27" s="1241"/>
      <c r="CQ27" s="1241"/>
      <c r="CR27" s="1241"/>
      <c r="CS27" s="1241"/>
      <c r="CT27" s="1241"/>
      <c r="CU27" s="1241"/>
      <c r="CV27" s="1241"/>
      <c r="CW27" s="1241"/>
      <c r="CX27" s="1241"/>
      <c r="CY27" s="1241"/>
      <c r="CZ27" s="1241"/>
      <c r="DA27" s="1241"/>
      <c r="DB27" s="1241"/>
      <c r="DC27" s="1241"/>
      <c r="DD27" s="1241"/>
      <c r="DE27" s="1241"/>
      <c r="DF27" s="1241"/>
      <c r="DG27" s="1241"/>
      <c r="DH27" s="1241"/>
      <c r="DI27" s="1241"/>
      <c r="DJ27" s="1241"/>
      <c r="DK27" s="1241"/>
      <c r="DL27" s="1241"/>
      <c r="DM27" s="1241"/>
      <c r="DN27" s="1241"/>
      <c r="DO27" s="1241"/>
      <c r="DP27" s="1241"/>
      <c r="DQ27" s="1241"/>
      <c r="DR27" s="1241"/>
      <c r="DS27" s="1241"/>
      <c r="DT27" s="1241"/>
      <c r="DU27" s="1241"/>
      <c r="DV27" s="1241"/>
      <c r="DW27" s="1241"/>
      <c r="DX27" s="1241"/>
      <c r="DY27" s="1241"/>
      <c r="DZ27" s="1241"/>
      <c r="EA27" s="1241"/>
      <c r="EB27" s="1241"/>
      <c r="EC27" s="1241"/>
      <c r="ED27" s="1241"/>
      <c r="EE27" s="1241"/>
      <c r="EF27" s="1241"/>
      <c r="EG27" s="1241"/>
      <c r="EH27" s="1241"/>
      <c r="EI27" s="1241"/>
      <c r="EJ27" s="1241"/>
      <c r="EK27" s="1241"/>
      <c r="EL27" s="1241"/>
      <c r="EM27" s="1241"/>
      <c r="EN27" s="1241"/>
      <c r="EO27" s="1241"/>
      <c r="EP27" s="1241"/>
      <c r="EQ27" s="1241"/>
      <c r="ER27" s="1241"/>
      <c r="ES27" s="1241"/>
      <c r="ET27" s="1241"/>
      <c r="EU27" s="1241"/>
      <c r="EV27" s="1241"/>
      <c r="EW27" s="1241"/>
      <c r="EX27" s="1241"/>
      <c r="EY27" s="1241"/>
      <c r="EZ27" s="1241"/>
      <c r="FA27" s="1241"/>
      <c r="FB27" s="1241"/>
      <c r="FC27" s="1241"/>
      <c r="FD27" s="1241"/>
      <c r="FE27" s="1241"/>
      <c r="FF27" s="1241"/>
      <c r="FG27" s="1241"/>
      <c r="FH27" s="1241"/>
      <c r="FI27" s="1241"/>
      <c r="FJ27" s="1241"/>
      <c r="FK27" s="1241"/>
      <c r="FL27" s="1241"/>
      <c r="FM27" s="1241"/>
      <c r="FN27" s="1241"/>
      <c r="FO27" s="1241"/>
      <c r="FP27" s="1241"/>
      <c r="FQ27" s="1241"/>
      <c r="FR27" s="1241"/>
      <c r="FS27" s="1241"/>
      <c r="FT27" s="1241"/>
      <c r="FU27" s="1241"/>
      <c r="FV27" s="1241"/>
      <c r="FW27" s="1241"/>
      <c r="FX27" s="1241"/>
      <c r="FY27" s="1241"/>
      <c r="FZ27" s="1241"/>
      <c r="GA27" s="1241"/>
      <c r="GB27" s="1241"/>
      <c r="GC27" s="1241"/>
      <c r="GD27" s="1241"/>
      <c r="GE27" s="1241"/>
      <c r="GF27" s="1241"/>
      <c r="GG27" s="1241"/>
      <c r="GH27" s="1241"/>
      <c r="GI27" s="1241"/>
      <c r="GJ27" s="1241"/>
      <c r="GK27" s="1241"/>
      <c r="GL27" s="1241"/>
      <c r="GM27" s="1241"/>
      <c r="GN27" s="1241"/>
      <c r="GO27" s="1241"/>
      <c r="GP27" s="1241"/>
      <c r="GQ27" s="1241"/>
      <c r="GR27" s="1241"/>
      <c r="GS27" s="1241"/>
      <c r="GT27" s="1241"/>
      <c r="GU27" s="1241"/>
      <c r="GV27" s="1241"/>
      <c r="GW27" s="1241"/>
      <c r="GX27" s="1241"/>
      <c r="GY27" s="1241"/>
      <c r="GZ27" s="1241"/>
      <c r="HA27" s="1241"/>
      <c r="HB27" s="1241"/>
      <c r="HC27" s="1241"/>
      <c r="HD27" s="1241"/>
      <c r="HE27" s="1241"/>
      <c r="HF27" s="1241"/>
      <c r="HG27" s="1241"/>
      <c r="HH27" s="1241"/>
      <c r="HI27" s="1241"/>
      <c r="HJ27" s="1241"/>
      <c r="HK27" s="1241"/>
      <c r="HL27" s="1241"/>
      <c r="HM27" s="1241"/>
      <c r="HN27" s="1241"/>
      <c r="HO27" s="1241"/>
      <c r="HP27" s="1241"/>
      <c r="HQ27" s="1241"/>
      <c r="HR27" s="1241"/>
      <c r="HS27" s="1241"/>
      <c r="HT27" s="1241"/>
      <c r="HU27" s="1241"/>
      <c r="HV27" s="1253"/>
      <c r="HW27" s="1252"/>
      <c r="HX27" s="1241"/>
      <c r="HY27" s="1241"/>
      <c r="HZ27" s="1241"/>
      <c r="IA27" s="1241"/>
      <c r="IB27" s="1253"/>
      <c r="IC27" s="1252"/>
      <c r="ID27" s="1242"/>
      <c r="IE27" s="1227"/>
    </row>
    <row r="28" spans="1:239" s="1223" customFormat="1" ht="15" customHeight="1" x14ac:dyDescent="0.25">
      <c r="A28" s="730"/>
      <c r="B28" s="936" t="s">
        <v>844</v>
      </c>
      <c r="C28" s="936"/>
      <c r="D28" s="936"/>
      <c r="E28" s="936"/>
      <c r="F28" s="1260"/>
      <c r="G28" s="1260"/>
      <c r="H28" s="1241"/>
      <c r="I28" s="1241"/>
      <c r="J28" s="1241"/>
      <c r="K28" s="1241"/>
      <c r="L28" s="1241"/>
      <c r="M28" s="1241"/>
      <c r="N28" s="1241"/>
      <c r="O28" s="1241"/>
      <c r="P28" s="1241"/>
      <c r="Q28" s="1241"/>
      <c r="R28" s="1241"/>
      <c r="S28" s="1241"/>
      <c r="T28" s="1241"/>
      <c r="U28" s="1241"/>
      <c r="V28" s="1241"/>
      <c r="W28" s="1241"/>
      <c r="X28" s="1241"/>
      <c r="Y28" s="1241"/>
      <c r="Z28" s="1241"/>
      <c r="AA28" s="1241"/>
      <c r="AB28" s="1241"/>
      <c r="AC28" s="1241"/>
      <c r="AD28" s="1241"/>
      <c r="AE28" s="1241"/>
      <c r="AF28" s="1241"/>
      <c r="AG28" s="1241"/>
      <c r="AH28" s="1241"/>
      <c r="AI28" s="1241"/>
      <c r="AJ28" s="1241"/>
      <c r="AK28" s="1241"/>
      <c r="AL28" s="1241"/>
      <c r="AM28" s="1241"/>
      <c r="AN28" s="1241"/>
      <c r="AO28" s="1241"/>
      <c r="AP28" s="1241"/>
      <c r="AQ28" s="1241"/>
      <c r="AR28" s="1241"/>
      <c r="AS28" s="1241"/>
      <c r="AT28" s="1241"/>
      <c r="AU28" s="1241"/>
      <c r="AV28" s="1241"/>
      <c r="AW28" s="1241"/>
      <c r="AX28" s="1241"/>
      <c r="AY28" s="1241"/>
      <c r="AZ28" s="1241"/>
      <c r="BA28" s="1241"/>
      <c r="BB28" s="1241"/>
      <c r="BC28" s="1241"/>
      <c r="BD28" s="1241"/>
      <c r="BE28" s="1241"/>
      <c r="BF28" s="1241"/>
      <c r="BG28" s="1241"/>
      <c r="BH28" s="1241"/>
      <c r="BI28" s="1241"/>
      <c r="BJ28" s="1241"/>
      <c r="BK28" s="1241"/>
      <c r="BL28" s="1241"/>
      <c r="BM28" s="1241"/>
      <c r="BN28" s="1241"/>
      <c r="BO28" s="1241"/>
      <c r="BP28" s="1241"/>
      <c r="BQ28" s="1241"/>
      <c r="BR28" s="1241"/>
      <c r="BS28" s="1241"/>
      <c r="BT28" s="1241"/>
      <c r="BU28" s="1241"/>
      <c r="BV28" s="1241"/>
      <c r="BW28" s="1241"/>
      <c r="BX28" s="1241"/>
      <c r="BY28" s="1241"/>
      <c r="BZ28" s="1241"/>
      <c r="CA28" s="1241"/>
      <c r="CB28" s="1241"/>
      <c r="CC28" s="1241"/>
      <c r="CD28" s="1241"/>
      <c r="CE28" s="1241"/>
      <c r="CF28" s="1241"/>
      <c r="CG28" s="1241"/>
      <c r="CH28" s="1241"/>
      <c r="CI28" s="1241"/>
      <c r="CJ28" s="1241"/>
      <c r="CK28" s="1241"/>
      <c r="CL28" s="1241"/>
      <c r="CM28" s="1241"/>
      <c r="CN28" s="1241"/>
      <c r="CO28" s="1241"/>
      <c r="CP28" s="1241"/>
      <c r="CQ28" s="1241"/>
      <c r="CR28" s="1241"/>
      <c r="CS28" s="1241"/>
      <c r="CT28" s="1241"/>
      <c r="CU28" s="1241"/>
      <c r="CV28" s="1241"/>
      <c r="CW28" s="1241"/>
      <c r="CX28" s="1241"/>
      <c r="CY28" s="1241"/>
      <c r="CZ28" s="1241"/>
      <c r="DA28" s="1241"/>
      <c r="DB28" s="1241"/>
      <c r="DC28" s="1241"/>
      <c r="DD28" s="1241"/>
      <c r="DE28" s="1241"/>
      <c r="DF28" s="1241"/>
      <c r="DG28" s="1241"/>
      <c r="DH28" s="1241"/>
      <c r="DI28" s="1241"/>
      <c r="DJ28" s="1241"/>
      <c r="DK28" s="1241"/>
      <c r="DL28" s="1241"/>
      <c r="DM28" s="1241"/>
      <c r="DN28" s="1241"/>
      <c r="DO28" s="1241"/>
      <c r="DP28" s="1241"/>
      <c r="DQ28" s="1241"/>
      <c r="DR28" s="1241"/>
      <c r="DS28" s="1241"/>
      <c r="DT28" s="1241"/>
      <c r="DU28" s="1241"/>
      <c r="DV28" s="1241"/>
      <c r="DW28" s="1241"/>
      <c r="DX28" s="1241"/>
      <c r="DY28" s="1241"/>
      <c r="DZ28" s="1241"/>
      <c r="EA28" s="1241"/>
      <c r="EB28" s="1241"/>
      <c r="EC28" s="1241"/>
      <c r="ED28" s="1241"/>
      <c r="EE28" s="1241"/>
      <c r="EF28" s="1241"/>
      <c r="EG28" s="1241"/>
      <c r="EH28" s="1241"/>
      <c r="EI28" s="1241"/>
      <c r="EJ28" s="1241"/>
      <c r="EK28" s="1241"/>
      <c r="EL28" s="1241"/>
      <c r="EM28" s="1241"/>
      <c r="EN28" s="1241"/>
      <c r="EO28" s="1241"/>
      <c r="EP28" s="1241"/>
      <c r="EQ28" s="1241"/>
      <c r="ER28" s="1241"/>
      <c r="ES28" s="1241"/>
      <c r="ET28" s="1241"/>
      <c r="EU28" s="1241"/>
      <c r="EV28" s="1241"/>
      <c r="EW28" s="1241"/>
      <c r="EX28" s="1241"/>
      <c r="EY28" s="1241"/>
      <c r="EZ28" s="1241"/>
      <c r="FA28" s="1241"/>
      <c r="FB28" s="1241"/>
      <c r="FC28" s="1241"/>
      <c r="FD28" s="1241"/>
      <c r="FE28" s="1241"/>
      <c r="FF28" s="1241"/>
      <c r="FG28" s="1241"/>
      <c r="FH28" s="1241"/>
      <c r="FI28" s="1241"/>
      <c r="FJ28" s="1241"/>
      <c r="FK28" s="1241"/>
      <c r="FL28" s="1241"/>
      <c r="FM28" s="1241"/>
      <c r="FN28" s="1241"/>
      <c r="FO28" s="1241"/>
      <c r="FP28" s="1241"/>
      <c r="FQ28" s="1241"/>
      <c r="FR28" s="1241"/>
      <c r="FS28" s="1241"/>
      <c r="FT28" s="1241"/>
      <c r="FU28" s="1241"/>
      <c r="FV28" s="1241"/>
      <c r="FW28" s="1241"/>
      <c r="FX28" s="1241"/>
      <c r="FY28" s="1241"/>
      <c r="FZ28" s="1241"/>
      <c r="GA28" s="1241"/>
      <c r="GB28" s="1241"/>
      <c r="GC28" s="1241"/>
      <c r="GD28" s="1241"/>
      <c r="GE28" s="1241"/>
      <c r="GF28" s="1241"/>
      <c r="GG28" s="1241"/>
      <c r="GH28" s="1241"/>
      <c r="GI28" s="1241"/>
      <c r="GJ28" s="1241"/>
      <c r="GK28" s="1241"/>
      <c r="GL28" s="1241"/>
      <c r="GM28" s="1241"/>
      <c r="GN28" s="1241"/>
      <c r="GO28" s="1241"/>
      <c r="GP28" s="1241"/>
      <c r="GQ28" s="1241"/>
      <c r="GR28" s="1241"/>
      <c r="GS28" s="1241"/>
      <c r="GT28" s="1241"/>
      <c r="GU28" s="1241"/>
      <c r="GV28" s="1241"/>
      <c r="GW28" s="1241"/>
      <c r="GX28" s="1241"/>
      <c r="GY28" s="1241"/>
      <c r="GZ28" s="1241"/>
      <c r="HA28" s="1241"/>
      <c r="HB28" s="1241"/>
      <c r="HC28" s="1241"/>
      <c r="HD28" s="1241"/>
      <c r="HE28" s="1241"/>
      <c r="HF28" s="1241"/>
      <c r="HG28" s="1241"/>
      <c r="HH28" s="1241"/>
      <c r="HI28" s="1241"/>
      <c r="HJ28" s="1241"/>
      <c r="HK28" s="1241"/>
      <c r="HL28" s="1241"/>
      <c r="HM28" s="1241"/>
      <c r="HN28" s="1241"/>
      <c r="HO28" s="1241"/>
      <c r="HP28" s="1241"/>
      <c r="HQ28" s="1241"/>
      <c r="HR28" s="1241"/>
      <c r="HS28" s="1241"/>
      <c r="HT28" s="1241"/>
      <c r="HU28" s="1241"/>
      <c r="HV28" s="1253"/>
      <c r="HW28" s="1252"/>
      <c r="HX28" s="1241"/>
      <c r="HY28" s="1241"/>
      <c r="HZ28" s="1241"/>
      <c r="IA28" s="1241"/>
      <c r="IB28" s="1253"/>
      <c r="IC28" s="1252"/>
      <c r="ID28" s="1242"/>
      <c r="IE28" s="1227"/>
    </row>
    <row r="29" spans="1:239" s="1223" customFormat="1" ht="15" customHeight="1" x14ac:dyDescent="0.25">
      <c r="A29" s="730"/>
      <c r="B29" s="936" t="s">
        <v>845</v>
      </c>
      <c r="C29" s="936"/>
      <c r="D29" s="936"/>
      <c r="E29" s="936"/>
      <c r="F29" s="1260"/>
      <c r="G29" s="1260"/>
      <c r="H29" s="1241"/>
      <c r="I29" s="1241"/>
      <c r="J29" s="1241"/>
      <c r="K29" s="1241"/>
      <c r="L29" s="1241"/>
      <c r="M29" s="1241"/>
      <c r="N29" s="1241"/>
      <c r="O29" s="1241"/>
      <c r="P29" s="1241"/>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1241"/>
      <c r="AS29" s="1241"/>
      <c r="AT29" s="1241"/>
      <c r="AU29" s="1241"/>
      <c r="AV29" s="1241"/>
      <c r="AW29" s="1241"/>
      <c r="AX29" s="1241"/>
      <c r="AY29" s="1241"/>
      <c r="AZ29" s="1241"/>
      <c r="BA29" s="1241"/>
      <c r="BB29" s="1241"/>
      <c r="BC29" s="1241"/>
      <c r="BD29" s="1241"/>
      <c r="BE29" s="1241"/>
      <c r="BF29" s="1241"/>
      <c r="BG29" s="1241"/>
      <c r="BH29" s="1241"/>
      <c r="BI29" s="1241"/>
      <c r="BJ29" s="1241"/>
      <c r="BK29" s="1241"/>
      <c r="BL29" s="1241"/>
      <c r="BM29" s="1241"/>
      <c r="BN29" s="1241"/>
      <c r="BO29" s="1241"/>
      <c r="BP29" s="1241"/>
      <c r="BQ29" s="1241"/>
      <c r="BR29" s="1241"/>
      <c r="BS29" s="1241"/>
      <c r="BT29" s="1241"/>
      <c r="BU29" s="1241"/>
      <c r="BV29" s="1241"/>
      <c r="BW29" s="1241"/>
      <c r="BX29" s="1241"/>
      <c r="BY29" s="1241"/>
      <c r="BZ29" s="1241"/>
      <c r="CA29" s="1241"/>
      <c r="CB29" s="1241"/>
      <c r="CC29" s="1241"/>
      <c r="CD29" s="1241"/>
      <c r="CE29" s="1241"/>
      <c r="CF29" s="1241"/>
      <c r="CG29" s="1241"/>
      <c r="CH29" s="1241"/>
      <c r="CI29" s="1241"/>
      <c r="CJ29" s="1241"/>
      <c r="CK29" s="1241"/>
      <c r="CL29" s="1241"/>
      <c r="CM29" s="1241"/>
      <c r="CN29" s="1241"/>
      <c r="CO29" s="1241"/>
      <c r="CP29" s="1241"/>
      <c r="CQ29" s="1241"/>
      <c r="CR29" s="1241"/>
      <c r="CS29" s="1241"/>
      <c r="CT29" s="1241"/>
      <c r="CU29" s="1241"/>
      <c r="CV29" s="1241"/>
      <c r="CW29" s="1241"/>
      <c r="CX29" s="1241"/>
      <c r="CY29" s="1241"/>
      <c r="CZ29" s="1241"/>
      <c r="DA29" s="1241"/>
      <c r="DB29" s="1241"/>
      <c r="DC29" s="1241"/>
      <c r="DD29" s="1241"/>
      <c r="DE29" s="1241"/>
      <c r="DF29" s="1241"/>
      <c r="DG29" s="1241"/>
      <c r="DH29" s="1241"/>
      <c r="DI29" s="1241"/>
      <c r="DJ29" s="1241"/>
      <c r="DK29" s="1241"/>
      <c r="DL29" s="1241"/>
      <c r="DM29" s="1241"/>
      <c r="DN29" s="1241"/>
      <c r="DO29" s="1241"/>
      <c r="DP29" s="1241"/>
      <c r="DQ29" s="1241"/>
      <c r="DR29" s="1241"/>
      <c r="DS29" s="1241"/>
      <c r="DT29" s="1241"/>
      <c r="DU29" s="1241"/>
      <c r="DV29" s="1241"/>
      <c r="DW29" s="1241"/>
      <c r="DX29" s="1241"/>
      <c r="DY29" s="1241"/>
      <c r="DZ29" s="1241"/>
      <c r="EA29" s="1241"/>
      <c r="EB29" s="1241"/>
      <c r="EC29" s="1241"/>
      <c r="ED29" s="1241"/>
      <c r="EE29" s="1241"/>
      <c r="EF29" s="1241"/>
      <c r="EG29" s="1241"/>
      <c r="EH29" s="1241"/>
      <c r="EI29" s="1241"/>
      <c r="EJ29" s="1241"/>
      <c r="EK29" s="1241"/>
      <c r="EL29" s="1241"/>
      <c r="EM29" s="1241"/>
      <c r="EN29" s="1241"/>
      <c r="EO29" s="1241"/>
      <c r="EP29" s="1241"/>
      <c r="EQ29" s="1241"/>
      <c r="ER29" s="1241"/>
      <c r="ES29" s="1241"/>
      <c r="ET29" s="1241"/>
      <c r="EU29" s="1241"/>
      <c r="EV29" s="1241"/>
      <c r="EW29" s="1241"/>
      <c r="EX29" s="1241"/>
      <c r="EY29" s="1241"/>
      <c r="EZ29" s="1241"/>
      <c r="FA29" s="1241"/>
      <c r="FB29" s="1241"/>
      <c r="FC29" s="1241"/>
      <c r="FD29" s="1241"/>
      <c r="FE29" s="1241"/>
      <c r="FF29" s="1241"/>
      <c r="FG29" s="1241"/>
      <c r="FH29" s="1241"/>
      <c r="FI29" s="1241"/>
      <c r="FJ29" s="1241"/>
      <c r="FK29" s="1241"/>
      <c r="FL29" s="1241"/>
      <c r="FM29" s="1241"/>
      <c r="FN29" s="1241"/>
      <c r="FO29" s="1241"/>
      <c r="FP29" s="1241"/>
      <c r="FQ29" s="1241"/>
      <c r="FR29" s="1241"/>
      <c r="FS29" s="1241"/>
      <c r="FT29" s="1241"/>
      <c r="FU29" s="1241"/>
      <c r="FV29" s="1241"/>
      <c r="FW29" s="1241"/>
      <c r="FX29" s="1241"/>
      <c r="FY29" s="1241"/>
      <c r="FZ29" s="1241"/>
      <c r="GA29" s="1241"/>
      <c r="GB29" s="1241"/>
      <c r="GC29" s="1241"/>
      <c r="GD29" s="1241"/>
      <c r="GE29" s="1241"/>
      <c r="GF29" s="1241"/>
      <c r="GG29" s="1241"/>
      <c r="GH29" s="1241"/>
      <c r="GI29" s="1241"/>
      <c r="GJ29" s="1241"/>
      <c r="GK29" s="1241"/>
      <c r="GL29" s="1241"/>
      <c r="GM29" s="1241"/>
      <c r="GN29" s="1241"/>
      <c r="GO29" s="1241"/>
      <c r="GP29" s="1241"/>
      <c r="GQ29" s="1241"/>
      <c r="GR29" s="1241"/>
      <c r="GS29" s="1241"/>
      <c r="GT29" s="1241"/>
      <c r="GU29" s="1241"/>
      <c r="GV29" s="1241"/>
      <c r="GW29" s="1241"/>
      <c r="GX29" s="1241"/>
      <c r="GY29" s="1241"/>
      <c r="GZ29" s="1241"/>
      <c r="HA29" s="1241"/>
      <c r="HB29" s="1241"/>
      <c r="HC29" s="1241"/>
      <c r="HD29" s="1241"/>
      <c r="HE29" s="1241"/>
      <c r="HF29" s="1241"/>
      <c r="HG29" s="1241"/>
      <c r="HH29" s="1241"/>
      <c r="HI29" s="1241"/>
      <c r="HJ29" s="1241"/>
      <c r="HK29" s="1241"/>
      <c r="HL29" s="1241"/>
      <c r="HM29" s="1241"/>
      <c r="HN29" s="1241"/>
      <c r="HO29" s="1241"/>
      <c r="HP29" s="1241"/>
      <c r="HQ29" s="1241"/>
      <c r="HR29" s="1241"/>
      <c r="HS29" s="1241"/>
      <c r="HT29" s="1241"/>
      <c r="HU29" s="1241"/>
      <c r="HV29" s="1253"/>
      <c r="HW29" s="1252"/>
      <c r="HX29" s="1241"/>
      <c r="HY29" s="1241"/>
      <c r="HZ29" s="1241"/>
      <c r="IA29" s="1241"/>
      <c r="IB29" s="1253"/>
      <c r="IC29" s="1252"/>
      <c r="ID29" s="1242"/>
      <c r="IE29" s="1227"/>
    </row>
    <row r="30" spans="1:239" s="1223" customFormat="1" ht="15" customHeight="1" x14ac:dyDescent="0.25">
      <c r="A30" s="730"/>
      <c r="B30" s="936" t="s">
        <v>846</v>
      </c>
      <c r="C30" s="936"/>
      <c r="D30" s="936"/>
      <c r="E30" s="936"/>
      <c r="F30" s="1260"/>
      <c r="G30" s="1260"/>
      <c r="H30" s="1241"/>
      <c r="I30" s="1241"/>
      <c r="J30" s="1241"/>
      <c r="K30" s="1241"/>
      <c r="L30" s="1241"/>
      <c r="M30" s="1241"/>
      <c r="N30" s="1241"/>
      <c r="O30" s="1241"/>
      <c r="P30" s="1241"/>
      <c r="Q30" s="1241"/>
      <c r="R30" s="1241"/>
      <c r="S30" s="1241"/>
      <c r="T30" s="1241"/>
      <c r="U30" s="1241"/>
      <c r="V30" s="1241"/>
      <c r="W30" s="1241"/>
      <c r="X30" s="1241"/>
      <c r="Y30" s="1241"/>
      <c r="Z30" s="1241"/>
      <c r="AA30" s="1241"/>
      <c r="AB30" s="1241"/>
      <c r="AC30" s="1241"/>
      <c r="AD30" s="1241"/>
      <c r="AE30" s="1241"/>
      <c r="AF30" s="1241"/>
      <c r="AG30" s="1241"/>
      <c r="AH30" s="1241"/>
      <c r="AI30" s="1241"/>
      <c r="AJ30" s="1241"/>
      <c r="AK30" s="1241"/>
      <c r="AL30" s="1241"/>
      <c r="AM30" s="1241"/>
      <c r="AN30" s="1241"/>
      <c r="AO30" s="1241"/>
      <c r="AP30" s="1241"/>
      <c r="AQ30" s="1241"/>
      <c r="AR30" s="1241"/>
      <c r="AS30" s="1241"/>
      <c r="AT30" s="1241"/>
      <c r="AU30" s="1241"/>
      <c r="AV30" s="1241"/>
      <c r="AW30" s="1241"/>
      <c r="AX30" s="1241"/>
      <c r="AY30" s="1241"/>
      <c r="AZ30" s="1241"/>
      <c r="BA30" s="1241"/>
      <c r="BB30" s="1241"/>
      <c r="BC30" s="1241"/>
      <c r="BD30" s="1241"/>
      <c r="BE30" s="1241"/>
      <c r="BF30" s="1241"/>
      <c r="BG30" s="1241"/>
      <c r="BH30" s="1241"/>
      <c r="BI30" s="1241"/>
      <c r="BJ30" s="1241"/>
      <c r="BK30" s="1241"/>
      <c r="BL30" s="1241"/>
      <c r="BM30" s="1241"/>
      <c r="BN30" s="1241"/>
      <c r="BO30" s="1241"/>
      <c r="BP30" s="1241"/>
      <c r="BQ30" s="1241"/>
      <c r="BR30" s="1241"/>
      <c r="BS30" s="1241"/>
      <c r="BT30" s="1241"/>
      <c r="BU30" s="1241"/>
      <c r="BV30" s="1241"/>
      <c r="BW30" s="1241"/>
      <c r="BX30" s="1241"/>
      <c r="BY30" s="1241"/>
      <c r="BZ30" s="1241"/>
      <c r="CA30" s="1241"/>
      <c r="CB30" s="1241"/>
      <c r="CC30" s="1241"/>
      <c r="CD30" s="1241"/>
      <c r="CE30" s="1241"/>
      <c r="CF30" s="1241"/>
      <c r="CG30" s="1241"/>
      <c r="CH30" s="1241"/>
      <c r="CI30" s="1241"/>
      <c r="CJ30" s="1241"/>
      <c r="CK30" s="1241"/>
      <c r="CL30" s="1241"/>
      <c r="CM30" s="1241"/>
      <c r="CN30" s="1241"/>
      <c r="CO30" s="1241"/>
      <c r="CP30" s="1241"/>
      <c r="CQ30" s="1241"/>
      <c r="CR30" s="1241"/>
      <c r="CS30" s="1241"/>
      <c r="CT30" s="1241"/>
      <c r="CU30" s="1241"/>
      <c r="CV30" s="1241"/>
      <c r="CW30" s="1241"/>
      <c r="CX30" s="1241"/>
      <c r="CY30" s="1241"/>
      <c r="CZ30" s="1241"/>
      <c r="DA30" s="1241"/>
      <c r="DB30" s="1241"/>
      <c r="DC30" s="1241"/>
      <c r="DD30" s="1241"/>
      <c r="DE30" s="1241"/>
      <c r="DF30" s="1241"/>
      <c r="DG30" s="1241"/>
      <c r="DH30" s="1241"/>
      <c r="DI30" s="1241"/>
      <c r="DJ30" s="1241"/>
      <c r="DK30" s="1241"/>
      <c r="DL30" s="1241"/>
      <c r="DM30" s="1241"/>
      <c r="DN30" s="1241"/>
      <c r="DO30" s="1241"/>
      <c r="DP30" s="1241"/>
      <c r="DQ30" s="1241"/>
      <c r="DR30" s="1241"/>
      <c r="DS30" s="1241"/>
      <c r="DT30" s="1241"/>
      <c r="DU30" s="1241"/>
      <c r="DV30" s="1241"/>
      <c r="DW30" s="1241"/>
      <c r="DX30" s="1241"/>
      <c r="DY30" s="1241"/>
      <c r="DZ30" s="1241"/>
      <c r="EA30" s="1241"/>
      <c r="EB30" s="1241"/>
      <c r="EC30" s="1241"/>
      <c r="ED30" s="1241"/>
      <c r="EE30" s="1241"/>
      <c r="EF30" s="1241"/>
      <c r="EG30" s="1241"/>
      <c r="EH30" s="1241"/>
      <c r="EI30" s="1241"/>
      <c r="EJ30" s="1241"/>
      <c r="EK30" s="1241"/>
      <c r="EL30" s="1241"/>
      <c r="EM30" s="1241"/>
      <c r="EN30" s="1241"/>
      <c r="EO30" s="1241"/>
      <c r="EP30" s="1241"/>
      <c r="EQ30" s="1241"/>
      <c r="ER30" s="1241"/>
      <c r="ES30" s="1241"/>
      <c r="ET30" s="1241"/>
      <c r="EU30" s="1241"/>
      <c r="EV30" s="1241"/>
      <c r="EW30" s="1241"/>
      <c r="EX30" s="1241"/>
      <c r="EY30" s="1241"/>
      <c r="EZ30" s="1241"/>
      <c r="FA30" s="1241"/>
      <c r="FB30" s="1241"/>
      <c r="FC30" s="1241"/>
      <c r="FD30" s="1241"/>
      <c r="FE30" s="1241"/>
      <c r="FF30" s="1241"/>
      <c r="FG30" s="1241"/>
      <c r="FH30" s="1241"/>
      <c r="FI30" s="1241"/>
      <c r="FJ30" s="1241"/>
      <c r="FK30" s="1241"/>
      <c r="FL30" s="1241"/>
      <c r="FM30" s="1241"/>
      <c r="FN30" s="1241"/>
      <c r="FO30" s="1241"/>
      <c r="FP30" s="1241"/>
      <c r="FQ30" s="1241"/>
      <c r="FR30" s="1241"/>
      <c r="FS30" s="1241"/>
      <c r="FT30" s="1241"/>
      <c r="FU30" s="1241"/>
      <c r="FV30" s="1241"/>
      <c r="FW30" s="1241"/>
      <c r="FX30" s="1241"/>
      <c r="FY30" s="1241"/>
      <c r="FZ30" s="1241"/>
      <c r="GA30" s="1241"/>
      <c r="GB30" s="1241"/>
      <c r="GC30" s="1241"/>
      <c r="GD30" s="1241"/>
      <c r="GE30" s="1241"/>
      <c r="GF30" s="1241"/>
      <c r="GG30" s="1241"/>
      <c r="GH30" s="1241"/>
      <c r="GI30" s="1241"/>
      <c r="GJ30" s="1241"/>
      <c r="GK30" s="1241"/>
      <c r="GL30" s="1241"/>
      <c r="GM30" s="1241"/>
      <c r="GN30" s="1241"/>
      <c r="GO30" s="1241"/>
      <c r="GP30" s="1241"/>
      <c r="GQ30" s="1241"/>
      <c r="GR30" s="1241"/>
      <c r="GS30" s="1241"/>
      <c r="GT30" s="1241"/>
      <c r="GU30" s="1241"/>
      <c r="GV30" s="1241"/>
      <c r="GW30" s="1241"/>
      <c r="GX30" s="1241"/>
      <c r="GY30" s="1241"/>
      <c r="GZ30" s="1241"/>
      <c r="HA30" s="1241"/>
      <c r="HB30" s="1241"/>
      <c r="HC30" s="1241"/>
      <c r="HD30" s="1241"/>
      <c r="HE30" s="1241"/>
      <c r="HF30" s="1241"/>
      <c r="HG30" s="1241"/>
      <c r="HH30" s="1241"/>
      <c r="HI30" s="1241"/>
      <c r="HJ30" s="1241"/>
      <c r="HK30" s="1241"/>
      <c r="HL30" s="1241"/>
      <c r="HM30" s="1241"/>
      <c r="HN30" s="1241"/>
      <c r="HO30" s="1241"/>
      <c r="HP30" s="1241"/>
      <c r="HQ30" s="1241"/>
      <c r="HR30" s="1241"/>
      <c r="HS30" s="1241"/>
      <c r="HT30" s="1241"/>
      <c r="HU30" s="1241"/>
      <c r="HV30" s="1253"/>
      <c r="HW30" s="1252"/>
      <c r="HX30" s="1241"/>
      <c r="HY30" s="1241"/>
      <c r="HZ30" s="1241"/>
      <c r="IA30" s="1241"/>
      <c r="IB30" s="1253"/>
      <c r="IC30" s="1252"/>
      <c r="ID30" s="1242"/>
      <c r="IE30" s="1227"/>
    </row>
    <row r="31" spans="1:239" s="1223" customFormat="1" ht="15" customHeight="1" x14ac:dyDescent="0.25">
      <c r="A31" s="730"/>
      <c r="B31" s="936" t="s">
        <v>847</v>
      </c>
      <c r="C31" s="936"/>
      <c r="D31" s="936"/>
      <c r="E31" s="936"/>
      <c r="F31" s="1260"/>
      <c r="G31" s="1260"/>
      <c r="H31" s="1241"/>
      <c r="I31" s="1241"/>
      <c r="J31" s="1241"/>
      <c r="K31" s="1241"/>
      <c r="L31" s="1241"/>
      <c r="M31" s="1241"/>
      <c r="N31" s="1241"/>
      <c r="O31" s="1241"/>
      <c r="P31" s="1241"/>
      <c r="Q31" s="1241"/>
      <c r="R31" s="1241"/>
      <c r="S31" s="1241"/>
      <c r="T31" s="1241"/>
      <c r="U31" s="1241"/>
      <c r="V31" s="1241"/>
      <c r="W31" s="1241"/>
      <c r="X31" s="1241"/>
      <c r="Y31" s="1241"/>
      <c r="Z31" s="1241"/>
      <c r="AA31" s="1241"/>
      <c r="AB31" s="1241"/>
      <c r="AC31" s="1241"/>
      <c r="AD31" s="1241"/>
      <c r="AE31" s="1241"/>
      <c r="AF31" s="1241"/>
      <c r="AG31" s="1241"/>
      <c r="AH31" s="1241"/>
      <c r="AI31" s="1241"/>
      <c r="AJ31" s="1241"/>
      <c r="AK31" s="1241"/>
      <c r="AL31" s="1241"/>
      <c r="AM31" s="1241"/>
      <c r="AN31" s="1241"/>
      <c r="AO31" s="1241"/>
      <c r="AP31" s="1241"/>
      <c r="AQ31" s="1241"/>
      <c r="AR31" s="1241"/>
      <c r="AS31" s="1241"/>
      <c r="AT31" s="1241"/>
      <c r="AU31" s="1241"/>
      <c r="AV31" s="1241"/>
      <c r="AW31" s="1241"/>
      <c r="AX31" s="1241"/>
      <c r="AY31" s="1241"/>
      <c r="AZ31" s="1241"/>
      <c r="BA31" s="1241"/>
      <c r="BB31" s="1241"/>
      <c r="BC31" s="1241"/>
      <c r="BD31" s="1241"/>
      <c r="BE31" s="1241"/>
      <c r="BF31" s="1241"/>
      <c r="BG31" s="1241"/>
      <c r="BH31" s="1241"/>
      <c r="BI31" s="1241"/>
      <c r="BJ31" s="1241"/>
      <c r="BK31" s="1241"/>
      <c r="BL31" s="1241"/>
      <c r="BM31" s="1241"/>
      <c r="BN31" s="1241"/>
      <c r="BO31" s="1241"/>
      <c r="BP31" s="1241"/>
      <c r="BQ31" s="1241"/>
      <c r="BR31" s="1241"/>
      <c r="BS31" s="1241"/>
      <c r="BT31" s="1241"/>
      <c r="BU31" s="1241"/>
      <c r="BV31" s="1241"/>
      <c r="BW31" s="1241"/>
      <c r="BX31" s="1241"/>
      <c r="BY31" s="1241"/>
      <c r="BZ31" s="1241"/>
      <c r="CA31" s="1241"/>
      <c r="CB31" s="1241"/>
      <c r="CC31" s="1241"/>
      <c r="CD31" s="1241"/>
      <c r="CE31" s="1241"/>
      <c r="CF31" s="1241"/>
      <c r="CG31" s="1241"/>
      <c r="CH31" s="1241"/>
      <c r="CI31" s="1241"/>
      <c r="CJ31" s="1241"/>
      <c r="CK31" s="1241"/>
      <c r="CL31" s="1241"/>
      <c r="CM31" s="1241"/>
      <c r="CN31" s="1241"/>
      <c r="CO31" s="1241"/>
      <c r="CP31" s="1241"/>
      <c r="CQ31" s="1241"/>
      <c r="CR31" s="1241"/>
      <c r="CS31" s="1241"/>
      <c r="CT31" s="1241"/>
      <c r="CU31" s="1241"/>
      <c r="CV31" s="1241"/>
      <c r="CW31" s="1241"/>
      <c r="CX31" s="1241"/>
      <c r="CY31" s="1241"/>
      <c r="CZ31" s="1241"/>
      <c r="DA31" s="1241"/>
      <c r="DB31" s="1241"/>
      <c r="DC31" s="1241"/>
      <c r="DD31" s="1241"/>
      <c r="DE31" s="1241"/>
      <c r="DF31" s="1241"/>
      <c r="DG31" s="1241"/>
      <c r="DH31" s="1241"/>
      <c r="DI31" s="1241"/>
      <c r="DJ31" s="1241"/>
      <c r="DK31" s="1241"/>
      <c r="DL31" s="1241"/>
      <c r="DM31" s="1241"/>
      <c r="DN31" s="1241"/>
      <c r="DO31" s="1241"/>
      <c r="DP31" s="1241"/>
      <c r="DQ31" s="1241"/>
      <c r="DR31" s="1241"/>
      <c r="DS31" s="1241"/>
      <c r="DT31" s="1241"/>
      <c r="DU31" s="1241"/>
      <c r="DV31" s="1241"/>
      <c r="DW31" s="1241"/>
      <c r="DX31" s="1241"/>
      <c r="DY31" s="1241"/>
      <c r="DZ31" s="1241"/>
      <c r="EA31" s="1241"/>
      <c r="EB31" s="1241"/>
      <c r="EC31" s="1241"/>
      <c r="ED31" s="1241"/>
      <c r="EE31" s="1241"/>
      <c r="EF31" s="1241"/>
      <c r="EG31" s="1241"/>
      <c r="EH31" s="1241"/>
      <c r="EI31" s="1241"/>
      <c r="EJ31" s="1241"/>
      <c r="EK31" s="1241"/>
      <c r="EL31" s="1241"/>
      <c r="EM31" s="1241"/>
      <c r="EN31" s="1241"/>
      <c r="EO31" s="1241"/>
      <c r="EP31" s="1241"/>
      <c r="EQ31" s="1241"/>
      <c r="ER31" s="1241"/>
      <c r="ES31" s="1241"/>
      <c r="ET31" s="1241"/>
      <c r="EU31" s="1241"/>
      <c r="EV31" s="1241"/>
      <c r="EW31" s="1241"/>
      <c r="EX31" s="1241"/>
      <c r="EY31" s="1241"/>
      <c r="EZ31" s="1241"/>
      <c r="FA31" s="1241"/>
      <c r="FB31" s="1241"/>
      <c r="FC31" s="1241"/>
      <c r="FD31" s="1241"/>
      <c r="FE31" s="1241"/>
      <c r="FF31" s="1241"/>
      <c r="FG31" s="1241"/>
      <c r="FH31" s="1241"/>
      <c r="FI31" s="1241"/>
      <c r="FJ31" s="1241"/>
      <c r="FK31" s="1241"/>
      <c r="FL31" s="1241"/>
      <c r="FM31" s="1241"/>
      <c r="FN31" s="1241"/>
      <c r="FO31" s="1241"/>
      <c r="FP31" s="1241"/>
      <c r="FQ31" s="1241"/>
      <c r="FR31" s="1241"/>
      <c r="FS31" s="1241"/>
      <c r="FT31" s="1241"/>
      <c r="FU31" s="1241"/>
      <c r="FV31" s="1241"/>
      <c r="FW31" s="1241"/>
      <c r="FX31" s="1241"/>
      <c r="FY31" s="1241"/>
      <c r="FZ31" s="1241"/>
      <c r="GA31" s="1241"/>
      <c r="GB31" s="1241"/>
      <c r="GC31" s="1241"/>
      <c r="GD31" s="1241"/>
      <c r="GE31" s="1241"/>
      <c r="GF31" s="1241"/>
      <c r="GG31" s="1241"/>
      <c r="GH31" s="1241"/>
      <c r="GI31" s="1241"/>
      <c r="GJ31" s="1241"/>
      <c r="GK31" s="1241"/>
      <c r="GL31" s="1241"/>
      <c r="GM31" s="1241"/>
      <c r="GN31" s="1241"/>
      <c r="GO31" s="1241"/>
      <c r="GP31" s="1241"/>
      <c r="GQ31" s="1241"/>
      <c r="GR31" s="1241"/>
      <c r="GS31" s="1241"/>
      <c r="GT31" s="1241"/>
      <c r="GU31" s="1241"/>
      <c r="GV31" s="1241"/>
      <c r="GW31" s="1241"/>
      <c r="GX31" s="1241"/>
      <c r="GY31" s="1241"/>
      <c r="GZ31" s="1241"/>
      <c r="HA31" s="1241"/>
      <c r="HB31" s="1241"/>
      <c r="HC31" s="1241"/>
      <c r="HD31" s="1241"/>
      <c r="HE31" s="1241"/>
      <c r="HF31" s="1241"/>
      <c r="HG31" s="1241"/>
      <c r="HH31" s="1241"/>
      <c r="HI31" s="1241"/>
      <c r="HJ31" s="1241"/>
      <c r="HK31" s="1241"/>
      <c r="HL31" s="1241"/>
      <c r="HM31" s="1241"/>
      <c r="HN31" s="1241"/>
      <c r="HO31" s="1241"/>
      <c r="HP31" s="1241"/>
      <c r="HQ31" s="1241"/>
      <c r="HR31" s="1241"/>
      <c r="HS31" s="1241"/>
      <c r="HT31" s="1241"/>
      <c r="HU31" s="1241"/>
      <c r="HV31" s="1253"/>
      <c r="HW31" s="1252"/>
      <c r="HX31" s="1241"/>
      <c r="HY31" s="1241"/>
      <c r="HZ31" s="1241"/>
      <c r="IA31" s="1241"/>
      <c r="IB31" s="1253"/>
      <c r="IC31" s="1252"/>
      <c r="ID31" s="1242"/>
      <c r="IE31" s="1227"/>
    </row>
    <row r="32" spans="1:239" s="1223" customFormat="1" ht="15" customHeight="1" x14ac:dyDescent="0.25">
      <c r="A32" s="730"/>
      <c r="B32" s="936" t="s">
        <v>848</v>
      </c>
      <c r="C32" s="936"/>
      <c r="D32" s="936"/>
      <c r="E32" s="936"/>
      <c r="F32" s="1260"/>
      <c r="G32" s="1260"/>
      <c r="H32" s="1241"/>
      <c r="I32" s="1241"/>
      <c r="J32" s="1241"/>
      <c r="K32" s="1241"/>
      <c r="L32" s="1241"/>
      <c r="M32" s="1241"/>
      <c r="N32" s="1241"/>
      <c r="O32" s="1241"/>
      <c r="P32" s="1241"/>
      <c r="Q32" s="1241"/>
      <c r="R32" s="1241"/>
      <c r="S32" s="1241"/>
      <c r="T32" s="1241"/>
      <c r="U32" s="1241"/>
      <c r="V32" s="1241"/>
      <c r="W32" s="1241"/>
      <c r="X32" s="1241"/>
      <c r="Y32" s="1241"/>
      <c r="Z32" s="1241"/>
      <c r="AA32" s="1241"/>
      <c r="AB32" s="1241"/>
      <c r="AC32" s="1241"/>
      <c r="AD32" s="1241"/>
      <c r="AE32" s="1241"/>
      <c r="AF32" s="1241"/>
      <c r="AG32" s="1241"/>
      <c r="AH32" s="1241"/>
      <c r="AI32" s="1241"/>
      <c r="AJ32" s="1241"/>
      <c r="AK32" s="1241"/>
      <c r="AL32" s="1241"/>
      <c r="AM32" s="1241"/>
      <c r="AN32" s="1241"/>
      <c r="AO32" s="1241"/>
      <c r="AP32" s="1241"/>
      <c r="AQ32" s="1241"/>
      <c r="AR32" s="1241"/>
      <c r="AS32" s="1241"/>
      <c r="AT32" s="1241"/>
      <c r="AU32" s="1241"/>
      <c r="AV32" s="1241"/>
      <c r="AW32" s="1241"/>
      <c r="AX32" s="1241"/>
      <c r="AY32" s="1241"/>
      <c r="AZ32" s="1241"/>
      <c r="BA32" s="1241"/>
      <c r="BB32" s="1241"/>
      <c r="BC32" s="1241"/>
      <c r="BD32" s="1241"/>
      <c r="BE32" s="1241"/>
      <c r="BF32" s="1241"/>
      <c r="BG32" s="1241"/>
      <c r="BH32" s="1241"/>
      <c r="BI32" s="1241"/>
      <c r="BJ32" s="1241"/>
      <c r="BK32" s="1241"/>
      <c r="BL32" s="1241"/>
      <c r="BM32" s="1241"/>
      <c r="BN32" s="1241"/>
      <c r="BO32" s="1241"/>
      <c r="BP32" s="1241"/>
      <c r="BQ32" s="1241"/>
      <c r="BR32" s="1241"/>
      <c r="BS32" s="1241"/>
      <c r="BT32" s="1241"/>
      <c r="BU32" s="1241"/>
      <c r="BV32" s="1241"/>
      <c r="BW32" s="1241"/>
      <c r="BX32" s="1241"/>
      <c r="BY32" s="1241"/>
      <c r="BZ32" s="1241"/>
      <c r="CA32" s="1241"/>
      <c r="CB32" s="1241"/>
      <c r="CC32" s="1241"/>
      <c r="CD32" s="1241"/>
      <c r="CE32" s="1241"/>
      <c r="CF32" s="1241"/>
      <c r="CG32" s="1241"/>
      <c r="CH32" s="1241"/>
      <c r="CI32" s="1241"/>
      <c r="CJ32" s="1241"/>
      <c r="CK32" s="1241"/>
      <c r="CL32" s="1241"/>
      <c r="CM32" s="1241"/>
      <c r="CN32" s="1241"/>
      <c r="CO32" s="1241"/>
      <c r="CP32" s="1241"/>
      <c r="CQ32" s="1241"/>
      <c r="CR32" s="1241"/>
      <c r="CS32" s="1241"/>
      <c r="CT32" s="1241"/>
      <c r="CU32" s="1241"/>
      <c r="CV32" s="1241"/>
      <c r="CW32" s="1241"/>
      <c r="CX32" s="1241"/>
      <c r="CY32" s="1241"/>
      <c r="CZ32" s="1241"/>
      <c r="DA32" s="1241"/>
      <c r="DB32" s="1241"/>
      <c r="DC32" s="1241"/>
      <c r="DD32" s="1241"/>
      <c r="DE32" s="1241"/>
      <c r="DF32" s="1241"/>
      <c r="DG32" s="1241"/>
      <c r="DH32" s="1241"/>
      <c r="DI32" s="1241"/>
      <c r="DJ32" s="1241"/>
      <c r="DK32" s="1241"/>
      <c r="DL32" s="1241"/>
      <c r="DM32" s="1241"/>
      <c r="DN32" s="1241"/>
      <c r="DO32" s="1241"/>
      <c r="DP32" s="1241"/>
      <c r="DQ32" s="1241"/>
      <c r="DR32" s="1241"/>
      <c r="DS32" s="1241"/>
      <c r="DT32" s="1241"/>
      <c r="DU32" s="1241"/>
      <c r="DV32" s="1241"/>
      <c r="DW32" s="1241"/>
      <c r="DX32" s="1241"/>
      <c r="DY32" s="1241"/>
      <c r="DZ32" s="1241"/>
      <c r="EA32" s="1241"/>
      <c r="EB32" s="1241"/>
      <c r="EC32" s="1241"/>
      <c r="ED32" s="1241"/>
      <c r="EE32" s="1241"/>
      <c r="EF32" s="1241"/>
      <c r="EG32" s="1241"/>
      <c r="EH32" s="1241"/>
      <c r="EI32" s="1241"/>
      <c r="EJ32" s="1241"/>
      <c r="EK32" s="1241"/>
      <c r="EL32" s="1241"/>
      <c r="EM32" s="1241"/>
      <c r="EN32" s="1241"/>
      <c r="EO32" s="1241"/>
      <c r="EP32" s="1241"/>
      <c r="EQ32" s="1241"/>
      <c r="ER32" s="1241"/>
      <c r="ES32" s="1241"/>
      <c r="ET32" s="1241"/>
      <c r="EU32" s="1241"/>
      <c r="EV32" s="1241"/>
      <c r="EW32" s="1241"/>
      <c r="EX32" s="1241"/>
      <c r="EY32" s="1241"/>
      <c r="EZ32" s="1241"/>
      <c r="FA32" s="1241"/>
      <c r="FB32" s="1241"/>
      <c r="FC32" s="1241"/>
      <c r="FD32" s="1241"/>
      <c r="FE32" s="1241"/>
      <c r="FF32" s="1241"/>
      <c r="FG32" s="1241"/>
      <c r="FH32" s="1241"/>
      <c r="FI32" s="1241"/>
      <c r="FJ32" s="1241"/>
      <c r="FK32" s="1241"/>
      <c r="FL32" s="1241"/>
      <c r="FM32" s="1241"/>
      <c r="FN32" s="1241"/>
      <c r="FO32" s="1241"/>
      <c r="FP32" s="1241"/>
      <c r="FQ32" s="1241"/>
      <c r="FR32" s="1241"/>
      <c r="FS32" s="1241"/>
      <c r="FT32" s="1241"/>
      <c r="FU32" s="1241"/>
      <c r="FV32" s="1241"/>
      <c r="FW32" s="1241"/>
      <c r="FX32" s="1241"/>
      <c r="FY32" s="1241"/>
      <c r="FZ32" s="1241"/>
      <c r="GA32" s="1241"/>
      <c r="GB32" s="1241"/>
      <c r="GC32" s="1241"/>
      <c r="GD32" s="1241"/>
      <c r="GE32" s="1241"/>
      <c r="GF32" s="1241"/>
      <c r="GG32" s="1241"/>
      <c r="GH32" s="1241"/>
      <c r="GI32" s="1241"/>
      <c r="GJ32" s="1241"/>
      <c r="GK32" s="1241"/>
      <c r="GL32" s="1241"/>
      <c r="GM32" s="1241"/>
      <c r="GN32" s="1241"/>
      <c r="GO32" s="1241"/>
      <c r="GP32" s="1241"/>
      <c r="GQ32" s="1241"/>
      <c r="GR32" s="1241"/>
      <c r="GS32" s="1241"/>
      <c r="GT32" s="1241"/>
      <c r="GU32" s="1241"/>
      <c r="GV32" s="1241"/>
      <c r="GW32" s="1241"/>
      <c r="GX32" s="1241"/>
      <c r="GY32" s="1241"/>
      <c r="GZ32" s="1241"/>
      <c r="HA32" s="1241"/>
      <c r="HB32" s="1241"/>
      <c r="HC32" s="1241"/>
      <c r="HD32" s="1241"/>
      <c r="HE32" s="1241"/>
      <c r="HF32" s="1241"/>
      <c r="HG32" s="1241"/>
      <c r="HH32" s="1241"/>
      <c r="HI32" s="1241"/>
      <c r="HJ32" s="1241"/>
      <c r="HK32" s="1241"/>
      <c r="HL32" s="1241"/>
      <c r="HM32" s="1241"/>
      <c r="HN32" s="1241"/>
      <c r="HO32" s="1241"/>
      <c r="HP32" s="1241"/>
      <c r="HQ32" s="1241"/>
      <c r="HR32" s="1241"/>
      <c r="HS32" s="1241"/>
      <c r="HT32" s="1241"/>
      <c r="HU32" s="1241"/>
      <c r="HV32" s="1253"/>
      <c r="HW32" s="1252"/>
      <c r="HX32" s="1241"/>
      <c r="HY32" s="1241"/>
      <c r="HZ32" s="1241"/>
      <c r="IA32" s="1241"/>
      <c r="IB32" s="1253"/>
      <c r="IC32" s="1252"/>
      <c r="ID32" s="1242"/>
      <c r="IE32" s="1227"/>
    </row>
    <row r="33" spans="1:239" s="1223" customFormat="1" ht="15" customHeight="1" x14ac:dyDescent="0.25">
      <c r="A33" s="730"/>
      <c r="B33" s="936" t="s">
        <v>849</v>
      </c>
      <c r="C33" s="936"/>
      <c r="D33" s="936"/>
      <c r="E33" s="936"/>
      <c r="F33" s="1260"/>
      <c r="G33" s="1260"/>
      <c r="H33" s="1241"/>
      <c r="I33" s="1241"/>
      <c r="J33" s="1241"/>
      <c r="K33" s="1241"/>
      <c r="L33" s="1241"/>
      <c r="M33" s="1241"/>
      <c r="N33" s="1241"/>
      <c r="O33" s="1241"/>
      <c r="P33" s="1241"/>
      <c r="Q33" s="1241"/>
      <c r="R33" s="1241"/>
      <c r="S33" s="1241"/>
      <c r="T33" s="1241"/>
      <c r="U33" s="1241"/>
      <c r="V33" s="1241"/>
      <c r="W33" s="1241"/>
      <c r="X33" s="1241"/>
      <c r="Y33" s="1241"/>
      <c r="Z33" s="1241"/>
      <c r="AA33" s="1241"/>
      <c r="AB33" s="1241"/>
      <c r="AC33" s="1241"/>
      <c r="AD33" s="1241"/>
      <c r="AE33" s="1241"/>
      <c r="AF33" s="1241"/>
      <c r="AG33" s="1241"/>
      <c r="AH33" s="1241"/>
      <c r="AI33" s="1241"/>
      <c r="AJ33" s="1241"/>
      <c r="AK33" s="1241"/>
      <c r="AL33" s="1241"/>
      <c r="AM33" s="1241"/>
      <c r="AN33" s="1241"/>
      <c r="AO33" s="1241"/>
      <c r="AP33" s="1241"/>
      <c r="AQ33" s="1241"/>
      <c r="AR33" s="1241"/>
      <c r="AS33" s="1241"/>
      <c r="AT33" s="1241"/>
      <c r="AU33" s="1241"/>
      <c r="AV33" s="1241"/>
      <c r="AW33" s="1241"/>
      <c r="AX33" s="1241"/>
      <c r="AY33" s="1241"/>
      <c r="AZ33" s="1241"/>
      <c r="BA33" s="1241"/>
      <c r="BB33" s="1241"/>
      <c r="BC33" s="1241"/>
      <c r="BD33" s="1241"/>
      <c r="BE33" s="1241"/>
      <c r="BF33" s="1241"/>
      <c r="BG33" s="1241"/>
      <c r="BH33" s="1241"/>
      <c r="BI33" s="1241"/>
      <c r="BJ33" s="1241"/>
      <c r="BK33" s="1241"/>
      <c r="BL33" s="1241"/>
      <c r="BM33" s="1241"/>
      <c r="BN33" s="1241"/>
      <c r="BO33" s="1241"/>
      <c r="BP33" s="1241"/>
      <c r="BQ33" s="1241"/>
      <c r="BR33" s="1241"/>
      <c r="BS33" s="1241"/>
      <c r="BT33" s="1241"/>
      <c r="BU33" s="1241"/>
      <c r="BV33" s="1241"/>
      <c r="BW33" s="1241"/>
      <c r="BX33" s="1241"/>
      <c r="BY33" s="1241"/>
      <c r="BZ33" s="1241"/>
      <c r="CA33" s="1241"/>
      <c r="CB33" s="1241"/>
      <c r="CC33" s="1241"/>
      <c r="CD33" s="1241"/>
      <c r="CE33" s="1241"/>
      <c r="CF33" s="1241"/>
      <c r="CG33" s="1241"/>
      <c r="CH33" s="1241"/>
      <c r="CI33" s="1241"/>
      <c r="CJ33" s="1241"/>
      <c r="CK33" s="1241"/>
      <c r="CL33" s="1241"/>
      <c r="CM33" s="1241"/>
      <c r="CN33" s="1241"/>
      <c r="CO33" s="1241"/>
      <c r="CP33" s="1241"/>
      <c r="CQ33" s="1241"/>
      <c r="CR33" s="1241"/>
      <c r="CS33" s="1241"/>
      <c r="CT33" s="1241"/>
      <c r="CU33" s="1241"/>
      <c r="CV33" s="1241"/>
      <c r="CW33" s="1241"/>
      <c r="CX33" s="1241"/>
      <c r="CY33" s="1241"/>
      <c r="CZ33" s="1241"/>
      <c r="DA33" s="1241"/>
      <c r="DB33" s="1241"/>
      <c r="DC33" s="1241"/>
      <c r="DD33" s="1241"/>
      <c r="DE33" s="1241"/>
      <c r="DF33" s="1241"/>
      <c r="DG33" s="1241"/>
      <c r="DH33" s="1241"/>
      <c r="DI33" s="1241"/>
      <c r="DJ33" s="1241"/>
      <c r="DK33" s="1241"/>
      <c r="DL33" s="1241"/>
      <c r="DM33" s="1241"/>
      <c r="DN33" s="1241"/>
      <c r="DO33" s="1241"/>
      <c r="DP33" s="1241"/>
      <c r="DQ33" s="1241"/>
      <c r="DR33" s="1241"/>
      <c r="DS33" s="1241"/>
      <c r="DT33" s="1241"/>
      <c r="DU33" s="1241"/>
      <c r="DV33" s="1241"/>
      <c r="DW33" s="1241"/>
      <c r="DX33" s="1241"/>
      <c r="DY33" s="1241"/>
      <c r="DZ33" s="1241"/>
      <c r="EA33" s="1241"/>
      <c r="EB33" s="1241"/>
      <c r="EC33" s="1241"/>
      <c r="ED33" s="1241"/>
      <c r="EE33" s="1241"/>
      <c r="EF33" s="1241"/>
      <c r="EG33" s="1241"/>
      <c r="EH33" s="1241"/>
      <c r="EI33" s="1241"/>
      <c r="EJ33" s="1241"/>
      <c r="EK33" s="1241"/>
      <c r="EL33" s="1241"/>
      <c r="EM33" s="1241"/>
      <c r="EN33" s="1241"/>
      <c r="EO33" s="1241"/>
      <c r="EP33" s="1241"/>
      <c r="EQ33" s="1241"/>
      <c r="ER33" s="1241"/>
      <c r="ES33" s="1241"/>
      <c r="ET33" s="1241"/>
      <c r="EU33" s="1241"/>
      <c r="EV33" s="1241"/>
      <c r="EW33" s="1241"/>
      <c r="EX33" s="1241"/>
      <c r="EY33" s="1241"/>
      <c r="EZ33" s="1241"/>
      <c r="FA33" s="1241"/>
      <c r="FB33" s="1241"/>
      <c r="FC33" s="1241"/>
      <c r="FD33" s="1241"/>
      <c r="FE33" s="1241"/>
      <c r="FF33" s="1241"/>
      <c r="FG33" s="1241"/>
      <c r="FH33" s="1241"/>
      <c r="FI33" s="1241"/>
      <c r="FJ33" s="1241"/>
      <c r="FK33" s="1241"/>
      <c r="FL33" s="1241"/>
      <c r="FM33" s="1241"/>
      <c r="FN33" s="1241"/>
      <c r="FO33" s="1241"/>
      <c r="FP33" s="1241"/>
      <c r="FQ33" s="1241"/>
      <c r="FR33" s="1241"/>
      <c r="FS33" s="1241"/>
      <c r="FT33" s="1241"/>
      <c r="FU33" s="1241"/>
      <c r="FV33" s="1241"/>
      <c r="FW33" s="1241"/>
      <c r="FX33" s="1241"/>
      <c r="FY33" s="1241"/>
      <c r="FZ33" s="1241"/>
      <c r="GA33" s="1241"/>
      <c r="GB33" s="1241"/>
      <c r="GC33" s="1241"/>
      <c r="GD33" s="1241"/>
      <c r="GE33" s="1241"/>
      <c r="GF33" s="1241"/>
      <c r="GG33" s="1241"/>
      <c r="GH33" s="1241"/>
      <c r="GI33" s="1241"/>
      <c r="GJ33" s="1241"/>
      <c r="GK33" s="1241"/>
      <c r="GL33" s="1241"/>
      <c r="GM33" s="1241"/>
      <c r="GN33" s="1241"/>
      <c r="GO33" s="1241"/>
      <c r="GP33" s="1241"/>
      <c r="GQ33" s="1241"/>
      <c r="GR33" s="1241"/>
      <c r="GS33" s="1241"/>
      <c r="GT33" s="1241"/>
      <c r="GU33" s="1241"/>
      <c r="GV33" s="1241"/>
      <c r="GW33" s="1241"/>
      <c r="GX33" s="1241"/>
      <c r="GY33" s="1241"/>
      <c r="GZ33" s="1241"/>
      <c r="HA33" s="1241"/>
      <c r="HB33" s="1241"/>
      <c r="HC33" s="1241"/>
      <c r="HD33" s="1241"/>
      <c r="HE33" s="1241"/>
      <c r="HF33" s="1241"/>
      <c r="HG33" s="1241"/>
      <c r="HH33" s="1241"/>
      <c r="HI33" s="1241"/>
      <c r="HJ33" s="1241"/>
      <c r="HK33" s="1241"/>
      <c r="HL33" s="1241"/>
      <c r="HM33" s="1241"/>
      <c r="HN33" s="1241"/>
      <c r="HO33" s="1241"/>
      <c r="HP33" s="1241"/>
      <c r="HQ33" s="1241"/>
      <c r="HR33" s="1241"/>
      <c r="HS33" s="1241"/>
      <c r="HT33" s="1241"/>
      <c r="HU33" s="1241"/>
      <c r="HV33" s="1253"/>
      <c r="HW33" s="1252"/>
      <c r="HX33" s="1241"/>
      <c r="HY33" s="1241"/>
      <c r="HZ33" s="1241"/>
      <c r="IA33" s="1241"/>
      <c r="IB33" s="1253"/>
      <c r="IC33" s="1252"/>
      <c r="ID33" s="1242"/>
      <c r="IE33" s="1227"/>
    </row>
    <row r="34" spans="1:239" s="1223" customFormat="1" ht="15" customHeight="1" x14ac:dyDescent="0.25">
      <c r="A34" s="730"/>
      <c r="B34" s="936" t="s">
        <v>850</v>
      </c>
      <c r="C34" s="936"/>
      <c r="D34" s="936"/>
      <c r="E34" s="936"/>
      <c r="F34" s="1260"/>
      <c r="G34" s="1260"/>
      <c r="H34" s="1241"/>
      <c r="I34" s="1241"/>
      <c r="J34" s="1241"/>
      <c r="K34" s="1241"/>
      <c r="L34" s="1241"/>
      <c r="M34" s="1241"/>
      <c r="N34" s="1241"/>
      <c r="O34" s="1241"/>
      <c r="P34" s="1241"/>
      <c r="Q34" s="1241"/>
      <c r="R34" s="1241"/>
      <c r="S34" s="1241"/>
      <c r="T34" s="1241"/>
      <c r="U34" s="1241"/>
      <c r="V34" s="1241"/>
      <c r="W34" s="1241"/>
      <c r="X34" s="1241"/>
      <c r="Y34" s="1241"/>
      <c r="Z34" s="1241"/>
      <c r="AA34" s="1241"/>
      <c r="AB34" s="1241"/>
      <c r="AC34" s="1241"/>
      <c r="AD34" s="1241"/>
      <c r="AE34" s="1241"/>
      <c r="AF34" s="1241"/>
      <c r="AG34" s="1241"/>
      <c r="AH34" s="1241"/>
      <c r="AI34" s="1241"/>
      <c r="AJ34" s="1241"/>
      <c r="AK34" s="1241"/>
      <c r="AL34" s="1241"/>
      <c r="AM34" s="1241"/>
      <c r="AN34" s="1241"/>
      <c r="AO34" s="1241"/>
      <c r="AP34" s="1241"/>
      <c r="AQ34" s="1241"/>
      <c r="AR34" s="1241"/>
      <c r="AS34" s="1241"/>
      <c r="AT34" s="1241"/>
      <c r="AU34" s="1241"/>
      <c r="AV34" s="1241"/>
      <c r="AW34" s="1241"/>
      <c r="AX34" s="1241"/>
      <c r="AY34" s="1241"/>
      <c r="AZ34" s="1241"/>
      <c r="BA34" s="1241"/>
      <c r="BB34" s="1241"/>
      <c r="BC34" s="1241"/>
      <c r="BD34" s="1241"/>
      <c r="BE34" s="1241"/>
      <c r="BF34" s="1241"/>
      <c r="BG34" s="1241"/>
      <c r="BH34" s="1241"/>
      <c r="BI34" s="1241"/>
      <c r="BJ34" s="1241"/>
      <c r="BK34" s="1241"/>
      <c r="BL34" s="1241"/>
      <c r="BM34" s="1241"/>
      <c r="BN34" s="1241"/>
      <c r="BO34" s="1241"/>
      <c r="BP34" s="1241"/>
      <c r="BQ34" s="1241"/>
      <c r="BR34" s="1241"/>
      <c r="BS34" s="1241"/>
      <c r="BT34" s="1241"/>
      <c r="BU34" s="1241"/>
      <c r="BV34" s="1241"/>
      <c r="BW34" s="1241"/>
      <c r="BX34" s="1241"/>
      <c r="BY34" s="1241"/>
      <c r="BZ34" s="1241"/>
      <c r="CA34" s="1241"/>
      <c r="CB34" s="1241"/>
      <c r="CC34" s="1241"/>
      <c r="CD34" s="1241"/>
      <c r="CE34" s="1241"/>
      <c r="CF34" s="1241"/>
      <c r="CG34" s="1241"/>
      <c r="CH34" s="1241"/>
      <c r="CI34" s="1241"/>
      <c r="CJ34" s="1241"/>
      <c r="CK34" s="1241"/>
      <c r="CL34" s="1241"/>
      <c r="CM34" s="1241"/>
      <c r="CN34" s="1241"/>
      <c r="CO34" s="1241"/>
      <c r="CP34" s="1241"/>
      <c r="CQ34" s="1241"/>
      <c r="CR34" s="1241"/>
      <c r="CS34" s="1241"/>
      <c r="CT34" s="1241"/>
      <c r="CU34" s="1241"/>
      <c r="CV34" s="1241"/>
      <c r="CW34" s="1241"/>
      <c r="CX34" s="1241"/>
      <c r="CY34" s="1241"/>
      <c r="CZ34" s="1241"/>
      <c r="DA34" s="1241"/>
      <c r="DB34" s="1241"/>
      <c r="DC34" s="1241"/>
      <c r="DD34" s="1241"/>
      <c r="DE34" s="1241"/>
      <c r="DF34" s="1241"/>
      <c r="DG34" s="1241"/>
      <c r="DH34" s="1241"/>
      <c r="DI34" s="1241"/>
      <c r="DJ34" s="1241"/>
      <c r="DK34" s="1241"/>
      <c r="DL34" s="1241"/>
      <c r="DM34" s="1241"/>
      <c r="DN34" s="1241"/>
      <c r="DO34" s="1241"/>
      <c r="DP34" s="1241"/>
      <c r="DQ34" s="1241"/>
      <c r="DR34" s="1241"/>
      <c r="DS34" s="1241"/>
      <c r="DT34" s="1241"/>
      <c r="DU34" s="1241"/>
      <c r="DV34" s="1241"/>
      <c r="DW34" s="1241"/>
      <c r="DX34" s="1241"/>
      <c r="DY34" s="1241"/>
      <c r="DZ34" s="1241"/>
      <c r="EA34" s="1241"/>
      <c r="EB34" s="1241"/>
      <c r="EC34" s="1241"/>
      <c r="ED34" s="1241"/>
      <c r="EE34" s="1241"/>
      <c r="EF34" s="1241"/>
      <c r="EG34" s="1241"/>
      <c r="EH34" s="1241"/>
      <c r="EI34" s="1241"/>
      <c r="EJ34" s="1241"/>
      <c r="EK34" s="1241"/>
      <c r="EL34" s="1241"/>
      <c r="EM34" s="1241"/>
      <c r="EN34" s="1241"/>
      <c r="EO34" s="1241"/>
      <c r="EP34" s="1241"/>
      <c r="EQ34" s="1241"/>
      <c r="ER34" s="1241"/>
      <c r="ES34" s="1241"/>
      <c r="ET34" s="1241"/>
      <c r="EU34" s="1241"/>
      <c r="EV34" s="1241"/>
      <c r="EW34" s="1241"/>
      <c r="EX34" s="1241"/>
      <c r="EY34" s="1241"/>
      <c r="EZ34" s="1241"/>
      <c r="FA34" s="1241"/>
      <c r="FB34" s="1241"/>
      <c r="FC34" s="1241"/>
      <c r="FD34" s="1241"/>
      <c r="FE34" s="1241"/>
      <c r="FF34" s="1241"/>
      <c r="FG34" s="1241"/>
      <c r="FH34" s="1241"/>
      <c r="FI34" s="1241"/>
      <c r="FJ34" s="1241"/>
      <c r="FK34" s="1241"/>
      <c r="FL34" s="1241"/>
      <c r="FM34" s="1241"/>
      <c r="FN34" s="1241"/>
      <c r="FO34" s="1241"/>
      <c r="FP34" s="1241"/>
      <c r="FQ34" s="1241"/>
      <c r="FR34" s="1241"/>
      <c r="FS34" s="1241"/>
      <c r="FT34" s="1241"/>
      <c r="FU34" s="1241"/>
      <c r="FV34" s="1241"/>
      <c r="FW34" s="1241"/>
      <c r="FX34" s="1241"/>
      <c r="FY34" s="1241"/>
      <c r="FZ34" s="1241"/>
      <c r="GA34" s="1241"/>
      <c r="GB34" s="1241"/>
      <c r="GC34" s="1241"/>
      <c r="GD34" s="1241"/>
      <c r="GE34" s="1241"/>
      <c r="GF34" s="1241"/>
      <c r="GG34" s="1241"/>
      <c r="GH34" s="1241"/>
      <c r="GI34" s="1241"/>
      <c r="GJ34" s="1241"/>
      <c r="GK34" s="1241"/>
      <c r="GL34" s="1241"/>
      <c r="GM34" s="1241"/>
      <c r="GN34" s="1241"/>
      <c r="GO34" s="1241"/>
      <c r="GP34" s="1241"/>
      <c r="GQ34" s="1241"/>
      <c r="GR34" s="1241"/>
      <c r="GS34" s="1241"/>
      <c r="GT34" s="1241"/>
      <c r="GU34" s="1241"/>
      <c r="GV34" s="1241"/>
      <c r="GW34" s="1241"/>
      <c r="GX34" s="1241"/>
      <c r="GY34" s="1241"/>
      <c r="GZ34" s="1241"/>
      <c r="HA34" s="1241"/>
      <c r="HB34" s="1241"/>
      <c r="HC34" s="1241"/>
      <c r="HD34" s="1241"/>
      <c r="HE34" s="1241"/>
      <c r="HF34" s="1241"/>
      <c r="HG34" s="1241"/>
      <c r="HH34" s="1241"/>
      <c r="HI34" s="1241"/>
      <c r="HJ34" s="1241"/>
      <c r="HK34" s="1241"/>
      <c r="HL34" s="1241"/>
      <c r="HM34" s="1241"/>
      <c r="HN34" s="1241"/>
      <c r="HO34" s="1241"/>
      <c r="HP34" s="1241"/>
      <c r="HQ34" s="1241"/>
      <c r="HR34" s="1241"/>
      <c r="HS34" s="1241"/>
      <c r="HT34" s="1241"/>
      <c r="HU34" s="1241"/>
      <c r="HV34" s="1253"/>
      <c r="HW34" s="1252"/>
      <c r="HX34" s="1241"/>
      <c r="HY34" s="1241"/>
      <c r="HZ34" s="1241"/>
      <c r="IA34" s="1241"/>
      <c r="IB34" s="1253"/>
      <c r="IC34" s="1252"/>
      <c r="ID34" s="1242"/>
      <c r="IE34" s="1227"/>
    </row>
    <row r="35" spans="1:239" s="1223" customFormat="1" ht="15" customHeight="1" x14ac:dyDescent="0.25">
      <c r="A35" s="730"/>
      <c r="B35" s="959" t="s">
        <v>646</v>
      </c>
      <c r="C35" s="959"/>
      <c r="D35" s="959"/>
      <c r="E35" s="959"/>
      <c r="F35" s="1261"/>
      <c r="G35" s="1261"/>
      <c r="H35" s="1248"/>
      <c r="I35" s="1248"/>
      <c r="J35" s="1248"/>
      <c r="K35" s="1248"/>
      <c r="L35" s="1248"/>
      <c r="M35" s="1248"/>
      <c r="N35" s="1248"/>
      <c r="O35" s="1248"/>
      <c r="P35" s="1248"/>
      <c r="Q35" s="1248"/>
      <c r="R35" s="1248"/>
      <c r="S35" s="1248"/>
      <c r="T35" s="1248"/>
      <c r="U35" s="1248"/>
      <c r="V35" s="1248"/>
      <c r="W35" s="1248"/>
      <c r="X35" s="1248"/>
      <c r="Y35" s="1248"/>
      <c r="Z35" s="1248"/>
      <c r="AA35" s="1248"/>
      <c r="AB35" s="1248"/>
      <c r="AC35" s="1248"/>
      <c r="AD35" s="1248"/>
      <c r="AE35" s="1248"/>
      <c r="AF35" s="1248"/>
      <c r="AG35" s="1248"/>
      <c r="AH35" s="1248"/>
      <c r="AI35" s="1248"/>
      <c r="AJ35" s="1248"/>
      <c r="AK35" s="1248"/>
      <c r="AL35" s="1248"/>
      <c r="AM35" s="1248"/>
      <c r="AN35" s="1248"/>
      <c r="AO35" s="1248"/>
      <c r="AP35" s="1248"/>
      <c r="AQ35" s="1248"/>
      <c r="AR35" s="1248"/>
      <c r="AS35" s="1248"/>
      <c r="AT35" s="1248"/>
      <c r="AU35" s="1248"/>
      <c r="AV35" s="1248"/>
      <c r="AW35" s="1248"/>
      <c r="AX35" s="1248"/>
      <c r="AY35" s="1248"/>
      <c r="AZ35" s="1248"/>
      <c r="BA35" s="1248"/>
      <c r="BB35" s="1248"/>
      <c r="BC35" s="1248"/>
      <c r="BD35" s="1248"/>
      <c r="BE35" s="1248"/>
      <c r="BF35" s="1248"/>
      <c r="BG35" s="1248"/>
      <c r="BH35" s="1248"/>
      <c r="BI35" s="1248"/>
      <c r="BJ35" s="1248"/>
      <c r="BK35" s="1248"/>
      <c r="BL35" s="1248"/>
      <c r="BM35" s="1248"/>
      <c r="BN35" s="1248"/>
      <c r="BO35" s="1248"/>
      <c r="BP35" s="1248"/>
      <c r="BQ35" s="1248"/>
      <c r="BR35" s="1248"/>
      <c r="BS35" s="1248"/>
      <c r="BT35" s="1248"/>
      <c r="BU35" s="1248"/>
      <c r="BV35" s="1248"/>
      <c r="BW35" s="1248"/>
      <c r="BX35" s="1248"/>
      <c r="BY35" s="1248"/>
      <c r="BZ35" s="1248"/>
      <c r="CA35" s="1248"/>
      <c r="CB35" s="1248"/>
      <c r="CC35" s="1248"/>
      <c r="CD35" s="1248"/>
      <c r="CE35" s="1248"/>
      <c r="CF35" s="1248"/>
      <c r="CG35" s="1248"/>
      <c r="CH35" s="1248"/>
      <c r="CI35" s="1248"/>
      <c r="CJ35" s="1248"/>
      <c r="CK35" s="1248"/>
      <c r="CL35" s="1248"/>
      <c r="CM35" s="1248"/>
      <c r="CN35" s="1248"/>
      <c r="CO35" s="1248"/>
      <c r="CP35" s="1248"/>
      <c r="CQ35" s="1248"/>
      <c r="CR35" s="1248"/>
      <c r="CS35" s="1248"/>
      <c r="CT35" s="1248"/>
      <c r="CU35" s="1248"/>
      <c r="CV35" s="1248"/>
      <c r="CW35" s="1248"/>
      <c r="CX35" s="1248"/>
      <c r="CY35" s="1248"/>
      <c r="CZ35" s="1248"/>
      <c r="DA35" s="1248"/>
      <c r="DB35" s="1248"/>
      <c r="DC35" s="1248"/>
      <c r="DD35" s="1248"/>
      <c r="DE35" s="1248"/>
      <c r="DF35" s="1248"/>
      <c r="DG35" s="1248"/>
      <c r="DH35" s="1248"/>
      <c r="DI35" s="1248"/>
      <c r="DJ35" s="1248"/>
      <c r="DK35" s="1248"/>
      <c r="DL35" s="1248"/>
      <c r="DM35" s="1248"/>
      <c r="DN35" s="1248"/>
      <c r="DO35" s="1248"/>
      <c r="DP35" s="1248"/>
      <c r="DQ35" s="1248"/>
      <c r="DR35" s="1248"/>
      <c r="DS35" s="1248"/>
      <c r="DT35" s="1248"/>
      <c r="DU35" s="1248"/>
      <c r="DV35" s="1248"/>
      <c r="DW35" s="1248"/>
      <c r="DX35" s="1248"/>
      <c r="DY35" s="1248"/>
      <c r="DZ35" s="1248"/>
      <c r="EA35" s="1248"/>
      <c r="EB35" s="1248"/>
      <c r="EC35" s="1248"/>
      <c r="ED35" s="1248"/>
      <c r="EE35" s="1248"/>
      <c r="EF35" s="1248"/>
      <c r="EG35" s="1248"/>
      <c r="EH35" s="1248"/>
      <c r="EI35" s="1248"/>
      <c r="EJ35" s="1248"/>
      <c r="EK35" s="1248"/>
      <c r="EL35" s="1248"/>
      <c r="EM35" s="1248"/>
      <c r="EN35" s="1248"/>
      <c r="EO35" s="1248"/>
      <c r="EP35" s="1248"/>
      <c r="EQ35" s="1248"/>
      <c r="ER35" s="1248"/>
      <c r="ES35" s="1248"/>
      <c r="ET35" s="1248"/>
      <c r="EU35" s="1248"/>
      <c r="EV35" s="1248"/>
      <c r="EW35" s="1248"/>
      <c r="EX35" s="1248"/>
      <c r="EY35" s="1248"/>
      <c r="EZ35" s="1248"/>
      <c r="FA35" s="1248"/>
      <c r="FB35" s="1248"/>
      <c r="FC35" s="1248"/>
      <c r="FD35" s="1248"/>
      <c r="FE35" s="1248"/>
      <c r="FF35" s="1248"/>
      <c r="FG35" s="1248"/>
      <c r="FH35" s="1248"/>
      <c r="FI35" s="1248"/>
      <c r="FJ35" s="1248"/>
      <c r="FK35" s="1248"/>
      <c r="FL35" s="1248"/>
      <c r="FM35" s="1248"/>
      <c r="FN35" s="1248"/>
      <c r="FO35" s="1248"/>
      <c r="FP35" s="1248"/>
      <c r="FQ35" s="1248"/>
      <c r="FR35" s="1248"/>
      <c r="FS35" s="1248"/>
      <c r="FT35" s="1248"/>
      <c r="FU35" s="1248"/>
      <c r="FV35" s="1248"/>
      <c r="FW35" s="1248"/>
      <c r="FX35" s="1248"/>
      <c r="FY35" s="1248"/>
      <c r="FZ35" s="1248"/>
      <c r="GA35" s="1248"/>
      <c r="GB35" s="1248"/>
      <c r="GC35" s="1248"/>
      <c r="GD35" s="1248"/>
      <c r="GE35" s="1248"/>
      <c r="GF35" s="1248"/>
      <c r="GG35" s="1248"/>
      <c r="GH35" s="1248"/>
      <c r="GI35" s="1248"/>
      <c r="GJ35" s="1248"/>
      <c r="GK35" s="1248"/>
      <c r="GL35" s="1248"/>
      <c r="GM35" s="1248"/>
      <c r="GN35" s="1248"/>
      <c r="GO35" s="1248"/>
      <c r="GP35" s="1248"/>
      <c r="GQ35" s="1248"/>
      <c r="GR35" s="1248"/>
      <c r="GS35" s="1248"/>
      <c r="GT35" s="1248"/>
      <c r="GU35" s="1248"/>
      <c r="GV35" s="1248"/>
      <c r="GW35" s="1248"/>
      <c r="GX35" s="1248"/>
      <c r="GY35" s="1248"/>
      <c r="GZ35" s="1248"/>
      <c r="HA35" s="1248"/>
      <c r="HB35" s="1248"/>
      <c r="HC35" s="1248"/>
      <c r="HD35" s="1248"/>
      <c r="HE35" s="1248"/>
      <c r="HF35" s="1248"/>
      <c r="HG35" s="1248"/>
      <c r="HH35" s="1248"/>
      <c r="HI35" s="1248"/>
      <c r="HJ35" s="1248"/>
      <c r="HK35" s="1248"/>
      <c r="HL35" s="1248"/>
      <c r="HM35" s="1248"/>
      <c r="HN35" s="1248"/>
      <c r="HO35" s="1248"/>
      <c r="HP35" s="1248"/>
      <c r="HQ35" s="1248"/>
      <c r="HR35" s="1248"/>
      <c r="HS35" s="1248"/>
      <c r="HT35" s="1248"/>
      <c r="HU35" s="1248"/>
      <c r="HV35" s="1255"/>
      <c r="HW35" s="1254"/>
      <c r="HX35" s="1248"/>
      <c r="HY35" s="1248"/>
      <c r="HZ35" s="1248"/>
      <c r="IA35" s="1248"/>
      <c r="IB35" s="1255"/>
      <c r="IC35" s="1254"/>
      <c r="ID35" s="1243"/>
      <c r="IE35" s="1227"/>
    </row>
    <row r="36" spans="1:239" s="1222" customFormat="1" ht="15" customHeight="1" x14ac:dyDescent="0.25">
      <c r="A36" s="836"/>
      <c r="B36" s="734"/>
      <c r="C36" s="734"/>
      <c r="D36" s="734"/>
      <c r="E36" s="734"/>
      <c r="F36" s="734"/>
      <c r="G36" s="735"/>
      <c r="H36" s="716"/>
      <c r="I36" s="716"/>
      <c r="J36" s="716"/>
      <c r="K36" s="716"/>
      <c r="L36" s="735"/>
      <c r="M36" s="716"/>
      <c r="N36" s="716"/>
      <c r="O36" s="716"/>
      <c r="P36" s="716"/>
      <c r="Q36" s="735"/>
      <c r="R36" s="735"/>
      <c r="S36" s="716"/>
      <c r="T36" s="716"/>
      <c r="U36" s="716"/>
      <c r="V36" s="716"/>
      <c r="W36" s="735"/>
      <c r="X36" s="716"/>
      <c r="Y36" s="716"/>
      <c r="Z36" s="716"/>
      <c r="AA36" s="716"/>
      <c r="AB36" s="735"/>
      <c r="AC36" s="735"/>
      <c r="AD36" s="716"/>
      <c r="AE36" s="716"/>
      <c r="AF36" s="716"/>
      <c r="AG36" s="716"/>
      <c r="AH36" s="735"/>
      <c r="AI36" s="716"/>
      <c r="AJ36" s="716"/>
      <c r="AK36" s="716"/>
      <c r="AL36" s="716"/>
      <c r="AM36" s="735"/>
      <c r="AN36" s="735"/>
      <c r="AO36" s="716"/>
      <c r="AP36" s="716"/>
      <c r="AQ36" s="716"/>
      <c r="AR36" s="716"/>
      <c r="AS36" s="735"/>
      <c r="AT36" s="716"/>
      <c r="AU36" s="716"/>
      <c r="AV36" s="716"/>
      <c r="AW36" s="716"/>
      <c r="AX36" s="735"/>
      <c r="AY36" s="735"/>
      <c r="AZ36" s="716"/>
      <c r="BA36" s="716"/>
      <c r="BB36" s="716"/>
      <c r="BC36" s="716"/>
      <c r="BD36" s="735"/>
      <c r="BE36" s="716"/>
      <c r="BF36" s="716"/>
      <c r="BG36" s="716"/>
      <c r="BH36" s="716"/>
      <c r="BI36" s="735"/>
      <c r="BJ36" s="810"/>
      <c r="BK36" s="810"/>
      <c r="IE36" s="1226"/>
    </row>
    <row r="37" spans="1:239" s="1222" customFormat="1" ht="15" customHeight="1" x14ac:dyDescent="0.25">
      <c r="A37" s="836"/>
      <c r="B37" s="1738" t="s">
        <v>118</v>
      </c>
      <c r="C37" s="1815"/>
      <c r="D37" s="1815"/>
      <c r="E37" s="1815"/>
      <c r="F37" s="1815" t="s">
        <v>1587</v>
      </c>
      <c r="G37" s="1683"/>
      <c r="H37" s="716"/>
      <c r="I37" s="716"/>
      <c r="J37" s="716"/>
      <c r="K37" s="716"/>
      <c r="L37" s="735"/>
      <c r="M37" s="716"/>
      <c r="N37" s="716"/>
      <c r="O37" s="716"/>
      <c r="P37" s="716"/>
      <c r="Q37" s="735"/>
      <c r="R37" s="735"/>
      <c r="S37" s="716"/>
      <c r="T37" s="716"/>
      <c r="U37" s="716"/>
      <c r="V37" s="716"/>
      <c r="W37" s="735"/>
      <c r="X37" s="716"/>
      <c r="Y37" s="716"/>
      <c r="Z37" s="716"/>
      <c r="AA37" s="716"/>
      <c r="AB37" s="735"/>
      <c r="AC37" s="735"/>
      <c r="AD37" s="716"/>
      <c r="AE37" s="716"/>
      <c r="AF37" s="716"/>
      <c r="AG37" s="716"/>
      <c r="AH37" s="735"/>
      <c r="AI37" s="716"/>
      <c r="AJ37" s="716"/>
      <c r="AK37" s="716"/>
      <c r="AL37" s="716"/>
      <c r="AM37" s="735"/>
      <c r="AN37" s="735"/>
      <c r="AO37" s="716"/>
      <c r="AP37" s="716"/>
      <c r="AQ37" s="716"/>
      <c r="AR37" s="716"/>
      <c r="AS37" s="735"/>
      <c r="AT37" s="716"/>
      <c r="AU37" s="716"/>
      <c r="AV37" s="716"/>
      <c r="AW37" s="716"/>
      <c r="AX37" s="735"/>
      <c r="AY37" s="735"/>
      <c r="AZ37" s="716"/>
      <c r="BA37" s="716"/>
      <c r="BB37" s="716"/>
      <c r="BC37" s="716"/>
      <c r="BD37" s="735"/>
      <c r="BE37" s="716"/>
      <c r="BF37" s="716"/>
      <c r="BG37" s="716"/>
      <c r="BH37" s="716"/>
      <c r="BI37" s="735"/>
      <c r="BJ37" s="735"/>
      <c r="BK37" s="735"/>
      <c r="IE37" s="1226"/>
    </row>
    <row r="38" spans="1:239" s="1223" customFormat="1" ht="30" customHeight="1" x14ac:dyDescent="0.25">
      <c r="A38" s="730"/>
      <c r="B38" s="1738"/>
      <c r="C38" s="1815"/>
      <c r="D38" s="1815"/>
      <c r="E38" s="1815"/>
      <c r="F38" s="1629" t="s">
        <v>1588</v>
      </c>
      <c r="G38" s="1627" t="s">
        <v>1589</v>
      </c>
      <c r="H38" s="735"/>
      <c r="I38" s="716"/>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5"/>
      <c r="AO38" s="735"/>
      <c r="AP38" s="735"/>
      <c r="AQ38" s="735"/>
      <c r="AR38" s="735"/>
      <c r="AS38" s="735"/>
      <c r="AT38" s="735"/>
      <c r="AU38" s="735"/>
      <c r="AV38" s="735"/>
      <c r="AW38" s="735"/>
      <c r="AX38" s="735"/>
      <c r="AY38" s="735"/>
      <c r="AZ38" s="735"/>
      <c r="BA38" s="735"/>
      <c r="BB38" s="735"/>
      <c r="BC38" s="735"/>
      <c r="BD38" s="735"/>
      <c r="BE38" s="735"/>
      <c r="BF38" s="735"/>
      <c r="BG38" s="735"/>
      <c r="BH38" s="735"/>
      <c r="BI38" s="735"/>
      <c r="BJ38" s="735"/>
      <c r="BK38" s="735"/>
      <c r="BL38" s="735"/>
      <c r="BM38" s="735"/>
      <c r="BN38" s="735"/>
      <c r="BO38" s="735"/>
      <c r="BP38" s="735"/>
      <c r="BQ38" s="735"/>
      <c r="BR38" s="735"/>
      <c r="BS38" s="735"/>
      <c r="BT38" s="735"/>
      <c r="BU38" s="735"/>
      <c r="BV38" s="735"/>
      <c r="BW38" s="735"/>
      <c r="BX38" s="735"/>
      <c r="BY38" s="735"/>
      <c r="BZ38" s="735"/>
      <c r="CA38" s="735"/>
      <c r="CB38" s="735"/>
      <c r="CC38" s="735"/>
      <c r="CD38" s="735"/>
      <c r="CE38" s="735"/>
      <c r="CF38" s="735"/>
      <c r="CG38" s="735"/>
      <c r="CH38" s="735"/>
      <c r="CI38" s="735"/>
      <c r="CJ38" s="735"/>
      <c r="CK38" s="735"/>
      <c r="CL38" s="735"/>
      <c r="CM38" s="735"/>
      <c r="CN38" s="735"/>
      <c r="CO38" s="735"/>
      <c r="CP38" s="735"/>
      <c r="IE38" s="1227"/>
    </row>
    <row r="39" spans="1:239" s="1223" customFormat="1" ht="15" customHeight="1" x14ac:dyDescent="0.25">
      <c r="A39" s="730"/>
      <c r="B39" s="1631" t="s">
        <v>1525</v>
      </c>
      <c r="C39" s="1533"/>
      <c r="D39" s="1630"/>
      <c r="E39" s="1631"/>
      <c r="F39" s="1247"/>
      <c r="G39" s="1250"/>
      <c r="I39" s="716"/>
      <c r="L39" s="735"/>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735"/>
      <c r="AM39" s="735"/>
      <c r="AN39" s="735"/>
      <c r="AO39" s="735"/>
      <c r="AP39" s="735"/>
      <c r="AQ39" s="735"/>
      <c r="AR39" s="735"/>
      <c r="AS39" s="735"/>
      <c r="AT39" s="735"/>
      <c r="AU39" s="735"/>
      <c r="AV39" s="735"/>
      <c r="AW39" s="735"/>
      <c r="AX39" s="735"/>
      <c r="AY39" s="735"/>
      <c r="AZ39" s="735"/>
      <c r="BA39" s="735"/>
      <c r="BB39" s="735"/>
      <c r="BC39" s="735"/>
      <c r="BD39" s="735"/>
      <c r="BE39" s="735"/>
      <c r="BF39" s="735"/>
      <c r="BG39" s="735"/>
      <c r="BH39" s="735"/>
      <c r="BI39" s="735"/>
      <c r="BJ39" s="735"/>
      <c r="BK39" s="735"/>
      <c r="BL39" s="735"/>
      <c r="BM39" s="735"/>
      <c r="BN39" s="735"/>
      <c r="BO39" s="735"/>
      <c r="BP39" s="735"/>
      <c r="BQ39" s="735"/>
      <c r="BR39" s="735"/>
      <c r="BS39" s="735"/>
      <c r="BT39" s="735"/>
      <c r="BU39" s="735"/>
      <c r="BV39" s="735"/>
      <c r="BW39" s="735"/>
      <c r="BX39" s="735"/>
      <c r="BY39" s="735"/>
      <c r="BZ39" s="735"/>
      <c r="CA39" s="735"/>
      <c r="CB39" s="735"/>
      <c r="CC39" s="735"/>
      <c r="CD39" s="735"/>
      <c r="CE39" s="735"/>
      <c r="CF39" s="735"/>
      <c r="CG39" s="735"/>
      <c r="CH39" s="735"/>
      <c r="CI39" s="735"/>
      <c r="CJ39" s="735"/>
      <c r="CK39" s="735"/>
      <c r="CL39" s="735"/>
      <c r="CM39" s="735"/>
      <c r="CN39" s="735"/>
      <c r="CO39" s="735"/>
      <c r="CP39" s="735"/>
      <c r="IE39" s="1227"/>
    </row>
    <row r="40" spans="1:239" s="1223" customFormat="1" ht="15" customHeight="1" x14ac:dyDescent="0.25">
      <c r="A40" s="730"/>
      <c r="B40" s="1633" t="s">
        <v>1585</v>
      </c>
      <c r="C40" s="1534"/>
      <c r="D40" s="1632"/>
      <c r="E40" s="1633"/>
      <c r="F40" s="51"/>
      <c r="G40" s="461"/>
      <c r="I40" s="716"/>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5"/>
      <c r="AQ40" s="735"/>
      <c r="AR40" s="735"/>
      <c r="AS40" s="735"/>
      <c r="AT40" s="735"/>
      <c r="AU40" s="735"/>
      <c r="AV40" s="735"/>
      <c r="AW40" s="735"/>
      <c r="AX40" s="735"/>
      <c r="AY40" s="735"/>
      <c r="AZ40" s="735"/>
      <c r="BA40" s="735"/>
      <c r="BB40" s="735"/>
      <c r="BC40" s="735"/>
      <c r="BD40" s="735"/>
      <c r="BE40" s="735"/>
      <c r="BF40" s="735"/>
      <c r="BG40" s="735"/>
      <c r="BH40" s="735"/>
      <c r="BI40" s="735"/>
      <c r="BJ40" s="735"/>
      <c r="BK40" s="735"/>
      <c r="BL40" s="735"/>
      <c r="BM40" s="735"/>
      <c r="BN40" s="735"/>
      <c r="BO40" s="735"/>
      <c r="BP40" s="735"/>
      <c r="BQ40" s="735"/>
      <c r="BR40" s="735"/>
      <c r="BS40" s="735"/>
      <c r="BT40" s="735"/>
      <c r="BU40" s="735"/>
      <c r="BV40" s="735"/>
      <c r="BW40" s="735"/>
      <c r="BX40" s="735"/>
      <c r="BY40" s="735"/>
      <c r="BZ40" s="735"/>
      <c r="CA40" s="735"/>
      <c r="CB40" s="735"/>
      <c r="CC40" s="735"/>
      <c r="CD40" s="735"/>
      <c r="CE40" s="735"/>
      <c r="CF40" s="735"/>
      <c r="CG40" s="735"/>
      <c r="CH40" s="735"/>
      <c r="CI40" s="735"/>
      <c r="CJ40" s="735"/>
      <c r="CK40" s="735"/>
      <c r="CL40" s="735"/>
      <c r="CM40" s="735"/>
      <c r="CN40" s="735"/>
      <c r="CO40" s="735"/>
      <c r="CP40" s="735"/>
      <c r="IE40" s="1227"/>
    </row>
    <row r="41" spans="1:239" s="1223" customFormat="1" ht="15" customHeight="1" x14ac:dyDescent="0.25">
      <c r="A41" s="730"/>
      <c r="B41" s="1532" t="s">
        <v>1751</v>
      </c>
      <c r="C41" s="1535"/>
      <c r="D41" s="1262"/>
      <c r="E41" s="1263"/>
      <c r="F41" s="1245"/>
      <c r="G41" s="1246"/>
      <c r="I41" s="716"/>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5"/>
      <c r="AS41" s="735"/>
      <c r="AT41" s="735"/>
      <c r="AU41" s="735"/>
      <c r="AV41" s="735"/>
      <c r="AW41" s="735"/>
      <c r="AX41" s="735"/>
      <c r="AY41" s="735"/>
      <c r="AZ41" s="735"/>
      <c r="BA41" s="735"/>
      <c r="BB41" s="735"/>
      <c r="BC41" s="735"/>
      <c r="BD41" s="735"/>
      <c r="BE41" s="735"/>
      <c r="BF41" s="735"/>
      <c r="BG41" s="735"/>
      <c r="BH41" s="735"/>
      <c r="BI41" s="735"/>
      <c r="BJ41" s="735"/>
      <c r="BK41" s="735"/>
      <c r="BL41" s="735"/>
      <c r="BM41" s="735"/>
      <c r="BN41" s="735"/>
      <c r="BO41" s="735"/>
      <c r="BP41" s="735"/>
      <c r="BQ41" s="735"/>
      <c r="BR41" s="735"/>
      <c r="BS41" s="735"/>
      <c r="BT41" s="735"/>
      <c r="BU41" s="735"/>
      <c r="BV41" s="735"/>
      <c r="BW41" s="735"/>
      <c r="BX41" s="735"/>
      <c r="BY41" s="735"/>
      <c r="BZ41" s="735"/>
      <c r="CA41" s="735"/>
      <c r="CB41" s="735"/>
      <c r="CC41" s="735"/>
      <c r="CD41" s="735"/>
      <c r="CE41" s="735"/>
      <c r="CF41" s="735"/>
      <c r="CG41" s="735"/>
      <c r="CH41" s="735"/>
      <c r="CI41" s="735"/>
      <c r="CJ41" s="735"/>
      <c r="CK41" s="735"/>
      <c r="CL41" s="735"/>
      <c r="CM41" s="735"/>
      <c r="CN41" s="735"/>
      <c r="CO41" s="735"/>
      <c r="CP41" s="735"/>
      <c r="IE41" s="1227"/>
    </row>
    <row r="42" spans="1:239" s="1223" customFormat="1" ht="15" customHeight="1" x14ac:dyDescent="0.25">
      <c r="A42" s="730"/>
      <c r="B42" s="1532" t="s">
        <v>1752</v>
      </c>
      <c r="C42" s="1535"/>
      <c r="D42" s="1262"/>
      <c r="E42" s="1263"/>
      <c r="F42" s="1245"/>
      <c r="G42" s="1246"/>
      <c r="I42" s="716"/>
      <c r="L42" s="735"/>
      <c r="M42" s="735"/>
      <c r="N42" s="735"/>
      <c r="O42" s="735"/>
      <c r="P42" s="735"/>
      <c r="Q42" s="735"/>
      <c r="R42" s="735"/>
      <c r="S42" s="735"/>
      <c r="T42" s="735"/>
      <c r="U42" s="735"/>
      <c r="V42" s="735"/>
      <c r="W42" s="735"/>
      <c r="X42" s="735"/>
      <c r="Y42" s="735"/>
      <c r="Z42" s="735"/>
      <c r="AA42" s="735"/>
      <c r="AB42" s="735"/>
      <c r="AC42" s="735"/>
      <c r="AD42" s="735"/>
      <c r="AE42" s="735"/>
      <c r="AF42" s="735"/>
      <c r="AG42" s="735"/>
      <c r="AH42" s="735"/>
      <c r="AI42" s="735"/>
      <c r="AJ42" s="735"/>
      <c r="AK42" s="735"/>
      <c r="AL42" s="735"/>
      <c r="AM42" s="735"/>
      <c r="AN42" s="735"/>
      <c r="AO42" s="735"/>
      <c r="AP42" s="735"/>
      <c r="AQ42" s="735"/>
      <c r="AR42" s="735"/>
      <c r="AS42" s="735"/>
      <c r="AT42" s="735"/>
      <c r="AU42" s="735"/>
      <c r="AV42" s="735"/>
      <c r="AW42" s="735"/>
      <c r="AX42" s="735"/>
      <c r="AY42" s="735"/>
      <c r="AZ42" s="735"/>
      <c r="BA42" s="735"/>
      <c r="BB42" s="735"/>
      <c r="BC42" s="735"/>
      <c r="BD42" s="735"/>
      <c r="BE42" s="735"/>
      <c r="BF42" s="735"/>
      <c r="BG42" s="735"/>
      <c r="BH42" s="735"/>
      <c r="BI42" s="735"/>
      <c r="BJ42" s="735"/>
      <c r="BK42" s="735"/>
      <c r="BL42" s="735"/>
      <c r="BM42" s="735"/>
      <c r="BN42" s="735"/>
      <c r="BO42" s="735"/>
      <c r="BP42" s="735"/>
      <c r="BQ42" s="735"/>
      <c r="BR42" s="735"/>
      <c r="BS42" s="735"/>
      <c r="BT42" s="735"/>
      <c r="BU42" s="735"/>
      <c r="BV42" s="735"/>
      <c r="BW42" s="735"/>
      <c r="BX42" s="735"/>
      <c r="BY42" s="735"/>
      <c r="BZ42" s="735"/>
      <c r="CA42" s="735"/>
      <c r="CB42" s="735"/>
      <c r="CC42" s="735"/>
      <c r="CD42" s="735"/>
      <c r="CE42" s="735"/>
      <c r="CF42" s="735"/>
      <c r="CG42" s="735"/>
      <c r="CH42" s="735"/>
      <c r="CI42" s="735"/>
      <c r="CJ42" s="735"/>
      <c r="CK42" s="735"/>
      <c r="CL42" s="735"/>
      <c r="CM42" s="735"/>
      <c r="CN42" s="735"/>
      <c r="CO42" s="735"/>
      <c r="CP42" s="735"/>
      <c r="IE42" s="1227"/>
    </row>
    <row r="43" spans="1:239" s="1223" customFormat="1" ht="15" customHeight="1" x14ac:dyDescent="0.25">
      <c r="A43" s="730"/>
      <c r="B43" s="1532" t="s">
        <v>1753</v>
      </c>
      <c r="C43" s="1535"/>
      <c r="D43" s="1262"/>
      <c r="E43" s="1263"/>
      <c r="F43" s="1245"/>
      <c r="G43" s="1246"/>
      <c r="I43" s="716"/>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5"/>
      <c r="AL43" s="735"/>
      <c r="AM43" s="735"/>
      <c r="AN43" s="735"/>
      <c r="AO43" s="735"/>
      <c r="AP43" s="735"/>
      <c r="AQ43" s="735"/>
      <c r="AR43" s="735"/>
      <c r="AS43" s="735"/>
      <c r="AT43" s="735"/>
      <c r="AU43" s="735"/>
      <c r="AV43" s="735"/>
      <c r="AW43" s="735"/>
      <c r="AX43" s="735"/>
      <c r="AY43" s="735"/>
      <c r="AZ43" s="735"/>
      <c r="BA43" s="735"/>
      <c r="BB43" s="735"/>
      <c r="BC43" s="735"/>
      <c r="BD43" s="735"/>
      <c r="BE43" s="735"/>
      <c r="BF43" s="735"/>
      <c r="BG43" s="735"/>
      <c r="BH43" s="735"/>
      <c r="BI43" s="735"/>
      <c r="BJ43" s="735"/>
      <c r="BK43" s="735"/>
      <c r="BL43" s="735"/>
      <c r="BM43" s="735"/>
      <c r="BN43" s="735"/>
      <c r="BO43" s="735"/>
      <c r="BP43" s="735"/>
      <c r="BQ43" s="735"/>
      <c r="BR43" s="735"/>
      <c r="BS43" s="735"/>
      <c r="BT43" s="735"/>
      <c r="BU43" s="735"/>
      <c r="BV43" s="735"/>
      <c r="BW43" s="735"/>
      <c r="BX43" s="735"/>
      <c r="BY43" s="735"/>
      <c r="BZ43" s="735"/>
      <c r="CA43" s="735"/>
      <c r="CB43" s="735"/>
      <c r="CC43" s="735"/>
      <c r="CD43" s="735"/>
      <c r="CE43" s="735"/>
      <c r="CF43" s="735"/>
      <c r="CG43" s="735"/>
      <c r="CH43" s="735"/>
      <c r="CI43" s="735"/>
      <c r="CJ43" s="735"/>
      <c r="CK43" s="735"/>
      <c r="CL43" s="735"/>
      <c r="CM43" s="735"/>
      <c r="CN43" s="735"/>
      <c r="CO43" s="735"/>
      <c r="CP43" s="735"/>
      <c r="IE43" s="1227"/>
    </row>
    <row r="44" spans="1:239" s="1223" customFormat="1" ht="15" customHeight="1" x14ac:dyDescent="0.25">
      <c r="A44" s="730"/>
      <c r="B44" s="1635" t="s">
        <v>1586</v>
      </c>
      <c r="C44" s="1536"/>
      <c r="D44" s="1634"/>
      <c r="E44" s="1635"/>
      <c r="F44" s="1248"/>
      <c r="G44" s="1243"/>
      <c r="I44" s="716"/>
      <c r="L44" s="735"/>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735"/>
      <c r="AP44" s="735"/>
      <c r="AQ44" s="735"/>
      <c r="AR44" s="735"/>
      <c r="AS44" s="735"/>
      <c r="AT44" s="735"/>
      <c r="AU44" s="735"/>
      <c r="AV44" s="735"/>
      <c r="AW44" s="735"/>
      <c r="AX44" s="735"/>
      <c r="AY44" s="735"/>
      <c r="AZ44" s="735"/>
      <c r="BA44" s="735"/>
      <c r="BB44" s="735"/>
      <c r="BC44" s="735"/>
      <c r="BD44" s="735"/>
      <c r="BE44" s="735"/>
      <c r="BF44" s="735"/>
      <c r="BG44" s="735"/>
      <c r="BH44" s="735"/>
      <c r="BI44" s="735"/>
      <c r="BJ44" s="735"/>
      <c r="BK44" s="735"/>
      <c r="BL44" s="735"/>
      <c r="BM44" s="735"/>
      <c r="BN44" s="735"/>
      <c r="BO44" s="735"/>
      <c r="BP44" s="735"/>
      <c r="BQ44" s="735"/>
      <c r="BR44" s="735"/>
      <c r="BS44" s="735"/>
      <c r="BT44" s="735"/>
      <c r="BU44" s="735"/>
      <c r="BV44" s="735"/>
      <c r="BW44" s="735"/>
      <c r="BX44" s="735"/>
      <c r="BY44" s="735"/>
      <c r="BZ44" s="735"/>
      <c r="CA44" s="735"/>
      <c r="CB44" s="735"/>
      <c r="CC44" s="735"/>
      <c r="CD44" s="735"/>
      <c r="CE44" s="735"/>
      <c r="CF44" s="735"/>
      <c r="CG44" s="735"/>
      <c r="CH44" s="735"/>
      <c r="CI44" s="735"/>
      <c r="CJ44" s="735"/>
      <c r="CK44" s="735"/>
      <c r="CL44" s="735"/>
      <c r="CM44" s="735"/>
      <c r="CN44" s="735"/>
      <c r="CO44" s="735"/>
      <c r="CP44" s="735"/>
      <c r="IE44" s="1227"/>
    </row>
    <row r="45" spans="1:239" s="1222" customFormat="1" ht="15" customHeight="1" x14ac:dyDescent="0.25">
      <c r="A45" s="821"/>
      <c r="B45" s="716"/>
      <c r="C45" s="716"/>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716"/>
      <c r="AS45" s="716"/>
      <c r="AT45" s="716"/>
      <c r="AU45" s="716"/>
      <c r="AV45" s="716"/>
      <c r="AW45" s="716"/>
      <c r="AX45" s="716"/>
      <c r="AY45" s="716"/>
      <c r="AZ45" s="716"/>
      <c r="BA45" s="716"/>
      <c r="BB45" s="716"/>
      <c r="BC45" s="716"/>
      <c r="BD45" s="716"/>
      <c r="BE45" s="716"/>
      <c r="BF45" s="716"/>
      <c r="BG45" s="716"/>
      <c r="BH45" s="716"/>
      <c r="BI45" s="716"/>
      <c r="BJ45" s="716"/>
      <c r="BK45" s="716"/>
      <c r="IE45" s="1226"/>
    </row>
    <row r="46" spans="1:239" s="1625" customFormat="1" ht="45" customHeight="1" x14ac:dyDescent="0.25">
      <c r="A46" s="780" t="s">
        <v>1806</v>
      </c>
      <c r="B46" s="809"/>
      <c r="C46" s="765"/>
      <c r="D46" s="765"/>
      <c r="E46" s="765"/>
      <c r="F46" s="765"/>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0"/>
      <c r="AL46" s="810"/>
      <c r="AM46" s="810"/>
      <c r="AN46" s="810"/>
      <c r="AO46" s="810"/>
      <c r="AP46" s="810"/>
      <c r="AQ46" s="810"/>
      <c r="AR46" s="810"/>
      <c r="AS46" s="810"/>
      <c r="AT46" s="810"/>
      <c r="AU46" s="810"/>
      <c r="AV46" s="810"/>
      <c r="AW46" s="810"/>
      <c r="AX46" s="810"/>
      <c r="AY46" s="810"/>
      <c r="AZ46" s="810"/>
      <c r="BA46" s="810"/>
      <c r="BB46" s="810"/>
      <c r="BC46" s="810"/>
      <c r="BD46" s="810"/>
      <c r="BE46" s="810"/>
      <c r="BF46" s="810"/>
      <c r="BG46" s="810"/>
      <c r="BH46" s="810"/>
      <c r="BI46" s="810"/>
      <c r="BJ46" s="810"/>
      <c r="BK46" s="810"/>
      <c r="BL46" s="1014"/>
      <c r="BM46" s="1014"/>
      <c r="BN46" s="1014"/>
      <c r="BO46" s="1014"/>
      <c r="BP46" s="1014"/>
      <c r="BQ46" s="1014"/>
      <c r="BR46" s="1014"/>
      <c r="BS46" s="1014"/>
      <c r="BT46" s="1014"/>
      <c r="BU46" s="1014"/>
      <c r="BV46" s="1014"/>
      <c r="BW46" s="1014"/>
      <c r="BX46" s="1014"/>
      <c r="BY46" s="1014"/>
      <c r="BZ46" s="1014"/>
      <c r="CA46" s="1014"/>
      <c r="CB46" s="1014"/>
      <c r="CC46" s="1014"/>
      <c r="CD46" s="1014"/>
      <c r="CE46" s="1014"/>
      <c r="CF46" s="1014"/>
      <c r="CG46" s="1014"/>
      <c r="CH46" s="1014"/>
      <c r="CI46" s="1014"/>
      <c r="CJ46" s="1014"/>
      <c r="CK46" s="1014"/>
      <c r="CL46" s="1014"/>
      <c r="CM46" s="1014"/>
      <c r="CN46" s="1014"/>
      <c r="CO46" s="1014"/>
      <c r="CP46" s="1014"/>
      <c r="CQ46" s="1014"/>
      <c r="CR46" s="1014"/>
      <c r="CS46" s="1014"/>
      <c r="CT46" s="1014"/>
      <c r="CU46" s="1014"/>
      <c r="CV46" s="1014"/>
      <c r="CW46" s="1014"/>
      <c r="CX46" s="1014"/>
      <c r="CY46" s="1014"/>
      <c r="CZ46" s="1014"/>
      <c r="DA46" s="1014"/>
      <c r="DB46" s="1014"/>
      <c r="DC46" s="1014"/>
      <c r="DD46" s="1014"/>
      <c r="DE46" s="1014"/>
      <c r="DF46" s="1014"/>
      <c r="DG46" s="1014"/>
      <c r="DH46" s="1014"/>
      <c r="DI46" s="1014"/>
      <c r="DJ46" s="1014"/>
      <c r="DK46" s="1014"/>
      <c r="DL46" s="1014"/>
      <c r="DM46" s="1014"/>
      <c r="DN46" s="1014"/>
      <c r="DO46" s="1014"/>
      <c r="DP46" s="1014"/>
      <c r="DQ46" s="1014"/>
      <c r="DR46" s="1014"/>
      <c r="DS46" s="1014"/>
      <c r="DT46" s="1014"/>
      <c r="DU46" s="1014"/>
      <c r="DV46" s="1014"/>
      <c r="DW46" s="1014"/>
      <c r="DX46" s="1014"/>
      <c r="DY46" s="1014"/>
      <c r="DZ46" s="1014"/>
      <c r="EA46" s="1014"/>
      <c r="EB46" s="1014"/>
      <c r="EC46" s="1014"/>
      <c r="ED46" s="1014"/>
      <c r="EE46" s="1014"/>
      <c r="EF46" s="1014"/>
      <c r="EG46" s="1014"/>
      <c r="EH46" s="1014"/>
      <c r="EI46" s="1014"/>
      <c r="EJ46" s="1014"/>
      <c r="EK46" s="1014"/>
      <c r="EL46" s="1014"/>
      <c r="EM46" s="1014"/>
      <c r="EN46" s="1014"/>
      <c r="EO46" s="1014"/>
      <c r="EP46" s="1014"/>
      <c r="EQ46" s="1014"/>
      <c r="ER46" s="1014"/>
      <c r="ES46" s="1014"/>
      <c r="ET46" s="1014"/>
      <c r="EU46" s="1014"/>
      <c r="EV46" s="1014"/>
      <c r="EW46" s="1014"/>
      <c r="EX46" s="1014"/>
      <c r="EY46" s="1014"/>
      <c r="EZ46" s="1014"/>
      <c r="FA46" s="1014"/>
      <c r="FB46" s="1014"/>
      <c r="FC46" s="1014"/>
      <c r="FD46" s="1014"/>
      <c r="FE46" s="1014"/>
      <c r="FF46" s="1014"/>
      <c r="FG46" s="1014"/>
      <c r="FH46" s="1014"/>
      <c r="FI46" s="1014"/>
      <c r="FJ46" s="1014"/>
      <c r="FK46" s="1014"/>
      <c r="FL46" s="1014"/>
      <c r="FM46" s="1014"/>
      <c r="FN46" s="1014"/>
      <c r="FO46" s="1014"/>
      <c r="FP46" s="1014"/>
      <c r="FQ46" s="1014"/>
      <c r="FR46" s="1014"/>
      <c r="FS46" s="1014"/>
      <c r="FT46" s="1014"/>
      <c r="FU46" s="1014"/>
      <c r="FV46" s="1014"/>
      <c r="FW46" s="1014"/>
      <c r="FX46" s="1014"/>
      <c r="FY46" s="1014"/>
      <c r="FZ46" s="1014"/>
      <c r="GA46" s="1014"/>
      <c r="GB46" s="1014"/>
      <c r="GC46" s="1014"/>
      <c r="GD46" s="1014"/>
      <c r="GE46" s="1014"/>
      <c r="GF46" s="1014"/>
      <c r="GG46" s="1014"/>
      <c r="GH46" s="1014"/>
      <c r="GI46" s="1014"/>
      <c r="GJ46" s="1014"/>
      <c r="GK46" s="1014"/>
      <c r="GL46" s="1014"/>
      <c r="GM46" s="1014"/>
      <c r="GN46" s="1014"/>
      <c r="GO46" s="1014"/>
      <c r="GP46" s="1014"/>
      <c r="GQ46" s="1014"/>
      <c r="GR46" s="1014"/>
      <c r="GS46" s="1014"/>
      <c r="GT46" s="1014"/>
      <c r="GU46" s="1014"/>
      <c r="GV46" s="1014"/>
      <c r="GW46" s="1014"/>
      <c r="GX46" s="1014"/>
      <c r="GY46" s="1014"/>
      <c r="GZ46" s="1014"/>
      <c r="HA46" s="1014"/>
      <c r="HB46" s="1014"/>
      <c r="HC46" s="1014"/>
      <c r="HD46" s="1014"/>
      <c r="HE46" s="1014"/>
      <c r="HF46" s="1014"/>
      <c r="HG46" s="1014"/>
      <c r="HH46" s="1014"/>
      <c r="HI46" s="1014"/>
      <c r="HJ46" s="1014"/>
      <c r="HK46" s="1014"/>
      <c r="HL46" s="1014"/>
      <c r="HM46" s="1014"/>
      <c r="HN46" s="1014"/>
      <c r="HO46" s="1014"/>
      <c r="HP46" s="1014"/>
      <c r="HQ46" s="1014"/>
      <c r="HR46" s="1014"/>
      <c r="HS46" s="1014"/>
      <c r="HT46" s="1014"/>
      <c r="HU46" s="1014"/>
      <c r="HV46" s="1014"/>
      <c r="HW46" s="1014"/>
      <c r="HX46" s="1014"/>
      <c r="HY46" s="1014"/>
      <c r="HZ46" s="1014"/>
      <c r="IA46" s="1014"/>
      <c r="IB46" s="1014"/>
      <c r="IC46" s="1014"/>
      <c r="ID46" s="1014"/>
      <c r="IE46" s="1537"/>
    </row>
    <row r="47" spans="1:239" s="1222" customFormat="1" ht="15" customHeight="1" x14ac:dyDescent="0.25">
      <c r="A47" s="821"/>
      <c r="B47" s="1853" t="s">
        <v>898</v>
      </c>
      <c r="C47" s="1856" t="s">
        <v>852</v>
      </c>
      <c r="D47" s="1859" t="s">
        <v>853</v>
      </c>
      <c r="E47" s="1859"/>
      <c r="F47" s="1815" t="s">
        <v>1525</v>
      </c>
      <c r="G47" s="1815"/>
      <c r="H47" s="1815"/>
      <c r="I47" s="1815"/>
      <c r="J47" s="1815"/>
      <c r="K47" s="1815"/>
      <c r="L47" s="1815"/>
      <c r="M47" s="1815"/>
      <c r="N47" s="1815"/>
      <c r="O47" s="1815"/>
      <c r="P47" s="1815"/>
      <c r="Q47" s="1815"/>
      <c r="R47" s="1683"/>
      <c r="S47" s="1848" t="s">
        <v>1585</v>
      </c>
      <c r="T47" s="1845"/>
      <c r="U47" s="1845"/>
      <c r="V47" s="1845"/>
      <c r="W47" s="1845"/>
      <c r="X47" s="1845"/>
      <c r="Y47" s="1886" t="s">
        <v>1586</v>
      </c>
      <c r="Z47" s="1684"/>
      <c r="AA47" s="1684"/>
      <c r="AB47" s="1684"/>
      <c r="AC47" s="1684"/>
      <c r="AD47" s="735"/>
      <c r="AE47" s="735"/>
      <c r="AF47" s="735"/>
      <c r="AG47" s="735"/>
      <c r="AH47" s="735"/>
      <c r="AI47" s="735"/>
      <c r="AJ47" s="735"/>
      <c r="AK47" s="735"/>
      <c r="AL47" s="735"/>
      <c r="AM47" s="735"/>
      <c r="AN47" s="735"/>
      <c r="AO47" s="729"/>
      <c r="AP47" s="729"/>
      <c r="AQ47" s="729"/>
      <c r="AR47" s="729"/>
      <c r="AS47" s="716"/>
      <c r="AT47" s="716"/>
      <c r="AU47" s="716"/>
      <c r="AV47" s="716"/>
      <c r="AW47" s="716"/>
      <c r="AX47" s="716"/>
      <c r="AY47" s="716"/>
      <c r="AZ47" s="716"/>
      <c r="BA47" s="716"/>
      <c r="BB47" s="716"/>
      <c r="BC47" s="716"/>
      <c r="BD47" s="716"/>
      <c r="BE47" s="716"/>
      <c r="BF47" s="716"/>
      <c r="BG47" s="716"/>
      <c r="BH47" s="716"/>
      <c r="BI47" s="716"/>
      <c r="BJ47" s="716"/>
      <c r="BK47" s="716"/>
      <c r="IE47" s="1226"/>
    </row>
    <row r="48" spans="1:239" s="1222" customFormat="1" ht="15" customHeight="1" x14ac:dyDescent="0.25">
      <c r="A48" s="821"/>
      <c r="B48" s="1854"/>
      <c r="C48" s="1857"/>
      <c r="D48" s="1859"/>
      <c r="E48" s="1859"/>
      <c r="F48" s="1687" t="s">
        <v>821</v>
      </c>
      <c r="G48" s="1687" t="s">
        <v>1802</v>
      </c>
      <c r="H48" s="1687" t="s">
        <v>822</v>
      </c>
      <c r="I48" s="1687" t="s">
        <v>1526</v>
      </c>
      <c r="J48" s="1687" t="s">
        <v>1527</v>
      </c>
      <c r="K48" s="1815" t="s">
        <v>892</v>
      </c>
      <c r="L48" s="1815"/>
      <c r="M48" s="1815"/>
      <c r="N48" s="1815"/>
      <c r="O48" s="1818" t="s">
        <v>893</v>
      </c>
      <c r="P48" s="1818"/>
      <c r="Q48" s="1818"/>
      <c r="R48" s="1819"/>
      <c r="S48" s="1846" t="s">
        <v>821</v>
      </c>
      <c r="T48" s="1679" t="s">
        <v>1802</v>
      </c>
      <c r="U48" s="1679" t="s">
        <v>822</v>
      </c>
      <c r="V48" s="1679" t="s">
        <v>1748</v>
      </c>
      <c r="W48" s="1679" t="s">
        <v>1749</v>
      </c>
      <c r="X48" s="1839" t="s">
        <v>1750</v>
      </c>
      <c r="Y48" s="1778" t="s">
        <v>821</v>
      </c>
      <c r="Z48" s="1687" t="s">
        <v>1805</v>
      </c>
      <c r="AA48" s="1687" t="s">
        <v>1615</v>
      </c>
      <c r="AB48" s="1819" t="s">
        <v>893</v>
      </c>
      <c r="AC48" s="1845"/>
      <c r="AD48" s="735"/>
      <c r="AE48" s="735"/>
      <c r="AF48" s="735"/>
      <c r="AG48" s="735"/>
      <c r="AH48" s="735"/>
      <c r="AI48" s="735"/>
      <c r="AJ48" s="735"/>
      <c r="AK48" s="735"/>
      <c r="AL48" s="735"/>
      <c r="AM48" s="735"/>
      <c r="AN48" s="735"/>
      <c r="AO48" s="729"/>
      <c r="AP48" s="729"/>
      <c r="AQ48" s="729"/>
      <c r="AR48" s="729"/>
      <c r="AS48" s="716"/>
      <c r="AT48" s="716"/>
      <c r="AU48" s="716"/>
      <c r="AV48" s="716"/>
      <c r="AW48" s="716"/>
      <c r="AX48" s="716"/>
      <c r="AY48" s="716"/>
      <c r="AZ48" s="716"/>
      <c r="BA48" s="716"/>
      <c r="BB48" s="716"/>
      <c r="BC48" s="716"/>
      <c r="BD48" s="716"/>
      <c r="BE48" s="716"/>
      <c r="BF48" s="716"/>
      <c r="BG48" s="716"/>
      <c r="BH48" s="716"/>
      <c r="BI48" s="716"/>
      <c r="BJ48" s="716"/>
      <c r="BK48" s="716"/>
      <c r="IE48" s="1226"/>
    </row>
    <row r="49" spans="1:239" s="1222" customFormat="1" ht="15" customHeight="1" x14ac:dyDescent="0.25">
      <c r="A49" s="821"/>
      <c r="B49" s="1855"/>
      <c r="C49" s="1858"/>
      <c r="D49" s="1859"/>
      <c r="E49" s="1859"/>
      <c r="F49" s="1687"/>
      <c r="G49" s="1687"/>
      <c r="H49" s="1687"/>
      <c r="I49" s="1687"/>
      <c r="J49" s="1687"/>
      <c r="K49" s="1629" t="s">
        <v>823</v>
      </c>
      <c r="L49" s="1629" t="s">
        <v>1528</v>
      </c>
      <c r="M49" s="1629" t="s">
        <v>824</v>
      </c>
      <c r="N49" s="1629" t="s">
        <v>1529</v>
      </c>
      <c r="O49" s="1629" t="s">
        <v>823</v>
      </c>
      <c r="P49" s="1629" t="s">
        <v>1528</v>
      </c>
      <c r="Q49" s="1629" t="s">
        <v>824</v>
      </c>
      <c r="R49" s="1627" t="s">
        <v>1529</v>
      </c>
      <c r="S49" s="1847"/>
      <c r="T49" s="1680"/>
      <c r="U49" s="1680"/>
      <c r="V49" s="1680"/>
      <c r="W49" s="1680"/>
      <c r="X49" s="1840"/>
      <c r="Y49" s="1778"/>
      <c r="Z49" s="1687"/>
      <c r="AA49" s="1687"/>
      <c r="AB49" s="1629" t="s">
        <v>1614</v>
      </c>
      <c r="AC49" s="1627" t="s">
        <v>1619</v>
      </c>
      <c r="AD49" s="735"/>
      <c r="AE49" s="735"/>
      <c r="AF49" s="735"/>
      <c r="AG49" s="735"/>
      <c r="AH49" s="735"/>
      <c r="AI49" s="735"/>
      <c r="AJ49" s="735"/>
      <c r="AK49" s="735"/>
      <c r="AL49" s="735"/>
      <c r="AM49" s="735"/>
      <c r="AN49" s="735"/>
      <c r="AO49" s="729"/>
      <c r="AP49" s="729"/>
      <c r="AQ49" s="729"/>
      <c r="AR49" s="729"/>
      <c r="AS49" s="716"/>
      <c r="AT49" s="716"/>
      <c r="AU49" s="716"/>
      <c r="AV49" s="716"/>
      <c r="AW49" s="716"/>
      <c r="AX49" s="716"/>
      <c r="AY49" s="716"/>
      <c r="AZ49" s="716"/>
      <c r="BA49" s="716"/>
      <c r="BB49" s="716"/>
      <c r="BC49" s="716"/>
      <c r="BD49" s="716"/>
      <c r="BE49" s="716"/>
      <c r="BF49" s="716"/>
      <c r="BG49" s="716"/>
      <c r="BH49" s="716"/>
      <c r="BI49" s="716"/>
      <c r="BJ49" s="716"/>
      <c r="BK49" s="716"/>
      <c r="IE49" s="1226"/>
    </row>
    <row r="50" spans="1:239" s="1223" customFormat="1" ht="30" customHeight="1" x14ac:dyDescent="0.25">
      <c r="A50" s="821"/>
      <c r="B50" s="826">
        <v>1</v>
      </c>
      <c r="C50" s="1865" t="s">
        <v>855</v>
      </c>
      <c r="D50" s="1866" t="s">
        <v>1807</v>
      </c>
      <c r="E50" s="1867"/>
      <c r="F50" s="1257"/>
      <c r="G50" s="1257"/>
      <c r="H50" s="1257"/>
      <c r="I50" s="1257"/>
      <c r="J50" s="1257"/>
      <c r="K50" s="1257"/>
      <c r="L50" s="1257"/>
      <c r="M50" s="1257"/>
      <c r="N50" s="1257"/>
      <c r="O50" s="1257"/>
      <c r="P50" s="1257"/>
      <c r="Q50" s="1257"/>
      <c r="R50" s="1258"/>
      <c r="S50" s="1249"/>
      <c r="T50" s="1247"/>
      <c r="U50" s="1247"/>
      <c r="V50" s="1247"/>
      <c r="W50" s="1247"/>
      <c r="X50" s="1251"/>
      <c r="Y50" s="1247"/>
      <c r="Z50" s="1258"/>
      <c r="AA50" s="1247"/>
      <c r="AB50" s="1247"/>
      <c r="AC50" s="1258"/>
      <c r="AD50" s="735"/>
      <c r="AE50" s="735"/>
      <c r="AF50" s="735"/>
      <c r="AG50" s="735"/>
      <c r="AH50" s="735"/>
      <c r="AI50" s="735"/>
      <c r="AJ50" s="735"/>
      <c r="AK50" s="735"/>
      <c r="AL50" s="735"/>
      <c r="AM50" s="735"/>
      <c r="AN50" s="735"/>
      <c r="AO50" s="729"/>
      <c r="AP50" s="729"/>
      <c r="AQ50" s="729"/>
      <c r="AR50" s="729"/>
      <c r="AS50" s="716"/>
      <c r="AT50" s="716"/>
      <c r="AU50" s="716"/>
      <c r="AV50" s="716"/>
      <c r="AW50" s="716"/>
      <c r="AX50" s="716"/>
      <c r="AY50" s="716"/>
      <c r="AZ50" s="716"/>
      <c r="BA50" s="716"/>
      <c r="BB50" s="716"/>
      <c r="BC50" s="716"/>
      <c r="BD50" s="716"/>
      <c r="BE50" s="716"/>
      <c r="BF50" s="716"/>
      <c r="BG50" s="716"/>
      <c r="BH50" s="716"/>
      <c r="BI50" s="716"/>
      <c r="BJ50" s="716"/>
      <c r="BK50" s="716"/>
      <c r="IE50" s="1227"/>
    </row>
    <row r="51" spans="1:239" s="1223" customFormat="1" ht="30" customHeight="1" x14ac:dyDescent="0.25">
      <c r="A51" s="821"/>
      <c r="B51" s="829">
        <v>2</v>
      </c>
      <c r="C51" s="1862"/>
      <c r="D51" s="1851" t="s">
        <v>1808</v>
      </c>
      <c r="E51" s="1864"/>
      <c r="F51" s="1241"/>
      <c r="G51" s="1241"/>
      <c r="H51" s="1241"/>
      <c r="I51" s="1241"/>
      <c r="J51" s="1241"/>
      <c r="K51" s="1241"/>
      <c r="L51" s="1241"/>
      <c r="M51" s="1241"/>
      <c r="N51" s="1241"/>
      <c r="O51" s="1241"/>
      <c r="P51" s="1241"/>
      <c r="Q51" s="1241"/>
      <c r="R51" s="1242"/>
      <c r="S51" s="1252"/>
      <c r="T51" s="1241"/>
      <c r="U51" s="1241"/>
      <c r="V51" s="1241"/>
      <c r="W51" s="1241"/>
      <c r="X51" s="1253"/>
      <c r="Y51" s="1241"/>
      <c r="Z51" s="1242"/>
      <c r="AA51" s="1241"/>
      <c r="AB51" s="1241"/>
      <c r="AC51" s="1242"/>
      <c r="AD51" s="735"/>
      <c r="AE51" s="735"/>
      <c r="AF51" s="735"/>
      <c r="AG51" s="735"/>
      <c r="AH51" s="735"/>
      <c r="AI51" s="735"/>
      <c r="AJ51" s="735"/>
      <c r="AK51" s="735"/>
      <c r="AL51" s="735"/>
      <c r="AM51" s="735"/>
      <c r="AN51" s="735"/>
      <c r="AO51" s="729"/>
      <c r="AP51" s="729"/>
      <c r="AQ51" s="729"/>
      <c r="AR51" s="729"/>
      <c r="AS51" s="716"/>
      <c r="AT51" s="716"/>
      <c r="AU51" s="716"/>
      <c r="AV51" s="716"/>
      <c r="AW51" s="716"/>
      <c r="AX51" s="716"/>
      <c r="AY51" s="716"/>
      <c r="AZ51" s="716"/>
      <c r="BA51" s="716"/>
      <c r="BB51" s="716"/>
      <c r="BC51" s="716"/>
      <c r="BD51" s="716"/>
      <c r="BE51" s="716"/>
      <c r="BF51" s="716"/>
      <c r="BG51" s="716"/>
      <c r="BH51" s="716"/>
      <c r="BI51" s="716"/>
      <c r="BJ51" s="716"/>
      <c r="BK51" s="716"/>
      <c r="IE51" s="1227"/>
    </row>
    <row r="52" spans="1:239" s="1223" customFormat="1" ht="45" customHeight="1" x14ac:dyDescent="0.25">
      <c r="A52" s="821"/>
      <c r="B52" s="829">
        <v>3</v>
      </c>
      <c r="C52" s="1862"/>
      <c r="D52" s="1851" t="s">
        <v>1809</v>
      </c>
      <c r="E52" s="1864"/>
      <c r="F52" s="1241"/>
      <c r="G52" s="1241"/>
      <c r="H52" s="1241"/>
      <c r="I52" s="1241"/>
      <c r="J52" s="1241"/>
      <c r="K52" s="1241"/>
      <c r="L52" s="1241"/>
      <c r="M52" s="1241"/>
      <c r="N52" s="1241"/>
      <c r="O52" s="1241"/>
      <c r="P52" s="1241"/>
      <c r="Q52" s="1241"/>
      <c r="R52" s="1242"/>
      <c r="S52" s="1252"/>
      <c r="T52" s="1241"/>
      <c r="U52" s="1241"/>
      <c r="V52" s="1241"/>
      <c r="W52" s="1241"/>
      <c r="X52" s="1253"/>
      <c r="Y52" s="1241"/>
      <c r="Z52" s="1242"/>
      <c r="AA52" s="1241"/>
      <c r="AB52" s="1241"/>
      <c r="AC52" s="1242"/>
      <c r="AD52" s="735"/>
      <c r="AE52" s="735"/>
      <c r="AF52" s="735"/>
      <c r="AG52" s="735"/>
      <c r="AH52" s="735"/>
      <c r="AI52" s="735"/>
      <c r="AJ52" s="735"/>
      <c r="AK52" s="735"/>
      <c r="AL52" s="735"/>
      <c r="AM52" s="735"/>
      <c r="AN52" s="735"/>
      <c r="AO52" s="729"/>
      <c r="AP52" s="729"/>
      <c r="AQ52" s="729"/>
      <c r="AR52" s="729"/>
      <c r="AS52" s="716"/>
      <c r="AT52" s="716"/>
      <c r="AU52" s="716"/>
      <c r="AV52" s="716"/>
      <c r="AW52" s="716"/>
      <c r="AX52" s="716"/>
      <c r="AY52" s="716"/>
      <c r="AZ52" s="716"/>
      <c r="BA52" s="716"/>
      <c r="BB52" s="716"/>
      <c r="BC52" s="716"/>
      <c r="BD52" s="716"/>
      <c r="BE52" s="716"/>
      <c r="BF52" s="716"/>
      <c r="BG52" s="716"/>
      <c r="BH52" s="716"/>
      <c r="BI52" s="716"/>
      <c r="BJ52" s="716"/>
      <c r="BK52" s="716"/>
      <c r="IE52" s="1227"/>
    </row>
    <row r="53" spans="1:239" s="1223" customFormat="1" ht="45" customHeight="1" x14ac:dyDescent="0.25">
      <c r="A53" s="821"/>
      <c r="B53" s="829">
        <v>4</v>
      </c>
      <c r="C53" s="1862"/>
      <c r="D53" s="1851" t="s">
        <v>1810</v>
      </c>
      <c r="E53" s="1864"/>
      <c r="F53" s="1241"/>
      <c r="G53" s="1241"/>
      <c r="H53" s="1241"/>
      <c r="I53" s="1241"/>
      <c r="J53" s="1241"/>
      <c r="K53" s="1241"/>
      <c r="L53" s="1241"/>
      <c r="M53" s="1241"/>
      <c r="N53" s="1241"/>
      <c r="O53" s="1241"/>
      <c r="P53" s="1241"/>
      <c r="Q53" s="1241"/>
      <c r="R53" s="1242"/>
      <c r="S53" s="1252"/>
      <c r="T53" s="1241"/>
      <c r="U53" s="1241"/>
      <c r="V53" s="1241"/>
      <c r="W53" s="1241"/>
      <c r="X53" s="1253"/>
      <c r="Y53" s="1241"/>
      <c r="Z53" s="1242"/>
      <c r="AA53" s="1241"/>
      <c r="AB53" s="1241"/>
      <c r="AC53" s="1242"/>
      <c r="AD53" s="735"/>
      <c r="AE53" s="735"/>
      <c r="AF53" s="735"/>
      <c r="AG53" s="735"/>
      <c r="AH53" s="735"/>
      <c r="AI53" s="735"/>
      <c r="AJ53" s="735"/>
      <c r="AK53" s="735"/>
      <c r="AL53" s="735"/>
      <c r="AM53" s="735"/>
      <c r="AN53" s="735"/>
      <c r="AO53" s="729"/>
      <c r="AP53" s="729"/>
      <c r="AQ53" s="729"/>
      <c r="AR53" s="729"/>
      <c r="AS53" s="716"/>
      <c r="AT53" s="716"/>
      <c r="AU53" s="716"/>
      <c r="AV53" s="716"/>
      <c r="AW53" s="716"/>
      <c r="AX53" s="716"/>
      <c r="AY53" s="716"/>
      <c r="AZ53" s="716"/>
      <c r="BA53" s="716"/>
      <c r="BB53" s="716"/>
      <c r="BC53" s="716"/>
      <c r="BD53" s="716"/>
      <c r="BE53" s="716"/>
      <c r="BF53" s="716"/>
      <c r="BG53" s="716"/>
      <c r="BH53" s="716"/>
      <c r="BI53" s="716"/>
      <c r="BJ53" s="716"/>
      <c r="BK53" s="716"/>
      <c r="IE53" s="1227"/>
    </row>
    <row r="54" spans="1:239" s="1223" customFormat="1" ht="15" customHeight="1" x14ac:dyDescent="0.25">
      <c r="A54" s="821"/>
      <c r="B54" s="829">
        <v>5</v>
      </c>
      <c r="C54" s="1862"/>
      <c r="D54" s="1851" t="s">
        <v>857</v>
      </c>
      <c r="E54" s="1864"/>
      <c r="F54" s="1241"/>
      <c r="G54" s="1241"/>
      <c r="H54" s="1241"/>
      <c r="I54" s="1241"/>
      <c r="J54" s="1241"/>
      <c r="K54" s="1241"/>
      <c r="L54" s="1241"/>
      <c r="M54" s="1241"/>
      <c r="N54" s="1241"/>
      <c r="O54" s="1241"/>
      <c r="P54" s="1241"/>
      <c r="Q54" s="1241"/>
      <c r="R54" s="1242"/>
      <c r="S54" s="1252"/>
      <c r="T54" s="1241"/>
      <c r="U54" s="1241"/>
      <c r="V54" s="1241"/>
      <c r="W54" s="1241"/>
      <c r="X54" s="1253"/>
      <c r="Y54" s="1241"/>
      <c r="Z54" s="1242"/>
      <c r="AA54" s="1241"/>
      <c r="AB54" s="1241"/>
      <c r="AC54" s="1242"/>
      <c r="AD54" s="735"/>
      <c r="AE54" s="735"/>
      <c r="AF54" s="735"/>
      <c r="AG54" s="735"/>
      <c r="AH54" s="735"/>
      <c r="AI54" s="735"/>
      <c r="AJ54" s="735"/>
      <c r="AK54" s="735"/>
      <c r="AL54" s="735"/>
      <c r="AM54" s="735"/>
      <c r="AN54" s="735"/>
      <c r="AO54" s="729"/>
      <c r="AP54" s="729"/>
      <c r="AQ54" s="729"/>
      <c r="AR54" s="729"/>
      <c r="AS54" s="716"/>
      <c r="AT54" s="716"/>
      <c r="AU54" s="716"/>
      <c r="AV54" s="716"/>
      <c r="AW54" s="716"/>
      <c r="AX54" s="716"/>
      <c r="AY54" s="716"/>
      <c r="AZ54" s="716"/>
      <c r="BA54" s="716"/>
      <c r="BB54" s="716"/>
      <c r="BC54" s="716"/>
      <c r="BD54" s="716"/>
      <c r="BE54" s="716"/>
      <c r="BF54" s="716"/>
      <c r="BG54" s="716"/>
      <c r="BH54" s="716"/>
      <c r="BI54" s="716"/>
      <c r="BJ54" s="716"/>
      <c r="BK54" s="716"/>
      <c r="IE54" s="1227"/>
    </row>
    <row r="55" spans="1:239" s="1223" customFormat="1" ht="60" customHeight="1" x14ac:dyDescent="0.25">
      <c r="A55" s="821"/>
      <c r="B55" s="829">
        <v>6</v>
      </c>
      <c r="C55" s="1863"/>
      <c r="D55" s="1851" t="s">
        <v>1811</v>
      </c>
      <c r="E55" s="1864"/>
      <c r="F55" s="1241"/>
      <c r="G55" s="1241"/>
      <c r="H55" s="1241"/>
      <c r="I55" s="1241"/>
      <c r="J55" s="1241"/>
      <c r="K55" s="1241"/>
      <c r="L55" s="1241"/>
      <c r="M55" s="1241"/>
      <c r="N55" s="1241"/>
      <c r="O55" s="1241"/>
      <c r="P55" s="1241"/>
      <c r="Q55" s="1241"/>
      <c r="R55" s="1242"/>
      <c r="S55" s="1252"/>
      <c r="T55" s="1241"/>
      <c r="U55" s="1241"/>
      <c r="V55" s="1241"/>
      <c r="W55" s="1241"/>
      <c r="X55" s="1253"/>
      <c r="Y55" s="1241"/>
      <c r="Z55" s="1242"/>
      <c r="AA55" s="1241"/>
      <c r="AB55" s="1241"/>
      <c r="AC55" s="1242"/>
      <c r="AD55" s="735"/>
      <c r="AE55" s="735"/>
      <c r="AF55" s="735"/>
      <c r="AG55" s="735"/>
      <c r="AH55" s="735"/>
      <c r="AI55" s="735"/>
      <c r="AJ55" s="735"/>
      <c r="AK55" s="735"/>
      <c r="AL55" s="735"/>
      <c r="AM55" s="735"/>
      <c r="AN55" s="735"/>
      <c r="AO55" s="729"/>
      <c r="AP55" s="729"/>
      <c r="AQ55" s="729"/>
      <c r="AR55" s="729"/>
      <c r="AS55" s="716"/>
      <c r="AT55" s="716"/>
      <c r="AU55" s="716"/>
      <c r="AV55" s="716"/>
      <c r="AW55" s="716"/>
      <c r="AX55" s="716"/>
      <c r="AY55" s="716"/>
      <c r="AZ55" s="716"/>
      <c r="BA55" s="716"/>
      <c r="BB55" s="716"/>
      <c r="BC55" s="716"/>
      <c r="BD55" s="716"/>
      <c r="BE55" s="716"/>
      <c r="BF55" s="716"/>
      <c r="BG55" s="716"/>
      <c r="BH55" s="716"/>
      <c r="BI55" s="716"/>
      <c r="BJ55" s="716"/>
      <c r="BK55" s="716"/>
      <c r="IE55" s="1227"/>
    </row>
    <row r="56" spans="1:239" s="1223" customFormat="1" ht="30" customHeight="1" x14ac:dyDescent="0.25">
      <c r="A56" s="821"/>
      <c r="B56" s="911">
        <v>7</v>
      </c>
      <c r="C56" s="1861" t="s">
        <v>856</v>
      </c>
      <c r="D56" s="1851" t="s">
        <v>1812</v>
      </c>
      <c r="E56" s="1864"/>
      <c r="F56" s="1241"/>
      <c r="G56" s="1241"/>
      <c r="H56" s="1241"/>
      <c r="I56" s="1241"/>
      <c r="J56" s="1241"/>
      <c r="K56" s="1241"/>
      <c r="L56" s="1241"/>
      <c r="M56" s="1241"/>
      <c r="N56" s="1241"/>
      <c r="O56" s="1241"/>
      <c r="P56" s="1241"/>
      <c r="Q56" s="1241"/>
      <c r="R56" s="1242"/>
      <c r="S56" s="1252"/>
      <c r="T56" s="1241"/>
      <c r="U56" s="1241"/>
      <c r="V56" s="1241"/>
      <c r="W56" s="1241"/>
      <c r="X56" s="1253"/>
      <c r="Y56" s="1241"/>
      <c r="Z56" s="1242"/>
      <c r="AA56" s="1241"/>
      <c r="AB56" s="1241"/>
      <c r="AC56" s="1242"/>
      <c r="AD56" s="735"/>
      <c r="AE56" s="735"/>
      <c r="AF56" s="735"/>
      <c r="AG56" s="735"/>
      <c r="AH56" s="735"/>
      <c r="AI56" s="735"/>
      <c r="AJ56" s="735"/>
      <c r="AK56" s="735"/>
      <c r="AL56" s="735"/>
      <c r="AM56" s="735"/>
      <c r="AN56" s="735"/>
      <c r="AO56" s="729"/>
      <c r="AP56" s="729"/>
      <c r="AQ56" s="729"/>
      <c r="AR56" s="729"/>
      <c r="AS56" s="716"/>
      <c r="AT56" s="716"/>
      <c r="AU56" s="716"/>
      <c r="AV56" s="716"/>
      <c r="AW56" s="716"/>
      <c r="AX56" s="716"/>
      <c r="AY56" s="716"/>
      <c r="AZ56" s="716"/>
      <c r="BA56" s="716"/>
      <c r="BB56" s="716"/>
      <c r="BC56" s="716"/>
      <c r="BD56" s="716"/>
      <c r="BE56" s="716"/>
      <c r="BF56" s="716"/>
      <c r="BG56" s="716"/>
      <c r="BH56" s="716"/>
      <c r="BI56" s="716"/>
      <c r="BJ56" s="716"/>
      <c r="BK56" s="716"/>
      <c r="IE56" s="1227"/>
    </row>
    <row r="57" spans="1:239" s="1223" customFormat="1" ht="30" customHeight="1" x14ac:dyDescent="0.25">
      <c r="A57" s="821"/>
      <c r="B57" s="829">
        <v>8</v>
      </c>
      <c r="C57" s="1862"/>
      <c r="D57" s="1851" t="s">
        <v>1808</v>
      </c>
      <c r="E57" s="1864"/>
      <c r="F57" s="1241"/>
      <c r="G57" s="1241"/>
      <c r="H57" s="1241"/>
      <c r="I57" s="1241"/>
      <c r="J57" s="1241"/>
      <c r="K57" s="1241"/>
      <c r="L57" s="1241"/>
      <c r="M57" s="1241"/>
      <c r="N57" s="1241"/>
      <c r="O57" s="1241"/>
      <c r="P57" s="1241"/>
      <c r="Q57" s="1241"/>
      <c r="R57" s="1242"/>
      <c r="S57" s="1252"/>
      <c r="T57" s="1241"/>
      <c r="U57" s="1241"/>
      <c r="V57" s="1241"/>
      <c r="W57" s="1241"/>
      <c r="X57" s="1253"/>
      <c r="Y57" s="1241"/>
      <c r="Z57" s="1242"/>
      <c r="AA57" s="1241"/>
      <c r="AB57" s="1241"/>
      <c r="AC57" s="1242"/>
      <c r="AD57" s="735"/>
      <c r="AE57" s="735"/>
      <c r="AF57" s="735"/>
      <c r="AG57" s="735"/>
      <c r="AH57" s="735"/>
      <c r="AI57" s="735"/>
      <c r="AJ57" s="735"/>
      <c r="AK57" s="735"/>
      <c r="AL57" s="735"/>
      <c r="AM57" s="735"/>
      <c r="AN57" s="735"/>
      <c r="AO57" s="729"/>
      <c r="AP57" s="729"/>
      <c r="AQ57" s="729"/>
      <c r="AR57" s="729"/>
      <c r="AS57" s="716"/>
      <c r="AT57" s="716"/>
      <c r="AU57" s="716"/>
      <c r="AV57" s="716"/>
      <c r="AW57" s="716"/>
      <c r="AX57" s="716"/>
      <c r="AY57" s="716"/>
      <c r="AZ57" s="716"/>
      <c r="BA57" s="716"/>
      <c r="BB57" s="716"/>
      <c r="BC57" s="716"/>
      <c r="BD57" s="716"/>
      <c r="BE57" s="716"/>
      <c r="BF57" s="716"/>
      <c r="BG57" s="716"/>
      <c r="BH57" s="716"/>
      <c r="BI57" s="716"/>
      <c r="BJ57" s="716"/>
      <c r="BK57" s="716"/>
      <c r="IE57" s="1227"/>
    </row>
    <row r="58" spans="1:239" s="1223" customFormat="1" ht="45" customHeight="1" x14ac:dyDescent="0.25">
      <c r="A58" s="821"/>
      <c r="B58" s="829">
        <v>9</v>
      </c>
      <c r="C58" s="1862"/>
      <c r="D58" s="1851" t="s">
        <v>1809</v>
      </c>
      <c r="E58" s="1864"/>
      <c r="F58" s="1241"/>
      <c r="G58" s="1241"/>
      <c r="H58" s="1241"/>
      <c r="I58" s="1241"/>
      <c r="J58" s="1241"/>
      <c r="K58" s="1241"/>
      <c r="L58" s="1241"/>
      <c r="M58" s="1241"/>
      <c r="N58" s="1241"/>
      <c r="O58" s="1241"/>
      <c r="P58" s="1241"/>
      <c r="Q58" s="1241"/>
      <c r="R58" s="1242"/>
      <c r="S58" s="1252"/>
      <c r="T58" s="1241"/>
      <c r="U58" s="1241"/>
      <c r="V58" s="1241"/>
      <c r="W58" s="1241"/>
      <c r="X58" s="1253"/>
      <c r="Y58" s="1241"/>
      <c r="Z58" s="1242"/>
      <c r="AA58" s="1241"/>
      <c r="AB58" s="1241"/>
      <c r="AC58" s="1242"/>
      <c r="AD58" s="735"/>
      <c r="AE58" s="735"/>
      <c r="AF58" s="735"/>
      <c r="AG58" s="735"/>
      <c r="AH58" s="735"/>
      <c r="AI58" s="735"/>
      <c r="AJ58" s="735"/>
      <c r="AK58" s="735"/>
      <c r="AL58" s="735"/>
      <c r="AM58" s="735"/>
      <c r="AN58" s="735"/>
      <c r="AO58" s="729"/>
      <c r="AP58" s="729"/>
      <c r="AQ58" s="729"/>
      <c r="AR58" s="729"/>
      <c r="AS58" s="716"/>
      <c r="AT58" s="716"/>
      <c r="AU58" s="716"/>
      <c r="AV58" s="716"/>
      <c r="AW58" s="716"/>
      <c r="AX58" s="716"/>
      <c r="AY58" s="716"/>
      <c r="AZ58" s="716"/>
      <c r="BA58" s="716"/>
      <c r="BB58" s="716"/>
      <c r="BC58" s="716"/>
      <c r="BD58" s="716"/>
      <c r="BE58" s="716"/>
      <c r="BF58" s="716"/>
      <c r="BG58" s="716"/>
      <c r="BH58" s="716"/>
      <c r="BI58" s="716"/>
      <c r="BJ58" s="716"/>
      <c r="BK58" s="716"/>
      <c r="IE58" s="1227"/>
    </row>
    <row r="59" spans="1:239" s="1223" customFormat="1" ht="45" customHeight="1" x14ac:dyDescent="0.25">
      <c r="A59" s="821"/>
      <c r="B59" s="829">
        <v>10</v>
      </c>
      <c r="C59" s="1862"/>
      <c r="D59" s="1851" t="s">
        <v>1810</v>
      </c>
      <c r="E59" s="1864"/>
      <c r="F59" s="1241"/>
      <c r="G59" s="1241"/>
      <c r="H59" s="1241"/>
      <c r="I59" s="1241"/>
      <c r="J59" s="1241"/>
      <c r="K59" s="1241"/>
      <c r="L59" s="1241"/>
      <c r="M59" s="1241"/>
      <c r="N59" s="1241"/>
      <c r="O59" s="1241"/>
      <c r="P59" s="1241"/>
      <c r="Q59" s="1241"/>
      <c r="R59" s="1242"/>
      <c r="S59" s="1252"/>
      <c r="T59" s="1241"/>
      <c r="U59" s="1241"/>
      <c r="V59" s="1241"/>
      <c r="W59" s="1241"/>
      <c r="X59" s="1253"/>
      <c r="Y59" s="1241"/>
      <c r="Z59" s="1242"/>
      <c r="AA59" s="1241"/>
      <c r="AB59" s="1241"/>
      <c r="AC59" s="1242"/>
      <c r="AD59" s="735"/>
      <c r="AE59" s="735"/>
      <c r="AF59" s="735"/>
      <c r="AG59" s="735"/>
      <c r="AH59" s="735"/>
      <c r="AI59" s="735"/>
      <c r="AJ59" s="735"/>
      <c r="AK59" s="735"/>
      <c r="AL59" s="735"/>
      <c r="AM59" s="735"/>
      <c r="AN59" s="735"/>
      <c r="AO59" s="729"/>
      <c r="AP59" s="729"/>
      <c r="AQ59" s="729"/>
      <c r="AR59" s="729"/>
      <c r="AS59" s="716"/>
      <c r="AT59" s="716"/>
      <c r="AU59" s="716"/>
      <c r="AV59" s="716"/>
      <c r="AW59" s="716"/>
      <c r="AX59" s="716"/>
      <c r="AY59" s="716"/>
      <c r="AZ59" s="716"/>
      <c r="BA59" s="716"/>
      <c r="BB59" s="716"/>
      <c r="BC59" s="716"/>
      <c r="BD59" s="716"/>
      <c r="BE59" s="716"/>
      <c r="BF59" s="716"/>
      <c r="BG59" s="716"/>
      <c r="BH59" s="716"/>
      <c r="BI59" s="716"/>
      <c r="BJ59" s="716"/>
      <c r="BK59" s="716"/>
      <c r="IE59" s="1227"/>
    </row>
    <row r="60" spans="1:239" s="1223" customFormat="1" ht="15" customHeight="1" x14ac:dyDescent="0.25">
      <c r="A60" s="821"/>
      <c r="B60" s="829">
        <v>11</v>
      </c>
      <c r="C60" s="1862"/>
      <c r="D60" s="1851" t="s">
        <v>857</v>
      </c>
      <c r="E60" s="1864"/>
      <c r="F60" s="1241"/>
      <c r="G60" s="1241"/>
      <c r="H60" s="1241"/>
      <c r="I60" s="1241"/>
      <c r="J60" s="1241"/>
      <c r="K60" s="1241"/>
      <c r="L60" s="1241"/>
      <c r="M60" s="1241"/>
      <c r="N60" s="1241"/>
      <c r="O60" s="1241"/>
      <c r="P60" s="1241"/>
      <c r="Q60" s="1241"/>
      <c r="R60" s="1242"/>
      <c r="S60" s="1252"/>
      <c r="T60" s="1241"/>
      <c r="U60" s="1241"/>
      <c r="V60" s="1241"/>
      <c r="W60" s="1241"/>
      <c r="X60" s="1253"/>
      <c r="Y60" s="1241"/>
      <c r="Z60" s="1242"/>
      <c r="AA60" s="1241"/>
      <c r="AB60" s="1241"/>
      <c r="AC60" s="1242"/>
      <c r="AD60" s="735"/>
      <c r="AE60" s="735"/>
      <c r="AF60" s="735"/>
      <c r="AG60" s="735"/>
      <c r="AH60" s="735"/>
      <c r="AI60" s="735"/>
      <c r="AJ60" s="735"/>
      <c r="AK60" s="735"/>
      <c r="AL60" s="735"/>
      <c r="AM60" s="735"/>
      <c r="AN60" s="735"/>
      <c r="AO60" s="729"/>
      <c r="AP60" s="729"/>
      <c r="AQ60" s="729"/>
      <c r="AR60" s="729"/>
      <c r="AS60" s="716"/>
      <c r="AT60" s="716"/>
      <c r="AU60" s="716"/>
      <c r="AV60" s="716"/>
      <c r="AW60" s="716"/>
      <c r="AX60" s="716"/>
      <c r="AY60" s="716"/>
      <c r="AZ60" s="716"/>
      <c r="BA60" s="716"/>
      <c r="BB60" s="716"/>
      <c r="BC60" s="716"/>
      <c r="BD60" s="716"/>
      <c r="BE60" s="716"/>
      <c r="BF60" s="716"/>
      <c r="BG60" s="716"/>
      <c r="BH60" s="716"/>
      <c r="BI60" s="716"/>
      <c r="BJ60" s="716"/>
      <c r="BK60" s="716"/>
      <c r="IE60" s="1227"/>
    </row>
    <row r="61" spans="1:239" s="1223" customFormat="1" ht="60" customHeight="1" x14ac:dyDescent="0.25">
      <c r="A61" s="821"/>
      <c r="B61" s="829">
        <v>12</v>
      </c>
      <c r="C61" s="1863"/>
      <c r="D61" s="1851" t="s">
        <v>1811</v>
      </c>
      <c r="E61" s="1864"/>
      <c r="F61" s="1241"/>
      <c r="G61" s="1241"/>
      <c r="H61" s="1241"/>
      <c r="I61" s="1241"/>
      <c r="J61" s="1241"/>
      <c r="K61" s="1241"/>
      <c r="L61" s="1241"/>
      <c r="M61" s="1241"/>
      <c r="N61" s="1241"/>
      <c r="O61" s="1241"/>
      <c r="P61" s="1241"/>
      <c r="Q61" s="1241"/>
      <c r="R61" s="1242"/>
      <c r="S61" s="1252"/>
      <c r="T61" s="1241"/>
      <c r="U61" s="1241"/>
      <c r="V61" s="1241"/>
      <c r="W61" s="1241"/>
      <c r="X61" s="1253"/>
      <c r="Y61" s="1241"/>
      <c r="Z61" s="1242"/>
      <c r="AA61" s="1241"/>
      <c r="AB61" s="1241"/>
      <c r="AC61" s="1242"/>
      <c r="AD61" s="735"/>
      <c r="AE61" s="735"/>
      <c r="AF61" s="735"/>
      <c r="AG61" s="735"/>
      <c r="AH61" s="735"/>
      <c r="AI61" s="735"/>
      <c r="AJ61" s="735"/>
      <c r="AK61" s="735"/>
      <c r="AL61" s="735"/>
      <c r="AM61" s="735"/>
      <c r="AN61" s="735"/>
      <c r="AO61" s="729"/>
      <c r="AP61" s="729"/>
      <c r="AQ61" s="729"/>
      <c r="AR61" s="729"/>
      <c r="AS61" s="716"/>
      <c r="AT61" s="716"/>
      <c r="AU61" s="716"/>
      <c r="AV61" s="716"/>
      <c r="AW61" s="716"/>
      <c r="AX61" s="716"/>
      <c r="AY61" s="716"/>
      <c r="AZ61" s="716"/>
      <c r="BA61" s="716"/>
      <c r="BB61" s="716"/>
      <c r="BC61" s="716"/>
      <c r="BD61" s="716"/>
      <c r="BE61" s="716"/>
      <c r="BF61" s="716"/>
      <c r="BG61" s="716"/>
      <c r="BH61" s="716"/>
      <c r="BI61" s="716"/>
      <c r="BJ61" s="716"/>
      <c r="BK61" s="716"/>
      <c r="IE61" s="1227"/>
    </row>
    <row r="62" spans="1:239" s="1223" customFormat="1" ht="15" customHeight="1" x14ac:dyDescent="0.25">
      <c r="A62" s="821"/>
      <c r="B62" s="893" t="s">
        <v>854</v>
      </c>
      <c r="C62" s="1868"/>
      <c r="D62" s="1869"/>
      <c r="E62" s="1869"/>
      <c r="F62" s="1248"/>
      <c r="G62" s="1244"/>
      <c r="H62" s="1248"/>
      <c r="I62" s="1248"/>
      <c r="J62" s="1248"/>
      <c r="K62" s="1244"/>
      <c r="L62" s="1244"/>
      <c r="M62" s="1244"/>
      <c r="N62" s="1244"/>
      <c r="O62" s="1244"/>
      <c r="P62" s="1244"/>
      <c r="Q62" s="1244"/>
      <c r="R62" s="368"/>
      <c r="S62" s="1254"/>
      <c r="T62" s="1248"/>
      <c r="U62" s="1248"/>
      <c r="V62" s="1248"/>
      <c r="W62" s="1248"/>
      <c r="X62" s="1255"/>
      <c r="Y62" s="1248"/>
      <c r="Z62" s="368"/>
      <c r="AA62" s="1248"/>
      <c r="AB62" s="1248"/>
      <c r="AC62" s="368"/>
      <c r="AD62" s="735"/>
      <c r="AE62" s="735"/>
      <c r="AF62" s="735"/>
      <c r="AG62" s="735"/>
      <c r="AH62" s="735"/>
      <c r="AI62" s="735"/>
      <c r="AJ62" s="735"/>
      <c r="AK62" s="735"/>
      <c r="AL62" s="735"/>
      <c r="AM62" s="735"/>
      <c r="AN62" s="735"/>
      <c r="AO62" s="729"/>
      <c r="AP62" s="729"/>
      <c r="AQ62" s="729"/>
      <c r="AR62" s="729"/>
      <c r="AS62" s="716"/>
      <c r="AT62" s="716"/>
      <c r="AU62" s="716"/>
      <c r="AV62" s="716"/>
      <c r="AW62" s="716"/>
      <c r="AX62" s="716"/>
      <c r="AY62" s="716"/>
      <c r="AZ62" s="716"/>
      <c r="BA62" s="716"/>
      <c r="BB62" s="716"/>
      <c r="BC62" s="716"/>
      <c r="BD62" s="716"/>
      <c r="BE62" s="716"/>
      <c r="BF62" s="716"/>
      <c r="BG62" s="716"/>
      <c r="BH62" s="716"/>
      <c r="BI62" s="716"/>
      <c r="BJ62" s="716"/>
      <c r="BK62" s="716"/>
      <c r="IE62" s="1227"/>
    </row>
    <row r="63" spans="1:239" s="1222" customFormat="1" ht="15" customHeight="1" x14ac:dyDescent="0.25">
      <c r="A63" s="821"/>
      <c r="B63" s="716"/>
      <c r="C63" s="716"/>
      <c r="D63" s="716"/>
      <c r="E63" s="716"/>
      <c r="F63" s="716"/>
      <c r="G63" s="716"/>
      <c r="H63" s="716"/>
      <c r="I63" s="716"/>
      <c r="J63" s="716"/>
      <c r="K63" s="716"/>
      <c r="L63" s="716"/>
      <c r="U63" s="716"/>
      <c r="V63" s="716"/>
      <c r="W63" s="716"/>
      <c r="X63" s="716"/>
      <c r="Y63" s="716"/>
      <c r="Z63" s="716"/>
      <c r="AA63" s="716"/>
      <c r="AB63" s="716"/>
      <c r="AC63" s="716"/>
      <c r="AD63" s="716"/>
      <c r="AE63" s="716"/>
      <c r="AF63" s="716"/>
      <c r="AG63" s="716"/>
      <c r="AH63" s="716"/>
      <c r="AI63" s="716"/>
      <c r="AJ63" s="716"/>
      <c r="AK63" s="716"/>
      <c r="AL63" s="716"/>
      <c r="AM63" s="716"/>
      <c r="AN63" s="716"/>
      <c r="AO63" s="716"/>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IE63" s="1226"/>
    </row>
    <row r="64" spans="1:239" s="1223" customFormat="1" ht="15" customHeight="1" x14ac:dyDescent="0.25">
      <c r="A64" s="730"/>
      <c r="B64" s="1738"/>
      <c r="C64" s="1815"/>
      <c r="D64" s="1815"/>
      <c r="E64" s="1815"/>
      <c r="F64" s="1627" t="s">
        <v>118</v>
      </c>
      <c r="G64" s="735"/>
      <c r="H64" s="735"/>
      <c r="I64" s="716"/>
      <c r="J64" s="735"/>
      <c r="K64" s="735"/>
      <c r="L64" s="735"/>
      <c r="M64" s="735"/>
      <c r="N64" s="735"/>
      <c r="O64" s="735"/>
      <c r="P64" s="735"/>
      <c r="Q64" s="735"/>
      <c r="R64" s="735"/>
      <c r="S64" s="735"/>
      <c r="T64" s="735"/>
      <c r="U64" s="735"/>
      <c r="V64" s="735"/>
      <c r="W64" s="735"/>
      <c r="X64" s="735"/>
      <c r="Y64" s="735"/>
      <c r="Z64" s="735"/>
      <c r="AA64" s="735"/>
      <c r="AB64" s="735"/>
      <c r="AC64" s="735"/>
      <c r="AD64" s="735"/>
      <c r="AE64" s="735"/>
      <c r="AF64" s="735"/>
      <c r="AG64" s="735"/>
      <c r="AH64" s="735"/>
      <c r="AI64" s="735"/>
      <c r="AJ64" s="735"/>
      <c r="AK64" s="735"/>
      <c r="AL64" s="735"/>
      <c r="AM64" s="735"/>
      <c r="AN64" s="735"/>
      <c r="AO64" s="735"/>
      <c r="AP64" s="735"/>
      <c r="AQ64" s="735"/>
      <c r="AR64" s="735"/>
      <c r="AS64" s="735"/>
      <c r="AT64" s="735"/>
      <c r="AU64" s="735"/>
      <c r="AV64" s="735"/>
      <c r="AW64" s="735"/>
      <c r="AX64" s="735"/>
      <c r="AY64" s="735"/>
      <c r="AZ64" s="735"/>
      <c r="BA64" s="735"/>
      <c r="BB64" s="735"/>
      <c r="BC64" s="735"/>
      <c r="BD64" s="735"/>
      <c r="BE64" s="735"/>
      <c r="BF64" s="735"/>
      <c r="BG64" s="735"/>
      <c r="BH64" s="735"/>
      <c r="BI64" s="735"/>
      <c r="BJ64" s="735"/>
      <c r="BK64" s="735"/>
      <c r="BL64" s="735"/>
      <c r="BM64" s="735"/>
      <c r="BN64" s="735"/>
      <c r="BO64" s="735"/>
      <c r="BP64" s="735"/>
      <c r="BQ64" s="735"/>
      <c r="BR64" s="735"/>
      <c r="BS64" s="735"/>
      <c r="BT64" s="735"/>
      <c r="BU64" s="735"/>
      <c r="BV64" s="735"/>
      <c r="BW64" s="735"/>
      <c r="BX64" s="735"/>
      <c r="BY64" s="735"/>
      <c r="BZ64" s="735"/>
      <c r="CA64" s="735"/>
      <c r="CB64" s="735"/>
      <c r="CC64" s="735"/>
      <c r="CD64" s="735"/>
      <c r="CE64" s="735"/>
      <c r="CF64" s="735"/>
      <c r="CG64" s="735"/>
      <c r="CH64" s="735"/>
      <c r="CI64" s="735"/>
      <c r="CJ64" s="735"/>
      <c r="CK64" s="735"/>
      <c r="CL64" s="735"/>
      <c r="CM64" s="735"/>
      <c r="CN64" s="735"/>
      <c r="CO64" s="735"/>
      <c r="CP64" s="735"/>
      <c r="IE64" s="1227"/>
    </row>
    <row r="65" spans="1:239" s="1223" customFormat="1" ht="15" customHeight="1" x14ac:dyDescent="0.25">
      <c r="A65" s="730"/>
      <c r="B65" s="1630" t="s">
        <v>1525</v>
      </c>
      <c r="C65" s="1630"/>
      <c r="D65" s="1630"/>
      <c r="E65" s="1631"/>
      <c r="F65" s="1250"/>
      <c r="I65" s="716"/>
      <c r="L65" s="735"/>
      <c r="M65" s="735"/>
      <c r="N65" s="735"/>
      <c r="O65" s="735"/>
      <c r="P65" s="735"/>
      <c r="Q65" s="735"/>
      <c r="R65" s="735"/>
      <c r="S65" s="735"/>
      <c r="T65" s="735"/>
      <c r="U65" s="735"/>
      <c r="V65" s="735"/>
      <c r="W65" s="735"/>
      <c r="X65" s="735"/>
      <c r="Y65" s="735"/>
      <c r="Z65" s="735"/>
      <c r="AA65" s="735"/>
      <c r="AB65" s="735"/>
      <c r="AC65" s="735"/>
      <c r="AD65" s="735"/>
      <c r="AE65" s="735"/>
      <c r="AF65" s="735"/>
      <c r="AG65" s="735"/>
      <c r="AH65" s="735"/>
      <c r="AI65" s="735"/>
      <c r="AJ65" s="735"/>
      <c r="AK65" s="735"/>
      <c r="AL65" s="735"/>
      <c r="AM65" s="735"/>
      <c r="AN65" s="735"/>
      <c r="AO65" s="735"/>
      <c r="AP65" s="735"/>
      <c r="AQ65" s="735"/>
      <c r="AR65" s="735"/>
      <c r="AS65" s="735"/>
      <c r="AT65" s="735"/>
      <c r="AU65" s="735"/>
      <c r="AV65" s="735"/>
      <c r="AW65" s="735"/>
      <c r="AX65" s="735"/>
      <c r="AY65" s="735"/>
      <c r="AZ65" s="735"/>
      <c r="BA65" s="735"/>
      <c r="BB65" s="735"/>
      <c r="BC65" s="735"/>
      <c r="BD65" s="735"/>
      <c r="BE65" s="735"/>
      <c r="BF65" s="735"/>
      <c r="BG65" s="735"/>
      <c r="BH65" s="735"/>
      <c r="BI65" s="735"/>
      <c r="BJ65" s="735"/>
      <c r="BK65" s="735"/>
      <c r="BL65" s="735"/>
      <c r="BM65" s="735"/>
      <c r="BN65" s="735"/>
      <c r="BO65" s="735"/>
      <c r="BP65" s="735"/>
      <c r="BQ65" s="735"/>
      <c r="BR65" s="735"/>
      <c r="BS65" s="735"/>
      <c r="BT65" s="735"/>
      <c r="BU65" s="735"/>
      <c r="BV65" s="735"/>
      <c r="BW65" s="735"/>
      <c r="BX65" s="735"/>
      <c r="BY65" s="735"/>
      <c r="BZ65" s="735"/>
      <c r="CA65" s="735"/>
      <c r="CB65" s="735"/>
      <c r="CC65" s="735"/>
      <c r="CD65" s="735"/>
      <c r="CE65" s="735"/>
      <c r="CF65" s="735"/>
      <c r="CG65" s="735"/>
      <c r="CH65" s="735"/>
      <c r="CI65" s="735"/>
      <c r="CJ65" s="735"/>
      <c r="CK65" s="735"/>
      <c r="CL65" s="735"/>
      <c r="CM65" s="735"/>
      <c r="CN65" s="735"/>
      <c r="CO65" s="735"/>
      <c r="CP65" s="735"/>
      <c r="IE65" s="1227"/>
    </row>
    <row r="66" spans="1:239" s="1223" customFormat="1" ht="15" customHeight="1" x14ac:dyDescent="0.25">
      <c r="A66" s="730"/>
      <c r="B66" s="1633" t="s">
        <v>1585</v>
      </c>
      <c r="C66" s="1534"/>
      <c r="D66" s="1632"/>
      <c r="E66" s="1633"/>
      <c r="F66" s="461"/>
      <c r="I66" s="716"/>
      <c r="L66" s="735"/>
      <c r="M66" s="735"/>
      <c r="N66" s="735"/>
      <c r="O66" s="735"/>
      <c r="P66" s="735"/>
      <c r="Q66" s="735"/>
      <c r="R66" s="735"/>
      <c r="S66" s="735"/>
      <c r="T66" s="735"/>
      <c r="U66" s="735"/>
      <c r="V66" s="735"/>
      <c r="W66" s="735"/>
      <c r="X66" s="735"/>
      <c r="Y66" s="735"/>
      <c r="Z66" s="735"/>
      <c r="AA66" s="735"/>
      <c r="AB66" s="735"/>
      <c r="AC66" s="735"/>
      <c r="AD66" s="735"/>
      <c r="AE66" s="735"/>
      <c r="AF66" s="735"/>
      <c r="AG66" s="735"/>
      <c r="AH66" s="735"/>
      <c r="AI66" s="735"/>
      <c r="AJ66" s="735"/>
      <c r="AK66" s="735"/>
      <c r="AL66" s="735"/>
      <c r="AM66" s="735"/>
      <c r="AN66" s="735"/>
      <c r="AO66" s="735"/>
      <c r="AP66" s="735"/>
      <c r="AQ66" s="735"/>
      <c r="AR66" s="735"/>
      <c r="AS66" s="735"/>
      <c r="AT66" s="735"/>
      <c r="AU66" s="735"/>
      <c r="AV66" s="735"/>
      <c r="AW66" s="735"/>
      <c r="AX66" s="735"/>
      <c r="AY66" s="735"/>
      <c r="AZ66" s="735"/>
      <c r="BA66" s="735"/>
      <c r="BB66" s="735"/>
      <c r="BC66" s="735"/>
      <c r="BD66" s="735"/>
      <c r="BE66" s="735"/>
      <c r="BF66" s="735"/>
      <c r="BG66" s="735"/>
      <c r="BH66" s="735"/>
      <c r="BI66" s="735"/>
      <c r="BJ66" s="735"/>
      <c r="BK66" s="735"/>
      <c r="BL66" s="735"/>
      <c r="BM66" s="735"/>
      <c r="BN66" s="735"/>
      <c r="BO66" s="735"/>
      <c r="BP66" s="735"/>
      <c r="BQ66" s="735"/>
      <c r="BR66" s="735"/>
      <c r="BS66" s="735"/>
      <c r="BT66" s="735"/>
      <c r="BU66" s="735"/>
      <c r="BV66" s="735"/>
      <c r="BW66" s="735"/>
      <c r="BX66" s="735"/>
      <c r="BY66" s="735"/>
      <c r="BZ66" s="735"/>
      <c r="CA66" s="735"/>
      <c r="CB66" s="735"/>
      <c r="CC66" s="735"/>
      <c r="CD66" s="735"/>
      <c r="CE66" s="735"/>
      <c r="CF66" s="735"/>
      <c r="CG66" s="735"/>
      <c r="CH66" s="735"/>
      <c r="CI66" s="735"/>
      <c r="CJ66" s="735"/>
      <c r="CK66" s="735"/>
      <c r="CL66" s="735"/>
      <c r="CM66" s="735"/>
      <c r="CN66" s="735"/>
      <c r="CO66" s="735"/>
      <c r="CP66" s="735"/>
      <c r="IE66" s="1227"/>
    </row>
    <row r="67" spans="1:239" s="1223" customFormat="1" ht="15" customHeight="1" x14ac:dyDescent="0.25">
      <c r="A67" s="730"/>
      <c r="B67" s="1532" t="s">
        <v>1751</v>
      </c>
      <c r="C67" s="1535"/>
      <c r="D67" s="1262"/>
      <c r="E67" s="1263"/>
      <c r="F67" s="1246"/>
      <c r="I67" s="716"/>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5"/>
      <c r="AL67" s="735"/>
      <c r="AM67" s="735"/>
      <c r="AN67" s="735"/>
      <c r="AO67" s="735"/>
      <c r="AP67" s="735"/>
      <c r="AQ67" s="735"/>
      <c r="AR67" s="735"/>
      <c r="AS67" s="735"/>
      <c r="AT67" s="735"/>
      <c r="AU67" s="735"/>
      <c r="AV67" s="735"/>
      <c r="AW67" s="735"/>
      <c r="AX67" s="735"/>
      <c r="AY67" s="735"/>
      <c r="AZ67" s="735"/>
      <c r="BA67" s="735"/>
      <c r="BB67" s="735"/>
      <c r="BC67" s="735"/>
      <c r="BD67" s="735"/>
      <c r="BE67" s="735"/>
      <c r="BF67" s="735"/>
      <c r="BG67" s="735"/>
      <c r="BH67" s="735"/>
      <c r="BI67" s="735"/>
      <c r="BJ67" s="735"/>
      <c r="BK67" s="735"/>
      <c r="BL67" s="735"/>
      <c r="BM67" s="735"/>
      <c r="BN67" s="735"/>
      <c r="BO67" s="735"/>
      <c r="BP67" s="735"/>
      <c r="BQ67" s="735"/>
      <c r="BR67" s="735"/>
      <c r="BS67" s="735"/>
      <c r="BT67" s="735"/>
      <c r="BU67" s="735"/>
      <c r="BV67" s="735"/>
      <c r="BW67" s="735"/>
      <c r="BX67" s="735"/>
      <c r="BY67" s="735"/>
      <c r="BZ67" s="735"/>
      <c r="CA67" s="735"/>
      <c r="CB67" s="735"/>
      <c r="CC67" s="735"/>
      <c r="CD67" s="735"/>
      <c r="CE67" s="735"/>
      <c r="CF67" s="735"/>
      <c r="CG67" s="735"/>
      <c r="CH67" s="735"/>
      <c r="CI67" s="735"/>
      <c r="CJ67" s="735"/>
      <c r="CK67" s="735"/>
      <c r="CL67" s="735"/>
      <c r="CM67" s="735"/>
      <c r="CN67" s="735"/>
      <c r="CO67" s="735"/>
      <c r="CP67" s="735"/>
      <c r="IE67" s="1227"/>
    </row>
    <row r="68" spans="1:239" s="1223" customFormat="1" ht="15" customHeight="1" x14ac:dyDescent="0.25">
      <c r="A68" s="730"/>
      <c r="B68" s="1532" t="s">
        <v>1752</v>
      </c>
      <c r="C68" s="1535"/>
      <c r="D68" s="1262"/>
      <c r="E68" s="1263"/>
      <c r="F68" s="1246"/>
      <c r="I68" s="716"/>
      <c r="L68" s="735"/>
      <c r="M68" s="735"/>
      <c r="N68" s="735"/>
      <c r="O68" s="735"/>
      <c r="P68" s="735"/>
      <c r="Q68" s="735"/>
      <c r="R68" s="735"/>
      <c r="S68" s="735"/>
      <c r="T68" s="735"/>
      <c r="U68" s="735"/>
      <c r="V68" s="735"/>
      <c r="W68" s="735"/>
      <c r="X68" s="735"/>
      <c r="Y68" s="735"/>
      <c r="Z68" s="735"/>
      <c r="AA68" s="735"/>
      <c r="AB68" s="735"/>
      <c r="AC68" s="735"/>
      <c r="AD68" s="735"/>
      <c r="AE68" s="735"/>
      <c r="AF68" s="735"/>
      <c r="AG68" s="735"/>
      <c r="AH68" s="735"/>
      <c r="AI68" s="735"/>
      <c r="AJ68" s="735"/>
      <c r="AK68" s="735"/>
      <c r="AL68" s="735"/>
      <c r="AM68" s="735"/>
      <c r="AN68" s="735"/>
      <c r="AO68" s="735"/>
      <c r="AP68" s="735"/>
      <c r="AQ68" s="735"/>
      <c r="AR68" s="735"/>
      <c r="AS68" s="735"/>
      <c r="AT68" s="735"/>
      <c r="AU68" s="735"/>
      <c r="AV68" s="735"/>
      <c r="AW68" s="735"/>
      <c r="AX68" s="735"/>
      <c r="AY68" s="735"/>
      <c r="AZ68" s="735"/>
      <c r="BA68" s="735"/>
      <c r="BB68" s="735"/>
      <c r="BC68" s="735"/>
      <c r="BD68" s="735"/>
      <c r="BE68" s="735"/>
      <c r="BF68" s="735"/>
      <c r="BG68" s="735"/>
      <c r="BH68" s="735"/>
      <c r="BI68" s="735"/>
      <c r="BJ68" s="735"/>
      <c r="BK68" s="735"/>
      <c r="BL68" s="735"/>
      <c r="BM68" s="735"/>
      <c r="BN68" s="735"/>
      <c r="BO68" s="735"/>
      <c r="BP68" s="735"/>
      <c r="BQ68" s="735"/>
      <c r="BR68" s="735"/>
      <c r="BS68" s="735"/>
      <c r="BT68" s="735"/>
      <c r="BU68" s="735"/>
      <c r="BV68" s="735"/>
      <c r="BW68" s="735"/>
      <c r="BX68" s="735"/>
      <c r="BY68" s="735"/>
      <c r="BZ68" s="735"/>
      <c r="CA68" s="735"/>
      <c r="CB68" s="735"/>
      <c r="CC68" s="735"/>
      <c r="CD68" s="735"/>
      <c r="CE68" s="735"/>
      <c r="CF68" s="735"/>
      <c r="CG68" s="735"/>
      <c r="CH68" s="735"/>
      <c r="CI68" s="735"/>
      <c r="CJ68" s="735"/>
      <c r="CK68" s="735"/>
      <c r="CL68" s="735"/>
      <c r="CM68" s="735"/>
      <c r="CN68" s="735"/>
      <c r="CO68" s="735"/>
      <c r="CP68" s="735"/>
      <c r="IE68" s="1227"/>
    </row>
    <row r="69" spans="1:239" s="1223" customFormat="1" ht="15" customHeight="1" x14ac:dyDescent="0.25">
      <c r="A69" s="730"/>
      <c r="B69" s="1532" t="s">
        <v>1753</v>
      </c>
      <c r="C69" s="1535"/>
      <c r="D69" s="1262"/>
      <c r="E69" s="1263"/>
      <c r="F69" s="1246"/>
      <c r="I69" s="716"/>
      <c r="L69" s="735"/>
      <c r="M69" s="735"/>
      <c r="N69" s="735"/>
      <c r="O69" s="735"/>
      <c r="P69" s="735"/>
      <c r="Q69" s="735"/>
      <c r="R69" s="735"/>
      <c r="S69" s="735"/>
      <c r="T69" s="735"/>
      <c r="U69" s="735"/>
      <c r="V69" s="735"/>
      <c r="W69" s="735"/>
      <c r="X69" s="735"/>
      <c r="Y69" s="735"/>
      <c r="Z69" s="735"/>
      <c r="AA69" s="735"/>
      <c r="AB69" s="735"/>
      <c r="AC69" s="735"/>
      <c r="AD69" s="735"/>
      <c r="AE69" s="735"/>
      <c r="AF69" s="735"/>
      <c r="AG69" s="735"/>
      <c r="AH69" s="735"/>
      <c r="AI69" s="735"/>
      <c r="AJ69" s="735"/>
      <c r="AK69" s="735"/>
      <c r="AL69" s="735"/>
      <c r="AM69" s="735"/>
      <c r="AN69" s="735"/>
      <c r="AO69" s="735"/>
      <c r="AP69" s="735"/>
      <c r="AQ69" s="735"/>
      <c r="AR69" s="735"/>
      <c r="AS69" s="735"/>
      <c r="AT69" s="735"/>
      <c r="AU69" s="735"/>
      <c r="AV69" s="735"/>
      <c r="AW69" s="735"/>
      <c r="AX69" s="735"/>
      <c r="AY69" s="735"/>
      <c r="AZ69" s="735"/>
      <c r="BA69" s="735"/>
      <c r="BB69" s="735"/>
      <c r="BC69" s="735"/>
      <c r="BD69" s="735"/>
      <c r="BE69" s="735"/>
      <c r="BF69" s="735"/>
      <c r="BG69" s="735"/>
      <c r="BH69" s="735"/>
      <c r="BI69" s="735"/>
      <c r="BJ69" s="735"/>
      <c r="BK69" s="735"/>
      <c r="BL69" s="735"/>
      <c r="BM69" s="735"/>
      <c r="BN69" s="735"/>
      <c r="BO69" s="735"/>
      <c r="BP69" s="735"/>
      <c r="BQ69" s="735"/>
      <c r="BR69" s="735"/>
      <c r="BS69" s="735"/>
      <c r="BT69" s="735"/>
      <c r="BU69" s="735"/>
      <c r="BV69" s="735"/>
      <c r="BW69" s="735"/>
      <c r="BX69" s="735"/>
      <c r="BY69" s="735"/>
      <c r="BZ69" s="735"/>
      <c r="CA69" s="735"/>
      <c r="CB69" s="735"/>
      <c r="CC69" s="735"/>
      <c r="CD69" s="735"/>
      <c r="CE69" s="735"/>
      <c r="CF69" s="735"/>
      <c r="CG69" s="735"/>
      <c r="CH69" s="735"/>
      <c r="CI69" s="735"/>
      <c r="CJ69" s="735"/>
      <c r="CK69" s="735"/>
      <c r="CL69" s="735"/>
      <c r="CM69" s="735"/>
      <c r="CN69" s="735"/>
      <c r="CO69" s="735"/>
      <c r="CP69" s="735"/>
      <c r="IE69" s="1227"/>
    </row>
    <row r="70" spans="1:239" s="1223" customFormat="1" ht="15" customHeight="1" x14ac:dyDescent="0.25">
      <c r="A70" s="730"/>
      <c r="B70" s="1634" t="s">
        <v>1586</v>
      </c>
      <c r="C70" s="1634"/>
      <c r="D70" s="1634"/>
      <c r="E70" s="1635"/>
      <c r="F70" s="1243"/>
      <c r="I70" s="716"/>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5"/>
      <c r="AI70" s="735"/>
      <c r="AJ70" s="735"/>
      <c r="AK70" s="735"/>
      <c r="AL70" s="735"/>
      <c r="AM70" s="735"/>
      <c r="AN70" s="735"/>
      <c r="AO70" s="735"/>
      <c r="AP70" s="735"/>
      <c r="AQ70" s="735"/>
      <c r="AR70" s="735"/>
      <c r="AS70" s="735"/>
      <c r="AT70" s="735"/>
      <c r="AU70" s="735"/>
      <c r="AV70" s="735"/>
      <c r="AW70" s="735"/>
      <c r="AX70" s="735"/>
      <c r="AY70" s="735"/>
      <c r="AZ70" s="735"/>
      <c r="BA70" s="735"/>
      <c r="BB70" s="735"/>
      <c r="BC70" s="735"/>
      <c r="BD70" s="735"/>
      <c r="BE70" s="735"/>
      <c r="BF70" s="735"/>
      <c r="BG70" s="735"/>
      <c r="BH70" s="735"/>
      <c r="BI70" s="735"/>
      <c r="BJ70" s="735"/>
      <c r="BK70" s="735"/>
      <c r="BL70" s="735"/>
      <c r="BM70" s="735"/>
      <c r="BN70" s="735"/>
      <c r="BO70" s="735"/>
      <c r="BP70" s="735"/>
      <c r="BQ70" s="735"/>
      <c r="BR70" s="735"/>
      <c r="BS70" s="735"/>
      <c r="BT70" s="735"/>
      <c r="BU70" s="735"/>
      <c r="BV70" s="735"/>
      <c r="BW70" s="735"/>
      <c r="BX70" s="735"/>
      <c r="BY70" s="735"/>
      <c r="BZ70" s="735"/>
      <c r="CA70" s="735"/>
      <c r="CB70" s="735"/>
      <c r="CC70" s="735"/>
      <c r="CD70" s="735"/>
      <c r="CE70" s="735"/>
      <c r="CF70" s="735"/>
      <c r="CG70" s="735"/>
      <c r="CH70" s="735"/>
      <c r="CI70" s="735"/>
      <c r="CJ70" s="735"/>
      <c r="CK70" s="735"/>
      <c r="CL70" s="735"/>
      <c r="CM70" s="735"/>
      <c r="CN70" s="735"/>
      <c r="CO70" s="735"/>
      <c r="CP70" s="735"/>
      <c r="IE70" s="1227"/>
    </row>
    <row r="71" spans="1:239" s="1222" customFormat="1" ht="15" customHeight="1" x14ac:dyDescent="0.25">
      <c r="A71" s="821"/>
      <c r="B71" s="716"/>
      <c r="C71" s="716"/>
      <c r="D71" s="716"/>
      <c r="E71" s="716"/>
      <c r="F71" s="716"/>
      <c r="G71" s="716"/>
      <c r="H71" s="716"/>
      <c r="I71" s="716"/>
      <c r="J71" s="716"/>
      <c r="K71" s="716"/>
      <c r="L71" s="716"/>
      <c r="M71" s="716"/>
      <c r="N71" s="716"/>
      <c r="O71" s="716"/>
      <c r="P71" s="716"/>
      <c r="Q71" s="716"/>
      <c r="R71" s="716"/>
      <c r="S71" s="716"/>
      <c r="T71" s="716"/>
      <c r="U71" s="716"/>
      <c r="V71" s="716"/>
      <c r="W71" s="716"/>
      <c r="X71" s="716"/>
      <c r="Y71" s="716"/>
      <c r="Z71" s="716"/>
      <c r="AA71" s="716"/>
      <c r="AB71" s="716"/>
      <c r="AC71" s="716"/>
      <c r="AD71" s="716"/>
      <c r="AE71" s="716"/>
      <c r="AF71" s="716"/>
      <c r="AG71" s="716"/>
      <c r="AH71" s="716"/>
      <c r="AI71" s="749"/>
      <c r="AJ71" s="749"/>
      <c r="AK71" s="749"/>
      <c r="AL71" s="749"/>
      <c r="AM71" s="749"/>
      <c r="AN71" s="749"/>
      <c r="AO71" s="749"/>
      <c r="AP71" s="749"/>
      <c r="AQ71" s="749"/>
      <c r="AR71" s="749"/>
      <c r="AS71" s="749"/>
      <c r="AT71" s="749"/>
      <c r="AU71" s="749"/>
      <c r="AV71" s="749"/>
      <c r="AW71" s="749"/>
      <c r="AX71" s="749"/>
      <c r="AY71" s="749"/>
      <c r="AZ71" s="749"/>
      <c r="BA71" s="749"/>
      <c r="BB71" s="749"/>
      <c r="BC71" s="749"/>
      <c r="BD71" s="749"/>
      <c r="BE71" s="749"/>
      <c r="BF71" s="749"/>
      <c r="BG71" s="749"/>
      <c r="BH71" s="749"/>
      <c r="BI71" s="749"/>
      <c r="BJ71" s="749"/>
      <c r="BK71" s="749"/>
      <c r="BL71" s="1228"/>
      <c r="BM71" s="1228"/>
      <c r="BN71" s="1228"/>
      <c r="BO71" s="1228"/>
      <c r="BP71" s="1228"/>
      <c r="BQ71" s="1228"/>
      <c r="BR71" s="1228"/>
      <c r="BS71" s="1228"/>
      <c r="BT71" s="1228"/>
      <c r="BU71" s="1228"/>
      <c r="BV71" s="1228"/>
      <c r="BW71" s="1228"/>
      <c r="BX71" s="1228"/>
      <c r="BY71" s="1228"/>
      <c r="BZ71" s="1228"/>
      <c r="CA71" s="1228"/>
      <c r="CB71" s="1228"/>
      <c r="CC71" s="1228"/>
      <c r="CD71" s="1228"/>
      <c r="CE71" s="1228"/>
      <c r="CF71" s="1228"/>
      <c r="CG71" s="1228"/>
      <c r="CH71" s="1228"/>
      <c r="CI71" s="1228"/>
      <c r="CJ71" s="1228"/>
      <c r="CK71" s="1228"/>
      <c r="CL71" s="1228"/>
      <c r="CM71" s="1228"/>
      <c r="CN71" s="1228"/>
      <c r="CO71" s="1228"/>
      <c r="CP71" s="1228"/>
      <c r="CQ71" s="1228"/>
      <c r="CR71" s="1228"/>
      <c r="CS71" s="1228"/>
      <c r="CT71" s="1228"/>
      <c r="CU71" s="1228"/>
      <c r="CV71" s="1228"/>
      <c r="CW71" s="1228"/>
      <c r="CX71" s="1228"/>
      <c r="CY71" s="1228"/>
      <c r="CZ71" s="1228"/>
      <c r="DA71" s="1228"/>
      <c r="DB71" s="1228"/>
      <c r="DC71" s="1228"/>
      <c r="DD71" s="1228"/>
      <c r="DE71" s="1228"/>
      <c r="DF71" s="1228"/>
      <c r="DG71" s="1228"/>
      <c r="DH71" s="1228"/>
      <c r="DI71" s="1228"/>
      <c r="DJ71" s="1228"/>
      <c r="DK71" s="1228"/>
      <c r="DL71" s="1228"/>
      <c r="DM71" s="1228"/>
      <c r="DN71" s="1228"/>
      <c r="DO71" s="1228"/>
      <c r="DP71" s="1228"/>
      <c r="DQ71" s="1228"/>
      <c r="DR71" s="1228"/>
      <c r="DS71" s="1228"/>
      <c r="DT71" s="1228"/>
      <c r="DU71" s="1228"/>
      <c r="DV71" s="1228"/>
      <c r="DW71" s="1228"/>
      <c r="DX71" s="1228"/>
      <c r="DY71" s="1228"/>
      <c r="DZ71" s="1228"/>
      <c r="EA71" s="1228"/>
      <c r="EB71" s="1228"/>
      <c r="EC71" s="1228"/>
      <c r="ED71" s="1228"/>
      <c r="EE71" s="1228"/>
      <c r="EF71" s="1228"/>
      <c r="EG71" s="1228"/>
      <c r="EH71" s="1228"/>
      <c r="EI71" s="1228"/>
      <c r="EJ71" s="1228"/>
      <c r="EK71" s="1228"/>
      <c r="EL71" s="1228"/>
      <c r="EM71" s="1228"/>
      <c r="EN71" s="1228"/>
      <c r="EO71" s="1228"/>
      <c r="EP71" s="1228"/>
      <c r="EQ71" s="1228"/>
      <c r="ER71" s="1228"/>
      <c r="ES71" s="1228"/>
      <c r="ET71" s="1228"/>
      <c r="EU71" s="1228"/>
      <c r="EV71" s="1228"/>
      <c r="EW71" s="1228"/>
      <c r="EX71" s="1228"/>
      <c r="EY71" s="1228"/>
      <c r="EZ71" s="1228"/>
      <c r="FA71" s="1228"/>
      <c r="FB71" s="1228"/>
      <c r="FC71" s="1228"/>
      <c r="FD71" s="1228"/>
      <c r="FE71" s="1228"/>
      <c r="FF71" s="1228"/>
      <c r="FG71" s="1228"/>
      <c r="FH71" s="1228"/>
      <c r="FI71" s="1228"/>
      <c r="FJ71" s="1228"/>
      <c r="FK71" s="1228"/>
      <c r="FL71" s="1228"/>
      <c r="FM71" s="1228"/>
      <c r="FN71" s="1228"/>
      <c r="FO71" s="1228"/>
      <c r="FP71" s="1228"/>
      <c r="FQ71" s="1228"/>
      <c r="FR71" s="1228"/>
      <c r="FS71" s="1228"/>
      <c r="FT71" s="1228"/>
      <c r="FU71" s="1228"/>
      <c r="FV71" s="1228"/>
      <c r="FW71" s="1228"/>
      <c r="FX71" s="1228"/>
      <c r="FY71" s="1228"/>
      <c r="FZ71" s="1228"/>
      <c r="GA71" s="1228"/>
      <c r="GB71" s="1228"/>
      <c r="GC71" s="1228"/>
      <c r="GD71" s="1228"/>
      <c r="GE71" s="1228"/>
      <c r="GF71" s="1228"/>
      <c r="GG71" s="1228"/>
      <c r="GH71" s="1228"/>
      <c r="GI71" s="1228"/>
      <c r="GJ71" s="1228"/>
      <c r="GK71" s="1228"/>
      <c r="GL71" s="1228"/>
      <c r="GM71" s="1228"/>
      <c r="GN71" s="1228"/>
      <c r="GO71" s="1228"/>
      <c r="GP71" s="1228"/>
      <c r="GQ71" s="1228"/>
      <c r="GR71" s="1228"/>
      <c r="GS71" s="1228"/>
      <c r="GT71" s="1228"/>
      <c r="GU71" s="1228"/>
      <c r="GV71" s="1228"/>
      <c r="GW71" s="1228"/>
      <c r="GX71" s="1228"/>
      <c r="GY71" s="1228"/>
      <c r="GZ71" s="1228"/>
      <c r="HA71" s="1228"/>
      <c r="HB71" s="1228"/>
      <c r="HC71" s="1228"/>
      <c r="HD71" s="1228"/>
      <c r="HE71" s="1228"/>
      <c r="HF71" s="1228"/>
      <c r="HG71" s="1228"/>
      <c r="HH71" s="1228"/>
      <c r="HI71" s="1228"/>
      <c r="HJ71" s="1228"/>
      <c r="HK71" s="1228"/>
      <c r="HL71" s="1228"/>
      <c r="HM71" s="1228"/>
      <c r="HN71" s="1228"/>
      <c r="HO71" s="1228"/>
      <c r="HP71" s="1228"/>
      <c r="HQ71" s="1228"/>
      <c r="HR71" s="1228"/>
      <c r="HS71" s="1228"/>
      <c r="HT71" s="1228"/>
      <c r="HU71" s="1228"/>
      <c r="HV71" s="1228"/>
      <c r="HW71" s="1228"/>
      <c r="HX71" s="1228"/>
      <c r="HY71" s="1228"/>
      <c r="HZ71" s="1228"/>
      <c r="IA71" s="1228"/>
      <c r="IB71" s="1228"/>
      <c r="IC71" s="1228"/>
      <c r="ID71" s="1228"/>
      <c r="IE71" s="1229"/>
    </row>
    <row r="72" spans="1:239" s="1222" customFormat="1" ht="45" customHeight="1" x14ac:dyDescent="0.25">
      <c r="A72" s="780" t="s">
        <v>858</v>
      </c>
      <c r="B72" s="725"/>
      <c r="C72" s="725"/>
      <c r="D72" s="725"/>
      <c r="E72" s="725"/>
      <c r="F72" s="725"/>
      <c r="G72" s="725"/>
      <c r="H72" s="725"/>
      <c r="I72" s="725"/>
      <c r="J72" s="725"/>
      <c r="K72" s="1264"/>
      <c r="L72" s="1264"/>
      <c r="M72" s="1264"/>
      <c r="N72" s="1264"/>
      <c r="O72" s="1264"/>
      <c r="P72" s="1264"/>
      <c r="Q72" s="1264"/>
      <c r="R72" s="1264"/>
      <c r="S72" s="1264"/>
      <c r="T72" s="1264"/>
      <c r="U72" s="1264"/>
      <c r="V72" s="1264"/>
      <c r="W72" s="1264"/>
      <c r="X72" s="1264"/>
      <c r="Y72" s="1264"/>
      <c r="Z72" s="1264"/>
      <c r="AA72" s="1264"/>
      <c r="AB72" s="1264"/>
      <c r="AC72" s="1264"/>
      <c r="AD72" s="1264"/>
      <c r="AE72" s="1264"/>
      <c r="AF72" s="1264"/>
      <c r="AG72" s="1264"/>
      <c r="AH72" s="1264"/>
      <c r="AI72" s="1264"/>
      <c r="AJ72" s="1264"/>
      <c r="AK72" s="1264"/>
      <c r="AL72" s="1264"/>
      <c r="AM72" s="1264"/>
      <c r="AN72" s="1264"/>
      <c r="AO72" s="1264"/>
      <c r="AP72" s="1264"/>
      <c r="AQ72" s="1264"/>
      <c r="AR72" s="1264"/>
      <c r="AS72" s="1264"/>
      <c r="AT72" s="1264"/>
      <c r="AU72" s="1264"/>
      <c r="AV72" s="1264"/>
      <c r="AW72" s="1264"/>
      <c r="AX72" s="1264"/>
      <c r="AY72" s="1264"/>
      <c r="AZ72" s="1264"/>
      <c r="BA72" s="1264"/>
      <c r="BB72" s="1264"/>
      <c r="BC72" s="1264"/>
      <c r="BD72" s="1264"/>
      <c r="BE72" s="1264"/>
      <c r="BF72" s="1264"/>
      <c r="BG72" s="1264"/>
      <c r="BH72" s="1264"/>
      <c r="BI72" s="1264"/>
      <c r="BJ72" s="1264"/>
      <c r="BK72" s="1264"/>
      <c r="BL72" s="1224"/>
      <c r="BM72" s="1224"/>
      <c r="BN72" s="1224"/>
      <c r="BO72" s="1224"/>
      <c r="BP72" s="1224"/>
      <c r="BQ72" s="1224"/>
      <c r="BR72" s="1224"/>
      <c r="BS72" s="1224"/>
      <c r="BT72" s="1224"/>
      <c r="BU72" s="1224"/>
      <c r="BV72" s="1224"/>
      <c r="BW72" s="1224"/>
      <c r="BX72" s="1224"/>
      <c r="BY72" s="1224"/>
      <c r="BZ72" s="1224"/>
      <c r="CA72" s="1224"/>
      <c r="CB72" s="1224"/>
      <c r="CC72" s="1224"/>
      <c r="CD72" s="1224"/>
      <c r="CE72" s="1224"/>
      <c r="CF72" s="1224"/>
      <c r="CG72" s="1224"/>
      <c r="CH72" s="1224"/>
      <c r="CI72" s="1224"/>
      <c r="CJ72" s="1224"/>
      <c r="CK72" s="1224"/>
      <c r="CL72" s="1224"/>
      <c r="CM72" s="1224"/>
      <c r="CN72" s="1224"/>
      <c r="CO72" s="1224"/>
      <c r="CP72" s="1224"/>
      <c r="CQ72" s="1224"/>
      <c r="CR72" s="1224"/>
      <c r="CS72" s="1224"/>
      <c r="CT72" s="1224"/>
      <c r="CU72" s="1224"/>
      <c r="CV72" s="1224"/>
      <c r="CW72" s="1224"/>
      <c r="CX72" s="1224"/>
      <c r="CY72" s="1224"/>
      <c r="CZ72" s="1224"/>
      <c r="DA72" s="1224"/>
      <c r="DB72" s="1224"/>
      <c r="DC72" s="1224"/>
      <c r="DD72" s="1224"/>
      <c r="DE72" s="1224"/>
      <c r="DF72" s="1224"/>
      <c r="DG72" s="1224"/>
      <c r="DH72" s="1224"/>
      <c r="DI72" s="1224"/>
      <c r="DJ72" s="1224"/>
      <c r="DK72" s="1224"/>
      <c r="DL72" s="1224"/>
      <c r="DM72" s="1224"/>
      <c r="DN72" s="1224"/>
      <c r="DO72" s="1224"/>
      <c r="DP72" s="1224"/>
      <c r="DQ72" s="1224"/>
      <c r="DR72" s="1224"/>
      <c r="DS72" s="1224"/>
      <c r="DT72" s="1224"/>
      <c r="DU72" s="1224"/>
      <c r="DV72" s="1224"/>
      <c r="DW72" s="1224"/>
      <c r="DX72" s="1224"/>
      <c r="DY72" s="1224"/>
      <c r="DZ72" s="1224"/>
      <c r="EA72" s="1224"/>
      <c r="EB72" s="1224"/>
      <c r="EC72" s="1224"/>
      <c r="ED72" s="1224"/>
      <c r="EE72" s="1224"/>
      <c r="EF72" s="1224"/>
      <c r="EG72" s="1224"/>
      <c r="EH72" s="1224"/>
      <c r="EI72" s="1224"/>
      <c r="EJ72" s="1224"/>
      <c r="EK72" s="1224"/>
      <c r="EL72" s="1224"/>
      <c r="EM72" s="1224"/>
      <c r="EN72" s="1224"/>
      <c r="EO72" s="1224"/>
      <c r="EP72" s="1224"/>
      <c r="EQ72" s="1224"/>
      <c r="ER72" s="1224"/>
      <c r="ES72" s="1224"/>
      <c r="ET72" s="1224"/>
      <c r="EU72" s="1224"/>
      <c r="EV72" s="1224"/>
      <c r="EW72" s="1224"/>
      <c r="EX72" s="1224"/>
      <c r="EY72" s="1224"/>
      <c r="EZ72" s="1224"/>
      <c r="FA72" s="1224"/>
      <c r="FB72" s="1224"/>
      <c r="FC72" s="1224"/>
      <c r="FD72" s="1224"/>
      <c r="FE72" s="1224"/>
      <c r="FF72" s="1224"/>
      <c r="FG72" s="1224"/>
      <c r="FH72" s="1224"/>
      <c r="FI72" s="1224"/>
      <c r="FJ72" s="1224"/>
      <c r="FK72" s="1224"/>
      <c r="FL72" s="1224"/>
      <c r="FM72" s="1224"/>
      <c r="FN72" s="1224"/>
      <c r="FO72" s="1224"/>
      <c r="FP72" s="1224"/>
      <c r="FQ72" s="1224"/>
      <c r="FR72" s="1224"/>
      <c r="FS72" s="1224"/>
      <c r="FT72" s="1224"/>
      <c r="FU72" s="1224"/>
      <c r="FV72" s="1224"/>
      <c r="FW72" s="1224"/>
      <c r="FX72" s="1224"/>
      <c r="FY72" s="1224"/>
      <c r="FZ72" s="1224"/>
      <c r="GA72" s="1224"/>
      <c r="GB72" s="1224"/>
      <c r="GC72" s="1224"/>
      <c r="GD72" s="1224"/>
      <c r="GE72" s="1224"/>
      <c r="GF72" s="1224"/>
      <c r="GG72" s="1224"/>
      <c r="GH72" s="1224"/>
      <c r="GI72" s="1224"/>
      <c r="GJ72" s="1224"/>
      <c r="GK72" s="1224"/>
      <c r="GL72" s="1224"/>
      <c r="GM72" s="1224"/>
      <c r="GN72" s="1224"/>
      <c r="GO72" s="1224"/>
      <c r="GP72" s="1224"/>
      <c r="GQ72" s="1224"/>
      <c r="GR72" s="1224"/>
      <c r="GS72" s="1224"/>
      <c r="GT72" s="1224"/>
      <c r="GU72" s="1224"/>
      <c r="GV72" s="1224"/>
      <c r="GW72" s="1224"/>
      <c r="GX72" s="1224"/>
      <c r="GY72" s="1224"/>
      <c r="GZ72" s="1224"/>
      <c r="HA72" s="1224"/>
      <c r="HB72" s="1224"/>
      <c r="HC72" s="1224"/>
      <c r="HD72" s="1224"/>
      <c r="HE72" s="1224"/>
      <c r="HF72" s="1224"/>
      <c r="HG72" s="1224"/>
      <c r="HH72" s="1224"/>
      <c r="HI72" s="1224"/>
      <c r="HJ72" s="1224"/>
      <c r="HK72" s="1224"/>
      <c r="HL72" s="1224"/>
      <c r="HM72" s="1224"/>
      <c r="HN72" s="1224"/>
      <c r="HO72" s="1224"/>
      <c r="HP72" s="1224"/>
      <c r="HQ72" s="1224"/>
      <c r="HR72" s="1224"/>
      <c r="HS72" s="1224"/>
      <c r="HT72" s="1224"/>
      <c r="HU72" s="1224"/>
      <c r="HV72" s="1224"/>
      <c r="HW72" s="1224"/>
      <c r="HX72" s="1224"/>
      <c r="HY72" s="1224"/>
      <c r="HZ72" s="1224"/>
      <c r="IA72" s="1224"/>
      <c r="IB72" s="1224"/>
      <c r="IC72" s="1224"/>
      <c r="ID72" s="1224"/>
      <c r="IE72" s="1225"/>
    </row>
    <row r="73" spans="1:239" s="1222" customFormat="1" ht="15" customHeight="1" x14ac:dyDescent="0.25">
      <c r="A73" s="821"/>
      <c r="B73" s="716"/>
      <c r="C73" s="716"/>
      <c r="D73" s="716"/>
      <c r="E73" s="716"/>
      <c r="F73" s="716"/>
      <c r="G73" s="716"/>
      <c r="H73" s="716"/>
      <c r="I73" s="716"/>
      <c r="J73" s="716"/>
      <c r="K73" s="716"/>
      <c r="L73" s="716"/>
      <c r="M73" s="716"/>
      <c r="N73" s="716"/>
      <c r="O73" s="716"/>
      <c r="P73" s="716"/>
      <c r="Q73" s="716"/>
      <c r="R73" s="716"/>
      <c r="S73" s="716"/>
      <c r="T73" s="716"/>
      <c r="U73" s="716"/>
      <c r="V73" s="716"/>
      <c r="W73" s="716"/>
      <c r="X73" s="716"/>
      <c r="Y73" s="716"/>
      <c r="Z73" s="716"/>
      <c r="AA73" s="716"/>
      <c r="AB73" s="716"/>
      <c r="AC73" s="716"/>
      <c r="AD73" s="716"/>
      <c r="AE73" s="716"/>
      <c r="AF73" s="716"/>
      <c r="AG73" s="716"/>
      <c r="AH73" s="716"/>
      <c r="AI73" s="716"/>
      <c r="AJ73" s="716"/>
      <c r="AK73" s="716"/>
      <c r="AL73" s="716"/>
      <c r="AM73" s="716"/>
      <c r="AN73" s="716"/>
      <c r="AO73" s="716"/>
      <c r="AP73" s="716"/>
      <c r="AQ73" s="716"/>
      <c r="AR73" s="716"/>
      <c r="AS73" s="716"/>
      <c r="AT73" s="716"/>
      <c r="AU73" s="716"/>
      <c r="AV73" s="716"/>
      <c r="AW73" s="716"/>
      <c r="AX73" s="716"/>
      <c r="AY73" s="716"/>
      <c r="AZ73" s="716"/>
      <c r="BA73" s="716"/>
      <c r="BB73" s="716"/>
      <c r="BC73" s="716"/>
      <c r="BD73" s="716"/>
      <c r="BE73" s="716"/>
      <c r="BF73" s="716"/>
      <c r="BG73" s="716"/>
      <c r="BH73" s="716"/>
      <c r="BI73" s="716"/>
      <c r="BJ73" s="716"/>
      <c r="BK73" s="716"/>
      <c r="IE73" s="1226"/>
    </row>
    <row r="74" spans="1:239" s="1222" customFormat="1" ht="15" customHeight="1" x14ac:dyDescent="0.25">
      <c r="A74" s="821"/>
      <c r="B74" s="1853" t="s">
        <v>898</v>
      </c>
      <c r="C74" s="1856" t="s">
        <v>860</v>
      </c>
      <c r="D74" s="1856" t="s">
        <v>859</v>
      </c>
      <c r="E74" s="1889" t="s">
        <v>853</v>
      </c>
      <c r="F74" s="1687" t="s">
        <v>1525</v>
      </c>
      <c r="G74" s="1687"/>
      <c r="H74" s="1687"/>
      <c r="I74" s="1687"/>
      <c r="J74" s="1687"/>
      <c r="K74" s="1687"/>
      <c r="L74" s="1687"/>
      <c r="M74" s="1687"/>
      <c r="N74" s="1893"/>
      <c r="O74" s="1848" t="s">
        <v>1585</v>
      </c>
      <c r="P74" s="1845"/>
      <c r="Q74" s="1845"/>
      <c r="R74" s="1845"/>
      <c r="S74" s="1845"/>
      <c r="T74" s="1887"/>
      <c r="U74" s="1888" t="s">
        <v>1586</v>
      </c>
      <c r="V74" s="1677"/>
      <c r="W74" s="1677"/>
      <c r="X74" s="1677"/>
      <c r="Y74" s="1677"/>
      <c r="Z74" s="716"/>
      <c r="AA74" s="716"/>
      <c r="AB74" s="716"/>
      <c r="AC74" s="716"/>
      <c r="AD74" s="716"/>
      <c r="AE74" s="716"/>
      <c r="AF74" s="716"/>
      <c r="AG74" s="716"/>
      <c r="AH74" s="716"/>
      <c r="AI74" s="716"/>
      <c r="AJ74" s="716"/>
      <c r="AK74" s="716"/>
      <c r="AL74" s="716"/>
      <c r="AM74" s="716"/>
      <c r="AN74" s="716"/>
      <c r="AO74" s="716"/>
      <c r="AP74" s="716"/>
      <c r="AQ74" s="716"/>
      <c r="AR74" s="716"/>
      <c r="AS74" s="716"/>
      <c r="AT74" s="716"/>
      <c r="AU74" s="716"/>
      <c r="AV74" s="716"/>
      <c r="AW74" s="716"/>
      <c r="AX74" s="716"/>
      <c r="AY74" s="716"/>
      <c r="AZ74" s="716"/>
      <c r="BA74" s="716"/>
      <c r="BB74" s="716"/>
      <c r="BC74" s="716"/>
      <c r="BD74" s="716"/>
      <c r="BE74" s="716"/>
      <c r="BF74" s="716"/>
      <c r="BG74" s="716"/>
      <c r="BH74" s="716"/>
      <c r="BI74" s="716"/>
      <c r="BJ74" s="716"/>
      <c r="BK74" s="716"/>
      <c r="IE74" s="1226"/>
    </row>
    <row r="75" spans="1:239" s="1222" customFormat="1" ht="15" customHeight="1" x14ac:dyDescent="0.25">
      <c r="A75" s="821"/>
      <c r="B75" s="1855"/>
      <c r="C75" s="1858"/>
      <c r="D75" s="1858"/>
      <c r="E75" s="1890"/>
      <c r="F75" s="1629" t="s">
        <v>821</v>
      </c>
      <c r="G75" s="1629" t="s">
        <v>1802</v>
      </c>
      <c r="H75" s="1629" t="s">
        <v>822</v>
      </c>
      <c r="I75" s="1629" t="s">
        <v>1526</v>
      </c>
      <c r="J75" s="1629" t="s">
        <v>1527</v>
      </c>
      <c r="K75" s="1629" t="s">
        <v>823</v>
      </c>
      <c r="L75" s="1629" t="s">
        <v>1528</v>
      </c>
      <c r="M75" s="1629" t="s">
        <v>824</v>
      </c>
      <c r="N75" s="1627" t="s">
        <v>1529</v>
      </c>
      <c r="O75" s="1516" t="s">
        <v>821</v>
      </c>
      <c r="P75" s="1629" t="s">
        <v>1802</v>
      </c>
      <c r="Q75" s="1629" t="s">
        <v>822</v>
      </c>
      <c r="R75" s="1629" t="s">
        <v>1748</v>
      </c>
      <c r="S75" s="1629" t="s">
        <v>1749</v>
      </c>
      <c r="T75" s="1639" t="s">
        <v>1750</v>
      </c>
      <c r="U75" s="1516" t="s">
        <v>821</v>
      </c>
      <c r="V75" s="1629" t="s">
        <v>1805</v>
      </c>
      <c r="W75" s="1629" t="s">
        <v>1615</v>
      </c>
      <c r="X75" s="1629" t="s">
        <v>1614</v>
      </c>
      <c r="Y75" s="1652" t="s">
        <v>1619</v>
      </c>
      <c r="Z75" s="716"/>
      <c r="AA75" s="716"/>
      <c r="AB75" s="716"/>
      <c r="AC75" s="716"/>
      <c r="AD75" s="716"/>
      <c r="AE75" s="716"/>
      <c r="AF75" s="716"/>
      <c r="AG75" s="716"/>
      <c r="AH75" s="716"/>
      <c r="AI75" s="716"/>
      <c r="AJ75" s="716"/>
      <c r="AK75" s="716"/>
      <c r="AL75" s="716"/>
      <c r="AM75" s="716"/>
      <c r="AN75" s="716"/>
      <c r="AO75" s="716"/>
      <c r="AP75" s="716"/>
      <c r="AQ75" s="716"/>
      <c r="AR75" s="716"/>
      <c r="AS75" s="716"/>
      <c r="AT75" s="716"/>
      <c r="AU75" s="716"/>
      <c r="AV75" s="716"/>
      <c r="AW75" s="716"/>
      <c r="AX75" s="716"/>
      <c r="AY75" s="716"/>
      <c r="AZ75" s="716"/>
      <c r="BA75" s="716"/>
      <c r="BB75" s="716"/>
      <c r="BC75" s="716"/>
      <c r="BD75" s="716"/>
      <c r="BE75" s="716"/>
      <c r="BF75" s="716"/>
      <c r="BG75" s="716"/>
      <c r="BH75" s="716"/>
      <c r="BI75" s="716"/>
      <c r="BJ75" s="716"/>
      <c r="BK75" s="716"/>
      <c r="IE75" s="1226"/>
    </row>
    <row r="76" spans="1:239" s="1223" customFormat="1" ht="75" customHeight="1" x14ac:dyDescent="0.25">
      <c r="A76" s="821"/>
      <c r="B76" s="826">
        <v>1</v>
      </c>
      <c r="C76" s="1900" t="s">
        <v>861</v>
      </c>
      <c r="D76" s="1865" t="s">
        <v>1813</v>
      </c>
      <c r="E76" s="1655" t="s">
        <v>1815</v>
      </c>
      <c r="F76" s="1247"/>
      <c r="G76" s="1247"/>
      <c r="H76" s="1247"/>
      <c r="I76" s="1247"/>
      <c r="J76" s="1247"/>
      <c r="K76" s="1247"/>
      <c r="L76" s="1247"/>
      <c r="M76" s="1247"/>
      <c r="N76" s="1250"/>
      <c r="O76" s="1249"/>
      <c r="P76" s="1247"/>
      <c r="Q76" s="1247"/>
      <c r="R76" s="1247"/>
      <c r="S76" s="1247"/>
      <c r="T76" s="1251"/>
      <c r="U76" s="1247"/>
      <c r="V76" s="1247"/>
      <c r="W76" s="1247"/>
      <c r="X76" s="1247"/>
      <c r="Y76" s="1247"/>
      <c r="Z76" s="716"/>
      <c r="AA76" s="716"/>
      <c r="AB76" s="716"/>
      <c r="AC76" s="716"/>
      <c r="AD76" s="716"/>
      <c r="AE76" s="716"/>
      <c r="AF76" s="716"/>
      <c r="AG76" s="716"/>
      <c r="AH76" s="716"/>
      <c r="AI76" s="716"/>
      <c r="AJ76" s="716"/>
      <c r="AK76" s="716"/>
      <c r="AL76" s="716"/>
      <c r="AM76" s="716"/>
      <c r="AN76" s="716"/>
      <c r="AO76" s="716"/>
      <c r="AP76" s="716"/>
      <c r="AQ76" s="716"/>
      <c r="AR76" s="716"/>
      <c r="AS76" s="716"/>
      <c r="AT76" s="716"/>
      <c r="AU76" s="716"/>
      <c r="AV76" s="716"/>
      <c r="AW76" s="716"/>
      <c r="AX76" s="716"/>
      <c r="AY76" s="716"/>
      <c r="AZ76" s="716"/>
      <c r="BA76" s="716"/>
      <c r="BB76" s="716"/>
      <c r="BC76" s="716"/>
      <c r="BD76" s="716"/>
      <c r="BE76" s="716"/>
      <c r="BF76" s="716"/>
      <c r="BG76" s="716"/>
      <c r="BH76" s="716"/>
      <c r="BI76" s="716"/>
      <c r="BJ76" s="716"/>
      <c r="BK76" s="716"/>
      <c r="IE76" s="1227"/>
    </row>
    <row r="77" spans="1:239" s="1223" customFormat="1" ht="30" customHeight="1" x14ac:dyDescent="0.25">
      <c r="A77" s="821"/>
      <c r="B77" s="829">
        <v>2</v>
      </c>
      <c r="C77" s="1901"/>
      <c r="D77" s="1862"/>
      <c r="E77" s="1654" t="s">
        <v>863</v>
      </c>
      <c r="F77" s="1241"/>
      <c r="G77" s="1241"/>
      <c r="H77" s="1241"/>
      <c r="I77" s="1241"/>
      <c r="J77" s="1241"/>
      <c r="K77" s="1241"/>
      <c r="L77" s="1241"/>
      <c r="M77" s="1241"/>
      <c r="N77" s="1242"/>
      <c r="O77" s="1252"/>
      <c r="P77" s="1241"/>
      <c r="Q77" s="1241"/>
      <c r="R77" s="1241"/>
      <c r="S77" s="1241"/>
      <c r="T77" s="1253"/>
      <c r="U77" s="1241"/>
      <c r="V77" s="1241"/>
      <c r="W77" s="1241"/>
      <c r="X77" s="1241"/>
      <c r="Y77" s="1241"/>
      <c r="Z77" s="716"/>
      <c r="AA77" s="716"/>
      <c r="AB77" s="716"/>
      <c r="AC77" s="716"/>
      <c r="AD77" s="716"/>
      <c r="AE77" s="716"/>
      <c r="AF77" s="716"/>
      <c r="AG77" s="716"/>
      <c r="AH77" s="716"/>
      <c r="AI77" s="716"/>
      <c r="AJ77" s="716"/>
      <c r="AK77" s="716"/>
      <c r="AL77" s="716"/>
      <c r="AM77" s="716"/>
      <c r="AN77" s="716"/>
      <c r="AO77" s="716"/>
      <c r="AP77" s="716"/>
      <c r="AQ77" s="716"/>
      <c r="AR77" s="716"/>
      <c r="AS77" s="716"/>
      <c r="AT77" s="716"/>
      <c r="AU77" s="716"/>
      <c r="AV77" s="716"/>
      <c r="AW77" s="716"/>
      <c r="AX77" s="716"/>
      <c r="AY77" s="716"/>
      <c r="AZ77" s="716"/>
      <c r="BA77" s="716"/>
      <c r="BB77" s="716"/>
      <c r="BC77" s="716"/>
      <c r="BD77" s="716"/>
      <c r="BE77" s="716"/>
      <c r="BF77" s="716"/>
      <c r="BG77" s="716"/>
      <c r="BH77" s="716"/>
      <c r="BI77" s="716"/>
      <c r="BJ77" s="716"/>
      <c r="BK77" s="716"/>
      <c r="IE77" s="1227"/>
    </row>
    <row r="78" spans="1:239" s="1223" customFormat="1" ht="45" customHeight="1" x14ac:dyDescent="0.25">
      <c r="A78" s="821"/>
      <c r="B78" s="829">
        <v>3</v>
      </c>
      <c r="C78" s="1901"/>
      <c r="D78" s="1862"/>
      <c r="E78" s="1654" t="s">
        <v>1816</v>
      </c>
      <c r="F78" s="1241"/>
      <c r="G78" s="1241"/>
      <c r="H78" s="1241"/>
      <c r="I78" s="1241"/>
      <c r="J78" s="1241"/>
      <c r="K78" s="1241"/>
      <c r="L78" s="1241"/>
      <c r="M78" s="1241"/>
      <c r="N78" s="1242"/>
      <c r="O78" s="1252"/>
      <c r="P78" s="1241"/>
      <c r="Q78" s="1241"/>
      <c r="R78" s="1241"/>
      <c r="S78" s="1241"/>
      <c r="T78" s="1253"/>
      <c r="U78" s="1241"/>
      <c r="V78" s="1241"/>
      <c r="W78" s="1241"/>
      <c r="X78" s="1241"/>
      <c r="Y78" s="1241"/>
      <c r="Z78" s="716"/>
      <c r="AA78" s="716"/>
      <c r="AB78" s="716"/>
      <c r="AC78" s="716"/>
      <c r="AD78" s="716"/>
      <c r="AE78" s="716"/>
      <c r="AF78" s="716"/>
      <c r="AG78" s="716"/>
      <c r="AH78" s="716"/>
      <c r="AI78" s="716"/>
      <c r="AJ78" s="716"/>
      <c r="AK78" s="716"/>
      <c r="AL78" s="716"/>
      <c r="AM78" s="716"/>
      <c r="AN78" s="716"/>
      <c r="AO78" s="716"/>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IE78" s="1227"/>
    </row>
    <row r="79" spans="1:239" s="1223" customFormat="1" ht="60" customHeight="1" x14ac:dyDescent="0.25">
      <c r="A79" s="821"/>
      <c r="B79" s="829">
        <v>4</v>
      </c>
      <c r="C79" s="1901"/>
      <c r="D79" s="1863"/>
      <c r="E79" s="1654" t="s">
        <v>1817</v>
      </c>
      <c r="F79" s="1241"/>
      <c r="G79" s="1241"/>
      <c r="H79" s="1241"/>
      <c r="I79" s="1241"/>
      <c r="J79" s="1241"/>
      <c r="K79" s="1241"/>
      <c r="L79" s="1241"/>
      <c r="M79" s="1241"/>
      <c r="N79" s="1242"/>
      <c r="O79" s="1252"/>
      <c r="P79" s="1241"/>
      <c r="Q79" s="1241"/>
      <c r="R79" s="1241"/>
      <c r="S79" s="1241"/>
      <c r="T79" s="1253"/>
      <c r="U79" s="1241"/>
      <c r="V79" s="1241"/>
      <c r="W79" s="1241"/>
      <c r="X79" s="1241"/>
      <c r="Y79" s="1241"/>
      <c r="Z79" s="716"/>
      <c r="AA79" s="716"/>
      <c r="AB79" s="716"/>
      <c r="AC79" s="716"/>
      <c r="AD79" s="716"/>
      <c r="AE79" s="716"/>
      <c r="AF79" s="716"/>
      <c r="AG79" s="716"/>
      <c r="AH79" s="716"/>
      <c r="AI79" s="716"/>
      <c r="AJ79" s="716"/>
      <c r="AK79" s="716"/>
      <c r="AL79" s="716"/>
      <c r="AM79" s="716"/>
      <c r="AN79" s="716"/>
      <c r="AO79" s="71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IE79" s="1227"/>
    </row>
    <row r="80" spans="1:239" s="1223" customFormat="1" ht="75" customHeight="1" x14ac:dyDescent="0.25">
      <c r="A80" s="821"/>
      <c r="B80" s="829">
        <v>5</v>
      </c>
      <c r="C80" s="1901"/>
      <c r="D80" s="1861" t="s">
        <v>1814</v>
      </c>
      <c r="E80" s="1654" t="s">
        <v>1815</v>
      </c>
      <c r="F80" s="1241"/>
      <c r="G80" s="1241"/>
      <c r="H80" s="1241"/>
      <c r="I80" s="1241"/>
      <c r="J80" s="1241"/>
      <c r="K80" s="1241"/>
      <c r="L80" s="1241"/>
      <c r="M80" s="1241"/>
      <c r="N80" s="1242"/>
      <c r="O80" s="1252"/>
      <c r="P80" s="1241"/>
      <c r="Q80" s="1241"/>
      <c r="R80" s="1241"/>
      <c r="S80" s="1241"/>
      <c r="T80" s="1253"/>
      <c r="U80" s="1241"/>
      <c r="V80" s="1241"/>
      <c r="W80" s="1241"/>
      <c r="X80" s="1241"/>
      <c r="Y80" s="1241"/>
      <c r="Z80" s="716"/>
      <c r="AA80" s="716"/>
      <c r="AB80" s="716"/>
      <c r="AC80" s="716"/>
      <c r="AD80" s="716"/>
      <c r="AE80" s="716"/>
      <c r="AF80" s="716"/>
      <c r="AG80" s="716"/>
      <c r="AH80" s="716"/>
      <c r="AI80" s="716"/>
      <c r="AJ80" s="716"/>
      <c r="AK80" s="716"/>
      <c r="AL80" s="716"/>
      <c r="AM80" s="716"/>
      <c r="AN80" s="716"/>
      <c r="AO80" s="71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IE80" s="1227"/>
    </row>
    <row r="81" spans="1:239" s="1223" customFormat="1" ht="30" customHeight="1" x14ac:dyDescent="0.25">
      <c r="A81" s="821"/>
      <c r="B81" s="829">
        <v>6</v>
      </c>
      <c r="C81" s="1901"/>
      <c r="D81" s="1862"/>
      <c r="E81" s="1654" t="s">
        <v>863</v>
      </c>
      <c r="F81" s="1241"/>
      <c r="G81" s="1241"/>
      <c r="H81" s="1241"/>
      <c r="I81" s="1241"/>
      <c r="J81" s="1241"/>
      <c r="K81" s="1241"/>
      <c r="L81" s="1241"/>
      <c r="M81" s="1241"/>
      <c r="N81" s="1242"/>
      <c r="O81" s="1252"/>
      <c r="P81" s="1241"/>
      <c r="Q81" s="1241"/>
      <c r="R81" s="1241"/>
      <c r="S81" s="1241"/>
      <c r="T81" s="1253"/>
      <c r="U81" s="1241"/>
      <c r="V81" s="1241"/>
      <c r="W81" s="1241"/>
      <c r="X81" s="1241"/>
      <c r="Y81" s="1241"/>
      <c r="Z81" s="716"/>
      <c r="AA81" s="716"/>
      <c r="AB81" s="716"/>
      <c r="AC81" s="716"/>
      <c r="AD81" s="716"/>
      <c r="AE81" s="716"/>
      <c r="AF81" s="716"/>
      <c r="AG81" s="716"/>
      <c r="AH81" s="716"/>
      <c r="AI81" s="716"/>
      <c r="AJ81" s="716"/>
      <c r="AK81" s="716"/>
      <c r="AL81" s="716"/>
      <c r="AM81" s="716"/>
      <c r="AN81" s="716"/>
      <c r="AO81" s="716"/>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IE81" s="1227"/>
    </row>
    <row r="82" spans="1:239" s="1223" customFormat="1" ht="45" customHeight="1" x14ac:dyDescent="0.25">
      <c r="A82" s="821"/>
      <c r="B82" s="911">
        <v>7</v>
      </c>
      <c r="C82" s="1901"/>
      <c r="D82" s="1862"/>
      <c r="E82" s="1654" t="s">
        <v>1816</v>
      </c>
      <c r="F82" s="1241"/>
      <c r="G82" s="1241"/>
      <c r="H82" s="1241"/>
      <c r="I82" s="1241"/>
      <c r="J82" s="1241"/>
      <c r="K82" s="1241"/>
      <c r="L82" s="1241"/>
      <c r="M82" s="1241"/>
      <c r="N82" s="1242"/>
      <c r="O82" s="1252"/>
      <c r="P82" s="1241"/>
      <c r="Q82" s="1241"/>
      <c r="R82" s="1241"/>
      <c r="S82" s="1241"/>
      <c r="T82" s="1253"/>
      <c r="U82" s="1241"/>
      <c r="V82" s="1241"/>
      <c r="W82" s="1241"/>
      <c r="X82" s="1241"/>
      <c r="Y82" s="1241"/>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IE82" s="1227"/>
    </row>
    <row r="83" spans="1:239" s="1223" customFormat="1" ht="60" customHeight="1" x14ac:dyDescent="0.25">
      <c r="A83" s="821"/>
      <c r="B83" s="829">
        <v>8</v>
      </c>
      <c r="C83" s="1892"/>
      <c r="D83" s="1863"/>
      <c r="E83" s="1654" t="s">
        <v>1817</v>
      </c>
      <c r="F83" s="1241"/>
      <c r="G83" s="1241"/>
      <c r="H83" s="1241"/>
      <c r="I83" s="1241"/>
      <c r="J83" s="1241"/>
      <c r="K83" s="1241"/>
      <c r="L83" s="1241"/>
      <c r="M83" s="1241"/>
      <c r="N83" s="1242"/>
      <c r="O83" s="1252"/>
      <c r="P83" s="1241"/>
      <c r="Q83" s="1241"/>
      <c r="R83" s="1241"/>
      <c r="S83" s="1241"/>
      <c r="T83" s="1253"/>
      <c r="U83" s="1241"/>
      <c r="V83" s="1241"/>
      <c r="W83" s="1241"/>
      <c r="X83" s="1241"/>
      <c r="Y83" s="1241"/>
      <c r="Z83" s="716"/>
      <c r="AA83" s="716"/>
      <c r="AB83" s="716"/>
      <c r="AC83" s="716"/>
      <c r="AD83" s="716"/>
      <c r="AE83" s="716"/>
      <c r="AF83" s="716"/>
      <c r="AG83" s="716"/>
      <c r="AH83" s="716"/>
      <c r="AI83" s="716"/>
      <c r="AJ83" s="716"/>
      <c r="AK83" s="716"/>
      <c r="AL83" s="716"/>
      <c r="AM83" s="716"/>
      <c r="AN83" s="716"/>
      <c r="AO83" s="71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IE83" s="1227"/>
    </row>
    <row r="84" spans="1:239" s="1223" customFormat="1" ht="45" customHeight="1" x14ac:dyDescent="0.25">
      <c r="A84" s="821"/>
      <c r="B84" s="829">
        <v>9</v>
      </c>
      <c r="C84" s="1891" t="s">
        <v>862</v>
      </c>
      <c r="D84" s="960" t="s">
        <v>1813</v>
      </c>
      <c r="E84" s="1654" t="s">
        <v>1818</v>
      </c>
      <c r="F84" s="1241"/>
      <c r="G84" s="1241"/>
      <c r="H84" s="1241"/>
      <c r="I84" s="1241"/>
      <c r="J84" s="1241"/>
      <c r="K84" s="1241"/>
      <c r="L84" s="1241"/>
      <c r="M84" s="1241"/>
      <c r="N84" s="1242"/>
      <c r="O84" s="1252"/>
      <c r="P84" s="1241"/>
      <c r="Q84" s="1241"/>
      <c r="R84" s="1241"/>
      <c r="S84" s="1241"/>
      <c r="T84" s="1253"/>
      <c r="U84" s="1241"/>
      <c r="V84" s="1241"/>
      <c r="W84" s="1241"/>
      <c r="X84" s="1241"/>
      <c r="Y84" s="1241"/>
      <c r="Z84" s="716"/>
      <c r="AA84" s="716"/>
      <c r="AB84" s="716"/>
      <c r="AC84" s="716"/>
      <c r="AD84" s="716"/>
      <c r="AE84" s="716"/>
      <c r="AF84" s="716"/>
      <c r="AG84" s="716"/>
      <c r="AH84" s="716"/>
      <c r="AI84" s="716"/>
      <c r="AJ84" s="716"/>
      <c r="AK84" s="716"/>
      <c r="AL84" s="716"/>
      <c r="AM84" s="716"/>
      <c r="AN84" s="716"/>
      <c r="AO84" s="71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IE84" s="1227"/>
    </row>
    <row r="85" spans="1:239" s="1223" customFormat="1" ht="45" customHeight="1" x14ac:dyDescent="0.25">
      <c r="A85" s="821"/>
      <c r="B85" s="827">
        <v>10</v>
      </c>
      <c r="C85" s="1892"/>
      <c r="D85" s="960" t="s">
        <v>1814</v>
      </c>
      <c r="E85" s="1654" t="s">
        <v>1818</v>
      </c>
      <c r="F85" s="1241"/>
      <c r="G85" s="1241"/>
      <c r="H85" s="1241"/>
      <c r="I85" s="1241"/>
      <c r="J85" s="1241"/>
      <c r="K85" s="1241"/>
      <c r="L85" s="1241"/>
      <c r="M85" s="1241"/>
      <c r="N85" s="1242"/>
      <c r="O85" s="1252"/>
      <c r="P85" s="1241"/>
      <c r="Q85" s="1241"/>
      <c r="R85" s="1241"/>
      <c r="S85" s="1241"/>
      <c r="T85" s="1253"/>
      <c r="U85" s="1241"/>
      <c r="V85" s="1241"/>
      <c r="W85" s="1241"/>
      <c r="X85" s="1241"/>
      <c r="Y85" s="1241"/>
      <c r="Z85" s="716"/>
      <c r="AA85" s="716"/>
      <c r="AB85" s="716"/>
      <c r="AC85" s="716"/>
      <c r="AD85" s="716"/>
      <c r="AE85" s="716"/>
      <c r="AF85" s="716"/>
      <c r="AG85" s="716"/>
      <c r="AH85" s="716"/>
      <c r="AI85" s="716"/>
      <c r="AJ85" s="716"/>
      <c r="AK85" s="716"/>
      <c r="AL85" s="716"/>
      <c r="AM85" s="716"/>
      <c r="AN85" s="716"/>
      <c r="AO85" s="71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IE85" s="1227"/>
    </row>
    <row r="86" spans="1:239" s="1223" customFormat="1" ht="15" customHeight="1" x14ac:dyDescent="0.25">
      <c r="A86" s="821"/>
      <c r="B86" s="893" t="s">
        <v>854</v>
      </c>
      <c r="C86" s="1868"/>
      <c r="D86" s="1869"/>
      <c r="E86" s="1869"/>
      <c r="F86" s="1248"/>
      <c r="G86" s="1244"/>
      <c r="H86" s="1248"/>
      <c r="I86" s="1248"/>
      <c r="J86" s="1248"/>
      <c r="K86" s="1244"/>
      <c r="L86" s="368"/>
      <c r="M86" s="1244"/>
      <c r="N86" s="368"/>
      <c r="O86" s="1254"/>
      <c r="P86" s="1248"/>
      <c r="Q86" s="1248"/>
      <c r="R86" s="1248"/>
      <c r="S86" s="1248"/>
      <c r="T86" s="1255"/>
      <c r="U86" s="1248"/>
      <c r="V86" s="1244"/>
      <c r="W86" s="1248"/>
      <c r="X86" s="1248"/>
      <c r="Y86" s="1244"/>
      <c r="Z86" s="716"/>
      <c r="AA86" s="716"/>
      <c r="AB86" s="716"/>
      <c r="AC86" s="716"/>
      <c r="AD86" s="716"/>
      <c r="AE86" s="716"/>
      <c r="AF86" s="716"/>
      <c r="AG86" s="716"/>
      <c r="AH86" s="716"/>
      <c r="AI86" s="716"/>
      <c r="AJ86" s="716"/>
      <c r="AK86" s="716"/>
      <c r="AL86" s="716"/>
      <c r="AM86" s="716"/>
      <c r="AN86" s="716"/>
      <c r="AO86" s="716"/>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IE86" s="1227"/>
    </row>
    <row r="87" spans="1:239" s="1222" customFormat="1" ht="15" customHeight="1" x14ac:dyDescent="0.25">
      <c r="A87" s="821"/>
      <c r="B87" s="716"/>
      <c r="C87" s="716"/>
      <c r="D87" s="716"/>
      <c r="E87" s="716"/>
      <c r="F87" s="716"/>
      <c r="G87" s="716"/>
      <c r="H87" s="716"/>
      <c r="I87" s="716"/>
      <c r="J87" s="716"/>
      <c r="K87" s="716"/>
      <c r="L87" s="716"/>
      <c r="M87" s="716"/>
      <c r="N87" s="716"/>
      <c r="O87" s="716"/>
      <c r="P87" s="716"/>
      <c r="Q87" s="716"/>
      <c r="R87" s="716"/>
      <c r="S87" s="716"/>
      <c r="T87" s="716"/>
      <c r="U87" s="716"/>
      <c r="V87" s="716"/>
      <c r="W87" s="716"/>
      <c r="X87" s="716"/>
      <c r="Y87" s="716"/>
      <c r="Z87" s="716"/>
      <c r="AA87" s="716"/>
      <c r="AB87" s="716"/>
      <c r="AC87" s="716"/>
      <c r="AD87" s="716"/>
      <c r="AE87" s="716"/>
      <c r="AF87" s="716"/>
      <c r="AG87" s="716"/>
      <c r="AH87" s="716"/>
      <c r="AI87" s="716"/>
      <c r="AJ87" s="716"/>
      <c r="AK87" s="716"/>
      <c r="AL87" s="716"/>
      <c r="AM87" s="716"/>
      <c r="AN87" s="716"/>
      <c r="AO87" s="716"/>
      <c r="AP87" s="716"/>
      <c r="AQ87" s="716"/>
      <c r="AR87" s="716"/>
      <c r="AS87" s="716"/>
      <c r="AT87" s="716"/>
      <c r="AU87" s="716"/>
      <c r="AV87" s="716"/>
      <c r="AW87" s="716"/>
      <c r="AX87" s="716"/>
      <c r="AY87" s="716"/>
      <c r="AZ87" s="716"/>
      <c r="BA87" s="716"/>
      <c r="BB87" s="716"/>
      <c r="BC87" s="716"/>
      <c r="BD87" s="716"/>
      <c r="BE87" s="716"/>
      <c r="BF87" s="716"/>
      <c r="BG87" s="716"/>
      <c r="BH87" s="716"/>
      <c r="BI87" s="716"/>
      <c r="BJ87" s="716"/>
      <c r="BK87" s="716"/>
      <c r="IE87" s="1226"/>
    </row>
    <row r="88" spans="1:239" s="1223" customFormat="1" ht="15" customHeight="1" x14ac:dyDescent="0.25">
      <c r="A88" s="730"/>
      <c r="B88" s="1738"/>
      <c r="C88" s="1815"/>
      <c r="D88" s="1815"/>
      <c r="E88" s="1815"/>
      <c r="F88" s="1627" t="s">
        <v>118</v>
      </c>
      <c r="G88" s="735"/>
      <c r="H88" s="735"/>
      <c r="I88" s="716"/>
      <c r="J88" s="735"/>
      <c r="K88" s="735"/>
      <c r="L88" s="735"/>
      <c r="M88" s="735"/>
      <c r="N88" s="735"/>
      <c r="O88" s="735"/>
      <c r="P88" s="735"/>
      <c r="Q88" s="735"/>
      <c r="R88" s="735"/>
      <c r="S88" s="735"/>
      <c r="T88" s="735"/>
      <c r="U88" s="735"/>
      <c r="V88" s="735"/>
      <c r="W88" s="735"/>
      <c r="X88" s="735"/>
      <c r="Y88" s="735"/>
      <c r="Z88" s="735"/>
      <c r="AA88" s="735"/>
      <c r="AB88" s="735"/>
      <c r="AC88" s="735"/>
      <c r="AD88" s="735"/>
      <c r="AE88" s="735"/>
      <c r="AF88" s="735"/>
      <c r="AG88" s="735"/>
      <c r="AH88" s="735"/>
      <c r="AI88" s="735"/>
      <c r="AJ88" s="735"/>
      <c r="AK88" s="735"/>
      <c r="AL88" s="735"/>
      <c r="AM88" s="735"/>
      <c r="AN88" s="735"/>
      <c r="AO88" s="735"/>
      <c r="AP88" s="735"/>
      <c r="AQ88" s="735"/>
      <c r="AR88" s="735"/>
      <c r="AS88" s="735"/>
      <c r="AT88" s="735"/>
      <c r="AU88" s="735"/>
      <c r="AV88" s="735"/>
      <c r="AW88" s="735"/>
      <c r="AX88" s="735"/>
      <c r="AY88" s="735"/>
      <c r="AZ88" s="735"/>
      <c r="BA88" s="735"/>
      <c r="BB88" s="735"/>
      <c r="BC88" s="735"/>
      <c r="BD88" s="735"/>
      <c r="BE88" s="735"/>
      <c r="BF88" s="735"/>
      <c r="BG88" s="735"/>
      <c r="BH88" s="735"/>
      <c r="BI88" s="735"/>
      <c r="BJ88" s="735"/>
      <c r="BK88" s="735"/>
      <c r="BL88" s="735"/>
      <c r="BM88" s="735"/>
      <c r="BN88" s="735"/>
      <c r="BO88" s="735"/>
      <c r="BP88" s="735"/>
      <c r="BQ88" s="735"/>
      <c r="BR88" s="735"/>
      <c r="BS88" s="735"/>
      <c r="BT88" s="735"/>
      <c r="BU88" s="735"/>
      <c r="BV88" s="735"/>
      <c r="BW88" s="735"/>
      <c r="BX88" s="735"/>
      <c r="BY88" s="735"/>
      <c r="BZ88" s="735"/>
      <c r="CA88" s="735"/>
      <c r="CB88" s="735"/>
      <c r="CC88" s="735"/>
      <c r="CD88" s="735"/>
      <c r="CE88" s="735"/>
      <c r="CF88" s="735"/>
      <c r="CG88" s="735"/>
      <c r="CH88" s="735"/>
      <c r="CI88" s="735"/>
      <c r="CJ88" s="735"/>
      <c r="CK88" s="735"/>
      <c r="CL88" s="735"/>
      <c r="CM88" s="735"/>
      <c r="CN88" s="735"/>
      <c r="CO88" s="735"/>
      <c r="CP88" s="735"/>
      <c r="IE88" s="1227"/>
    </row>
    <row r="89" spans="1:239" s="1223" customFormat="1" ht="15" customHeight="1" x14ac:dyDescent="0.25">
      <c r="A89" s="730"/>
      <c r="B89" s="1630" t="s">
        <v>1525</v>
      </c>
      <c r="C89" s="1630"/>
      <c r="D89" s="1630"/>
      <c r="E89" s="1631"/>
      <c r="F89" s="1250"/>
      <c r="I89" s="716"/>
      <c r="L89" s="735"/>
      <c r="M89" s="735"/>
      <c r="N89" s="735"/>
      <c r="O89" s="735"/>
      <c r="P89" s="735"/>
      <c r="Q89" s="735"/>
      <c r="R89" s="735"/>
      <c r="S89" s="735"/>
      <c r="T89" s="735"/>
      <c r="U89" s="735"/>
      <c r="V89" s="735"/>
      <c r="W89" s="735"/>
      <c r="X89" s="735"/>
      <c r="Y89" s="735"/>
      <c r="Z89" s="735"/>
      <c r="AA89" s="735"/>
      <c r="AB89" s="735"/>
      <c r="AC89" s="735"/>
      <c r="AD89" s="735"/>
      <c r="AE89" s="735"/>
      <c r="AF89" s="735"/>
      <c r="AG89" s="735"/>
      <c r="AH89" s="735"/>
      <c r="AI89" s="735"/>
      <c r="AJ89" s="735"/>
      <c r="AK89" s="735"/>
      <c r="AL89" s="735"/>
      <c r="AM89" s="735"/>
      <c r="AN89" s="735"/>
      <c r="AO89" s="735"/>
      <c r="AP89" s="735"/>
      <c r="AQ89" s="735"/>
      <c r="AR89" s="735"/>
      <c r="AS89" s="735"/>
      <c r="AT89" s="735"/>
      <c r="AU89" s="735"/>
      <c r="AV89" s="735"/>
      <c r="AW89" s="735"/>
      <c r="AX89" s="735"/>
      <c r="AY89" s="735"/>
      <c r="AZ89" s="735"/>
      <c r="BA89" s="735"/>
      <c r="BB89" s="735"/>
      <c r="BC89" s="735"/>
      <c r="BD89" s="735"/>
      <c r="BE89" s="735"/>
      <c r="BF89" s="735"/>
      <c r="BG89" s="735"/>
      <c r="BH89" s="735"/>
      <c r="BI89" s="735"/>
      <c r="BJ89" s="735"/>
      <c r="BK89" s="735"/>
      <c r="BL89" s="735"/>
      <c r="BM89" s="735"/>
      <c r="BN89" s="735"/>
      <c r="BO89" s="735"/>
      <c r="BP89" s="735"/>
      <c r="BQ89" s="735"/>
      <c r="BR89" s="735"/>
      <c r="BS89" s="735"/>
      <c r="BT89" s="735"/>
      <c r="BU89" s="735"/>
      <c r="BV89" s="735"/>
      <c r="BW89" s="735"/>
      <c r="BX89" s="735"/>
      <c r="BY89" s="735"/>
      <c r="BZ89" s="735"/>
      <c r="CA89" s="735"/>
      <c r="CB89" s="735"/>
      <c r="CC89" s="735"/>
      <c r="CD89" s="735"/>
      <c r="CE89" s="735"/>
      <c r="CF89" s="735"/>
      <c r="CG89" s="735"/>
      <c r="CH89" s="735"/>
      <c r="CI89" s="735"/>
      <c r="CJ89" s="735"/>
      <c r="CK89" s="735"/>
      <c r="CL89" s="735"/>
      <c r="CM89" s="735"/>
      <c r="CN89" s="735"/>
      <c r="CO89" s="735"/>
      <c r="CP89" s="735"/>
      <c r="IE89" s="1227"/>
    </row>
    <row r="90" spans="1:239" s="1223" customFormat="1" ht="15" customHeight="1" x14ac:dyDescent="0.25">
      <c r="A90" s="730"/>
      <c r="B90" s="1632" t="s">
        <v>1585</v>
      </c>
      <c r="C90" s="1632"/>
      <c r="D90" s="1632"/>
      <c r="E90" s="1633"/>
      <c r="F90" s="461"/>
      <c r="I90" s="716"/>
      <c r="L90" s="735"/>
      <c r="M90" s="735"/>
      <c r="N90" s="735"/>
      <c r="O90" s="735"/>
      <c r="P90" s="735"/>
      <c r="Q90" s="735"/>
      <c r="R90" s="735"/>
      <c r="S90" s="735"/>
      <c r="T90" s="735"/>
      <c r="U90" s="735"/>
      <c r="V90" s="735"/>
      <c r="W90" s="735"/>
      <c r="X90" s="735"/>
      <c r="Y90" s="735"/>
      <c r="Z90" s="735"/>
      <c r="AA90" s="735"/>
      <c r="AB90" s="735"/>
      <c r="AC90" s="735"/>
      <c r="AD90" s="735"/>
      <c r="AE90" s="735"/>
      <c r="AF90" s="735"/>
      <c r="AG90" s="735"/>
      <c r="AH90" s="735"/>
      <c r="AI90" s="735"/>
      <c r="AJ90" s="735"/>
      <c r="AK90" s="735"/>
      <c r="AL90" s="735"/>
      <c r="AM90" s="735"/>
      <c r="AN90" s="735"/>
      <c r="AO90" s="735"/>
      <c r="AP90" s="735"/>
      <c r="AQ90" s="735"/>
      <c r="AR90" s="735"/>
      <c r="AS90" s="735"/>
      <c r="AT90" s="735"/>
      <c r="AU90" s="735"/>
      <c r="AV90" s="735"/>
      <c r="AW90" s="735"/>
      <c r="AX90" s="735"/>
      <c r="AY90" s="735"/>
      <c r="AZ90" s="735"/>
      <c r="BA90" s="735"/>
      <c r="BB90" s="735"/>
      <c r="BC90" s="735"/>
      <c r="BD90" s="735"/>
      <c r="BE90" s="735"/>
      <c r="BF90" s="735"/>
      <c r="BG90" s="735"/>
      <c r="BH90" s="735"/>
      <c r="BI90" s="735"/>
      <c r="BJ90" s="735"/>
      <c r="BK90" s="735"/>
      <c r="BL90" s="735"/>
      <c r="BM90" s="735"/>
      <c r="BN90" s="735"/>
      <c r="BO90" s="735"/>
      <c r="BP90" s="735"/>
      <c r="BQ90" s="735"/>
      <c r="BR90" s="735"/>
      <c r="BS90" s="735"/>
      <c r="BT90" s="735"/>
      <c r="BU90" s="735"/>
      <c r="BV90" s="735"/>
      <c r="BW90" s="735"/>
      <c r="BX90" s="735"/>
      <c r="BY90" s="735"/>
      <c r="BZ90" s="735"/>
      <c r="CA90" s="735"/>
      <c r="CB90" s="735"/>
      <c r="CC90" s="735"/>
      <c r="CD90" s="735"/>
      <c r="CE90" s="735"/>
      <c r="CF90" s="735"/>
      <c r="CG90" s="735"/>
      <c r="CH90" s="735"/>
      <c r="CI90" s="735"/>
      <c r="CJ90" s="735"/>
      <c r="CK90" s="735"/>
      <c r="CL90" s="735"/>
      <c r="CM90" s="735"/>
      <c r="CN90" s="735"/>
      <c r="CO90" s="735"/>
      <c r="CP90" s="735"/>
      <c r="IE90" s="1227"/>
    </row>
    <row r="91" spans="1:239" s="1223" customFormat="1" ht="15" customHeight="1" x14ac:dyDescent="0.25">
      <c r="A91" s="730"/>
      <c r="B91" s="1532" t="s">
        <v>1751</v>
      </c>
      <c r="C91" s="1535"/>
      <c r="D91" s="1262"/>
      <c r="E91" s="1263"/>
      <c r="F91" s="1246"/>
      <c r="I91" s="716"/>
      <c r="L91" s="735"/>
      <c r="M91" s="735"/>
      <c r="N91" s="735"/>
      <c r="O91" s="735"/>
      <c r="P91" s="735"/>
      <c r="Q91" s="735"/>
      <c r="R91" s="735"/>
      <c r="S91" s="735"/>
      <c r="T91" s="735"/>
      <c r="U91" s="735"/>
      <c r="V91" s="735"/>
      <c r="W91" s="735"/>
      <c r="X91" s="735"/>
      <c r="Y91" s="735"/>
      <c r="Z91" s="735"/>
      <c r="AA91" s="735"/>
      <c r="AB91" s="735"/>
      <c r="AC91" s="735"/>
      <c r="AD91" s="735"/>
      <c r="AE91" s="735"/>
      <c r="AF91" s="735"/>
      <c r="AG91" s="735"/>
      <c r="AH91" s="735"/>
      <c r="AI91" s="735"/>
      <c r="AJ91" s="735"/>
      <c r="AK91" s="735"/>
      <c r="AL91" s="735"/>
      <c r="AM91" s="735"/>
      <c r="AN91" s="735"/>
      <c r="AO91" s="735"/>
      <c r="AP91" s="735"/>
      <c r="AQ91" s="735"/>
      <c r="AR91" s="735"/>
      <c r="AS91" s="735"/>
      <c r="AT91" s="735"/>
      <c r="AU91" s="735"/>
      <c r="AV91" s="735"/>
      <c r="AW91" s="735"/>
      <c r="AX91" s="735"/>
      <c r="AY91" s="735"/>
      <c r="AZ91" s="735"/>
      <c r="BA91" s="735"/>
      <c r="BB91" s="735"/>
      <c r="BC91" s="735"/>
      <c r="BD91" s="735"/>
      <c r="BE91" s="735"/>
      <c r="BF91" s="735"/>
      <c r="BG91" s="735"/>
      <c r="BH91" s="735"/>
      <c r="BI91" s="735"/>
      <c r="BJ91" s="735"/>
      <c r="BK91" s="735"/>
      <c r="BL91" s="735"/>
      <c r="BM91" s="735"/>
      <c r="BN91" s="735"/>
      <c r="BO91" s="735"/>
      <c r="BP91" s="735"/>
      <c r="BQ91" s="735"/>
      <c r="BR91" s="735"/>
      <c r="BS91" s="735"/>
      <c r="BT91" s="735"/>
      <c r="BU91" s="735"/>
      <c r="BV91" s="735"/>
      <c r="BW91" s="735"/>
      <c r="BX91" s="735"/>
      <c r="BY91" s="735"/>
      <c r="BZ91" s="735"/>
      <c r="CA91" s="735"/>
      <c r="CB91" s="735"/>
      <c r="CC91" s="735"/>
      <c r="CD91" s="735"/>
      <c r="CE91" s="735"/>
      <c r="CF91" s="735"/>
      <c r="CG91" s="735"/>
      <c r="CH91" s="735"/>
      <c r="CI91" s="735"/>
      <c r="CJ91" s="735"/>
      <c r="CK91" s="735"/>
      <c r="CL91" s="735"/>
      <c r="CM91" s="735"/>
      <c r="CN91" s="735"/>
      <c r="CO91" s="735"/>
      <c r="CP91" s="735"/>
      <c r="IE91" s="1227"/>
    </row>
    <row r="92" spans="1:239" s="1223" customFormat="1" ht="15" customHeight="1" x14ac:dyDescent="0.25">
      <c r="A92" s="730"/>
      <c r="B92" s="1532" t="s">
        <v>1752</v>
      </c>
      <c r="C92" s="1535"/>
      <c r="D92" s="1262"/>
      <c r="E92" s="1263"/>
      <c r="F92" s="1246"/>
      <c r="I92" s="716"/>
      <c r="L92" s="735"/>
      <c r="M92" s="735"/>
      <c r="N92" s="735"/>
      <c r="O92" s="735"/>
      <c r="P92" s="735"/>
      <c r="Q92" s="735"/>
      <c r="R92" s="735"/>
      <c r="S92" s="735"/>
      <c r="T92" s="735"/>
      <c r="U92" s="735"/>
      <c r="V92" s="735"/>
      <c r="W92" s="735"/>
      <c r="X92" s="735"/>
      <c r="Y92" s="735"/>
      <c r="Z92" s="735"/>
      <c r="AA92" s="735"/>
      <c r="AB92" s="735"/>
      <c r="AC92" s="735"/>
      <c r="AD92" s="735"/>
      <c r="AE92" s="735"/>
      <c r="AF92" s="735"/>
      <c r="AG92" s="735"/>
      <c r="AH92" s="735"/>
      <c r="AI92" s="735"/>
      <c r="AJ92" s="735"/>
      <c r="AK92" s="735"/>
      <c r="AL92" s="735"/>
      <c r="AM92" s="735"/>
      <c r="AN92" s="735"/>
      <c r="AO92" s="735"/>
      <c r="AP92" s="735"/>
      <c r="AQ92" s="735"/>
      <c r="AR92" s="735"/>
      <c r="AS92" s="735"/>
      <c r="AT92" s="735"/>
      <c r="AU92" s="735"/>
      <c r="AV92" s="735"/>
      <c r="AW92" s="735"/>
      <c r="AX92" s="735"/>
      <c r="AY92" s="735"/>
      <c r="AZ92" s="735"/>
      <c r="BA92" s="735"/>
      <c r="BB92" s="735"/>
      <c r="BC92" s="735"/>
      <c r="BD92" s="735"/>
      <c r="BE92" s="735"/>
      <c r="BF92" s="735"/>
      <c r="BG92" s="735"/>
      <c r="BH92" s="735"/>
      <c r="BI92" s="735"/>
      <c r="BJ92" s="735"/>
      <c r="BK92" s="735"/>
      <c r="BL92" s="735"/>
      <c r="BM92" s="735"/>
      <c r="BN92" s="735"/>
      <c r="BO92" s="735"/>
      <c r="BP92" s="735"/>
      <c r="BQ92" s="735"/>
      <c r="BR92" s="735"/>
      <c r="BS92" s="735"/>
      <c r="BT92" s="735"/>
      <c r="BU92" s="735"/>
      <c r="BV92" s="735"/>
      <c r="BW92" s="735"/>
      <c r="BX92" s="735"/>
      <c r="BY92" s="735"/>
      <c r="BZ92" s="735"/>
      <c r="CA92" s="735"/>
      <c r="CB92" s="735"/>
      <c r="CC92" s="735"/>
      <c r="CD92" s="735"/>
      <c r="CE92" s="735"/>
      <c r="CF92" s="735"/>
      <c r="CG92" s="735"/>
      <c r="CH92" s="735"/>
      <c r="CI92" s="735"/>
      <c r="CJ92" s="735"/>
      <c r="CK92" s="735"/>
      <c r="CL92" s="735"/>
      <c r="CM92" s="735"/>
      <c r="CN92" s="735"/>
      <c r="CO92" s="735"/>
      <c r="CP92" s="735"/>
      <c r="IE92" s="1227"/>
    </row>
    <row r="93" spans="1:239" s="1223" customFormat="1" ht="15" customHeight="1" x14ac:dyDescent="0.25">
      <c r="A93" s="730"/>
      <c r="B93" s="1532" t="s">
        <v>1753</v>
      </c>
      <c r="C93" s="1535"/>
      <c r="D93" s="1262"/>
      <c r="E93" s="1263"/>
      <c r="F93" s="1246"/>
      <c r="I93" s="716"/>
      <c r="L93" s="735"/>
      <c r="M93" s="735"/>
      <c r="N93" s="735"/>
      <c r="O93" s="735"/>
      <c r="P93" s="735"/>
      <c r="Q93" s="735"/>
      <c r="R93" s="735"/>
      <c r="S93" s="735"/>
      <c r="T93" s="735"/>
      <c r="U93" s="735"/>
      <c r="V93" s="735"/>
      <c r="W93" s="735"/>
      <c r="X93" s="735"/>
      <c r="Y93" s="735"/>
      <c r="Z93" s="735"/>
      <c r="AA93" s="735"/>
      <c r="AB93" s="735"/>
      <c r="AC93" s="735"/>
      <c r="AD93" s="735"/>
      <c r="AE93" s="735"/>
      <c r="AF93" s="735"/>
      <c r="AG93" s="735"/>
      <c r="AH93" s="735"/>
      <c r="AI93" s="735"/>
      <c r="AJ93" s="735"/>
      <c r="AK93" s="735"/>
      <c r="AL93" s="735"/>
      <c r="AM93" s="735"/>
      <c r="AN93" s="735"/>
      <c r="AO93" s="735"/>
      <c r="AP93" s="735"/>
      <c r="AQ93" s="735"/>
      <c r="AR93" s="735"/>
      <c r="AS93" s="735"/>
      <c r="AT93" s="735"/>
      <c r="AU93" s="735"/>
      <c r="AV93" s="735"/>
      <c r="AW93" s="735"/>
      <c r="AX93" s="735"/>
      <c r="AY93" s="735"/>
      <c r="AZ93" s="735"/>
      <c r="BA93" s="735"/>
      <c r="BB93" s="735"/>
      <c r="BC93" s="735"/>
      <c r="BD93" s="735"/>
      <c r="BE93" s="735"/>
      <c r="BF93" s="735"/>
      <c r="BG93" s="735"/>
      <c r="BH93" s="735"/>
      <c r="BI93" s="735"/>
      <c r="BJ93" s="735"/>
      <c r="BK93" s="735"/>
      <c r="BL93" s="735"/>
      <c r="BM93" s="735"/>
      <c r="BN93" s="735"/>
      <c r="BO93" s="735"/>
      <c r="BP93" s="735"/>
      <c r="BQ93" s="735"/>
      <c r="BR93" s="735"/>
      <c r="BS93" s="735"/>
      <c r="BT93" s="735"/>
      <c r="BU93" s="735"/>
      <c r="BV93" s="735"/>
      <c r="BW93" s="735"/>
      <c r="BX93" s="735"/>
      <c r="BY93" s="735"/>
      <c r="BZ93" s="735"/>
      <c r="CA93" s="735"/>
      <c r="CB93" s="735"/>
      <c r="CC93" s="735"/>
      <c r="CD93" s="735"/>
      <c r="CE93" s="735"/>
      <c r="CF93" s="735"/>
      <c r="CG93" s="735"/>
      <c r="CH93" s="735"/>
      <c r="CI93" s="735"/>
      <c r="CJ93" s="735"/>
      <c r="CK93" s="735"/>
      <c r="CL93" s="735"/>
      <c r="CM93" s="735"/>
      <c r="CN93" s="735"/>
      <c r="CO93" s="735"/>
      <c r="CP93" s="735"/>
      <c r="IE93" s="1227"/>
    </row>
    <row r="94" spans="1:239" s="1223" customFormat="1" ht="15" customHeight="1" x14ac:dyDescent="0.25">
      <c r="A94" s="730"/>
      <c r="B94" s="1634" t="s">
        <v>1586</v>
      </c>
      <c r="C94" s="1634"/>
      <c r="D94" s="1634"/>
      <c r="E94" s="1635"/>
      <c r="F94" s="1243"/>
      <c r="I94" s="716"/>
      <c r="L94" s="735"/>
      <c r="M94" s="735"/>
      <c r="N94" s="735"/>
      <c r="O94" s="735"/>
      <c r="P94" s="735"/>
      <c r="Q94" s="735"/>
      <c r="R94" s="735"/>
      <c r="S94" s="735"/>
      <c r="T94" s="735"/>
      <c r="U94" s="735"/>
      <c r="V94" s="735"/>
      <c r="W94" s="735"/>
      <c r="X94" s="735"/>
      <c r="Y94" s="735"/>
      <c r="Z94" s="735"/>
      <c r="AA94" s="735"/>
      <c r="AB94" s="735"/>
      <c r="AC94" s="735"/>
      <c r="AD94" s="735"/>
      <c r="AE94" s="735"/>
      <c r="AF94" s="735"/>
      <c r="AG94" s="735"/>
      <c r="AH94" s="735"/>
      <c r="AI94" s="735"/>
      <c r="AJ94" s="735"/>
      <c r="AK94" s="735"/>
      <c r="AL94" s="735"/>
      <c r="AM94" s="735"/>
      <c r="AN94" s="735"/>
      <c r="AO94" s="735"/>
      <c r="AP94" s="735"/>
      <c r="AQ94" s="735"/>
      <c r="AR94" s="735"/>
      <c r="AS94" s="735"/>
      <c r="AT94" s="735"/>
      <c r="AU94" s="735"/>
      <c r="AV94" s="735"/>
      <c r="AW94" s="735"/>
      <c r="AX94" s="735"/>
      <c r="AY94" s="735"/>
      <c r="AZ94" s="735"/>
      <c r="BA94" s="735"/>
      <c r="BB94" s="735"/>
      <c r="BC94" s="735"/>
      <c r="BD94" s="735"/>
      <c r="BE94" s="735"/>
      <c r="BF94" s="735"/>
      <c r="BG94" s="735"/>
      <c r="BH94" s="735"/>
      <c r="BI94" s="735"/>
      <c r="BJ94" s="735"/>
      <c r="BK94" s="735"/>
      <c r="BL94" s="735"/>
      <c r="BM94" s="735"/>
      <c r="BN94" s="735"/>
      <c r="BO94" s="735"/>
      <c r="BP94" s="735"/>
      <c r="BQ94" s="735"/>
      <c r="BR94" s="735"/>
      <c r="BS94" s="735"/>
      <c r="BT94" s="735"/>
      <c r="BU94" s="735"/>
      <c r="BV94" s="735"/>
      <c r="BW94" s="735"/>
      <c r="BX94" s="735"/>
      <c r="BY94" s="735"/>
      <c r="BZ94" s="735"/>
      <c r="CA94" s="735"/>
      <c r="CB94" s="735"/>
      <c r="CC94" s="735"/>
      <c r="CD94" s="735"/>
      <c r="CE94" s="735"/>
      <c r="CF94" s="735"/>
      <c r="CG94" s="735"/>
      <c r="CH94" s="735"/>
      <c r="CI94" s="735"/>
      <c r="CJ94" s="735"/>
      <c r="CK94" s="735"/>
      <c r="CL94" s="735"/>
      <c r="CM94" s="735"/>
      <c r="CN94" s="735"/>
      <c r="CO94" s="735"/>
      <c r="CP94" s="735"/>
      <c r="IE94" s="1227"/>
    </row>
    <row r="95" spans="1:239" s="1222" customFormat="1" ht="15" customHeight="1" x14ac:dyDescent="0.25">
      <c r="A95" s="821"/>
      <c r="B95" s="716"/>
      <c r="C95" s="716"/>
      <c r="D95" s="716"/>
      <c r="E95" s="716"/>
      <c r="F95" s="716"/>
      <c r="G95" s="716"/>
      <c r="H95" s="716"/>
      <c r="I95" s="716"/>
      <c r="J95" s="716"/>
      <c r="K95" s="716"/>
      <c r="L95" s="716"/>
      <c r="M95" s="716"/>
      <c r="N95" s="716"/>
      <c r="O95" s="716"/>
      <c r="P95" s="716"/>
      <c r="Q95" s="716"/>
      <c r="R95" s="716"/>
      <c r="S95" s="716"/>
      <c r="T95" s="716"/>
      <c r="U95" s="716"/>
      <c r="V95" s="716"/>
      <c r="W95" s="716"/>
      <c r="X95" s="716"/>
      <c r="Y95" s="716"/>
      <c r="Z95" s="716"/>
      <c r="AA95" s="716"/>
      <c r="AB95" s="716"/>
      <c r="AC95" s="716"/>
      <c r="AD95" s="716"/>
      <c r="AE95" s="716"/>
      <c r="AF95" s="716"/>
      <c r="AG95" s="716"/>
      <c r="AH95" s="716"/>
      <c r="AI95" s="749"/>
      <c r="AJ95" s="749"/>
      <c r="AK95" s="749"/>
      <c r="AL95" s="749"/>
      <c r="AM95" s="749"/>
      <c r="AN95" s="749"/>
      <c r="AO95" s="749"/>
      <c r="AP95" s="749"/>
      <c r="AQ95" s="749"/>
      <c r="AR95" s="749"/>
      <c r="AS95" s="749"/>
      <c r="AT95" s="749"/>
      <c r="AU95" s="749"/>
      <c r="AV95" s="749"/>
      <c r="AW95" s="749"/>
      <c r="AX95" s="749"/>
      <c r="AY95" s="749"/>
      <c r="AZ95" s="749"/>
      <c r="BA95" s="749"/>
      <c r="BB95" s="749"/>
      <c r="BC95" s="749"/>
      <c r="BD95" s="749"/>
      <c r="BE95" s="749"/>
      <c r="BF95" s="749"/>
      <c r="BG95" s="749"/>
      <c r="BH95" s="749"/>
      <c r="BI95" s="749"/>
      <c r="BJ95" s="749"/>
      <c r="BK95" s="749"/>
      <c r="BL95" s="1228"/>
      <c r="BM95" s="1228"/>
      <c r="BN95" s="1228"/>
      <c r="BO95" s="1228"/>
      <c r="BP95" s="1228"/>
      <c r="BQ95" s="1228"/>
      <c r="BR95" s="1228"/>
      <c r="BS95" s="1228"/>
      <c r="BT95" s="1228"/>
      <c r="BU95" s="1228"/>
      <c r="BV95" s="1228"/>
      <c r="BW95" s="1228"/>
      <c r="BX95" s="1228"/>
      <c r="BY95" s="1228"/>
      <c r="BZ95" s="1228"/>
      <c r="CA95" s="1228"/>
      <c r="CB95" s="1228"/>
      <c r="CC95" s="1228"/>
      <c r="CD95" s="1228"/>
      <c r="CE95" s="1228"/>
      <c r="CF95" s="1228"/>
      <c r="CG95" s="1228"/>
      <c r="CH95" s="1228"/>
      <c r="CI95" s="1228"/>
      <c r="CJ95" s="1228"/>
      <c r="CK95" s="1228"/>
      <c r="CL95" s="1228"/>
      <c r="CM95" s="1228"/>
      <c r="CN95" s="1228"/>
      <c r="CO95" s="1228"/>
      <c r="CP95" s="1228"/>
      <c r="CQ95" s="1228"/>
      <c r="CR95" s="1228"/>
      <c r="CS95" s="1228"/>
      <c r="CT95" s="1228"/>
      <c r="CU95" s="1228"/>
      <c r="CV95" s="1228"/>
      <c r="CW95" s="1228"/>
      <c r="CX95" s="1228"/>
      <c r="CY95" s="1228"/>
      <c r="CZ95" s="1228"/>
      <c r="DA95" s="1228"/>
      <c r="DB95" s="1228"/>
      <c r="DC95" s="1228"/>
      <c r="DD95" s="1228"/>
      <c r="DE95" s="1228"/>
      <c r="DF95" s="1228"/>
      <c r="DG95" s="1228"/>
      <c r="DH95" s="1228"/>
      <c r="DI95" s="1228"/>
      <c r="DJ95" s="1228"/>
      <c r="DK95" s="1228"/>
      <c r="DL95" s="1228"/>
      <c r="DM95" s="1228"/>
      <c r="DN95" s="1228"/>
      <c r="DO95" s="1228"/>
      <c r="DP95" s="1228"/>
      <c r="DQ95" s="1228"/>
      <c r="DR95" s="1228"/>
      <c r="DS95" s="1228"/>
      <c r="DT95" s="1228"/>
      <c r="DU95" s="1228"/>
      <c r="DV95" s="1228"/>
      <c r="DW95" s="1228"/>
      <c r="DX95" s="1228"/>
      <c r="DY95" s="1228"/>
      <c r="DZ95" s="1228"/>
      <c r="EA95" s="1228"/>
      <c r="EB95" s="1228"/>
      <c r="EC95" s="1228"/>
      <c r="ED95" s="1228"/>
      <c r="EE95" s="1228"/>
      <c r="EF95" s="1228"/>
      <c r="EG95" s="1228"/>
      <c r="EH95" s="1228"/>
      <c r="EI95" s="1228"/>
      <c r="EJ95" s="1228"/>
      <c r="EK95" s="1228"/>
      <c r="EL95" s="1228"/>
      <c r="EM95" s="1228"/>
      <c r="EN95" s="1228"/>
      <c r="EO95" s="1228"/>
      <c r="EP95" s="1228"/>
      <c r="EQ95" s="1228"/>
      <c r="ER95" s="1228"/>
      <c r="ES95" s="1228"/>
      <c r="ET95" s="1228"/>
      <c r="EU95" s="1228"/>
      <c r="EV95" s="1228"/>
      <c r="EW95" s="1228"/>
      <c r="EX95" s="1228"/>
      <c r="EY95" s="1228"/>
      <c r="EZ95" s="1228"/>
      <c r="FA95" s="1228"/>
      <c r="FB95" s="1228"/>
      <c r="FC95" s="1228"/>
      <c r="FD95" s="1228"/>
      <c r="FE95" s="1228"/>
      <c r="FF95" s="1228"/>
      <c r="FG95" s="1228"/>
      <c r="FH95" s="1228"/>
      <c r="FI95" s="1228"/>
      <c r="FJ95" s="1228"/>
      <c r="FK95" s="1228"/>
      <c r="FL95" s="1228"/>
      <c r="FM95" s="1228"/>
      <c r="FN95" s="1228"/>
      <c r="FO95" s="1228"/>
      <c r="FP95" s="1228"/>
      <c r="FQ95" s="1228"/>
      <c r="FR95" s="1228"/>
      <c r="FS95" s="1228"/>
      <c r="FT95" s="1228"/>
      <c r="FU95" s="1228"/>
      <c r="FV95" s="1228"/>
      <c r="FW95" s="1228"/>
      <c r="FX95" s="1228"/>
      <c r="FY95" s="1228"/>
      <c r="FZ95" s="1228"/>
      <c r="GA95" s="1228"/>
      <c r="GB95" s="1228"/>
      <c r="GC95" s="1228"/>
      <c r="GD95" s="1228"/>
      <c r="GE95" s="1228"/>
      <c r="GF95" s="1228"/>
      <c r="GG95" s="1228"/>
      <c r="GH95" s="1228"/>
      <c r="GI95" s="1228"/>
      <c r="GJ95" s="1228"/>
      <c r="GK95" s="1228"/>
      <c r="GL95" s="1228"/>
      <c r="GM95" s="1228"/>
      <c r="GN95" s="1228"/>
      <c r="GO95" s="1228"/>
      <c r="GP95" s="1228"/>
      <c r="GQ95" s="1228"/>
      <c r="GR95" s="1228"/>
      <c r="GS95" s="1228"/>
      <c r="GT95" s="1228"/>
      <c r="GU95" s="1228"/>
      <c r="GV95" s="1228"/>
      <c r="GW95" s="1228"/>
      <c r="GX95" s="1228"/>
      <c r="GY95" s="1228"/>
      <c r="GZ95" s="1228"/>
      <c r="HA95" s="1228"/>
      <c r="HB95" s="1228"/>
      <c r="HC95" s="1228"/>
      <c r="HD95" s="1228"/>
      <c r="HE95" s="1228"/>
      <c r="HF95" s="1228"/>
      <c r="HG95" s="1228"/>
      <c r="HH95" s="1228"/>
      <c r="HI95" s="1228"/>
      <c r="HJ95" s="1228"/>
      <c r="HK95" s="1228"/>
      <c r="HL95" s="1228"/>
      <c r="HM95" s="1228"/>
      <c r="HN95" s="1228"/>
      <c r="HO95" s="1228"/>
      <c r="HP95" s="1228"/>
      <c r="HQ95" s="1228"/>
      <c r="HR95" s="1228"/>
      <c r="HS95" s="1228"/>
      <c r="HT95" s="1228"/>
      <c r="HU95" s="1228"/>
      <c r="HV95" s="1228"/>
      <c r="HW95" s="1228"/>
      <c r="HX95" s="1228"/>
      <c r="HY95" s="1228"/>
      <c r="HZ95" s="1228"/>
      <c r="IA95" s="1228"/>
      <c r="IB95" s="1228"/>
      <c r="IC95" s="1228"/>
      <c r="ID95" s="1228"/>
      <c r="IE95" s="1229"/>
    </row>
    <row r="96" spans="1:239" s="1222" customFormat="1" ht="45" customHeight="1" x14ac:dyDescent="0.25">
      <c r="A96" s="780" t="s">
        <v>864</v>
      </c>
      <c r="B96" s="725"/>
      <c r="C96" s="725"/>
      <c r="D96" s="725"/>
      <c r="E96" s="725"/>
      <c r="F96" s="725"/>
      <c r="G96" s="725"/>
      <c r="H96" s="725"/>
      <c r="I96" s="725"/>
      <c r="J96" s="725"/>
      <c r="K96" s="1264"/>
      <c r="L96" s="1264"/>
      <c r="M96" s="1264"/>
      <c r="N96" s="1264"/>
      <c r="O96" s="1264"/>
      <c r="P96" s="1264"/>
      <c r="Q96" s="1264"/>
      <c r="R96" s="1264"/>
      <c r="S96" s="1264"/>
      <c r="T96" s="1264"/>
      <c r="U96" s="1264"/>
      <c r="V96" s="1264"/>
      <c r="W96" s="1264"/>
      <c r="X96" s="1264"/>
      <c r="Y96" s="1264"/>
      <c r="Z96" s="1264"/>
      <c r="AA96" s="1264"/>
      <c r="AB96" s="1264"/>
      <c r="AC96" s="1264"/>
      <c r="AD96" s="1264"/>
      <c r="AE96" s="1264"/>
      <c r="AF96" s="1264"/>
      <c r="AG96" s="1264"/>
      <c r="AH96" s="1264"/>
      <c r="AI96" s="729"/>
      <c r="AJ96" s="729"/>
      <c r="AK96" s="729"/>
      <c r="AL96" s="729"/>
      <c r="AM96" s="729"/>
      <c r="AN96" s="729"/>
      <c r="AO96" s="729"/>
      <c r="AP96" s="729"/>
      <c r="AQ96" s="729"/>
      <c r="AR96" s="729"/>
      <c r="AS96" s="729"/>
      <c r="AT96" s="729"/>
      <c r="AU96" s="729"/>
      <c r="AV96" s="729"/>
      <c r="AW96" s="729"/>
      <c r="AX96" s="729"/>
      <c r="AY96" s="729"/>
      <c r="AZ96" s="729"/>
      <c r="BA96" s="729"/>
      <c r="BB96" s="729"/>
      <c r="BC96" s="729"/>
      <c r="BD96" s="729"/>
      <c r="BE96" s="729"/>
      <c r="BF96" s="729"/>
      <c r="BG96" s="729"/>
      <c r="BH96" s="729"/>
      <c r="BI96" s="729"/>
      <c r="BJ96" s="729"/>
      <c r="BK96" s="729"/>
      <c r="IE96" s="1226"/>
    </row>
    <row r="97" spans="1:239" s="1222" customFormat="1" ht="15" customHeight="1" x14ac:dyDescent="0.25">
      <c r="A97" s="821"/>
      <c r="B97" s="716"/>
      <c r="C97" s="716"/>
      <c r="D97" s="716"/>
      <c r="E97" s="716"/>
      <c r="F97" s="716"/>
      <c r="G97" s="716"/>
      <c r="H97" s="716"/>
      <c r="I97" s="716"/>
      <c r="J97" s="716"/>
      <c r="K97" s="716"/>
      <c r="L97" s="716"/>
      <c r="M97" s="716"/>
      <c r="N97" s="716"/>
      <c r="O97" s="716"/>
      <c r="P97" s="716"/>
      <c r="Q97" s="716"/>
      <c r="R97" s="716"/>
      <c r="S97" s="716"/>
      <c r="T97" s="716"/>
      <c r="U97" s="716"/>
      <c r="V97" s="716"/>
      <c r="W97" s="716"/>
      <c r="X97" s="716"/>
      <c r="Y97" s="716"/>
      <c r="Z97" s="716"/>
      <c r="AA97" s="716"/>
      <c r="AB97" s="716"/>
      <c r="AC97" s="716"/>
      <c r="AD97" s="716"/>
      <c r="AE97" s="716"/>
      <c r="AF97" s="716"/>
      <c r="AG97" s="716"/>
      <c r="AH97" s="716"/>
      <c r="AI97" s="716"/>
      <c r="AJ97" s="716"/>
      <c r="AK97" s="716"/>
      <c r="AL97" s="716"/>
      <c r="AM97" s="716"/>
      <c r="AN97" s="716"/>
      <c r="AO97" s="716"/>
      <c r="AP97" s="716"/>
      <c r="AQ97" s="716"/>
      <c r="AR97" s="716"/>
      <c r="AS97" s="716"/>
      <c r="AT97" s="716"/>
      <c r="AU97" s="716"/>
      <c r="AV97" s="716"/>
      <c r="AW97" s="716"/>
      <c r="AX97" s="716"/>
      <c r="AY97" s="716"/>
      <c r="AZ97" s="716"/>
      <c r="BA97" s="716"/>
      <c r="BB97" s="716"/>
      <c r="BC97" s="716"/>
      <c r="BD97" s="716"/>
      <c r="BE97" s="716"/>
      <c r="BF97" s="716"/>
      <c r="BG97" s="716"/>
      <c r="BH97" s="716"/>
      <c r="BI97" s="716"/>
      <c r="BJ97" s="716"/>
      <c r="BK97" s="716"/>
      <c r="IE97" s="1226"/>
    </row>
    <row r="98" spans="1:239" s="1222" customFormat="1" ht="15" customHeight="1" x14ac:dyDescent="0.25">
      <c r="A98" s="821"/>
      <c r="B98" s="1853" t="s">
        <v>898</v>
      </c>
      <c r="C98" s="1894" t="s">
        <v>853</v>
      </c>
      <c r="D98" s="1895"/>
      <c r="E98" s="1896"/>
      <c r="F98" s="1687" t="s">
        <v>1525</v>
      </c>
      <c r="G98" s="1687"/>
      <c r="H98" s="1687"/>
      <c r="I98" s="1687"/>
      <c r="J98" s="1687"/>
      <c r="K98" s="1687"/>
      <c r="L98" s="1687"/>
      <c r="M98" s="1687"/>
      <c r="N98" s="1893"/>
      <c r="O98" s="1848" t="s">
        <v>1585</v>
      </c>
      <c r="P98" s="1845"/>
      <c r="Q98" s="1845"/>
      <c r="R98" s="1845"/>
      <c r="S98" s="1845"/>
      <c r="T98" s="1887"/>
      <c r="U98" s="1888" t="s">
        <v>1586</v>
      </c>
      <c r="V98" s="1677"/>
      <c r="W98" s="1677"/>
      <c r="X98" s="1677"/>
      <c r="Y98" s="1677"/>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6"/>
      <c r="AY98" s="716"/>
      <c r="AZ98" s="716"/>
      <c r="BA98" s="716"/>
      <c r="BB98" s="716"/>
      <c r="BC98" s="716"/>
      <c r="BD98" s="716"/>
      <c r="BE98" s="716"/>
      <c r="BF98" s="716"/>
      <c r="BG98" s="716"/>
      <c r="BH98" s="716"/>
      <c r="BI98" s="716"/>
      <c r="BJ98" s="716"/>
      <c r="BK98" s="716"/>
      <c r="IE98" s="1226"/>
    </row>
    <row r="99" spans="1:239" s="1222" customFormat="1" ht="15" customHeight="1" x14ac:dyDescent="0.25">
      <c r="A99" s="821"/>
      <c r="B99" s="1855"/>
      <c r="C99" s="1897"/>
      <c r="D99" s="1898"/>
      <c r="E99" s="1899"/>
      <c r="F99" s="1629" t="s">
        <v>821</v>
      </c>
      <c r="G99" s="1653" t="s">
        <v>1802</v>
      </c>
      <c r="H99" s="1629" t="s">
        <v>822</v>
      </c>
      <c r="I99" s="1629" t="s">
        <v>1526</v>
      </c>
      <c r="J99" s="1629" t="s">
        <v>1527</v>
      </c>
      <c r="K99" s="1629" t="s">
        <v>823</v>
      </c>
      <c r="L99" s="1629" t="s">
        <v>1528</v>
      </c>
      <c r="M99" s="1629" t="s">
        <v>824</v>
      </c>
      <c r="N99" s="1639" t="s">
        <v>1529</v>
      </c>
      <c r="O99" s="1516" t="s">
        <v>821</v>
      </c>
      <c r="P99" s="1653" t="s">
        <v>1802</v>
      </c>
      <c r="Q99" s="1629" t="s">
        <v>822</v>
      </c>
      <c r="R99" s="1629" t="s">
        <v>1748</v>
      </c>
      <c r="S99" s="1629" t="s">
        <v>1749</v>
      </c>
      <c r="T99" s="1639" t="s">
        <v>1750</v>
      </c>
      <c r="U99" s="1516" t="s">
        <v>821</v>
      </c>
      <c r="V99" s="1653" t="s">
        <v>1805</v>
      </c>
      <c r="W99" s="1629" t="s">
        <v>1615</v>
      </c>
      <c r="X99" s="1629" t="s">
        <v>1614</v>
      </c>
      <c r="Y99" s="1652" t="s">
        <v>1619</v>
      </c>
      <c r="Z99" s="716"/>
      <c r="AA99" s="716"/>
      <c r="AB99" s="716"/>
      <c r="AC99" s="716"/>
      <c r="AD99" s="716"/>
      <c r="AE99" s="716"/>
      <c r="AF99" s="716"/>
      <c r="AG99" s="716"/>
      <c r="AH99" s="716"/>
      <c r="AI99" s="716"/>
      <c r="AJ99" s="716"/>
      <c r="AK99" s="716"/>
      <c r="AL99" s="716"/>
      <c r="AM99" s="716"/>
      <c r="AN99" s="716"/>
      <c r="AO99" s="716"/>
      <c r="AP99" s="716"/>
      <c r="AQ99" s="716"/>
      <c r="AR99" s="716"/>
      <c r="AS99" s="716"/>
      <c r="AT99" s="716"/>
      <c r="AU99" s="716"/>
      <c r="AV99" s="716"/>
      <c r="AW99" s="716"/>
      <c r="AX99" s="716"/>
      <c r="AY99" s="716"/>
      <c r="AZ99" s="716"/>
      <c r="BA99" s="716"/>
      <c r="BB99" s="716"/>
      <c r="BC99" s="716"/>
      <c r="BD99" s="716"/>
      <c r="BE99" s="716"/>
      <c r="BF99" s="716"/>
      <c r="BG99" s="716"/>
      <c r="BH99" s="716"/>
      <c r="BI99" s="716"/>
      <c r="BJ99" s="716"/>
      <c r="BK99" s="716"/>
      <c r="IE99" s="1226"/>
    </row>
    <row r="100" spans="1:239" s="1223" customFormat="1" ht="15" customHeight="1" x14ac:dyDescent="0.25">
      <c r="A100" s="821"/>
      <c r="B100" s="826">
        <v>1</v>
      </c>
      <c r="C100" s="1849" t="s">
        <v>865</v>
      </c>
      <c r="D100" s="1850"/>
      <c r="E100" s="1850"/>
      <c r="F100" s="1247"/>
      <c r="G100" s="1247"/>
      <c r="H100" s="1247"/>
      <c r="I100" s="1247"/>
      <c r="J100" s="1247"/>
      <c r="K100" s="1247"/>
      <c r="L100" s="1247"/>
      <c r="M100" s="1247"/>
      <c r="N100" s="1250"/>
      <c r="O100" s="1249"/>
      <c r="P100" s="1247"/>
      <c r="Q100" s="1247"/>
      <c r="R100" s="1247"/>
      <c r="S100" s="1247"/>
      <c r="T100" s="1251"/>
      <c r="U100" s="1249"/>
      <c r="V100" s="1247"/>
      <c r="W100" s="1247"/>
      <c r="X100" s="1247"/>
      <c r="Y100" s="1250"/>
      <c r="Z100" s="716"/>
      <c r="AA100" s="716"/>
      <c r="AB100" s="716"/>
      <c r="AC100" s="716"/>
      <c r="AD100" s="716"/>
      <c r="AE100" s="716"/>
      <c r="AF100" s="716"/>
      <c r="AG100" s="716"/>
      <c r="AH100" s="716"/>
      <c r="AI100" s="716"/>
      <c r="AJ100" s="716"/>
      <c r="AK100" s="716"/>
      <c r="AL100" s="716"/>
      <c r="AM100" s="716"/>
      <c r="AN100" s="716"/>
      <c r="AO100" s="716"/>
      <c r="AP100" s="716"/>
      <c r="AQ100" s="716"/>
      <c r="AR100" s="716"/>
      <c r="AS100" s="716"/>
      <c r="AT100" s="716"/>
      <c r="AU100" s="716"/>
      <c r="AV100" s="716"/>
      <c r="AW100" s="716"/>
      <c r="AX100" s="716"/>
      <c r="AY100" s="716"/>
      <c r="AZ100" s="716"/>
      <c r="BA100" s="716"/>
      <c r="BB100" s="716"/>
      <c r="BC100" s="716"/>
      <c r="BD100" s="716"/>
      <c r="BE100" s="716"/>
      <c r="BF100" s="716"/>
      <c r="BG100" s="716"/>
      <c r="BH100" s="716"/>
      <c r="BI100" s="716"/>
      <c r="BJ100" s="716"/>
      <c r="BK100" s="716"/>
      <c r="IE100" s="1227"/>
    </row>
    <row r="101" spans="1:239" s="1223" customFormat="1" ht="15" customHeight="1" x14ac:dyDescent="0.25">
      <c r="A101" s="821"/>
      <c r="B101" s="829">
        <v>2</v>
      </c>
      <c r="C101" s="1851" t="s">
        <v>869</v>
      </c>
      <c r="D101" s="1852"/>
      <c r="E101" s="1852"/>
      <c r="F101" s="1241"/>
      <c r="G101" s="1241"/>
      <c r="H101" s="1241"/>
      <c r="I101" s="1241"/>
      <c r="J101" s="1241"/>
      <c r="K101" s="1241"/>
      <c r="L101" s="1241"/>
      <c r="M101" s="1241"/>
      <c r="N101" s="1242"/>
      <c r="O101" s="1252"/>
      <c r="P101" s="1241"/>
      <c r="Q101" s="1241"/>
      <c r="R101" s="1241"/>
      <c r="S101" s="1241"/>
      <c r="T101" s="1253"/>
      <c r="U101" s="1252"/>
      <c r="V101" s="1241"/>
      <c r="W101" s="1241"/>
      <c r="X101" s="1241"/>
      <c r="Y101" s="1242"/>
      <c r="Z101" s="716"/>
      <c r="AA101" s="716"/>
      <c r="AB101" s="716"/>
      <c r="AC101" s="716"/>
      <c r="AD101" s="716"/>
      <c r="AE101" s="716"/>
      <c r="AF101" s="716"/>
      <c r="AG101" s="716"/>
      <c r="AH101" s="716"/>
      <c r="AI101" s="716"/>
      <c r="AJ101" s="716"/>
      <c r="AK101" s="716"/>
      <c r="AL101" s="716"/>
      <c r="AM101" s="716"/>
      <c r="AN101" s="716"/>
      <c r="AO101" s="716"/>
      <c r="AP101" s="716"/>
      <c r="AQ101" s="716"/>
      <c r="AR101" s="716"/>
      <c r="AS101" s="716"/>
      <c r="AT101" s="716"/>
      <c r="AU101" s="716"/>
      <c r="AV101" s="716"/>
      <c r="AW101" s="716"/>
      <c r="AX101" s="716"/>
      <c r="AY101" s="716"/>
      <c r="AZ101" s="716"/>
      <c r="BA101" s="716"/>
      <c r="BB101" s="716"/>
      <c r="BC101" s="716"/>
      <c r="BD101" s="716"/>
      <c r="BE101" s="716"/>
      <c r="BF101" s="716"/>
      <c r="BG101" s="716"/>
      <c r="BH101" s="716"/>
      <c r="BI101" s="716"/>
      <c r="BJ101" s="716"/>
      <c r="BK101" s="716"/>
      <c r="IE101" s="1227"/>
    </row>
    <row r="102" spans="1:239" s="1223" customFormat="1" ht="15" customHeight="1" x14ac:dyDescent="0.25">
      <c r="A102" s="821"/>
      <c r="B102" s="829">
        <v>3</v>
      </c>
      <c r="C102" s="1851" t="s">
        <v>866</v>
      </c>
      <c r="D102" s="1852"/>
      <c r="E102" s="1852"/>
      <c r="F102" s="1241"/>
      <c r="G102" s="1241"/>
      <c r="H102" s="1241"/>
      <c r="I102" s="1241"/>
      <c r="J102" s="1241"/>
      <c r="K102" s="1241"/>
      <c r="L102" s="1241"/>
      <c r="M102" s="1241"/>
      <c r="N102" s="1242"/>
      <c r="O102" s="1252"/>
      <c r="P102" s="1241"/>
      <c r="Q102" s="1241"/>
      <c r="R102" s="1241"/>
      <c r="S102" s="1241"/>
      <c r="T102" s="1253"/>
      <c r="U102" s="1252"/>
      <c r="V102" s="1241"/>
      <c r="W102" s="1241"/>
      <c r="X102" s="1241"/>
      <c r="Y102" s="1242"/>
      <c r="Z102" s="716"/>
      <c r="AA102" s="716"/>
      <c r="AB102" s="716"/>
      <c r="AC102" s="716"/>
      <c r="AD102" s="716"/>
      <c r="AE102" s="716"/>
      <c r="AF102" s="716"/>
      <c r="AG102" s="716"/>
      <c r="AH102" s="716"/>
      <c r="AI102" s="716"/>
      <c r="AJ102" s="716"/>
      <c r="AK102" s="716"/>
      <c r="AL102" s="716"/>
      <c r="AM102" s="716"/>
      <c r="AN102" s="716"/>
      <c r="AO102" s="716"/>
      <c r="AP102" s="716"/>
      <c r="AQ102" s="716"/>
      <c r="AR102" s="716"/>
      <c r="AS102" s="716"/>
      <c r="AT102" s="716"/>
      <c r="AU102" s="716"/>
      <c r="AV102" s="716"/>
      <c r="AW102" s="716"/>
      <c r="AX102" s="716"/>
      <c r="AY102" s="716"/>
      <c r="AZ102" s="716"/>
      <c r="BA102" s="716"/>
      <c r="BB102" s="716"/>
      <c r="BC102" s="716"/>
      <c r="BD102" s="716"/>
      <c r="BE102" s="716"/>
      <c r="BF102" s="716"/>
      <c r="BG102" s="716"/>
      <c r="BH102" s="716"/>
      <c r="BI102" s="716"/>
      <c r="BJ102" s="716"/>
      <c r="BK102" s="716"/>
      <c r="IE102" s="1227"/>
    </row>
    <row r="103" spans="1:239" s="1223" customFormat="1" ht="15" customHeight="1" x14ac:dyDescent="0.25">
      <c r="A103" s="821"/>
      <c r="B103" s="829">
        <v>4</v>
      </c>
      <c r="C103" s="1851" t="s">
        <v>867</v>
      </c>
      <c r="D103" s="1852"/>
      <c r="E103" s="1852"/>
      <c r="F103" s="1241"/>
      <c r="G103" s="1241"/>
      <c r="H103" s="1241"/>
      <c r="I103" s="1241"/>
      <c r="J103" s="1241"/>
      <c r="K103" s="1241"/>
      <c r="L103" s="1241"/>
      <c r="M103" s="1241"/>
      <c r="N103" s="1242"/>
      <c r="O103" s="1252"/>
      <c r="P103" s="1241"/>
      <c r="Q103" s="1241"/>
      <c r="R103" s="1241"/>
      <c r="S103" s="1241"/>
      <c r="T103" s="1253"/>
      <c r="U103" s="1252"/>
      <c r="V103" s="1241"/>
      <c r="W103" s="1241"/>
      <c r="X103" s="1241"/>
      <c r="Y103" s="1242"/>
      <c r="Z103" s="716"/>
      <c r="AA103" s="716"/>
      <c r="AB103" s="716"/>
      <c r="AC103" s="716"/>
      <c r="AD103" s="716"/>
      <c r="AE103" s="716"/>
      <c r="AF103" s="716"/>
      <c r="AG103" s="716"/>
      <c r="AH103" s="716"/>
      <c r="AI103" s="716"/>
      <c r="AJ103" s="716"/>
      <c r="AK103" s="716"/>
      <c r="AL103" s="716"/>
      <c r="AM103" s="716"/>
      <c r="AN103" s="716"/>
      <c r="AO103" s="716"/>
      <c r="AP103" s="716"/>
      <c r="AQ103" s="716"/>
      <c r="AR103" s="716"/>
      <c r="AS103" s="716"/>
      <c r="AT103" s="716"/>
      <c r="AU103" s="716"/>
      <c r="AV103" s="716"/>
      <c r="AW103" s="716"/>
      <c r="AX103" s="716"/>
      <c r="AY103" s="716"/>
      <c r="AZ103" s="716"/>
      <c r="BA103" s="716"/>
      <c r="BB103" s="716"/>
      <c r="BC103" s="716"/>
      <c r="BD103" s="716"/>
      <c r="BE103" s="716"/>
      <c r="BF103" s="716"/>
      <c r="BG103" s="716"/>
      <c r="BH103" s="716"/>
      <c r="BI103" s="716"/>
      <c r="BJ103" s="716"/>
      <c r="BK103" s="716"/>
      <c r="IE103" s="1227"/>
    </row>
    <row r="104" spans="1:239" s="1223" customFormat="1" ht="15" customHeight="1" x14ac:dyDescent="0.25">
      <c r="A104" s="821"/>
      <c r="B104" s="829">
        <v>5</v>
      </c>
      <c r="C104" s="1851" t="s">
        <v>868</v>
      </c>
      <c r="D104" s="1852"/>
      <c r="E104" s="1852"/>
      <c r="F104" s="1241"/>
      <c r="G104" s="1241"/>
      <c r="H104" s="1241"/>
      <c r="I104" s="1241"/>
      <c r="J104" s="1241"/>
      <c r="K104" s="1241"/>
      <c r="L104" s="1241"/>
      <c r="M104" s="1241"/>
      <c r="N104" s="1242"/>
      <c r="O104" s="1252"/>
      <c r="P104" s="1241"/>
      <c r="Q104" s="1241"/>
      <c r="R104" s="1241"/>
      <c r="S104" s="1241"/>
      <c r="T104" s="1253"/>
      <c r="U104" s="1252"/>
      <c r="V104" s="1241"/>
      <c r="W104" s="1241"/>
      <c r="X104" s="1241"/>
      <c r="Y104" s="1242"/>
      <c r="Z104" s="716"/>
      <c r="AA104" s="716"/>
      <c r="AB104" s="716"/>
      <c r="AC104" s="716"/>
      <c r="AD104" s="716"/>
      <c r="AE104" s="716"/>
      <c r="AF104" s="716"/>
      <c r="AG104" s="716"/>
      <c r="AH104" s="716"/>
      <c r="AI104" s="716"/>
      <c r="AJ104" s="716"/>
      <c r="AK104" s="716"/>
      <c r="AL104" s="716"/>
      <c r="AM104" s="716"/>
      <c r="AN104" s="716"/>
      <c r="AO104" s="716"/>
      <c r="AP104" s="716"/>
      <c r="AQ104" s="716"/>
      <c r="AR104" s="716"/>
      <c r="AS104" s="716"/>
      <c r="AT104" s="716"/>
      <c r="AU104" s="716"/>
      <c r="AV104" s="716"/>
      <c r="AW104" s="716"/>
      <c r="AX104" s="716"/>
      <c r="AY104" s="716"/>
      <c r="AZ104" s="716"/>
      <c r="BA104" s="716"/>
      <c r="BB104" s="716"/>
      <c r="BC104" s="716"/>
      <c r="BD104" s="716"/>
      <c r="BE104" s="716"/>
      <c r="BF104" s="716"/>
      <c r="BG104" s="716"/>
      <c r="BH104" s="716"/>
      <c r="BI104" s="716"/>
      <c r="BJ104" s="716"/>
      <c r="BK104" s="716"/>
      <c r="IE104" s="1227"/>
    </row>
    <row r="105" spans="1:239" s="1223" customFormat="1" ht="15" customHeight="1" x14ac:dyDescent="0.25">
      <c r="A105" s="821"/>
      <c r="B105" s="829">
        <v>6</v>
      </c>
      <c r="C105" s="1851" t="s">
        <v>870</v>
      </c>
      <c r="D105" s="1852"/>
      <c r="E105" s="1852"/>
      <c r="F105" s="1241"/>
      <c r="G105" s="1241"/>
      <c r="H105" s="1241"/>
      <c r="I105" s="1241"/>
      <c r="J105" s="1241"/>
      <c r="K105" s="1241"/>
      <c r="L105" s="1241"/>
      <c r="M105" s="1241"/>
      <c r="N105" s="1242"/>
      <c r="O105" s="1252"/>
      <c r="P105" s="1241"/>
      <c r="Q105" s="1241"/>
      <c r="R105" s="1241"/>
      <c r="S105" s="1241"/>
      <c r="T105" s="1253"/>
      <c r="U105" s="1252"/>
      <c r="V105" s="1241"/>
      <c r="W105" s="1241"/>
      <c r="X105" s="1241"/>
      <c r="Y105" s="1242"/>
      <c r="Z105" s="716"/>
      <c r="AA105" s="716"/>
      <c r="AB105" s="716"/>
      <c r="AC105" s="716"/>
      <c r="AD105" s="716"/>
      <c r="AE105" s="716"/>
      <c r="AF105" s="716"/>
      <c r="AG105" s="716"/>
      <c r="AH105" s="716"/>
      <c r="AI105" s="716"/>
      <c r="AJ105" s="716"/>
      <c r="AK105" s="716"/>
      <c r="AL105" s="716"/>
      <c r="AM105" s="716"/>
      <c r="AN105" s="716"/>
      <c r="AO105" s="716"/>
      <c r="AP105" s="716"/>
      <c r="AQ105" s="716"/>
      <c r="AR105" s="716"/>
      <c r="AS105" s="716"/>
      <c r="AT105" s="716"/>
      <c r="AU105" s="716"/>
      <c r="AV105" s="716"/>
      <c r="AW105" s="716"/>
      <c r="AX105" s="716"/>
      <c r="AY105" s="716"/>
      <c r="AZ105" s="716"/>
      <c r="BA105" s="716"/>
      <c r="BB105" s="716"/>
      <c r="BC105" s="716"/>
      <c r="BD105" s="716"/>
      <c r="BE105" s="716"/>
      <c r="BF105" s="716"/>
      <c r="BG105" s="716"/>
      <c r="BH105" s="716"/>
      <c r="BI105" s="716"/>
      <c r="BJ105" s="716"/>
      <c r="BK105" s="716"/>
      <c r="IE105" s="1227"/>
    </row>
    <row r="106" spans="1:239" s="1223" customFormat="1" ht="15" customHeight="1" x14ac:dyDescent="0.25">
      <c r="A106" s="821"/>
      <c r="B106" s="911">
        <v>7</v>
      </c>
      <c r="C106" s="1851" t="s">
        <v>871</v>
      </c>
      <c r="D106" s="1852"/>
      <c r="E106" s="1852"/>
      <c r="F106" s="1241"/>
      <c r="G106" s="1241"/>
      <c r="H106" s="1241"/>
      <c r="I106" s="1241"/>
      <c r="J106" s="1241"/>
      <c r="K106" s="1241"/>
      <c r="L106" s="1241"/>
      <c r="M106" s="1241"/>
      <c r="N106" s="1242"/>
      <c r="O106" s="1252"/>
      <c r="P106" s="1241"/>
      <c r="Q106" s="1241"/>
      <c r="R106" s="1241"/>
      <c r="S106" s="1241"/>
      <c r="T106" s="1253"/>
      <c r="U106" s="1252"/>
      <c r="V106" s="1241"/>
      <c r="W106" s="1241"/>
      <c r="X106" s="1241"/>
      <c r="Y106" s="1242"/>
      <c r="Z106" s="716"/>
      <c r="AA106" s="716"/>
      <c r="AB106" s="716"/>
      <c r="AC106" s="716"/>
      <c r="AD106" s="716"/>
      <c r="AE106" s="716"/>
      <c r="AF106" s="716"/>
      <c r="AG106" s="716"/>
      <c r="AH106" s="716"/>
      <c r="AI106" s="716"/>
      <c r="AJ106" s="716"/>
      <c r="AK106" s="716"/>
      <c r="AL106" s="716"/>
      <c r="AM106" s="716"/>
      <c r="AN106" s="716"/>
      <c r="AO106" s="716"/>
      <c r="AP106" s="716"/>
      <c r="AQ106" s="716"/>
      <c r="AR106" s="716"/>
      <c r="AS106" s="716"/>
      <c r="AT106" s="716"/>
      <c r="AU106" s="716"/>
      <c r="AV106" s="716"/>
      <c r="AW106" s="716"/>
      <c r="AX106" s="716"/>
      <c r="AY106" s="716"/>
      <c r="AZ106" s="716"/>
      <c r="BA106" s="716"/>
      <c r="BB106" s="716"/>
      <c r="BC106" s="716"/>
      <c r="BD106" s="716"/>
      <c r="BE106" s="716"/>
      <c r="BF106" s="716"/>
      <c r="BG106" s="716"/>
      <c r="BH106" s="716"/>
      <c r="BI106" s="716"/>
      <c r="BJ106" s="716"/>
      <c r="BK106" s="716"/>
      <c r="IE106" s="1227"/>
    </row>
    <row r="107" spans="1:239" s="1223" customFormat="1" ht="15" customHeight="1" x14ac:dyDescent="0.25">
      <c r="A107" s="821"/>
      <c r="B107" s="829">
        <v>8</v>
      </c>
      <c r="C107" s="1851" t="s">
        <v>62</v>
      </c>
      <c r="D107" s="1852"/>
      <c r="E107" s="1852"/>
      <c r="F107" s="1241"/>
      <c r="G107" s="1241"/>
      <c r="H107" s="1241"/>
      <c r="I107" s="1241"/>
      <c r="J107" s="1241"/>
      <c r="K107" s="1241"/>
      <c r="L107" s="1241"/>
      <c r="M107" s="1241"/>
      <c r="N107" s="1242"/>
      <c r="O107" s="1252"/>
      <c r="P107" s="1241"/>
      <c r="Q107" s="1241"/>
      <c r="R107" s="1241"/>
      <c r="S107" s="1241"/>
      <c r="T107" s="1253"/>
      <c r="U107" s="1252"/>
      <c r="V107" s="1241"/>
      <c r="W107" s="1241"/>
      <c r="X107" s="1241"/>
      <c r="Y107" s="1242"/>
      <c r="Z107" s="716"/>
      <c r="AA107" s="716"/>
      <c r="AB107" s="716"/>
      <c r="AC107" s="716"/>
      <c r="AD107" s="716"/>
      <c r="AE107" s="716"/>
      <c r="AF107" s="716"/>
      <c r="AG107" s="716"/>
      <c r="AH107" s="716"/>
      <c r="AI107" s="716"/>
      <c r="AJ107" s="716"/>
      <c r="AK107" s="716"/>
      <c r="AL107" s="716"/>
      <c r="AM107" s="716"/>
      <c r="AN107" s="716"/>
      <c r="AO107" s="716"/>
      <c r="AP107" s="716"/>
      <c r="AQ107" s="716"/>
      <c r="AR107" s="716"/>
      <c r="AS107" s="716"/>
      <c r="AT107" s="716"/>
      <c r="AU107" s="716"/>
      <c r="AV107" s="716"/>
      <c r="AW107" s="716"/>
      <c r="AX107" s="716"/>
      <c r="AY107" s="716"/>
      <c r="AZ107" s="716"/>
      <c r="BA107" s="716"/>
      <c r="BB107" s="716"/>
      <c r="BC107" s="716"/>
      <c r="BD107" s="716"/>
      <c r="BE107" s="716"/>
      <c r="BF107" s="716"/>
      <c r="BG107" s="716"/>
      <c r="BH107" s="716"/>
      <c r="BI107" s="716"/>
      <c r="BJ107" s="716"/>
      <c r="BK107" s="716"/>
      <c r="IE107" s="1227"/>
    </row>
    <row r="108" spans="1:239" s="1223" customFormat="1" ht="15" customHeight="1" x14ac:dyDescent="0.25">
      <c r="A108" s="821"/>
      <c r="B108" s="829">
        <v>9</v>
      </c>
      <c r="C108" s="1851" t="s">
        <v>872</v>
      </c>
      <c r="D108" s="1852"/>
      <c r="E108" s="1852"/>
      <c r="F108" s="1241"/>
      <c r="G108" s="1241"/>
      <c r="H108" s="1241"/>
      <c r="I108" s="1241"/>
      <c r="J108" s="1241"/>
      <c r="K108" s="1241"/>
      <c r="L108" s="1241"/>
      <c r="M108" s="1241"/>
      <c r="N108" s="1242"/>
      <c r="O108" s="1252"/>
      <c r="P108" s="1241"/>
      <c r="Q108" s="1241"/>
      <c r="R108" s="1241"/>
      <c r="S108" s="1241"/>
      <c r="T108" s="1253"/>
      <c r="U108" s="1252"/>
      <c r="V108" s="1241"/>
      <c r="W108" s="1241"/>
      <c r="X108" s="1241"/>
      <c r="Y108" s="1242"/>
      <c r="Z108" s="716"/>
      <c r="AA108" s="716"/>
      <c r="AB108" s="716"/>
      <c r="AC108" s="716"/>
      <c r="AD108" s="716"/>
      <c r="AE108" s="716"/>
      <c r="AF108" s="716"/>
      <c r="AG108" s="716"/>
      <c r="AH108" s="716"/>
      <c r="AI108" s="716"/>
      <c r="AJ108" s="716"/>
      <c r="AK108" s="716"/>
      <c r="AL108" s="716"/>
      <c r="AM108" s="716"/>
      <c r="AN108" s="716"/>
      <c r="AO108" s="716"/>
      <c r="AP108" s="716"/>
      <c r="AQ108" s="716"/>
      <c r="AR108" s="716"/>
      <c r="AS108" s="716"/>
      <c r="AT108" s="716"/>
      <c r="AU108" s="716"/>
      <c r="AV108" s="716"/>
      <c r="AW108" s="716"/>
      <c r="AX108" s="716"/>
      <c r="AY108" s="716"/>
      <c r="AZ108" s="716"/>
      <c r="BA108" s="716"/>
      <c r="BB108" s="716"/>
      <c r="BC108" s="716"/>
      <c r="BD108" s="716"/>
      <c r="BE108" s="716"/>
      <c r="BF108" s="716"/>
      <c r="BG108" s="716"/>
      <c r="BH108" s="716"/>
      <c r="BI108" s="716"/>
      <c r="BJ108" s="716"/>
      <c r="BK108" s="716"/>
      <c r="IE108" s="1227"/>
    </row>
    <row r="109" spans="1:239" s="1223" customFormat="1" ht="15" customHeight="1" x14ac:dyDescent="0.25">
      <c r="A109" s="821"/>
      <c r="B109" s="829">
        <v>10</v>
      </c>
      <c r="C109" s="1851" t="s">
        <v>873</v>
      </c>
      <c r="D109" s="1852"/>
      <c r="E109" s="1852"/>
      <c r="F109" s="1241"/>
      <c r="G109" s="1241"/>
      <c r="H109" s="1241"/>
      <c r="I109" s="1241"/>
      <c r="J109" s="1241"/>
      <c r="K109" s="1241"/>
      <c r="L109" s="1241"/>
      <c r="M109" s="1241"/>
      <c r="N109" s="1242"/>
      <c r="O109" s="1252"/>
      <c r="P109" s="1241"/>
      <c r="Q109" s="1241"/>
      <c r="R109" s="1241"/>
      <c r="S109" s="1241"/>
      <c r="T109" s="1253"/>
      <c r="U109" s="1252"/>
      <c r="V109" s="1241"/>
      <c r="W109" s="1241"/>
      <c r="X109" s="1241"/>
      <c r="Y109" s="1242"/>
      <c r="Z109" s="716"/>
      <c r="AA109" s="716"/>
      <c r="AB109" s="716"/>
      <c r="AC109" s="716"/>
      <c r="AD109" s="716"/>
      <c r="AE109" s="716"/>
      <c r="AF109" s="716"/>
      <c r="AG109" s="716"/>
      <c r="AH109" s="716"/>
      <c r="AI109" s="716"/>
      <c r="AJ109" s="716"/>
      <c r="AK109" s="716"/>
      <c r="AL109" s="716"/>
      <c r="AM109" s="716"/>
      <c r="AN109" s="716"/>
      <c r="AO109" s="716"/>
      <c r="AP109" s="716"/>
      <c r="AQ109" s="716"/>
      <c r="AR109" s="716"/>
      <c r="AS109" s="716"/>
      <c r="AT109" s="716"/>
      <c r="AU109" s="716"/>
      <c r="AV109" s="716"/>
      <c r="AW109" s="716"/>
      <c r="AX109" s="716"/>
      <c r="AY109" s="716"/>
      <c r="AZ109" s="716"/>
      <c r="BA109" s="716"/>
      <c r="BB109" s="716"/>
      <c r="BC109" s="716"/>
      <c r="BD109" s="716"/>
      <c r="BE109" s="716"/>
      <c r="BF109" s="716"/>
      <c r="BG109" s="716"/>
      <c r="BH109" s="716"/>
      <c r="BI109" s="716"/>
      <c r="BJ109" s="716"/>
      <c r="BK109" s="716"/>
      <c r="IE109" s="1227"/>
    </row>
    <row r="110" spans="1:239" s="1223" customFormat="1" ht="15" customHeight="1" x14ac:dyDescent="0.25">
      <c r="A110" s="821"/>
      <c r="B110" s="893">
        <v>11</v>
      </c>
      <c r="C110" s="1879" t="s">
        <v>874</v>
      </c>
      <c r="D110" s="1880"/>
      <c r="E110" s="1880"/>
      <c r="F110" s="1248"/>
      <c r="G110" s="1248"/>
      <c r="H110" s="1248"/>
      <c r="I110" s="1248"/>
      <c r="J110" s="1248"/>
      <c r="K110" s="1248"/>
      <c r="L110" s="1248"/>
      <c r="M110" s="1248"/>
      <c r="N110" s="1255"/>
      <c r="O110" s="1254"/>
      <c r="P110" s="1248"/>
      <c r="Q110" s="1248"/>
      <c r="R110" s="1248"/>
      <c r="S110" s="1248"/>
      <c r="T110" s="1255"/>
      <c r="U110" s="1254"/>
      <c r="V110" s="1248"/>
      <c r="W110" s="1248"/>
      <c r="X110" s="1248"/>
      <c r="Y110" s="1243"/>
      <c r="Z110" s="716"/>
      <c r="AA110" s="716"/>
      <c r="AB110" s="716"/>
      <c r="AC110" s="716"/>
      <c r="AD110" s="716"/>
      <c r="AE110" s="716"/>
      <c r="AF110" s="716"/>
      <c r="AG110" s="716"/>
      <c r="AH110" s="716"/>
      <c r="AI110" s="716"/>
      <c r="AJ110" s="716"/>
      <c r="AK110" s="716"/>
      <c r="AL110" s="716"/>
      <c r="AM110" s="716"/>
      <c r="AN110" s="716"/>
      <c r="AO110" s="716"/>
      <c r="AP110" s="716"/>
      <c r="AQ110" s="716"/>
      <c r="AR110" s="716"/>
      <c r="AS110" s="716"/>
      <c r="AT110" s="716"/>
      <c r="AU110" s="716"/>
      <c r="AV110" s="716"/>
      <c r="AW110" s="716"/>
      <c r="AX110" s="716"/>
      <c r="AY110" s="716"/>
      <c r="AZ110" s="716"/>
      <c r="BA110" s="716"/>
      <c r="BB110" s="716"/>
      <c r="BC110" s="716"/>
      <c r="BD110" s="716"/>
      <c r="BE110" s="716"/>
      <c r="BF110" s="716"/>
      <c r="BG110" s="716"/>
      <c r="BH110" s="716"/>
      <c r="BI110" s="716"/>
      <c r="BJ110" s="716"/>
      <c r="BK110" s="716"/>
      <c r="IE110" s="1227"/>
    </row>
    <row r="111" spans="1:239" s="1222" customFormat="1" ht="15" customHeight="1" x14ac:dyDescent="0.25">
      <c r="A111" s="821"/>
      <c r="B111" s="716"/>
      <c r="C111" s="716"/>
      <c r="D111" s="716"/>
      <c r="E111" s="716"/>
      <c r="F111" s="716"/>
      <c r="G111" s="716"/>
      <c r="H111" s="716"/>
      <c r="I111" s="735"/>
      <c r="J111" s="735"/>
      <c r="K111" s="735"/>
      <c r="L111" s="735"/>
      <c r="M111" s="716"/>
      <c r="N111" s="716"/>
      <c r="O111" s="716"/>
      <c r="P111" s="716"/>
      <c r="Q111" s="716"/>
      <c r="R111" s="716"/>
      <c r="S111" s="716"/>
      <c r="T111" s="716"/>
      <c r="U111" s="735"/>
      <c r="V111" s="735"/>
      <c r="W111" s="735"/>
      <c r="X111" s="735"/>
      <c r="Y111" s="716"/>
      <c r="Z111" s="716"/>
      <c r="AA111" s="716"/>
      <c r="AB111" s="716"/>
      <c r="AC111" s="716"/>
      <c r="AD111" s="716"/>
      <c r="AE111" s="716"/>
      <c r="AF111" s="716"/>
      <c r="AG111" s="716"/>
      <c r="AH111" s="716"/>
      <c r="AI111" s="716"/>
      <c r="AJ111" s="716"/>
      <c r="AK111" s="716"/>
      <c r="AL111" s="716"/>
      <c r="AM111" s="716"/>
      <c r="AN111" s="716"/>
      <c r="AO111" s="716"/>
      <c r="AP111" s="716"/>
      <c r="AQ111" s="716"/>
      <c r="AR111" s="716"/>
      <c r="AS111" s="716"/>
      <c r="AT111" s="716"/>
      <c r="AU111" s="716"/>
      <c r="AV111" s="716"/>
      <c r="AW111" s="716"/>
      <c r="AX111" s="716"/>
      <c r="AY111" s="716"/>
      <c r="AZ111" s="716"/>
      <c r="BA111" s="716"/>
      <c r="BB111" s="716"/>
      <c r="BC111" s="716"/>
      <c r="BD111" s="716"/>
      <c r="BE111" s="716"/>
      <c r="BF111" s="716"/>
      <c r="BG111" s="716"/>
      <c r="BH111" s="716"/>
      <c r="BI111" s="716"/>
      <c r="BJ111" s="716"/>
      <c r="BK111" s="716"/>
      <c r="IE111" s="1226"/>
    </row>
    <row r="112" spans="1:239" s="1223" customFormat="1" ht="15" customHeight="1" x14ac:dyDescent="0.25">
      <c r="A112" s="730"/>
      <c r="B112" s="1738"/>
      <c r="C112" s="1815"/>
      <c r="D112" s="1815"/>
      <c r="E112" s="1815"/>
      <c r="F112" s="1627" t="s">
        <v>118</v>
      </c>
      <c r="G112" s="735"/>
      <c r="H112" s="735"/>
      <c r="I112" s="716"/>
      <c r="J112" s="735"/>
      <c r="K112" s="735"/>
      <c r="L112" s="735"/>
      <c r="M112" s="735"/>
      <c r="N112" s="735"/>
      <c r="O112" s="735"/>
      <c r="P112" s="735"/>
      <c r="Q112" s="735"/>
      <c r="R112" s="735"/>
      <c r="S112" s="735"/>
      <c r="T112" s="735"/>
      <c r="U112" s="735"/>
      <c r="V112" s="735"/>
      <c r="W112" s="735"/>
      <c r="X112" s="735"/>
      <c r="Y112" s="735"/>
      <c r="Z112" s="735"/>
      <c r="AA112" s="735"/>
      <c r="AB112" s="735"/>
      <c r="AC112" s="735"/>
      <c r="AD112" s="735"/>
      <c r="AE112" s="735"/>
      <c r="AF112" s="735"/>
      <c r="AG112" s="735"/>
      <c r="AH112" s="735"/>
      <c r="AI112" s="735"/>
      <c r="AJ112" s="735"/>
      <c r="AK112" s="735"/>
      <c r="AL112" s="735"/>
      <c r="AM112" s="735"/>
      <c r="AN112" s="735"/>
      <c r="AO112" s="735"/>
      <c r="AP112" s="735"/>
      <c r="AQ112" s="735"/>
      <c r="AR112" s="735"/>
      <c r="AS112" s="735"/>
      <c r="AT112" s="735"/>
      <c r="AU112" s="735"/>
      <c r="AV112" s="735"/>
      <c r="AW112" s="735"/>
      <c r="AX112" s="735"/>
      <c r="AY112" s="735"/>
      <c r="AZ112" s="735"/>
      <c r="BA112" s="735"/>
      <c r="BB112" s="735"/>
      <c r="BC112" s="735"/>
      <c r="BD112" s="735"/>
      <c r="BE112" s="735"/>
      <c r="BF112" s="735"/>
      <c r="BG112" s="735"/>
      <c r="BH112" s="735"/>
      <c r="BI112" s="735"/>
      <c r="BJ112" s="735"/>
      <c r="BK112" s="735"/>
      <c r="BL112" s="735"/>
      <c r="BM112" s="735"/>
      <c r="BN112" s="735"/>
      <c r="BO112" s="735"/>
      <c r="BP112" s="735"/>
      <c r="BQ112" s="735"/>
      <c r="BR112" s="735"/>
      <c r="BS112" s="735"/>
      <c r="BT112" s="735"/>
      <c r="BU112" s="735"/>
      <c r="BV112" s="735"/>
      <c r="BW112" s="735"/>
      <c r="BX112" s="735"/>
      <c r="BY112" s="735"/>
      <c r="BZ112" s="735"/>
      <c r="CA112" s="735"/>
      <c r="CB112" s="735"/>
      <c r="CC112" s="735"/>
      <c r="CD112" s="735"/>
      <c r="CE112" s="735"/>
      <c r="CF112" s="735"/>
      <c r="CG112" s="735"/>
      <c r="CH112" s="735"/>
      <c r="CI112" s="735"/>
      <c r="CJ112" s="735"/>
      <c r="CK112" s="735"/>
      <c r="CL112" s="735"/>
      <c r="CM112" s="735"/>
      <c r="CN112" s="735"/>
      <c r="CO112" s="735"/>
      <c r="CP112" s="735"/>
      <c r="IE112" s="1227"/>
    </row>
    <row r="113" spans="1:239" s="1223" customFormat="1" ht="15" customHeight="1" x14ac:dyDescent="0.25">
      <c r="A113" s="730"/>
      <c r="B113" s="1630" t="s">
        <v>1525</v>
      </c>
      <c r="C113" s="1630"/>
      <c r="D113" s="1630"/>
      <c r="E113" s="1631"/>
      <c r="F113" s="1250"/>
      <c r="I113" s="716"/>
      <c r="L113" s="735"/>
      <c r="M113" s="735"/>
      <c r="N113" s="735"/>
      <c r="O113" s="735"/>
      <c r="P113" s="735"/>
      <c r="Q113" s="735"/>
      <c r="R113" s="735"/>
      <c r="S113" s="735"/>
      <c r="T113" s="735"/>
      <c r="U113" s="735"/>
      <c r="V113" s="735"/>
      <c r="W113" s="735"/>
      <c r="X113" s="735"/>
      <c r="Y113" s="735"/>
      <c r="Z113" s="735"/>
      <c r="AA113" s="735"/>
      <c r="AB113" s="735"/>
      <c r="AC113" s="735"/>
      <c r="AD113" s="735"/>
      <c r="AE113" s="735"/>
      <c r="AF113" s="735"/>
      <c r="AG113" s="735"/>
      <c r="AH113" s="735"/>
      <c r="AI113" s="735"/>
      <c r="AJ113" s="735"/>
      <c r="AK113" s="735"/>
      <c r="AL113" s="735"/>
      <c r="AM113" s="735"/>
      <c r="AN113" s="735"/>
      <c r="AO113" s="735"/>
      <c r="AP113" s="735"/>
      <c r="AQ113" s="735"/>
      <c r="AR113" s="735"/>
      <c r="AS113" s="735"/>
      <c r="AT113" s="735"/>
      <c r="AU113" s="735"/>
      <c r="AV113" s="735"/>
      <c r="AW113" s="735"/>
      <c r="AX113" s="735"/>
      <c r="AY113" s="735"/>
      <c r="AZ113" s="735"/>
      <c r="BA113" s="735"/>
      <c r="BB113" s="735"/>
      <c r="BC113" s="735"/>
      <c r="BD113" s="735"/>
      <c r="BE113" s="735"/>
      <c r="BF113" s="735"/>
      <c r="BG113" s="735"/>
      <c r="BH113" s="735"/>
      <c r="BI113" s="735"/>
      <c r="BJ113" s="735"/>
      <c r="BK113" s="735"/>
      <c r="BL113" s="735"/>
      <c r="BM113" s="735"/>
      <c r="BN113" s="735"/>
      <c r="BO113" s="735"/>
      <c r="BP113" s="735"/>
      <c r="BQ113" s="735"/>
      <c r="BR113" s="735"/>
      <c r="BS113" s="735"/>
      <c r="BT113" s="735"/>
      <c r="BU113" s="735"/>
      <c r="BV113" s="735"/>
      <c r="BW113" s="735"/>
      <c r="BX113" s="735"/>
      <c r="BY113" s="735"/>
      <c r="BZ113" s="735"/>
      <c r="CA113" s="735"/>
      <c r="CB113" s="735"/>
      <c r="CC113" s="735"/>
      <c r="CD113" s="735"/>
      <c r="CE113" s="735"/>
      <c r="CF113" s="735"/>
      <c r="CG113" s="735"/>
      <c r="CH113" s="735"/>
      <c r="CI113" s="735"/>
      <c r="CJ113" s="735"/>
      <c r="CK113" s="735"/>
      <c r="CL113" s="735"/>
      <c r="CM113" s="735"/>
      <c r="CN113" s="735"/>
      <c r="CO113" s="735"/>
      <c r="CP113" s="735"/>
      <c r="IE113" s="1227"/>
    </row>
    <row r="114" spans="1:239" s="1223" customFormat="1" ht="15" customHeight="1" x14ac:dyDescent="0.25">
      <c r="A114" s="730"/>
      <c r="B114" s="1632" t="s">
        <v>1585</v>
      </c>
      <c r="C114" s="1632"/>
      <c r="D114" s="1632"/>
      <c r="E114" s="1633"/>
      <c r="F114" s="461"/>
      <c r="I114" s="716"/>
      <c r="L114" s="735"/>
      <c r="M114" s="735"/>
      <c r="N114" s="735"/>
      <c r="O114" s="735"/>
      <c r="P114" s="735"/>
      <c r="Q114" s="735"/>
      <c r="R114" s="735"/>
      <c r="S114" s="735"/>
      <c r="T114" s="735"/>
      <c r="U114" s="735"/>
      <c r="V114" s="735"/>
      <c r="W114" s="735"/>
      <c r="X114" s="735"/>
      <c r="Y114" s="735"/>
      <c r="Z114" s="735"/>
      <c r="AA114" s="735"/>
      <c r="AB114" s="735"/>
      <c r="AC114" s="735"/>
      <c r="AD114" s="735"/>
      <c r="AE114" s="735"/>
      <c r="AF114" s="735"/>
      <c r="AG114" s="735"/>
      <c r="AH114" s="735"/>
      <c r="AI114" s="735"/>
      <c r="AJ114" s="735"/>
      <c r="AK114" s="735"/>
      <c r="AL114" s="735"/>
      <c r="AM114" s="735"/>
      <c r="AN114" s="735"/>
      <c r="AO114" s="735"/>
      <c r="AP114" s="735"/>
      <c r="AQ114" s="735"/>
      <c r="AR114" s="735"/>
      <c r="AS114" s="735"/>
      <c r="AT114" s="735"/>
      <c r="AU114" s="735"/>
      <c r="AV114" s="735"/>
      <c r="AW114" s="735"/>
      <c r="AX114" s="735"/>
      <c r="AY114" s="735"/>
      <c r="AZ114" s="735"/>
      <c r="BA114" s="735"/>
      <c r="BB114" s="735"/>
      <c r="BC114" s="735"/>
      <c r="BD114" s="735"/>
      <c r="BE114" s="735"/>
      <c r="BF114" s="735"/>
      <c r="BG114" s="735"/>
      <c r="BH114" s="735"/>
      <c r="BI114" s="735"/>
      <c r="BJ114" s="735"/>
      <c r="BK114" s="735"/>
      <c r="BL114" s="735"/>
      <c r="BM114" s="735"/>
      <c r="BN114" s="735"/>
      <c r="BO114" s="735"/>
      <c r="BP114" s="735"/>
      <c r="BQ114" s="735"/>
      <c r="BR114" s="735"/>
      <c r="BS114" s="735"/>
      <c r="BT114" s="735"/>
      <c r="BU114" s="735"/>
      <c r="BV114" s="735"/>
      <c r="BW114" s="735"/>
      <c r="BX114" s="735"/>
      <c r="BY114" s="735"/>
      <c r="BZ114" s="735"/>
      <c r="CA114" s="735"/>
      <c r="CB114" s="735"/>
      <c r="CC114" s="735"/>
      <c r="CD114" s="735"/>
      <c r="CE114" s="735"/>
      <c r="CF114" s="735"/>
      <c r="CG114" s="735"/>
      <c r="CH114" s="735"/>
      <c r="CI114" s="735"/>
      <c r="CJ114" s="735"/>
      <c r="CK114" s="735"/>
      <c r="CL114" s="735"/>
      <c r="CM114" s="735"/>
      <c r="CN114" s="735"/>
      <c r="CO114" s="735"/>
      <c r="CP114" s="735"/>
      <c r="IE114" s="1227"/>
    </row>
    <row r="115" spans="1:239" s="1223" customFormat="1" ht="15" customHeight="1" x14ac:dyDescent="0.25">
      <c r="A115" s="730"/>
      <c r="B115" s="1532" t="s">
        <v>1751</v>
      </c>
      <c r="C115" s="1535"/>
      <c r="D115" s="1262"/>
      <c r="E115" s="1263"/>
      <c r="F115" s="1246"/>
      <c r="I115" s="716"/>
      <c r="L115" s="735"/>
      <c r="M115" s="735"/>
      <c r="N115" s="735"/>
      <c r="O115" s="735"/>
      <c r="P115" s="735"/>
      <c r="Q115" s="735"/>
      <c r="R115" s="735"/>
      <c r="S115" s="735"/>
      <c r="T115" s="735"/>
      <c r="U115" s="735"/>
      <c r="V115" s="735"/>
      <c r="W115" s="735"/>
      <c r="X115" s="735"/>
      <c r="Y115" s="735"/>
      <c r="Z115" s="735"/>
      <c r="AA115" s="735"/>
      <c r="AB115" s="735"/>
      <c r="AC115" s="735"/>
      <c r="AD115" s="735"/>
      <c r="AE115" s="735"/>
      <c r="AF115" s="735"/>
      <c r="AG115" s="735"/>
      <c r="AH115" s="735"/>
      <c r="AI115" s="735"/>
      <c r="AJ115" s="735"/>
      <c r="AK115" s="735"/>
      <c r="AL115" s="735"/>
      <c r="AM115" s="735"/>
      <c r="AN115" s="735"/>
      <c r="AO115" s="735"/>
      <c r="AP115" s="735"/>
      <c r="AQ115" s="735"/>
      <c r="AR115" s="735"/>
      <c r="AS115" s="735"/>
      <c r="AT115" s="735"/>
      <c r="AU115" s="735"/>
      <c r="AV115" s="735"/>
      <c r="AW115" s="735"/>
      <c r="AX115" s="735"/>
      <c r="AY115" s="735"/>
      <c r="AZ115" s="735"/>
      <c r="BA115" s="735"/>
      <c r="BB115" s="735"/>
      <c r="BC115" s="735"/>
      <c r="BD115" s="735"/>
      <c r="BE115" s="735"/>
      <c r="BF115" s="735"/>
      <c r="BG115" s="735"/>
      <c r="BH115" s="735"/>
      <c r="BI115" s="735"/>
      <c r="BJ115" s="735"/>
      <c r="BK115" s="735"/>
      <c r="BL115" s="735"/>
      <c r="BM115" s="735"/>
      <c r="BN115" s="735"/>
      <c r="BO115" s="735"/>
      <c r="BP115" s="735"/>
      <c r="BQ115" s="735"/>
      <c r="BR115" s="735"/>
      <c r="BS115" s="735"/>
      <c r="BT115" s="735"/>
      <c r="BU115" s="735"/>
      <c r="BV115" s="735"/>
      <c r="BW115" s="735"/>
      <c r="BX115" s="735"/>
      <c r="BY115" s="735"/>
      <c r="BZ115" s="735"/>
      <c r="CA115" s="735"/>
      <c r="CB115" s="735"/>
      <c r="CC115" s="735"/>
      <c r="CD115" s="735"/>
      <c r="CE115" s="735"/>
      <c r="CF115" s="735"/>
      <c r="CG115" s="735"/>
      <c r="CH115" s="735"/>
      <c r="CI115" s="735"/>
      <c r="CJ115" s="735"/>
      <c r="CK115" s="735"/>
      <c r="CL115" s="735"/>
      <c r="CM115" s="735"/>
      <c r="CN115" s="735"/>
      <c r="CO115" s="735"/>
      <c r="CP115" s="735"/>
      <c r="IE115" s="1227"/>
    </row>
    <row r="116" spans="1:239" s="1223" customFormat="1" ht="15" customHeight="1" x14ac:dyDescent="0.25">
      <c r="A116" s="730"/>
      <c r="B116" s="1532" t="s">
        <v>1752</v>
      </c>
      <c r="C116" s="1535"/>
      <c r="D116" s="1262"/>
      <c r="E116" s="1263"/>
      <c r="F116" s="1246"/>
      <c r="I116" s="716"/>
      <c r="L116" s="735"/>
      <c r="M116" s="735"/>
      <c r="N116" s="735"/>
      <c r="O116" s="735"/>
      <c r="P116" s="735"/>
      <c r="Q116" s="735"/>
      <c r="R116" s="735"/>
      <c r="S116" s="735"/>
      <c r="T116" s="735"/>
      <c r="U116" s="735"/>
      <c r="V116" s="735"/>
      <c r="W116" s="735"/>
      <c r="X116" s="735"/>
      <c r="Y116" s="735"/>
      <c r="Z116" s="735"/>
      <c r="AA116" s="735"/>
      <c r="AB116" s="735"/>
      <c r="AC116" s="735"/>
      <c r="AD116" s="735"/>
      <c r="AE116" s="735"/>
      <c r="AF116" s="735"/>
      <c r="AG116" s="735"/>
      <c r="AH116" s="735"/>
      <c r="AI116" s="735"/>
      <c r="AJ116" s="735"/>
      <c r="AK116" s="735"/>
      <c r="AL116" s="735"/>
      <c r="AM116" s="735"/>
      <c r="AN116" s="735"/>
      <c r="AO116" s="735"/>
      <c r="AP116" s="735"/>
      <c r="AQ116" s="735"/>
      <c r="AR116" s="735"/>
      <c r="AS116" s="735"/>
      <c r="AT116" s="735"/>
      <c r="AU116" s="735"/>
      <c r="AV116" s="735"/>
      <c r="AW116" s="735"/>
      <c r="AX116" s="735"/>
      <c r="AY116" s="735"/>
      <c r="AZ116" s="735"/>
      <c r="BA116" s="735"/>
      <c r="BB116" s="735"/>
      <c r="BC116" s="735"/>
      <c r="BD116" s="735"/>
      <c r="BE116" s="735"/>
      <c r="BF116" s="735"/>
      <c r="BG116" s="735"/>
      <c r="BH116" s="735"/>
      <c r="BI116" s="735"/>
      <c r="BJ116" s="735"/>
      <c r="BK116" s="735"/>
      <c r="BL116" s="735"/>
      <c r="BM116" s="735"/>
      <c r="BN116" s="735"/>
      <c r="BO116" s="735"/>
      <c r="BP116" s="735"/>
      <c r="BQ116" s="735"/>
      <c r="BR116" s="735"/>
      <c r="BS116" s="735"/>
      <c r="BT116" s="735"/>
      <c r="BU116" s="735"/>
      <c r="BV116" s="735"/>
      <c r="BW116" s="735"/>
      <c r="BX116" s="735"/>
      <c r="BY116" s="735"/>
      <c r="BZ116" s="735"/>
      <c r="CA116" s="735"/>
      <c r="CB116" s="735"/>
      <c r="CC116" s="735"/>
      <c r="CD116" s="735"/>
      <c r="CE116" s="735"/>
      <c r="CF116" s="735"/>
      <c r="CG116" s="735"/>
      <c r="CH116" s="735"/>
      <c r="CI116" s="735"/>
      <c r="CJ116" s="735"/>
      <c r="CK116" s="735"/>
      <c r="CL116" s="735"/>
      <c r="CM116" s="735"/>
      <c r="CN116" s="735"/>
      <c r="CO116" s="735"/>
      <c r="CP116" s="735"/>
      <c r="IE116" s="1227"/>
    </row>
    <row r="117" spans="1:239" s="1223" customFormat="1" ht="15" customHeight="1" x14ac:dyDescent="0.25">
      <c r="A117" s="730"/>
      <c r="B117" s="1532" t="s">
        <v>1753</v>
      </c>
      <c r="C117" s="1535"/>
      <c r="D117" s="1262"/>
      <c r="E117" s="1263"/>
      <c r="F117" s="1246"/>
      <c r="I117" s="716"/>
      <c r="L117" s="735"/>
      <c r="M117" s="735"/>
      <c r="N117" s="735"/>
      <c r="O117" s="735"/>
      <c r="P117" s="735"/>
      <c r="Q117" s="735"/>
      <c r="R117" s="735"/>
      <c r="S117" s="735"/>
      <c r="T117" s="735"/>
      <c r="U117" s="735"/>
      <c r="V117" s="735"/>
      <c r="W117" s="735"/>
      <c r="X117" s="735"/>
      <c r="Y117" s="735"/>
      <c r="Z117" s="735"/>
      <c r="AA117" s="735"/>
      <c r="AB117" s="735"/>
      <c r="AC117" s="735"/>
      <c r="AD117" s="735"/>
      <c r="AE117" s="735"/>
      <c r="AF117" s="735"/>
      <c r="AG117" s="735"/>
      <c r="AH117" s="735"/>
      <c r="AI117" s="735"/>
      <c r="AJ117" s="735"/>
      <c r="AK117" s="735"/>
      <c r="AL117" s="735"/>
      <c r="AM117" s="735"/>
      <c r="AN117" s="735"/>
      <c r="AO117" s="735"/>
      <c r="AP117" s="735"/>
      <c r="AQ117" s="735"/>
      <c r="AR117" s="735"/>
      <c r="AS117" s="735"/>
      <c r="AT117" s="735"/>
      <c r="AU117" s="735"/>
      <c r="AV117" s="735"/>
      <c r="AW117" s="735"/>
      <c r="AX117" s="735"/>
      <c r="AY117" s="735"/>
      <c r="AZ117" s="735"/>
      <c r="BA117" s="735"/>
      <c r="BB117" s="735"/>
      <c r="BC117" s="735"/>
      <c r="BD117" s="735"/>
      <c r="BE117" s="735"/>
      <c r="BF117" s="735"/>
      <c r="BG117" s="735"/>
      <c r="BH117" s="735"/>
      <c r="BI117" s="735"/>
      <c r="BJ117" s="735"/>
      <c r="BK117" s="735"/>
      <c r="BL117" s="735"/>
      <c r="BM117" s="735"/>
      <c r="BN117" s="735"/>
      <c r="BO117" s="735"/>
      <c r="BP117" s="735"/>
      <c r="BQ117" s="735"/>
      <c r="BR117" s="735"/>
      <c r="BS117" s="735"/>
      <c r="BT117" s="735"/>
      <c r="BU117" s="735"/>
      <c r="BV117" s="735"/>
      <c r="BW117" s="735"/>
      <c r="BX117" s="735"/>
      <c r="BY117" s="735"/>
      <c r="BZ117" s="735"/>
      <c r="CA117" s="735"/>
      <c r="CB117" s="735"/>
      <c r="CC117" s="735"/>
      <c r="CD117" s="735"/>
      <c r="CE117" s="735"/>
      <c r="CF117" s="735"/>
      <c r="CG117" s="735"/>
      <c r="CH117" s="735"/>
      <c r="CI117" s="735"/>
      <c r="CJ117" s="735"/>
      <c r="CK117" s="735"/>
      <c r="CL117" s="735"/>
      <c r="CM117" s="735"/>
      <c r="CN117" s="735"/>
      <c r="CO117" s="735"/>
      <c r="CP117" s="735"/>
      <c r="IE117" s="1227"/>
    </row>
    <row r="118" spans="1:239" s="1223" customFormat="1" ht="15" customHeight="1" x14ac:dyDescent="0.25">
      <c r="A118" s="730"/>
      <c r="B118" s="1634" t="s">
        <v>1586</v>
      </c>
      <c r="C118" s="1634"/>
      <c r="D118" s="1634"/>
      <c r="E118" s="1635"/>
      <c r="F118" s="1243"/>
      <c r="I118" s="716"/>
      <c r="L118" s="735"/>
      <c r="M118" s="735"/>
      <c r="N118" s="735"/>
      <c r="O118" s="735"/>
      <c r="P118" s="735"/>
      <c r="Q118" s="735"/>
      <c r="R118" s="735"/>
      <c r="S118" s="735"/>
      <c r="T118" s="735"/>
      <c r="U118" s="735"/>
      <c r="V118" s="735"/>
      <c r="W118" s="735"/>
      <c r="X118" s="735"/>
      <c r="Y118" s="735"/>
      <c r="Z118" s="735"/>
      <c r="AA118" s="735"/>
      <c r="AB118" s="735"/>
      <c r="AC118" s="735"/>
      <c r="AD118" s="735"/>
      <c r="AE118" s="735"/>
      <c r="AF118" s="735"/>
      <c r="AG118" s="735"/>
      <c r="AH118" s="735"/>
      <c r="AI118" s="735"/>
      <c r="AJ118" s="735"/>
      <c r="AK118" s="735"/>
      <c r="AL118" s="735"/>
      <c r="AM118" s="735"/>
      <c r="AN118" s="735"/>
      <c r="AO118" s="735"/>
      <c r="AP118" s="735"/>
      <c r="AQ118" s="735"/>
      <c r="AR118" s="735"/>
      <c r="AS118" s="735"/>
      <c r="AT118" s="735"/>
      <c r="AU118" s="735"/>
      <c r="AV118" s="735"/>
      <c r="AW118" s="735"/>
      <c r="AX118" s="735"/>
      <c r="AY118" s="735"/>
      <c r="AZ118" s="735"/>
      <c r="BA118" s="735"/>
      <c r="BB118" s="735"/>
      <c r="BC118" s="735"/>
      <c r="BD118" s="735"/>
      <c r="BE118" s="735"/>
      <c r="BF118" s="735"/>
      <c r="BG118" s="735"/>
      <c r="BH118" s="735"/>
      <c r="BI118" s="735"/>
      <c r="BJ118" s="735"/>
      <c r="BK118" s="735"/>
      <c r="BL118" s="735"/>
      <c r="BM118" s="735"/>
      <c r="BN118" s="735"/>
      <c r="BO118" s="735"/>
      <c r="BP118" s="735"/>
      <c r="BQ118" s="735"/>
      <c r="BR118" s="735"/>
      <c r="BS118" s="735"/>
      <c r="BT118" s="735"/>
      <c r="BU118" s="735"/>
      <c r="BV118" s="735"/>
      <c r="BW118" s="735"/>
      <c r="BX118" s="735"/>
      <c r="BY118" s="735"/>
      <c r="BZ118" s="735"/>
      <c r="CA118" s="735"/>
      <c r="CB118" s="735"/>
      <c r="CC118" s="735"/>
      <c r="CD118" s="735"/>
      <c r="CE118" s="735"/>
      <c r="CF118" s="735"/>
      <c r="CG118" s="735"/>
      <c r="CH118" s="735"/>
      <c r="CI118" s="735"/>
      <c r="CJ118" s="735"/>
      <c r="CK118" s="735"/>
      <c r="CL118" s="735"/>
      <c r="CM118" s="735"/>
      <c r="CN118" s="735"/>
      <c r="CO118" s="735"/>
      <c r="CP118" s="735"/>
      <c r="IE118" s="1227"/>
    </row>
    <row r="119" spans="1:239" s="1222" customFormat="1" ht="15" customHeight="1" x14ac:dyDescent="0.25">
      <c r="A119" s="821"/>
      <c r="B119" s="716"/>
      <c r="C119" s="716"/>
      <c r="D119" s="716"/>
      <c r="E119" s="716"/>
      <c r="F119" s="716"/>
      <c r="G119" s="716"/>
      <c r="H119" s="716"/>
      <c r="I119" s="716"/>
      <c r="J119" s="716"/>
      <c r="K119" s="716"/>
      <c r="L119" s="716"/>
      <c r="M119" s="716"/>
      <c r="N119" s="716"/>
      <c r="O119" s="716"/>
      <c r="P119" s="716"/>
      <c r="Q119" s="716"/>
      <c r="R119" s="716"/>
      <c r="S119" s="716"/>
      <c r="T119" s="716"/>
      <c r="U119" s="716"/>
      <c r="V119" s="716"/>
      <c r="W119" s="716"/>
      <c r="X119" s="716"/>
      <c r="Y119" s="716"/>
      <c r="Z119" s="716"/>
      <c r="AA119" s="716"/>
      <c r="AB119" s="716"/>
      <c r="AC119" s="716"/>
      <c r="AD119" s="735"/>
      <c r="AE119" s="735"/>
      <c r="AF119" s="735"/>
      <c r="AG119" s="735"/>
      <c r="AH119" s="735"/>
      <c r="AI119" s="735"/>
      <c r="AJ119" s="735"/>
      <c r="AK119" s="735"/>
      <c r="AL119" s="735"/>
      <c r="AM119" s="735"/>
      <c r="AN119" s="735"/>
      <c r="AO119" s="716"/>
      <c r="AP119" s="716"/>
      <c r="AQ119" s="716"/>
      <c r="AR119" s="716"/>
      <c r="AS119" s="716"/>
      <c r="AT119" s="716"/>
      <c r="AU119" s="716"/>
      <c r="AV119" s="716"/>
      <c r="AW119" s="716"/>
      <c r="AX119" s="716"/>
      <c r="AY119" s="716"/>
      <c r="AZ119" s="716"/>
      <c r="BA119" s="716"/>
      <c r="BB119" s="716"/>
      <c r="BC119" s="716"/>
      <c r="BD119" s="716"/>
      <c r="BE119" s="716"/>
      <c r="BF119" s="716"/>
      <c r="BG119" s="716"/>
      <c r="BH119" s="716"/>
      <c r="BI119" s="716"/>
      <c r="BJ119" s="716"/>
      <c r="BK119" s="716"/>
      <c r="IE119" s="1226"/>
    </row>
    <row r="120" spans="1:239" s="1641" customFormat="1" ht="30" customHeight="1" x14ac:dyDescent="0.3">
      <c r="A120" s="776" t="s">
        <v>875</v>
      </c>
      <c r="B120" s="1266"/>
      <c r="C120" s="1267"/>
      <c r="D120" s="1267"/>
      <c r="E120" s="1267"/>
      <c r="F120" s="1267"/>
      <c r="G120" s="1268"/>
      <c r="H120" s="1268"/>
      <c r="I120" s="1268"/>
      <c r="J120" s="1268"/>
      <c r="K120" s="1268"/>
      <c r="L120" s="1268"/>
      <c r="M120" s="1268"/>
      <c r="N120" s="1268"/>
      <c r="O120" s="1268"/>
      <c r="P120" s="1268"/>
      <c r="Q120" s="1268"/>
      <c r="R120" s="1268"/>
      <c r="S120" s="1268"/>
      <c r="T120" s="1268"/>
      <c r="U120" s="1268"/>
      <c r="V120" s="1268"/>
      <c r="W120" s="1268"/>
      <c r="X120" s="1268"/>
      <c r="Y120" s="1268"/>
      <c r="Z120" s="1268"/>
      <c r="AA120" s="1268"/>
      <c r="AB120" s="1268"/>
      <c r="AC120" s="1268"/>
      <c r="AD120" s="735"/>
      <c r="AE120" s="735"/>
      <c r="AF120" s="735"/>
      <c r="AG120" s="735"/>
      <c r="AH120" s="735"/>
      <c r="AI120" s="735"/>
      <c r="AJ120" s="735"/>
      <c r="AK120" s="735"/>
      <c r="AL120" s="735"/>
      <c r="AM120" s="735"/>
      <c r="AN120" s="735"/>
      <c r="AO120" s="1268"/>
      <c r="AP120" s="1268"/>
      <c r="AQ120" s="1268"/>
      <c r="AR120" s="1268"/>
      <c r="AS120" s="1268"/>
      <c r="AT120" s="1268"/>
      <c r="AU120" s="1268"/>
      <c r="AV120" s="1268"/>
      <c r="AW120" s="1268"/>
      <c r="AX120" s="1268"/>
      <c r="AY120" s="1268"/>
      <c r="AZ120" s="1268"/>
      <c r="BA120" s="1268"/>
      <c r="BB120" s="1268"/>
      <c r="BC120" s="1268"/>
      <c r="BD120" s="1268"/>
      <c r="BE120" s="1268"/>
      <c r="BF120" s="1268"/>
      <c r="BG120" s="1268"/>
      <c r="BH120" s="1268"/>
      <c r="BI120" s="1268"/>
      <c r="BJ120" s="1268"/>
      <c r="BK120" s="1268"/>
      <c r="BL120" s="1268"/>
      <c r="BM120" s="1268"/>
      <c r="BN120" s="1268"/>
      <c r="BO120" s="1268"/>
      <c r="BP120" s="1268"/>
      <c r="BQ120" s="1268"/>
      <c r="BR120" s="1268"/>
      <c r="BS120" s="1268"/>
      <c r="BT120" s="1268"/>
      <c r="BU120" s="1268"/>
      <c r="BV120" s="1268"/>
      <c r="BW120" s="1268"/>
      <c r="BX120" s="1268"/>
      <c r="BY120" s="1268"/>
      <c r="BZ120" s="1268"/>
      <c r="CA120" s="1268"/>
      <c r="CB120" s="1268"/>
      <c r="CC120" s="1268"/>
      <c r="CD120" s="1268"/>
      <c r="CE120" s="1268"/>
      <c r="CF120" s="1268"/>
      <c r="CG120" s="1268"/>
      <c r="CH120" s="1268"/>
      <c r="CI120" s="1268"/>
      <c r="CJ120" s="1268"/>
      <c r="CK120" s="1268"/>
      <c r="CL120" s="1268"/>
      <c r="CM120" s="1268"/>
      <c r="CN120" s="1268"/>
      <c r="CO120" s="1268"/>
      <c r="CP120" s="1268"/>
      <c r="CQ120" s="1268"/>
      <c r="CR120" s="1268"/>
      <c r="CS120" s="1268"/>
      <c r="CT120" s="1268"/>
      <c r="CU120" s="1268"/>
      <c r="CV120" s="1268"/>
      <c r="CW120" s="1268"/>
      <c r="CX120" s="1268"/>
      <c r="CY120" s="1268"/>
      <c r="CZ120" s="1268"/>
      <c r="DA120" s="1268"/>
      <c r="DB120" s="1268"/>
      <c r="DC120" s="1268"/>
      <c r="DD120" s="1268"/>
      <c r="DE120" s="1268"/>
      <c r="DF120" s="1268"/>
      <c r="DG120" s="1268"/>
      <c r="DH120" s="1268"/>
      <c r="DI120" s="1268"/>
      <c r="DJ120" s="1268"/>
      <c r="DK120" s="1268"/>
      <c r="DL120" s="1268"/>
      <c r="DM120" s="1268"/>
      <c r="DN120" s="1268"/>
      <c r="DO120" s="1268"/>
      <c r="DP120" s="1268"/>
      <c r="DQ120" s="1268"/>
      <c r="DR120" s="1268"/>
      <c r="DS120" s="1268"/>
      <c r="DT120" s="1268"/>
      <c r="DU120" s="1268"/>
      <c r="DV120" s="1268"/>
      <c r="DW120" s="1268"/>
      <c r="DX120" s="1268"/>
      <c r="DY120" s="1268"/>
      <c r="DZ120" s="1268"/>
      <c r="EA120" s="1268"/>
      <c r="EB120" s="1268"/>
      <c r="EC120" s="1268"/>
      <c r="ED120" s="1268"/>
      <c r="EE120" s="1268"/>
      <c r="EF120" s="1268"/>
      <c r="EG120" s="1268"/>
      <c r="EH120" s="1268"/>
      <c r="EI120" s="1268"/>
      <c r="EJ120" s="1268"/>
      <c r="EK120" s="1268"/>
      <c r="EL120" s="1268"/>
      <c r="EM120" s="1268"/>
      <c r="EN120" s="1268"/>
      <c r="EO120" s="1268"/>
      <c r="EP120" s="1268"/>
      <c r="EQ120" s="1268"/>
      <c r="ER120" s="1268"/>
      <c r="ES120" s="1268"/>
      <c r="ET120" s="1268"/>
      <c r="EU120" s="1268"/>
      <c r="EV120" s="1268"/>
      <c r="EW120" s="1268"/>
      <c r="EX120" s="1268"/>
      <c r="EY120" s="1268"/>
      <c r="EZ120" s="1268"/>
      <c r="FA120" s="1268"/>
      <c r="FB120" s="1268"/>
      <c r="FC120" s="1268"/>
      <c r="FD120" s="1268"/>
      <c r="FE120" s="1268"/>
      <c r="FF120" s="1268"/>
      <c r="FG120" s="1268"/>
      <c r="FH120" s="1268"/>
      <c r="FI120" s="1268"/>
      <c r="FJ120" s="1268"/>
      <c r="FK120" s="1268"/>
      <c r="FL120" s="1268"/>
      <c r="FM120" s="1268"/>
      <c r="FN120" s="1268"/>
      <c r="FO120" s="1268"/>
      <c r="FP120" s="1268"/>
      <c r="FQ120" s="1268"/>
      <c r="FR120" s="1268"/>
      <c r="FS120" s="1268"/>
      <c r="FT120" s="1268"/>
      <c r="FU120" s="1268"/>
      <c r="FV120" s="1268"/>
      <c r="FW120" s="1268"/>
      <c r="FX120" s="1268"/>
      <c r="FY120" s="1268"/>
      <c r="FZ120" s="1268"/>
      <c r="GA120" s="1268"/>
      <c r="GB120" s="1268"/>
      <c r="GC120" s="1268"/>
      <c r="GD120" s="1268"/>
      <c r="GE120" s="1268"/>
      <c r="GF120" s="1268"/>
      <c r="GG120" s="1268"/>
      <c r="GH120" s="1268"/>
      <c r="GI120" s="1268"/>
      <c r="GJ120" s="1268"/>
      <c r="GK120" s="1268"/>
      <c r="GL120" s="1268"/>
      <c r="GM120" s="1268"/>
      <c r="GN120" s="1268"/>
      <c r="GO120" s="1268"/>
      <c r="GP120" s="1268"/>
      <c r="GQ120" s="1268"/>
      <c r="GR120" s="1268"/>
      <c r="GS120" s="1268"/>
      <c r="GT120" s="1268"/>
      <c r="GU120" s="1268"/>
      <c r="GV120" s="1268"/>
      <c r="GW120" s="1268"/>
      <c r="GX120" s="1268"/>
      <c r="GY120" s="1268"/>
      <c r="GZ120" s="1268"/>
      <c r="HA120" s="1268"/>
      <c r="HB120" s="1268"/>
      <c r="HC120" s="1268"/>
      <c r="HD120" s="1268"/>
      <c r="HE120" s="1268"/>
      <c r="HF120" s="1268"/>
      <c r="HG120" s="1268"/>
      <c r="HH120" s="1268"/>
      <c r="HI120" s="1268"/>
      <c r="HJ120" s="1268"/>
      <c r="HK120" s="1268"/>
      <c r="HL120" s="1268"/>
      <c r="HM120" s="1268"/>
      <c r="HN120" s="1268"/>
      <c r="HO120" s="1268"/>
      <c r="HP120" s="1268"/>
      <c r="HQ120" s="1268"/>
      <c r="HR120" s="1268"/>
      <c r="HS120" s="1268"/>
      <c r="HT120" s="1268"/>
      <c r="HU120" s="1268"/>
      <c r="HV120" s="1268"/>
      <c r="HW120" s="1268"/>
      <c r="HX120" s="1268"/>
      <c r="HY120" s="1268"/>
      <c r="HZ120" s="1268"/>
      <c r="IA120" s="1268"/>
      <c r="IB120" s="1268"/>
      <c r="IC120" s="1268"/>
      <c r="ID120" s="1268"/>
      <c r="IE120" s="1269"/>
    </row>
    <row r="121" spans="1:239" s="1222" customFormat="1" ht="15" customHeight="1" x14ac:dyDescent="0.3">
      <c r="A121" s="728"/>
      <c r="B121" s="716"/>
      <c r="C121" s="716"/>
      <c r="D121" s="716"/>
      <c r="E121" s="716"/>
      <c r="F121" s="716"/>
      <c r="G121" s="716"/>
      <c r="H121" s="716"/>
      <c r="I121" s="716"/>
      <c r="J121" s="716"/>
      <c r="K121" s="729"/>
      <c r="L121" s="729"/>
      <c r="M121" s="729"/>
      <c r="N121" s="729"/>
      <c r="O121" s="729"/>
      <c r="P121" s="729"/>
      <c r="Q121" s="729"/>
      <c r="R121" s="729"/>
      <c r="S121" s="729"/>
      <c r="T121" s="729"/>
      <c r="U121" s="729"/>
      <c r="V121" s="729"/>
      <c r="W121" s="729"/>
      <c r="X121" s="729"/>
      <c r="Y121" s="729"/>
      <c r="Z121" s="729"/>
      <c r="AA121" s="729"/>
      <c r="AB121" s="729"/>
      <c r="AC121" s="729"/>
      <c r="AD121" s="735"/>
      <c r="AE121" s="735"/>
      <c r="AF121" s="735"/>
      <c r="AG121" s="735"/>
      <c r="AH121" s="735"/>
      <c r="AI121" s="735"/>
      <c r="AJ121" s="735"/>
      <c r="AK121" s="735"/>
      <c r="AL121" s="735"/>
      <c r="AM121" s="735"/>
      <c r="AN121" s="735"/>
      <c r="AO121" s="729"/>
      <c r="AP121" s="729"/>
      <c r="AQ121" s="729"/>
      <c r="AR121" s="729"/>
      <c r="AS121" s="729"/>
      <c r="AT121" s="729"/>
      <c r="AU121" s="729"/>
      <c r="AV121" s="729"/>
      <c r="AW121" s="729"/>
      <c r="AX121" s="729"/>
      <c r="AY121" s="729"/>
      <c r="AZ121" s="729"/>
      <c r="BA121" s="729"/>
      <c r="BB121" s="729"/>
      <c r="BC121" s="729"/>
      <c r="BD121" s="729"/>
      <c r="BE121" s="729"/>
      <c r="BF121" s="729"/>
      <c r="BG121" s="729"/>
      <c r="BH121" s="729"/>
      <c r="BI121" s="729"/>
      <c r="BJ121" s="729"/>
      <c r="BK121" s="729"/>
      <c r="IE121" s="1226"/>
    </row>
    <row r="122" spans="1:239" s="1222" customFormat="1" ht="15" customHeight="1" x14ac:dyDescent="0.25">
      <c r="A122" s="836"/>
      <c r="B122" s="1796" t="s">
        <v>820</v>
      </c>
      <c r="C122" s="1796"/>
      <c r="D122" s="1796"/>
      <c r="E122" s="1796"/>
      <c r="F122" s="1845" t="s">
        <v>1525</v>
      </c>
      <c r="G122" s="1845"/>
      <c r="H122" s="1845"/>
      <c r="I122" s="1845"/>
      <c r="J122" s="1845"/>
      <c r="K122" s="1845"/>
      <c r="L122" s="1845"/>
      <c r="M122" s="1845"/>
      <c r="N122" s="1845"/>
      <c r="O122" s="1848" t="s">
        <v>1585</v>
      </c>
      <c r="P122" s="1845"/>
      <c r="Q122" s="1845"/>
      <c r="R122" s="1845"/>
      <c r="S122" s="1845"/>
      <c r="T122" s="1845"/>
      <c r="U122" s="1848" t="s">
        <v>1586</v>
      </c>
      <c r="V122" s="1845"/>
      <c r="W122" s="1845"/>
      <c r="X122" s="1845"/>
      <c r="Y122" s="1845"/>
      <c r="Z122" s="1845"/>
      <c r="AA122" s="1845"/>
      <c r="AB122" s="1845"/>
      <c r="AC122" s="1845"/>
      <c r="AD122" s="735"/>
      <c r="AE122" s="735"/>
      <c r="AF122" s="735"/>
      <c r="AG122" s="735"/>
      <c r="AH122" s="735"/>
      <c r="AI122" s="735"/>
      <c r="AJ122" s="735"/>
      <c r="AK122" s="735"/>
      <c r="AL122" s="735"/>
      <c r="AM122" s="735"/>
      <c r="AN122" s="735"/>
      <c r="AO122" s="735"/>
      <c r="AP122" s="735"/>
      <c r="AQ122" s="735"/>
      <c r="AR122" s="735"/>
      <c r="AS122" s="735"/>
      <c r="AT122" s="735"/>
      <c r="AU122" s="735"/>
      <c r="AV122" s="735"/>
      <c r="AW122" s="735"/>
      <c r="AX122" s="735"/>
      <c r="AY122" s="735"/>
      <c r="AZ122" s="735"/>
      <c r="BA122" s="735"/>
      <c r="BB122" s="735"/>
      <c r="BC122" s="735"/>
      <c r="BD122" s="735"/>
      <c r="BE122" s="735"/>
      <c r="BF122" s="735"/>
      <c r="BG122" s="735"/>
      <c r="BH122" s="735"/>
      <c r="BI122" s="735"/>
      <c r="BJ122" s="735"/>
      <c r="BK122" s="735"/>
      <c r="IE122" s="1226"/>
    </row>
    <row r="123" spans="1:239" s="1222" customFormat="1" ht="30" customHeight="1" x14ac:dyDescent="0.25">
      <c r="A123" s="836"/>
      <c r="B123" s="1799"/>
      <c r="C123" s="1799"/>
      <c r="D123" s="1799"/>
      <c r="E123" s="1799"/>
      <c r="F123" s="1679" t="s">
        <v>821</v>
      </c>
      <c r="G123" s="1679" t="s">
        <v>1802</v>
      </c>
      <c r="H123" s="1679" t="s">
        <v>822</v>
      </c>
      <c r="I123" s="1841" t="s">
        <v>1616</v>
      </c>
      <c r="J123" s="1842"/>
      <c r="K123" s="1841" t="s">
        <v>1617</v>
      </c>
      <c r="L123" s="1843"/>
      <c r="M123" s="1841" t="s">
        <v>1618</v>
      </c>
      <c r="N123" s="1844"/>
      <c r="O123" s="1846" t="s">
        <v>821</v>
      </c>
      <c r="P123" s="1679" t="s">
        <v>1802</v>
      </c>
      <c r="Q123" s="1679" t="s">
        <v>822</v>
      </c>
      <c r="R123" s="1679" t="s">
        <v>1748</v>
      </c>
      <c r="S123" s="1679" t="s">
        <v>1749</v>
      </c>
      <c r="T123" s="1839" t="s">
        <v>1750</v>
      </c>
      <c r="U123" s="1846" t="s">
        <v>821</v>
      </c>
      <c r="V123" s="1679" t="s">
        <v>1805</v>
      </c>
      <c r="W123" s="1679" t="s">
        <v>1615</v>
      </c>
      <c r="X123" s="1841" t="s">
        <v>1616</v>
      </c>
      <c r="Y123" s="1843"/>
      <c r="Z123" s="1841" t="s">
        <v>1617</v>
      </c>
      <c r="AA123" s="1843"/>
      <c r="AB123" s="1841" t="s">
        <v>1618</v>
      </c>
      <c r="AC123" s="1842"/>
      <c r="AD123" s="735"/>
      <c r="AE123" s="735"/>
      <c r="AF123" s="735"/>
      <c r="AG123" s="735"/>
      <c r="AH123" s="735"/>
      <c r="AI123" s="735"/>
      <c r="AJ123" s="735"/>
      <c r="AK123" s="735"/>
      <c r="AL123" s="735"/>
      <c r="AM123" s="735"/>
      <c r="AN123" s="735"/>
      <c r="AO123" s="735"/>
      <c r="AP123" s="735"/>
      <c r="AQ123" s="735"/>
      <c r="AR123" s="735"/>
      <c r="AS123" s="735"/>
      <c r="AT123" s="735"/>
      <c r="AU123" s="735"/>
      <c r="AV123" s="735"/>
      <c r="AW123" s="735"/>
      <c r="AX123" s="735"/>
      <c r="AY123" s="735"/>
      <c r="AZ123" s="735"/>
      <c r="BA123" s="735"/>
      <c r="BB123" s="735"/>
      <c r="BC123" s="735"/>
      <c r="BD123" s="735"/>
      <c r="BE123" s="735"/>
      <c r="BF123" s="735"/>
      <c r="BG123" s="735"/>
      <c r="BH123" s="735"/>
      <c r="BI123" s="735"/>
      <c r="BJ123" s="735"/>
      <c r="BK123" s="735"/>
      <c r="IE123" s="1226"/>
    </row>
    <row r="124" spans="1:239" s="1222" customFormat="1" ht="30" customHeight="1" x14ac:dyDescent="0.25">
      <c r="A124" s="730"/>
      <c r="B124" s="1802"/>
      <c r="C124" s="1802"/>
      <c r="D124" s="1802"/>
      <c r="E124" s="1802"/>
      <c r="F124" s="1680"/>
      <c r="G124" s="1680"/>
      <c r="H124" s="1680"/>
      <c r="I124" s="1629" t="s">
        <v>823</v>
      </c>
      <c r="J124" s="1629" t="s">
        <v>824</v>
      </c>
      <c r="K124" s="1629" t="s">
        <v>823</v>
      </c>
      <c r="L124" s="1629" t="s">
        <v>824</v>
      </c>
      <c r="M124" s="1629" t="s">
        <v>823</v>
      </c>
      <c r="N124" s="1629" t="s">
        <v>824</v>
      </c>
      <c r="O124" s="1847"/>
      <c r="P124" s="1680"/>
      <c r="Q124" s="1680"/>
      <c r="R124" s="1680"/>
      <c r="S124" s="1680"/>
      <c r="T124" s="1840"/>
      <c r="U124" s="1847"/>
      <c r="V124" s="1680"/>
      <c r="W124" s="1680"/>
      <c r="X124" s="1629" t="s">
        <v>1614</v>
      </c>
      <c r="Y124" s="1629" t="s">
        <v>1619</v>
      </c>
      <c r="Z124" s="1629" t="s">
        <v>1614</v>
      </c>
      <c r="AA124" s="1629" t="s">
        <v>1619</v>
      </c>
      <c r="AB124" s="1629" t="s">
        <v>1614</v>
      </c>
      <c r="AC124" s="1627" t="s">
        <v>1619</v>
      </c>
      <c r="AD124" s="735"/>
      <c r="AE124" s="735"/>
      <c r="AF124" s="735"/>
      <c r="AG124" s="735"/>
      <c r="AH124" s="735"/>
      <c r="AI124" s="735"/>
      <c r="AJ124" s="735"/>
      <c r="AK124" s="735"/>
      <c r="AL124" s="735"/>
      <c r="AM124" s="735"/>
      <c r="AN124" s="735"/>
      <c r="AO124" s="735"/>
      <c r="AP124" s="735"/>
      <c r="AQ124" s="735"/>
      <c r="AR124" s="735"/>
      <c r="AS124" s="735"/>
      <c r="AT124" s="735"/>
      <c r="AU124" s="735"/>
      <c r="AV124" s="735"/>
      <c r="AW124" s="735"/>
      <c r="AX124" s="735"/>
      <c r="AY124" s="735"/>
      <c r="AZ124" s="735"/>
      <c r="BA124" s="735"/>
      <c r="BB124" s="735"/>
      <c r="BC124" s="735"/>
      <c r="BD124" s="735"/>
      <c r="BE124" s="735"/>
      <c r="BF124" s="735"/>
      <c r="BG124" s="735"/>
      <c r="BH124" s="735"/>
      <c r="BI124" s="735"/>
      <c r="BJ124" s="735"/>
      <c r="BK124" s="735"/>
      <c r="IE124" s="1226"/>
    </row>
    <row r="125" spans="1:239" s="1223" customFormat="1" ht="15" customHeight="1" x14ac:dyDescent="0.25">
      <c r="A125" s="730"/>
      <c r="B125" s="1636" t="s">
        <v>643</v>
      </c>
      <c r="C125" s="1636"/>
      <c r="D125" s="1636"/>
      <c r="E125" s="1636"/>
      <c r="F125" s="1241"/>
      <c r="G125" s="1247"/>
      <c r="H125" s="1247"/>
      <c r="I125" s="1247"/>
      <c r="J125" s="1247"/>
      <c r="K125" s="1247"/>
      <c r="L125" s="1247"/>
      <c r="M125" s="1247"/>
      <c r="N125" s="1247"/>
      <c r="O125" s="1538"/>
      <c r="P125" s="1257"/>
      <c r="Q125" s="1257"/>
      <c r="R125" s="1257"/>
      <c r="S125" s="1257"/>
      <c r="T125" s="1539"/>
      <c r="U125" s="1249"/>
      <c r="V125" s="1247"/>
      <c r="W125" s="1247"/>
      <c r="X125" s="1247"/>
      <c r="Y125" s="1247"/>
      <c r="Z125" s="1247"/>
      <c r="AA125" s="1247"/>
      <c r="AB125" s="1247"/>
      <c r="AC125" s="1250"/>
      <c r="AD125" s="735"/>
      <c r="AE125" s="735"/>
      <c r="AF125" s="735"/>
      <c r="AG125" s="735"/>
      <c r="AH125" s="735"/>
      <c r="AI125" s="735"/>
      <c r="AJ125" s="735"/>
      <c r="AK125" s="735"/>
      <c r="AL125" s="735"/>
      <c r="AM125" s="735"/>
      <c r="AN125" s="735"/>
      <c r="AO125" s="735"/>
      <c r="AP125" s="735"/>
      <c r="AQ125" s="735"/>
      <c r="AR125" s="735"/>
      <c r="AS125" s="735"/>
      <c r="AT125" s="735"/>
      <c r="AU125" s="735"/>
      <c r="AV125" s="735"/>
      <c r="AW125" s="735"/>
      <c r="AX125" s="735"/>
      <c r="AY125" s="735"/>
      <c r="AZ125" s="735"/>
      <c r="BA125" s="735"/>
      <c r="BB125" s="735"/>
      <c r="BC125" s="735"/>
      <c r="BD125" s="735"/>
      <c r="BE125" s="735"/>
      <c r="BF125" s="735"/>
      <c r="BG125" s="735"/>
      <c r="BH125" s="735"/>
      <c r="BI125" s="735"/>
      <c r="BJ125" s="735"/>
      <c r="BK125" s="735"/>
      <c r="IE125" s="1227"/>
    </row>
    <row r="126" spans="1:239" s="1223" customFormat="1" ht="15" customHeight="1" x14ac:dyDescent="0.25">
      <c r="A126" s="730"/>
      <c r="B126" s="961" t="s">
        <v>644</v>
      </c>
      <c r="C126" s="961"/>
      <c r="D126" s="961"/>
      <c r="E126" s="961"/>
      <c r="F126" s="1241"/>
      <c r="G126" s="1241"/>
      <c r="H126" s="1241"/>
      <c r="I126" s="1241"/>
      <c r="J126" s="1241"/>
      <c r="K126" s="1241"/>
      <c r="L126" s="1241"/>
      <c r="M126" s="1241"/>
      <c r="N126" s="1241"/>
      <c r="O126" s="1252"/>
      <c r="P126" s="1241"/>
      <c r="Q126" s="1241"/>
      <c r="R126" s="1241"/>
      <c r="S126" s="1241"/>
      <c r="T126" s="1253"/>
      <c r="U126" s="1252"/>
      <c r="V126" s="1241"/>
      <c r="W126" s="1241"/>
      <c r="X126" s="1241"/>
      <c r="Y126" s="1241"/>
      <c r="Z126" s="1241"/>
      <c r="AA126" s="1241"/>
      <c r="AB126" s="1241"/>
      <c r="AC126" s="1242"/>
      <c r="AD126" s="735"/>
      <c r="AE126" s="735"/>
      <c r="AF126" s="735"/>
      <c r="AG126" s="735"/>
      <c r="AH126" s="735"/>
      <c r="AI126" s="735"/>
      <c r="AJ126" s="735"/>
      <c r="AK126" s="735"/>
      <c r="AL126" s="735"/>
      <c r="AM126" s="735"/>
      <c r="AN126" s="735"/>
      <c r="AO126" s="735"/>
      <c r="AP126" s="735"/>
      <c r="AQ126" s="735"/>
      <c r="AR126" s="735"/>
      <c r="AS126" s="735"/>
      <c r="AT126" s="735"/>
      <c r="AU126" s="735"/>
      <c r="AV126" s="735"/>
      <c r="AW126" s="735"/>
      <c r="AX126" s="735"/>
      <c r="AY126" s="735"/>
      <c r="AZ126" s="735"/>
      <c r="BA126" s="735"/>
      <c r="BB126" s="735"/>
      <c r="BC126" s="735"/>
      <c r="BD126" s="735"/>
      <c r="BE126" s="735"/>
      <c r="BF126" s="735"/>
      <c r="BG126" s="735"/>
      <c r="BH126" s="735"/>
      <c r="BI126" s="735"/>
      <c r="BJ126" s="735"/>
      <c r="BK126" s="735"/>
      <c r="IE126" s="1227"/>
    </row>
    <row r="127" spans="1:239" s="1223" customFormat="1" ht="15" customHeight="1" x14ac:dyDescent="0.25">
      <c r="A127" s="730"/>
      <c r="B127" s="936" t="s">
        <v>825</v>
      </c>
      <c r="C127" s="936"/>
      <c r="D127" s="936"/>
      <c r="E127" s="936"/>
      <c r="F127" s="1241"/>
      <c r="G127" s="1241"/>
      <c r="H127" s="1241"/>
      <c r="I127" s="1241"/>
      <c r="J127" s="1241"/>
      <c r="K127" s="1241"/>
      <c r="L127" s="1241"/>
      <c r="M127" s="1241"/>
      <c r="N127" s="1241"/>
      <c r="O127" s="1252"/>
      <c r="P127" s="1241"/>
      <c r="Q127" s="1241"/>
      <c r="R127" s="1241"/>
      <c r="S127" s="1241"/>
      <c r="T127" s="1253"/>
      <c r="U127" s="1252"/>
      <c r="V127" s="1241"/>
      <c r="W127" s="1241"/>
      <c r="X127" s="1241"/>
      <c r="Y127" s="1241"/>
      <c r="Z127" s="1241"/>
      <c r="AA127" s="1241"/>
      <c r="AB127" s="1241"/>
      <c r="AC127" s="1242"/>
      <c r="AD127" s="735"/>
      <c r="AE127" s="735"/>
      <c r="AF127" s="735"/>
      <c r="AG127" s="735"/>
      <c r="AH127" s="735"/>
      <c r="AI127" s="735"/>
      <c r="AJ127" s="735"/>
      <c r="AK127" s="735"/>
      <c r="AL127" s="735"/>
      <c r="AM127" s="735"/>
      <c r="AN127" s="735"/>
      <c r="AO127" s="735"/>
      <c r="AP127" s="735"/>
      <c r="AQ127" s="735"/>
      <c r="AR127" s="735"/>
      <c r="AS127" s="735"/>
      <c r="AT127" s="735"/>
      <c r="AU127" s="735"/>
      <c r="AV127" s="735"/>
      <c r="AW127" s="735"/>
      <c r="AX127" s="735"/>
      <c r="AY127" s="735"/>
      <c r="AZ127" s="735"/>
      <c r="BA127" s="735"/>
      <c r="BB127" s="735"/>
      <c r="BC127" s="735"/>
      <c r="BD127" s="735"/>
      <c r="BE127" s="735"/>
      <c r="BF127" s="735"/>
      <c r="BG127" s="735"/>
      <c r="BH127" s="735"/>
      <c r="BI127" s="735"/>
      <c r="BJ127" s="735"/>
      <c r="BK127" s="735"/>
      <c r="IE127" s="1227"/>
    </row>
    <row r="128" spans="1:239" s="1223" customFormat="1" ht="15" customHeight="1" x14ac:dyDescent="0.25">
      <c r="A128" s="730"/>
      <c r="B128" s="936" t="s">
        <v>645</v>
      </c>
      <c r="C128" s="936"/>
      <c r="D128" s="936"/>
      <c r="E128" s="936"/>
      <c r="F128" s="1241"/>
      <c r="G128" s="1241"/>
      <c r="H128" s="1241"/>
      <c r="I128" s="1241"/>
      <c r="J128" s="1241"/>
      <c r="K128" s="1241"/>
      <c r="L128" s="1241"/>
      <c r="M128" s="1241"/>
      <c r="N128" s="1241"/>
      <c r="O128" s="1252"/>
      <c r="P128" s="1241"/>
      <c r="Q128" s="1241"/>
      <c r="R128" s="1241"/>
      <c r="S128" s="1241"/>
      <c r="T128" s="1253"/>
      <c r="U128" s="1252"/>
      <c r="V128" s="1241"/>
      <c r="W128" s="1241"/>
      <c r="X128" s="1241"/>
      <c r="Y128" s="1241"/>
      <c r="Z128" s="1241"/>
      <c r="AA128" s="1241"/>
      <c r="AB128" s="1241"/>
      <c r="AC128" s="1242"/>
      <c r="AD128" s="735"/>
      <c r="AE128" s="735"/>
      <c r="AF128" s="735"/>
      <c r="AG128" s="735"/>
      <c r="AH128" s="735"/>
      <c r="AI128" s="735"/>
      <c r="AJ128" s="735"/>
      <c r="AK128" s="735"/>
      <c r="AL128" s="735"/>
      <c r="AM128" s="735"/>
      <c r="AN128" s="735"/>
      <c r="AO128" s="735"/>
      <c r="AP128" s="735"/>
      <c r="AQ128" s="735"/>
      <c r="AR128" s="735"/>
      <c r="AS128" s="735"/>
      <c r="AT128" s="735"/>
      <c r="AU128" s="735"/>
      <c r="AV128" s="735"/>
      <c r="AW128" s="735"/>
      <c r="AX128" s="735"/>
      <c r="AY128" s="735"/>
      <c r="AZ128" s="735"/>
      <c r="BA128" s="735"/>
      <c r="BB128" s="735"/>
      <c r="BC128" s="735"/>
      <c r="BD128" s="735"/>
      <c r="BE128" s="735"/>
      <c r="BF128" s="735"/>
      <c r="BG128" s="735"/>
      <c r="BH128" s="735"/>
      <c r="BI128" s="735"/>
      <c r="BJ128" s="735"/>
      <c r="BK128" s="735"/>
      <c r="IE128" s="1227"/>
    </row>
    <row r="129" spans="1:239" s="1223" customFormat="1" ht="15" customHeight="1" x14ac:dyDescent="0.25">
      <c r="A129" s="730"/>
      <c r="B129" s="936" t="s">
        <v>826</v>
      </c>
      <c r="C129" s="936"/>
      <c r="D129" s="936"/>
      <c r="E129" s="936"/>
      <c r="F129" s="1241"/>
      <c r="G129" s="1241"/>
      <c r="H129" s="1241"/>
      <c r="I129" s="1241"/>
      <c r="J129" s="1241"/>
      <c r="K129" s="1241"/>
      <c r="L129" s="1241"/>
      <c r="M129" s="1241"/>
      <c r="N129" s="1241"/>
      <c r="O129" s="1252"/>
      <c r="P129" s="1241"/>
      <c r="Q129" s="1241"/>
      <c r="R129" s="1241"/>
      <c r="S129" s="1241"/>
      <c r="T129" s="1253"/>
      <c r="U129" s="1252"/>
      <c r="V129" s="1241"/>
      <c r="W129" s="1241"/>
      <c r="X129" s="1241"/>
      <c r="Y129" s="1241"/>
      <c r="Z129" s="1241"/>
      <c r="AA129" s="1241"/>
      <c r="AB129" s="1241"/>
      <c r="AC129" s="1242"/>
      <c r="AD129" s="735"/>
      <c r="AE129" s="735"/>
      <c r="AF129" s="735"/>
      <c r="AG129" s="735"/>
      <c r="AH129" s="735"/>
      <c r="AI129" s="735"/>
      <c r="AJ129" s="735"/>
      <c r="AK129" s="735"/>
      <c r="AL129" s="735"/>
      <c r="AM129" s="735"/>
      <c r="AN129" s="735"/>
      <c r="AO129" s="735"/>
      <c r="AP129" s="735"/>
      <c r="AQ129" s="735"/>
      <c r="AR129" s="735"/>
      <c r="AS129" s="735"/>
      <c r="AT129" s="735"/>
      <c r="AU129" s="735"/>
      <c r="AV129" s="735"/>
      <c r="AW129" s="735"/>
      <c r="AX129" s="735"/>
      <c r="AY129" s="735"/>
      <c r="AZ129" s="735"/>
      <c r="BA129" s="735"/>
      <c r="BB129" s="735"/>
      <c r="BC129" s="735"/>
      <c r="BD129" s="735"/>
      <c r="BE129" s="735"/>
      <c r="BF129" s="735"/>
      <c r="BG129" s="735"/>
      <c r="BH129" s="735"/>
      <c r="BI129" s="735"/>
      <c r="BJ129" s="735"/>
      <c r="BK129" s="735"/>
      <c r="IE129" s="1227"/>
    </row>
    <row r="130" spans="1:239" s="1223" customFormat="1" ht="15" customHeight="1" x14ac:dyDescent="0.25">
      <c r="A130" s="730"/>
      <c r="B130" s="936" t="s">
        <v>827</v>
      </c>
      <c r="C130" s="936"/>
      <c r="D130" s="936"/>
      <c r="E130" s="936"/>
      <c r="F130" s="1241"/>
      <c r="G130" s="1241"/>
      <c r="H130" s="1241"/>
      <c r="I130" s="1241"/>
      <c r="J130" s="1241"/>
      <c r="K130" s="1241"/>
      <c r="L130" s="1241"/>
      <c r="M130" s="1241"/>
      <c r="N130" s="1241"/>
      <c r="O130" s="1252"/>
      <c r="P130" s="1241"/>
      <c r="Q130" s="1241"/>
      <c r="R130" s="1241"/>
      <c r="S130" s="1241"/>
      <c r="T130" s="1253"/>
      <c r="U130" s="1252"/>
      <c r="V130" s="1241"/>
      <c r="W130" s="1241"/>
      <c r="X130" s="1241"/>
      <c r="Y130" s="1241"/>
      <c r="Z130" s="1241"/>
      <c r="AA130" s="1241"/>
      <c r="AB130" s="1241"/>
      <c r="AC130" s="1242"/>
      <c r="AD130" s="735"/>
      <c r="AE130" s="735"/>
      <c r="AF130" s="735"/>
      <c r="AG130" s="735"/>
      <c r="AH130" s="735"/>
      <c r="AI130" s="735"/>
      <c r="AJ130" s="735"/>
      <c r="AK130" s="735"/>
      <c r="AL130" s="735"/>
      <c r="AM130" s="735"/>
      <c r="AN130" s="735"/>
      <c r="AO130" s="735"/>
      <c r="AP130" s="735"/>
      <c r="AQ130" s="735"/>
      <c r="AR130" s="735"/>
      <c r="AS130" s="735"/>
      <c r="AT130" s="735"/>
      <c r="AU130" s="735"/>
      <c r="AV130" s="735"/>
      <c r="AW130" s="735"/>
      <c r="AX130" s="735"/>
      <c r="AY130" s="735"/>
      <c r="AZ130" s="735"/>
      <c r="BA130" s="735"/>
      <c r="BB130" s="735"/>
      <c r="BC130" s="735"/>
      <c r="BD130" s="735"/>
      <c r="BE130" s="735"/>
      <c r="BF130" s="735"/>
      <c r="BG130" s="735"/>
      <c r="BH130" s="735"/>
      <c r="BI130" s="735"/>
      <c r="BJ130" s="735"/>
      <c r="BK130" s="735"/>
      <c r="IE130" s="1227"/>
    </row>
    <row r="131" spans="1:239" s="1223" customFormat="1" ht="15" customHeight="1" x14ac:dyDescent="0.25">
      <c r="A131" s="730"/>
      <c r="B131" s="936" t="s">
        <v>828</v>
      </c>
      <c r="C131" s="936"/>
      <c r="D131" s="936"/>
      <c r="E131" s="936"/>
      <c r="F131" s="1241"/>
      <c r="G131" s="1241"/>
      <c r="H131" s="1241"/>
      <c r="I131" s="1241"/>
      <c r="J131" s="1241"/>
      <c r="K131" s="1241"/>
      <c r="L131" s="1241"/>
      <c r="M131" s="1241"/>
      <c r="N131" s="1241"/>
      <c r="O131" s="1252"/>
      <c r="P131" s="1241"/>
      <c r="Q131" s="1241"/>
      <c r="R131" s="1241"/>
      <c r="S131" s="1241"/>
      <c r="T131" s="1253"/>
      <c r="U131" s="1252"/>
      <c r="V131" s="1241"/>
      <c r="W131" s="1241"/>
      <c r="X131" s="1241"/>
      <c r="Y131" s="1241"/>
      <c r="Z131" s="1241"/>
      <c r="AA131" s="1241"/>
      <c r="AB131" s="1241"/>
      <c r="AC131" s="1242"/>
      <c r="AD131" s="735"/>
      <c r="AE131" s="735"/>
      <c r="AF131" s="735"/>
      <c r="AG131" s="735"/>
      <c r="AH131" s="735"/>
      <c r="AI131" s="735"/>
      <c r="AJ131" s="735"/>
      <c r="AK131" s="735"/>
      <c r="AL131" s="735"/>
      <c r="AM131" s="735"/>
      <c r="AN131" s="735"/>
      <c r="AO131" s="735"/>
      <c r="AP131" s="735"/>
      <c r="AQ131" s="735"/>
      <c r="AR131" s="735"/>
      <c r="AS131" s="735"/>
      <c r="AT131" s="735"/>
      <c r="AU131" s="735"/>
      <c r="AV131" s="735"/>
      <c r="AW131" s="735"/>
      <c r="AX131" s="735"/>
      <c r="AY131" s="735"/>
      <c r="AZ131" s="735"/>
      <c r="BA131" s="735"/>
      <c r="BB131" s="735"/>
      <c r="BC131" s="735"/>
      <c r="BD131" s="735"/>
      <c r="BE131" s="735"/>
      <c r="BF131" s="735"/>
      <c r="BG131" s="735"/>
      <c r="BH131" s="735"/>
      <c r="BI131" s="735"/>
      <c r="BJ131" s="735"/>
      <c r="BK131" s="735"/>
      <c r="IE131" s="1227"/>
    </row>
    <row r="132" spans="1:239" s="1223" customFormat="1" ht="15" customHeight="1" x14ac:dyDescent="0.25">
      <c r="A132" s="730"/>
      <c r="B132" s="936" t="s">
        <v>829</v>
      </c>
      <c r="C132" s="936"/>
      <c r="D132" s="936"/>
      <c r="E132" s="936"/>
      <c r="F132" s="1241"/>
      <c r="G132" s="1241"/>
      <c r="H132" s="1241"/>
      <c r="I132" s="1241"/>
      <c r="J132" s="1241"/>
      <c r="K132" s="1241"/>
      <c r="L132" s="1241"/>
      <c r="M132" s="1241"/>
      <c r="N132" s="1241"/>
      <c r="O132" s="1252"/>
      <c r="P132" s="1241"/>
      <c r="Q132" s="1241"/>
      <c r="R132" s="1241"/>
      <c r="S132" s="1241"/>
      <c r="T132" s="1253"/>
      <c r="U132" s="1252"/>
      <c r="V132" s="1241"/>
      <c r="W132" s="1241"/>
      <c r="X132" s="1241"/>
      <c r="Y132" s="1241"/>
      <c r="Z132" s="1241"/>
      <c r="AA132" s="1241"/>
      <c r="AB132" s="1241"/>
      <c r="AC132" s="1242"/>
      <c r="AD132" s="735"/>
      <c r="AE132" s="735"/>
      <c r="AF132" s="735"/>
      <c r="AG132" s="735"/>
      <c r="AH132" s="735"/>
      <c r="AI132" s="735"/>
      <c r="AJ132" s="735"/>
      <c r="AK132" s="735"/>
      <c r="AL132" s="735"/>
      <c r="AM132" s="735"/>
      <c r="AN132" s="735"/>
      <c r="AO132" s="735"/>
      <c r="AP132" s="735"/>
      <c r="AQ132" s="735"/>
      <c r="AR132" s="735"/>
      <c r="AS132" s="735"/>
      <c r="AT132" s="735"/>
      <c r="AU132" s="735"/>
      <c r="AV132" s="735"/>
      <c r="AW132" s="735"/>
      <c r="AX132" s="735"/>
      <c r="AY132" s="735"/>
      <c r="AZ132" s="735"/>
      <c r="BA132" s="735"/>
      <c r="BB132" s="735"/>
      <c r="BC132" s="735"/>
      <c r="BD132" s="735"/>
      <c r="BE132" s="735"/>
      <c r="BF132" s="735"/>
      <c r="BG132" s="735"/>
      <c r="BH132" s="735"/>
      <c r="BI132" s="735"/>
      <c r="BJ132" s="735"/>
      <c r="BK132" s="735"/>
      <c r="IE132" s="1227"/>
    </row>
    <row r="133" spans="1:239" s="1223" customFormat="1" ht="15" customHeight="1" x14ac:dyDescent="0.25">
      <c r="A133" s="730"/>
      <c r="B133" s="936" t="s">
        <v>830</v>
      </c>
      <c r="C133" s="936"/>
      <c r="D133" s="936"/>
      <c r="E133" s="936"/>
      <c r="F133" s="1241"/>
      <c r="G133" s="1241"/>
      <c r="H133" s="1241"/>
      <c r="I133" s="1241"/>
      <c r="J133" s="1241"/>
      <c r="K133" s="1241"/>
      <c r="L133" s="1241"/>
      <c r="M133" s="1241"/>
      <c r="N133" s="1241"/>
      <c r="O133" s="1252"/>
      <c r="P133" s="1241"/>
      <c r="Q133" s="1241"/>
      <c r="R133" s="1241"/>
      <c r="S133" s="1241"/>
      <c r="T133" s="1253"/>
      <c r="U133" s="1252"/>
      <c r="V133" s="1241"/>
      <c r="W133" s="1241"/>
      <c r="X133" s="1241"/>
      <c r="Y133" s="1241"/>
      <c r="Z133" s="1241"/>
      <c r="AA133" s="1241"/>
      <c r="AB133" s="1241"/>
      <c r="AC133" s="1242"/>
      <c r="AD133" s="735"/>
      <c r="AE133" s="735"/>
      <c r="AF133" s="735"/>
      <c r="AG133" s="735"/>
      <c r="AH133" s="735"/>
      <c r="AI133" s="735"/>
      <c r="AJ133" s="735"/>
      <c r="AK133" s="735"/>
      <c r="AL133" s="735"/>
      <c r="AM133" s="735"/>
      <c r="AN133" s="735"/>
      <c r="AO133" s="735"/>
      <c r="AP133" s="735"/>
      <c r="AQ133" s="735"/>
      <c r="AR133" s="735"/>
      <c r="AS133" s="735"/>
      <c r="AT133" s="735"/>
      <c r="AU133" s="735"/>
      <c r="AV133" s="735"/>
      <c r="AW133" s="735"/>
      <c r="AX133" s="735"/>
      <c r="AY133" s="735"/>
      <c r="AZ133" s="735"/>
      <c r="BA133" s="735"/>
      <c r="BB133" s="735"/>
      <c r="BC133" s="735"/>
      <c r="BD133" s="735"/>
      <c r="BE133" s="735"/>
      <c r="BF133" s="735"/>
      <c r="BG133" s="735"/>
      <c r="BH133" s="735"/>
      <c r="BI133" s="735"/>
      <c r="BJ133" s="735"/>
      <c r="BK133" s="735"/>
      <c r="IE133" s="1227"/>
    </row>
    <row r="134" spans="1:239" s="1223" customFormat="1" ht="15" customHeight="1" x14ac:dyDescent="0.25">
      <c r="A134" s="730"/>
      <c r="B134" s="936" t="s">
        <v>831</v>
      </c>
      <c r="C134" s="936"/>
      <c r="D134" s="936"/>
      <c r="E134" s="936"/>
      <c r="F134" s="1241"/>
      <c r="G134" s="1241"/>
      <c r="H134" s="1241"/>
      <c r="I134" s="1241"/>
      <c r="J134" s="1241"/>
      <c r="K134" s="1241"/>
      <c r="L134" s="1241"/>
      <c r="M134" s="1241"/>
      <c r="N134" s="1241"/>
      <c r="O134" s="1252"/>
      <c r="P134" s="1241"/>
      <c r="Q134" s="1241"/>
      <c r="R134" s="1241"/>
      <c r="S134" s="1241"/>
      <c r="T134" s="1253"/>
      <c r="U134" s="1252"/>
      <c r="V134" s="1241"/>
      <c r="W134" s="1241"/>
      <c r="X134" s="1241"/>
      <c r="Y134" s="1241"/>
      <c r="Z134" s="1241"/>
      <c r="AA134" s="1241"/>
      <c r="AB134" s="1241"/>
      <c r="AC134" s="1242"/>
      <c r="AD134" s="735"/>
      <c r="AE134" s="735"/>
      <c r="AF134" s="735"/>
      <c r="AG134" s="735"/>
      <c r="AH134" s="735"/>
      <c r="AI134" s="735"/>
      <c r="AJ134" s="735"/>
      <c r="AK134" s="735"/>
      <c r="AL134" s="735"/>
      <c r="AM134" s="735"/>
      <c r="AN134" s="735"/>
      <c r="AO134" s="735"/>
      <c r="AP134" s="735"/>
      <c r="AQ134" s="735"/>
      <c r="AR134" s="735"/>
      <c r="AS134" s="735"/>
      <c r="AT134" s="735"/>
      <c r="AU134" s="735"/>
      <c r="AV134" s="735"/>
      <c r="AW134" s="735"/>
      <c r="AX134" s="735"/>
      <c r="AY134" s="735"/>
      <c r="AZ134" s="735"/>
      <c r="BA134" s="735"/>
      <c r="BB134" s="735"/>
      <c r="BC134" s="735"/>
      <c r="BD134" s="735"/>
      <c r="BE134" s="735"/>
      <c r="BF134" s="735"/>
      <c r="BG134" s="735"/>
      <c r="BH134" s="735"/>
      <c r="BI134" s="735"/>
      <c r="BJ134" s="735"/>
      <c r="BK134" s="735"/>
      <c r="IE134" s="1227"/>
    </row>
    <row r="135" spans="1:239" s="1223" customFormat="1" ht="15" customHeight="1" x14ac:dyDescent="0.25">
      <c r="A135" s="730"/>
      <c r="B135" s="936" t="s">
        <v>832</v>
      </c>
      <c r="C135" s="936"/>
      <c r="D135" s="936"/>
      <c r="E135" s="936"/>
      <c r="F135" s="1241"/>
      <c r="G135" s="1241"/>
      <c r="H135" s="1241"/>
      <c r="I135" s="1241"/>
      <c r="J135" s="1241"/>
      <c r="K135" s="1241"/>
      <c r="L135" s="1241"/>
      <c r="M135" s="1241"/>
      <c r="N135" s="1241"/>
      <c r="O135" s="1252"/>
      <c r="P135" s="1241"/>
      <c r="Q135" s="1241"/>
      <c r="R135" s="1241"/>
      <c r="S135" s="1241"/>
      <c r="T135" s="1253"/>
      <c r="U135" s="1252"/>
      <c r="V135" s="1241"/>
      <c r="W135" s="1241"/>
      <c r="X135" s="1241"/>
      <c r="Y135" s="1241"/>
      <c r="Z135" s="1241"/>
      <c r="AA135" s="1241"/>
      <c r="AB135" s="1241"/>
      <c r="AC135" s="1242"/>
      <c r="AD135" s="735"/>
      <c r="AE135" s="735"/>
      <c r="AF135" s="735"/>
      <c r="AG135" s="735"/>
      <c r="AH135" s="735"/>
      <c r="AI135" s="735"/>
      <c r="AJ135" s="735"/>
      <c r="AK135" s="735"/>
      <c r="AL135" s="735"/>
      <c r="AM135" s="735"/>
      <c r="AN135" s="735"/>
      <c r="AO135" s="735"/>
      <c r="AP135" s="735"/>
      <c r="AQ135" s="735"/>
      <c r="AR135" s="735"/>
      <c r="AS135" s="735"/>
      <c r="AT135" s="735"/>
      <c r="AU135" s="735"/>
      <c r="AV135" s="735"/>
      <c r="AW135" s="735"/>
      <c r="AX135" s="735"/>
      <c r="AY135" s="735"/>
      <c r="AZ135" s="735"/>
      <c r="BA135" s="735"/>
      <c r="BB135" s="735"/>
      <c r="BC135" s="735"/>
      <c r="BD135" s="735"/>
      <c r="BE135" s="735"/>
      <c r="BF135" s="735"/>
      <c r="BG135" s="735"/>
      <c r="BH135" s="735"/>
      <c r="BI135" s="735"/>
      <c r="BJ135" s="735"/>
      <c r="BK135" s="735"/>
      <c r="IE135" s="1227"/>
    </row>
    <row r="136" spans="1:239" s="1223" customFormat="1" ht="15" customHeight="1" x14ac:dyDescent="0.25">
      <c r="A136" s="730"/>
      <c r="B136" s="936" t="s">
        <v>833</v>
      </c>
      <c r="C136" s="936"/>
      <c r="D136" s="936"/>
      <c r="E136" s="936"/>
      <c r="F136" s="1241"/>
      <c r="G136" s="1241"/>
      <c r="H136" s="1241"/>
      <c r="I136" s="1241"/>
      <c r="J136" s="1241"/>
      <c r="K136" s="1241"/>
      <c r="L136" s="1241"/>
      <c r="M136" s="1241"/>
      <c r="N136" s="1241"/>
      <c r="O136" s="1252"/>
      <c r="P136" s="1241"/>
      <c r="Q136" s="1241"/>
      <c r="R136" s="1241"/>
      <c r="S136" s="1241"/>
      <c r="T136" s="1253"/>
      <c r="U136" s="1252"/>
      <c r="V136" s="1241"/>
      <c r="W136" s="1241"/>
      <c r="X136" s="1241"/>
      <c r="Y136" s="1241"/>
      <c r="Z136" s="1241"/>
      <c r="AA136" s="1241"/>
      <c r="AB136" s="1241"/>
      <c r="AC136" s="1242"/>
      <c r="AD136" s="735"/>
      <c r="AE136" s="735"/>
      <c r="AF136" s="735"/>
      <c r="AG136" s="735"/>
      <c r="AH136" s="735"/>
      <c r="AI136" s="735"/>
      <c r="AJ136" s="735"/>
      <c r="AK136" s="735"/>
      <c r="AL136" s="735"/>
      <c r="AM136" s="735"/>
      <c r="AN136" s="735"/>
      <c r="AO136" s="735"/>
      <c r="AP136" s="735"/>
      <c r="AQ136" s="735"/>
      <c r="AR136" s="735"/>
      <c r="AS136" s="735"/>
      <c r="AT136" s="735"/>
      <c r="AU136" s="735"/>
      <c r="AV136" s="735"/>
      <c r="AW136" s="735"/>
      <c r="AX136" s="735"/>
      <c r="AY136" s="735"/>
      <c r="AZ136" s="735"/>
      <c r="BA136" s="735"/>
      <c r="BB136" s="735"/>
      <c r="BC136" s="735"/>
      <c r="BD136" s="735"/>
      <c r="BE136" s="735"/>
      <c r="BF136" s="735"/>
      <c r="BG136" s="735"/>
      <c r="BH136" s="735"/>
      <c r="BI136" s="735"/>
      <c r="BJ136" s="735"/>
      <c r="BK136" s="735"/>
      <c r="IE136" s="1227"/>
    </row>
    <row r="137" spans="1:239" s="1223" customFormat="1" ht="15" customHeight="1" x14ac:dyDescent="0.25">
      <c r="A137" s="730"/>
      <c r="B137" s="936" t="s">
        <v>834</v>
      </c>
      <c r="C137" s="936"/>
      <c r="D137" s="936"/>
      <c r="E137" s="936"/>
      <c r="F137" s="1241"/>
      <c r="G137" s="1241"/>
      <c r="H137" s="1241"/>
      <c r="I137" s="1241"/>
      <c r="J137" s="1241"/>
      <c r="K137" s="1241"/>
      <c r="L137" s="1241"/>
      <c r="M137" s="1241"/>
      <c r="N137" s="1241"/>
      <c r="O137" s="1252"/>
      <c r="P137" s="1241"/>
      <c r="Q137" s="1241"/>
      <c r="R137" s="1241"/>
      <c r="S137" s="1241"/>
      <c r="T137" s="1253"/>
      <c r="U137" s="1252"/>
      <c r="V137" s="1241"/>
      <c r="W137" s="1241"/>
      <c r="X137" s="1241"/>
      <c r="Y137" s="1241"/>
      <c r="Z137" s="1241"/>
      <c r="AA137" s="1241"/>
      <c r="AB137" s="1241"/>
      <c r="AC137" s="1242"/>
      <c r="AD137" s="735"/>
      <c r="AE137" s="735"/>
      <c r="AF137" s="735"/>
      <c r="AG137" s="735"/>
      <c r="AH137" s="735"/>
      <c r="AI137" s="735"/>
      <c r="AJ137" s="735"/>
      <c r="AK137" s="735"/>
      <c r="AL137" s="735"/>
      <c r="AM137" s="735"/>
      <c r="AN137" s="735"/>
      <c r="AO137" s="735"/>
      <c r="AP137" s="735"/>
      <c r="AQ137" s="735"/>
      <c r="AR137" s="735"/>
      <c r="AS137" s="735"/>
      <c r="AT137" s="735"/>
      <c r="AU137" s="735"/>
      <c r="AV137" s="735"/>
      <c r="AW137" s="735"/>
      <c r="AX137" s="735"/>
      <c r="AY137" s="735"/>
      <c r="AZ137" s="735"/>
      <c r="BA137" s="735"/>
      <c r="BB137" s="735"/>
      <c r="BC137" s="735"/>
      <c r="BD137" s="735"/>
      <c r="BE137" s="735"/>
      <c r="BF137" s="735"/>
      <c r="BG137" s="735"/>
      <c r="BH137" s="735"/>
      <c r="BI137" s="735"/>
      <c r="BJ137" s="735"/>
      <c r="BK137" s="735"/>
      <c r="IE137" s="1227"/>
    </row>
    <row r="138" spans="1:239" s="1223" customFormat="1" ht="15" customHeight="1" x14ac:dyDescent="0.25">
      <c r="A138" s="730"/>
      <c r="B138" s="936" t="s">
        <v>835</v>
      </c>
      <c r="C138" s="936"/>
      <c r="D138" s="936"/>
      <c r="E138" s="936"/>
      <c r="F138" s="1241"/>
      <c r="G138" s="1241"/>
      <c r="H138" s="1241"/>
      <c r="I138" s="1241"/>
      <c r="J138" s="1241"/>
      <c r="K138" s="1241"/>
      <c r="L138" s="1241"/>
      <c r="M138" s="1241"/>
      <c r="N138" s="1241"/>
      <c r="O138" s="1252"/>
      <c r="P138" s="1241"/>
      <c r="Q138" s="1241"/>
      <c r="R138" s="1241"/>
      <c r="S138" s="1241"/>
      <c r="T138" s="1253"/>
      <c r="U138" s="1252"/>
      <c r="V138" s="1241"/>
      <c r="W138" s="1241"/>
      <c r="X138" s="1241"/>
      <c r="Y138" s="1241"/>
      <c r="Z138" s="1241"/>
      <c r="AA138" s="1241"/>
      <c r="AB138" s="1241"/>
      <c r="AC138" s="1242"/>
      <c r="AD138" s="735"/>
      <c r="AE138" s="735"/>
      <c r="AF138" s="735"/>
      <c r="AG138" s="735"/>
      <c r="AH138" s="735"/>
      <c r="AI138" s="735"/>
      <c r="AJ138" s="735"/>
      <c r="AK138" s="735"/>
      <c r="AL138" s="735"/>
      <c r="AM138" s="735"/>
      <c r="AN138" s="735"/>
      <c r="AO138" s="735"/>
      <c r="AP138" s="735"/>
      <c r="AQ138" s="735"/>
      <c r="AR138" s="735"/>
      <c r="AS138" s="735"/>
      <c r="AT138" s="735"/>
      <c r="AU138" s="735"/>
      <c r="AV138" s="735"/>
      <c r="AW138" s="735"/>
      <c r="AX138" s="735"/>
      <c r="AY138" s="735"/>
      <c r="AZ138" s="735"/>
      <c r="BA138" s="735"/>
      <c r="BB138" s="735"/>
      <c r="BC138" s="735"/>
      <c r="BD138" s="735"/>
      <c r="BE138" s="735"/>
      <c r="BF138" s="735"/>
      <c r="BG138" s="735"/>
      <c r="BH138" s="735"/>
      <c r="BI138" s="735"/>
      <c r="BJ138" s="735"/>
      <c r="BK138" s="735"/>
      <c r="IE138" s="1227"/>
    </row>
    <row r="139" spans="1:239" s="1223" customFormat="1" ht="15" customHeight="1" x14ac:dyDescent="0.25">
      <c r="A139" s="730"/>
      <c r="B139" s="936" t="s">
        <v>836</v>
      </c>
      <c r="C139" s="936"/>
      <c r="D139" s="936"/>
      <c r="E139" s="936"/>
      <c r="F139" s="1241"/>
      <c r="G139" s="1241"/>
      <c r="H139" s="1241"/>
      <c r="I139" s="1241"/>
      <c r="J139" s="1241"/>
      <c r="K139" s="1241"/>
      <c r="L139" s="1241"/>
      <c r="M139" s="1241"/>
      <c r="N139" s="1241"/>
      <c r="O139" s="1252"/>
      <c r="P139" s="1241"/>
      <c r="Q139" s="1241"/>
      <c r="R139" s="1241"/>
      <c r="S139" s="1241"/>
      <c r="T139" s="1253"/>
      <c r="U139" s="1252"/>
      <c r="V139" s="1241"/>
      <c r="W139" s="1241"/>
      <c r="X139" s="1241"/>
      <c r="Y139" s="1241"/>
      <c r="Z139" s="1241"/>
      <c r="AA139" s="1241"/>
      <c r="AB139" s="1241"/>
      <c r="AC139" s="1242"/>
      <c r="AD139" s="735"/>
      <c r="AE139" s="735"/>
      <c r="AF139" s="735"/>
      <c r="AG139" s="735"/>
      <c r="AH139" s="735"/>
      <c r="AI139" s="735"/>
      <c r="AJ139" s="735"/>
      <c r="AK139" s="735"/>
      <c r="AL139" s="735"/>
      <c r="AM139" s="735"/>
      <c r="AN139" s="735"/>
      <c r="AO139" s="735"/>
      <c r="AP139" s="735"/>
      <c r="AQ139" s="735"/>
      <c r="AR139" s="735"/>
      <c r="AS139" s="735"/>
      <c r="AT139" s="735"/>
      <c r="AU139" s="735"/>
      <c r="AV139" s="735"/>
      <c r="AW139" s="735"/>
      <c r="AX139" s="735"/>
      <c r="AY139" s="735"/>
      <c r="AZ139" s="735"/>
      <c r="BA139" s="735"/>
      <c r="BB139" s="735"/>
      <c r="BC139" s="735"/>
      <c r="BD139" s="735"/>
      <c r="BE139" s="735"/>
      <c r="BF139" s="735"/>
      <c r="BG139" s="735"/>
      <c r="BH139" s="735"/>
      <c r="BI139" s="735"/>
      <c r="BJ139" s="735"/>
      <c r="BK139" s="735"/>
      <c r="IE139" s="1227"/>
    </row>
    <row r="140" spans="1:239" s="1223" customFormat="1" ht="15" customHeight="1" x14ac:dyDescent="0.25">
      <c r="A140" s="730"/>
      <c r="B140" s="936" t="s">
        <v>837</v>
      </c>
      <c r="C140" s="936"/>
      <c r="D140" s="936"/>
      <c r="E140" s="936"/>
      <c r="F140" s="1241"/>
      <c r="G140" s="1241"/>
      <c r="H140" s="1241"/>
      <c r="I140" s="1241"/>
      <c r="J140" s="1241"/>
      <c r="K140" s="1241"/>
      <c r="L140" s="1241"/>
      <c r="M140" s="1241"/>
      <c r="N140" s="1241"/>
      <c r="O140" s="1252"/>
      <c r="P140" s="1241"/>
      <c r="Q140" s="1241"/>
      <c r="R140" s="1241"/>
      <c r="S140" s="1241"/>
      <c r="T140" s="1253"/>
      <c r="U140" s="1252"/>
      <c r="V140" s="1241"/>
      <c r="W140" s="1241"/>
      <c r="X140" s="1241"/>
      <c r="Y140" s="1241"/>
      <c r="Z140" s="1241"/>
      <c r="AA140" s="1241"/>
      <c r="AB140" s="1241"/>
      <c r="AC140" s="1242"/>
      <c r="AD140" s="735"/>
      <c r="AE140" s="735"/>
      <c r="AF140" s="735"/>
      <c r="AG140" s="735"/>
      <c r="AH140" s="735"/>
      <c r="AI140" s="735"/>
      <c r="AJ140" s="735"/>
      <c r="AK140" s="735"/>
      <c r="AL140" s="735"/>
      <c r="AM140" s="735"/>
      <c r="AN140" s="735"/>
      <c r="AO140" s="735"/>
      <c r="AP140" s="735"/>
      <c r="AQ140" s="735"/>
      <c r="AR140" s="735"/>
      <c r="AS140" s="735"/>
      <c r="AT140" s="735"/>
      <c r="AU140" s="735"/>
      <c r="AV140" s="735"/>
      <c r="AW140" s="735"/>
      <c r="AX140" s="735"/>
      <c r="AY140" s="735"/>
      <c r="AZ140" s="735"/>
      <c r="BA140" s="735"/>
      <c r="BB140" s="735"/>
      <c r="BC140" s="735"/>
      <c r="BD140" s="735"/>
      <c r="BE140" s="735"/>
      <c r="BF140" s="735"/>
      <c r="BG140" s="735"/>
      <c r="BH140" s="735"/>
      <c r="BI140" s="735"/>
      <c r="BJ140" s="735"/>
      <c r="BK140" s="735"/>
      <c r="IE140" s="1227"/>
    </row>
    <row r="141" spans="1:239" s="1223" customFormat="1" ht="15" customHeight="1" x14ac:dyDescent="0.25">
      <c r="A141" s="730"/>
      <c r="B141" s="936" t="s">
        <v>838</v>
      </c>
      <c r="C141" s="936"/>
      <c r="D141" s="936"/>
      <c r="E141" s="936"/>
      <c r="F141" s="1241"/>
      <c r="G141" s="1241"/>
      <c r="H141" s="1241"/>
      <c r="I141" s="1241"/>
      <c r="J141" s="1241"/>
      <c r="K141" s="1241"/>
      <c r="L141" s="1241"/>
      <c r="M141" s="1241"/>
      <c r="N141" s="1241"/>
      <c r="O141" s="1252"/>
      <c r="P141" s="1241"/>
      <c r="Q141" s="1241"/>
      <c r="R141" s="1241"/>
      <c r="S141" s="1241"/>
      <c r="T141" s="1253"/>
      <c r="U141" s="1252"/>
      <c r="V141" s="1241"/>
      <c r="W141" s="1241"/>
      <c r="X141" s="1241"/>
      <c r="Y141" s="1241"/>
      <c r="Z141" s="1241"/>
      <c r="AA141" s="1241"/>
      <c r="AB141" s="1241"/>
      <c r="AC141" s="1242"/>
      <c r="AD141" s="735"/>
      <c r="AE141" s="735"/>
      <c r="AF141" s="735"/>
      <c r="AG141" s="735"/>
      <c r="AH141" s="735"/>
      <c r="AI141" s="735"/>
      <c r="AJ141" s="735"/>
      <c r="AK141" s="735"/>
      <c r="AL141" s="735"/>
      <c r="AM141" s="735"/>
      <c r="AN141" s="735"/>
      <c r="AO141" s="735"/>
      <c r="AP141" s="735"/>
      <c r="AQ141" s="735"/>
      <c r="AR141" s="735"/>
      <c r="AS141" s="735"/>
      <c r="AT141" s="735"/>
      <c r="AU141" s="735"/>
      <c r="AV141" s="735"/>
      <c r="AW141" s="735"/>
      <c r="AX141" s="735"/>
      <c r="AY141" s="735"/>
      <c r="AZ141" s="735"/>
      <c r="BA141" s="735"/>
      <c r="BB141" s="735"/>
      <c r="BC141" s="735"/>
      <c r="BD141" s="735"/>
      <c r="BE141" s="735"/>
      <c r="BF141" s="735"/>
      <c r="BG141" s="735"/>
      <c r="BH141" s="735"/>
      <c r="BI141" s="735"/>
      <c r="BJ141" s="735"/>
      <c r="BK141" s="735"/>
      <c r="IE141" s="1227"/>
    </row>
    <row r="142" spans="1:239" s="1223" customFormat="1" ht="15" customHeight="1" x14ac:dyDescent="0.25">
      <c r="A142" s="730"/>
      <c r="B142" s="936" t="s">
        <v>839</v>
      </c>
      <c r="C142" s="936"/>
      <c r="D142" s="936"/>
      <c r="E142" s="936"/>
      <c r="F142" s="1241"/>
      <c r="G142" s="1241"/>
      <c r="H142" s="1241"/>
      <c r="I142" s="1241"/>
      <c r="J142" s="1241"/>
      <c r="K142" s="1241"/>
      <c r="L142" s="1241"/>
      <c r="M142" s="1241"/>
      <c r="N142" s="1241"/>
      <c r="O142" s="1252"/>
      <c r="P142" s="1241"/>
      <c r="Q142" s="1241"/>
      <c r="R142" s="1241"/>
      <c r="S142" s="1241"/>
      <c r="T142" s="1253"/>
      <c r="U142" s="1252"/>
      <c r="V142" s="1241"/>
      <c r="W142" s="1241"/>
      <c r="X142" s="1241"/>
      <c r="Y142" s="1241"/>
      <c r="Z142" s="1241"/>
      <c r="AA142" s="1241"/>
      <c r="AB142" s="1241"/>
      <c r="AC142" s="1242"/>
      <c r="AD142" s="735"/>
      <c r="AE142" s="735"/>
      <c r="AF142" s="735"/>
      <c r="AG142" s="735"/>
      <c r="AH142" s="735"/>
      <c r="AI142" s="735"/>
      <c r="AJ142" s="735"/>
      <c r="AK142" s="735"/>
      <c r="AL142" s="735"/>
      <c r="AM142" s="735"/>
      <c r="AN142" s="735"/>
      <c r="AO142" s="735"/>
      <c r="AP142" s="735"/>
      <c r="AQ142" s="735"/>
      <c r="AR142" s="735"/>
      <c r="AS142" s="735"/>
      <c r="AT142" s="735"/>
      <c r="AU142" s="735"/>
      <c r="AV142" s="735"/>
      <c r="AW142" s="735"/>
      <c r="AX142" s="735"/>
      <c r="AY142" s="735"/>
      <c r="AZ142" s="735"/>
      <c r="BA142" s="735"/>
      <c r="BB142" s="735"/>
      <c r="BC142" s="735"/>
      <c r="BD142" s="735"/>
      <c r="BE142" s="735"/>
      <c r="BF142" s="735"/>
      <c r="BG142" s="735"/>
      <c r="BH142" s="735"/>
      <c r="BI142" s="735"/>
      <c r="BJ142" s="735"/>
      <c r="BK142" s="735"/>
      <c r="IE142" s="1227"/>
    </row>
    <row r="143" spans="1:239" s="1223" customFormat="1" ht="15" customHeight="1" x14ac:dyDescent="0.25">
      <c r="A143" s="730"/>
      <c r="B143" s="936" t="s">
        <v>840</v>
      </c>
      <c r="C143" s="936"/>
      <c r="D143" s="936"/>
      <c r="E143" s="936"/>
      <c r="F143" s="1241"/>
      <c r="G143" s="1241"/>
      <c r="H143" s="1241"/>
      <c r="I143" s="1241"/>
      <c r="J143" s="1241"/>
      <c r="K143" s="1241"/>
      <c r="L143" s="1241"/>
      <c r="M143" s="1241"/>
      <c r="N143" s="1241"/>
      <c r="O143" s="1252"/>
      <c r="P143" s="1241"/>
      <c r="Q143" s="1241"/>
      <c r="R143" s="1241"/>
      <c r="S143" s="1241"/>
      <c r="T143" s="1253"/>
      <c r="U143" s="1252"/>
      <c r="V143" s="1241"/>
      <c r="W143" s="1241"/>
      <c r="X143" s="1241"/>
      <c r="Y143" s="1241"/>
      <c r="Z143" s="1241"/>
      <c r="AA143" s="1241"/>
      <c r="AB143" s="1241"/>
      <c r="AC143" s="1242"/>
      <c r="AD143" s="735"/>
      <c r="AE143" s="735"/>
      <c r="AF143" s="735"/>
      <c r="AG143" s="735"/>
      <c r="AH143" s="735"/>
      <c r="AI143" s="735"/>
      <c r="AJ143" s="735"/>
      <c r="AK143" s="735"/>
      <c r="AL143" s="735"/>
      <c r="AM143" s="735"/>
      <c r="AN143" s="735"/>
      <c r="AO143" s="735"/>
      <c r="AP143" s="735"/>
      <c r="AQ143" s="735"/>
      <c r="AR143" s="735"/>
      <c r="AS143" s="735"/>
      <c r="AT143" s="735"/>
      <c r="AU143" s="735"/>
      <c r="AV143" s="735"/>
      <c r="AW143" s="735"/>
      <c r="AX143" s="735"/>
      <c r="AY143" s="735"/>
      <c r="AZ143" s="735"/>
      <c r="BA143" s="735"/>
      <c r="BB143" s="735"/>
      <c r="BC143" s="735"/>
      <c r="BD143" s="735"/>
      <c r="BE143" s="735"/>
      <c r="BF143" s="735"/>
      <c r="BG143" s="735"/>
      <c r="BH143" s="735"/>
      <c r="BI143" s="735"/>
      <c r="BJ143" s="735"/>
      <c r="BK143" s="735"/>
      <c r="IE143" s="1227"/>
    </row>
    <row r="144" spans="1:239" s="1223" customFormat="1" ht="15" customHeight="1" x14ac:dyDescent="0.25">
      <c r="A144" s="730"/>
      <c r="B144" s="936" t="s">
        <v>841</v>
      </c>
      <c r="C144" s="936"/>
      <c r="D144" s="936"/>
      <c r="E144" s="936"/>
      <c r="F144" s="1241"/>
      <c r="G144" s="1241"/>
      <c r="H144" s="1241"/>
      <c r="I144" s="1241"/>
      <c r="J144" s="1241"/>
      <c r="K144" s="1241"/>
      <c r="L144" s="1241"/>
      <c r="M144" s="1241"/>
      <c r="N144" s="1241"/>
      <c r="O144" s="1252"/>
      <c r="P144" s="1241"/>
      <c r="Q144" s="1241"/>
      <c r="R144" s="1241"/>
      <c r="S144" s="1241"/>
      <c r="T144" s="1253"/>
      <c r="U144" s="1252"/>
      <c r="V144" s="1241"/>
      <c r="W144" s="1241"/>
      <c r="X144" s="1241"/>
      <c r="Y144" s="1241"/>
      <c r="Z144" s="1241"/>
      <c r="AA144" s="1241"/>
      <c r="AB144" s="1241"/>
      <c r="AC144" s="1242"/>
      <c r="AD144" s="735"/>
      <c r="AE144" s="735"/>
      <c r="AF144" s="735"/>
      <c r="AG144" s="735"/>
      <c r="AH144" s="735"/>
      <c r="AI144" s="735"/>
      <c r="AJ144" s="735"/>
      <c r="AK144" s="735"/>
      <c r="AL144" s="735"/>
      <c r="AM144" s="735"/>
      <c r="AN144" s="735"/>
      <c r="AO144" s="735"/>
      <c r="AP144" s="735"/>
      <c r="AQ144" s="735"/>
      <c r="AR144" s="735"/>
      <c r="AS144" s="735"/>
      <c r="AT144" s="735"/>
      <c r="AU144" s="735"/>
      <c r="AV144" s="735"/>
      <c r="AW144" s="735"/>
      <c r="AX144" s="735"/>
      <c r="AY144" s="735"/>
      <c r="AZ144" s="735"/>
      <c r="BA144" s="735"/>
      <c r="BB144" s="735"/>
      <c r="BC144" s="735"/>
      <c r="BD144" s="735"/>
      <c r="BE144" s="735"/>
      <c r="BF144" s="735"/>
      <c r="BG144" s="735"/>
      <c r="BH144" s="735"/>
      <c r="BI144" s="735"/>
      <c r="BJ144" s="735"/>
      <c r="BK144" s="735"/>
      <c r="IE144" s="1227"/>
    </row>
    <row r="145" spans="1:239" s="1223" customFormat="1" ht="15" customHeight="1" x14ac:dyDescent="0.25">
      <c r="A145" s="730"/>
      <c r="B145" s="936" t="s">
        <v>842</v>
      </c>
      <c r="C145" s="936"/>
      <c r="D145" s="936"/>
      <c r="E145" s="936"/>
      <c r="F145" s="1241"/>
      <c r="G145" s="1241"/>
      <c r="H145" s="1241"/>
      <c r="I145" s="1241"/>
      <c r="J145" s="1241"/>
      <c r="K145" s="1241"/>
      <c r="L145" s="1241"/>
      <c r="M145" s="1241"/>
      <c r="N145" s="1241"/>
      <c r="O145" s="1252"/>
      <c r="P145" s="1241"/>
      <c r="Q145" s="1241"/>
      <c r="R145" s="1241"/>
      <c r="S145" s="1241"/>
      <c r="T145" s="1253"/>
      <c r="U145" s="1252"/>
      <c r="V145" s="1241"/>
      <c r="W145" s="1241"/>
      <c r="X145" s="1241"/>
      <c r="Y145" s="1241"/>
      <c r="Z145" s="1241"/>
      <c r="AA145" s="1241"/>
      <c r="AB145" s="1241"/>
      <c r="AC145" s="1242"/>
      <c r="AD145" s="735"/>
      <c r="AE145" s="735"/>
      <c r="AF145" s="735"/>
      <c r="AG145" s="735"/>
      <c r="AH145" s="735"/>
      <c r="AI145" s="735"/>
      <c r="AJ145" s="735"/>
      <c r="AK145" s="735"/>
      <c r="AL145" s="735"/>
      <c r="AM145" s="735"/>
      <c r="AN145" s="735"/>
      <c r="AO145" s="735"/>
      <c r="AP145" s="735"/>
      <c r="AQ145" s="735"/>
      <c r="AR145" s="735"/>
      <c r="AS145" s="735"/>
      <c r="AT145" s="735"/>
      <c r="AU145" s="735"/>
      <c r="AV145" s="735"/>
      <c r="AW145" s="735"/>
      <c r="AX145" s="735"/>
      <c r="AY145" s="735"/>
      <c r="AZ145" s="735"/>
      <c r="BA145" s="735"/>
      <c r="BB145" s="735"/>
      <c r="BC145" s="735"/>
      <c r="BD145" s="735"/>
      <c r="BE145" s="735"/>
      <c r="BF145" s="735"/>
      <c r="BG145" s="735"/>
      <c r="BH145" s="735"/>
      <c r="BI145" s="735"/>
      <c r="BJ145" s="735"/>
      <c r="BK145" s="735"/>
      <c r="IE145" s="1227"/>
    </row>
    <row r="146" spans="1:239" s="1223" customFormat="1" ht="15" customHeight="1" x14ac:dyDescent="0.25">
      <c r="A146" s="730"/>
      <c r="B146" s="936" t="s">
        <v>843</v>
      </c>
      <c r="C146" s="936"/>
      <c r="D146" s="936"/>
      <c r="E146" s="936"/>
      <c r="F146" s="1241"/>
      <c r="G146" s="1241"/>
      <c r="H146" s="1241"/>
      <c r="I146" s="1241"/>
      <c r="J146" s="1241"/>
      <c r="K146" s="1241"/>
      <c r="L146" s="1241"/>
      <c r="M146" s="1241"/>
      <c r="N146" s="1241"/>
      <c r="O146" s="1252"/>
      <c r="P146" s="1241"/>
      <c r="Q146" s="1241"/>
      <c r="R146" s="1241"/>
      <c r="S146" s="1241"/>
      <c r="T146" s="1253"/>
      <c r="U146" s="1252"/>
      <c r="V146" s="1241"/>
      <c r="W146" s="1241"/>
      <c r="X146" s="1241"/>
      <c r="Y146" s="1241"/>
      <c r="Z146" s="1241"/>
      <c r="AA146" s="1241"/>
      <c r="AB146" s="1241"/>
      <c r="AC146" s="1242"/>
      <c r="AD146" s="735"/>
      <c r="AE146" s="735"/>
      <c r="AF146" s="735"/>
      <c r="AG146" s="735"/>
      <c r="AH146" s="735"/>
      <c r="AI146" s="735"/>
      <c r="AJ146" s="735"/>
      <c r="AK146" s="735"/>
      <c r="AL146" s="735"/>
      <c r="AM146" s="735"/>
      <c r="AN146" s="735"/>
      <c r="AO146" s="735"/>
      <c r="AP146" s="735"/>
      <c r="AQ146" s="735"/>
      <c r="AR146" s="735"/>
      <c r="AS146" s="735"/>
      <c r="AT146" s="735"/>
      <c r="AU146" s="735"/>
      <c r="AV146" s="735"/>
      <c r="AW146" s="735"/>
      <c r="AX146" s="735"/>
      <c r="AY146" s="735"/>
      <c r="AZ146" s="735"/>
      <c r="BA146" s="735"/>
      <c r="BB146" s="735"/>
      <c r="BC146" s="735"/>
      <c r="BD146" s="735"/>
      <c r="BE146" s="735"/>
      <c r="BF146" s="735"/>
      <c r="BG146" s="735"/>
      <c r="BH146" s="735"/>
      <c r="BI146" s="735"/>
      <c r="BJ146" s="735"/>
      <c r="BK146" s="735"/>
      <c r="IE146" s="1227"/>
    </row>
    <row r="147" spans="1:239" s="1223" customFormat="1" ht="15" customHeight="1" x14ac:dyDescent="0.25">
      <c r="A147" s="730"/>
      <c r="B147" s="936" t="s">
        <v>844</v>
      </c>
      <c r="C147" s="936"/>
      <c r="D147" s="936"/>
      <c r="E147" s="936"/>
      <c r="F147" s="1241"/>
      <c r="G147" s="1241"/>
      <c r="H147" s="1241"/>
      <c r="I147" s="1241"/>
      <c r="J147" s="1241"/>
      <c r="K147" s="1241"/>
      <c r="L147" s="1241"/>
      <c r="M147" s="1241"/>
      <c r="N147" s="1241"/>
      <c r="O147" s="1252"/>
      <c r="P147" s="1241"/>
      <c r="Q147" s="1241"/>
      <c r="R147" s="1241"/>
      <c r="S147" s="1241"/>
      <c r="T147" s="1253"/>
      <c r="U147" s="1252"/>
      <c r="V147" s="1241"/>
      <c r="W147" s="1241"/>
      <c r="X147" s="1241"/>
      <c r="Y147" s="1241"/>
      <c r="Z147" s="1241"/>
      <c r="AA147" s="1241"/>
      <c r="AB147" s="1241"/>
      <c r="AC147" s="1242"/>
      <c r="AD147" s="735"/>
      <c r="AE147" s="735"/>
      <c r="AF147" s="735"/>
      <c r="AG147" s="735"/>
      <c r="AH147" s="735"/>
      <c r="AI147" s="735"/>
      <c r="AJ147" s="735"/>
      <c r="AK147" s="735"/>
      <c r="AL147" s="735"/>
      <c r="AM147" s="735"/>
      <c r="AN147" s="735"/>
      <c r="AO147" s="735"/>
      <c r="AP147" s="735"/>
      <c r="AQ147" s="735"/>
      <c r="AR147" s="735"/>
      <c r="AS147" s="735"/>
      <c r="AT147" s="735"/>
      <c r="AU147" s="735"/>
      <c r="AV147" s="735"/>
      <c r="AW147" s="735"/>
      <c r="AX147" s="735"/>
      <c r="AY147" s="735"/>
      <c r="AZ147" s="735"/>
      <c r="BA147" s="735"/>
      <c r="BB147" s="735"/>
      <c r="BC147" s="735"/>
      <c r="BD147" s="735"/>
      <c r="BE147" s="735"/>
      <c r="BF147" s="735"/>
      <c r="BG147" s="735"/>
      <c r="BH147" s="735"/>
      <c r="BI147" s="735"/>
      <c r="BJ147" s="735"/>
      <c r="BK147" s="735"/>
      <c r="IE147" s="1227"/>
    </row>
    <row r="148" spans="1:239" s="1223" customFormat="1" ht="15" customHeight="1" x14ac:dyDescent="0.25">
      <c r="A148" s="730"/>
      <c r="B148" s="936" t="s">
        <v>845</v>
      </c>
      <c r="C148" s="936"/>
      <c r="D148" s="936"/>
      <c r="E148" s="936"/>
      <c r="F148" s="1241"/>
      <c r="G148" s="1241"/>
      <c r="H148" s="1241"/>
      <c r="I148" s="1241"/>
      <c r="J148" s="1241"/>
      <c r="K148" s="1241"/>
      <c r="L148" s="1241"/>
      <c r="M148" s="1241"/>
      <c r="N148" s="1241"/>
      <c r="O148" s="1252"/>
      <c r="P148" s="1241"/>
      <c r="Q148" s="1241"/>
      <c r="R148" s="1241"/>
      <c r="S148" s="1241"/>
      <c r="T148" s="1253"/>
      <c r="U148" s="1252"/>
      <c r="V148" s="1241"/>
      <c r="W148" s="1241"/>
      <c r="X148" s="1241"/>
      <c r="Y148" s="1241"/>
      <c r="Z148" s="1241"/>
      <c r="AA148" s="1241"/>
      <c r="AB148" s="1241"/>
      <c r="AC148" s="1242"/>
      <c r="AD148" s="735"/>
      <c r="AE148" s="735"/>
      <c r="AF148" s="735"/>
      <c r="AG148" s="735"/>
      <c r="AH148" s="735"/>
      <c r="AI148" s="735"/>
      <c r="AJ148" s="735"/>
      <c r="AK148" s="735"/>
      <c r="AL148" s="735"/>
      <c r="AM148" s="735"/>
      <c r="AN148" s="735"/>
      <c r="AO148" s="735"/>
      <c r="AP148" s="735"/>
      <c r="AQ148" s="735"/>
      <c r="AR148" s="735"/>
      <c r="AS148" s="735"/>
      <c r="AT148" s="735"/>
      <c r="AU148" s="735"/>
      <c r="AV148" s="735"/>
      <c r="AW148" s="735"/>
      <c r="AX148" s="735"/>
      <c r="AY148" s="735"/>
      <c r="AZ148" s="735"/>
      <c r="BA148" s="735"/>
      <c r="BB148" s="735"/>
      <c r="BC148" s="735"/>
      <c r="BD148" s="735"/>
      <c r="BE148" s="735"/>
      <c r="BF148" s="735"/>
      <c r="BG148" s="735"/>
      <c r="BH148" s="735"/>
      <c r="BI148" s="735"/>
      <c r="BJ148" s="735"/>
      <c r="BK148" s="735"/>
      <c r="IE148" s="1227"/>
    </row>
    <row r="149" spans="1:239" s="1223" customFormat="1" ht="15" customHeight="1" x14ac:dyDescent="0.25">
      <c r="A149" s="730"/>
      <c r="B149" s="936" t="s">
        <v>846</v>
      </c>
      <c r="C149" s="936"/>
      <c r="D149" s="936"/>
      <c r="E149" s="936"/>
      <c r="F149" s="1241"/>
      <c r="G149" s="1241"/>
      <c r="H149" s="1241"/>
      <c r="I149" s="1241"/>
      <c r="J149" s="1241"/>
      <c r="K149" s="1241"/>
      <c r="L149" s="1241"/>
      <c r="M149" s="1241"/>
      <c r="N149" s="1241"/>
      <c r="O149" s="1252"/>
      <c r="P149" s="1241"/>
      <c r="Q149" s="1241"/>
      <c r="R149" s="1241"/>
      <c r="S149" s="1241"/>
      <c r="T149" s="1253"/>
      <c r="U149" s="1252"/>
      <c r="V149" s="1241"/>
      <c r="W149" s="1241"/>
      <c r="X149" s="1241"/>
      <c r="Y149" s="1241"/>
      <c r="Z149" s="1241"/>
      <c r="AA149" s="1241"/>
      <c r="AB149" s="1241"/>
      <c r="AC149" s="1242"/>
      <c r="AD149" s="735"/>
      <c r="AE149" s="735"/>
      <c r="AF149" s="735"/>
      <c r="AG149" s="735"/>
      <c r="AH149" s="735"/>
      <c r="AI149" s="735"/>
      <c r="AJ149" s="735"/>
      <c r="AK149" s="735"/>
      <c r="AL149" s="735"/>
      <c r="AM149" s="735"/>
      <c r="AN149" s="735"/>
      <c r="AO149" s="735"/>
      <c r="AP149" s="735"/>
      <c r="AQ149" s="735"/>
      <c r="AR149" s="735"/>
      <c r="AS149" s="735"/>
      <c r="AT149" s="735"/>
      <c r="AU149" s="735"/>
      <c r="AV149" s="735"/>
      <c r="AW149" s="735"/>
      <c r="AX149" s="735"/>
      <c r="AY149" s="735"/>
      <c r="AZ149" s="735"/>
      <c r="BA149" s="735"/>
      <c r="BB149" s="735"/>
      <c r="BC149" s="735"/>
      <c r="BD149" s="735"/>
      <c r="BE149" s="735"/>
      <c r="BF149" s="735"/>
      <c r="BG149" s="735"/>
      <c r="BH149" s="735"/>
      <c r="BI149" s="735"/>
      <c r="BJ149" s="735"/>
      <c r="BK149" s="735"/>
      <c r="IE149" s="1227"/>
    </row>
    <row r="150" spans="1:239" s="1223" customFormat="1" ht="15" customHeight="1" x14ac:dyDescent="0.25">
      <c r="A150" s="730"/>
      <c r="B150" s="936" t="s">
        <v>847</v>
      </c>
      <c r="C150" s="936"/>
      <c r="D150" s="936"/>
      <c r="E150" s="936"/>
      <c r="F150" s="1241"/>
      <c r="G150" s="1241"/>
      <c r="H150" s="1241"/>
      <c r="I150" s="1241"/>
      <c r="J150" s="1241"/>
      <c r="K150" s="1241"/>
      <c r="L150" s="1241"/>
      <c r="M150" s="1241"/>
      <c r="N150" s="1241"/>
      <c r="O150" s="1252"/>
      <c r="P150" s="1241"/>
      <c r="Q150" s="1241"/>
      <c r="R150" s="1241"/>
      <c r="S150" s="1241"/>
      <c r="T150" s="1253"/>
      <c r="U150" s="1252"/>
      <c r="V150" s="1241"/>
      <c r="W150" s="1241"/>
      <c r="X150" s="1241"/>
      <c r="Y150" s="1241"/>
      <c r="Z150" s="1241"/>
      <c r="AA150" s="1241"/>
      <c r="AB150" s="1241"/>
      <c r="AC150" s="1242"/>
      <c r="AD150" s="735"/>
      <c r="AE150" s="735"/>
      <c r="AF150" s="735"/>
      <c r="AG150" s="735"/>
      <c r="AH150" s="735"/>
      <c r="AI150" s="735"/>
      <c r="AJ150" s="735"/>
      <c r="AK150" s="735"/>
      <c r="AL150" s="735"/>
      <c r="AM150" s="735"/>
      <c r="AN150" s="735"/>
      <c r="AO150" s="735"/>
      <c r="AP150" s="735"/>
      <c r="AQ150" s="735"/>
      <c r="AR150" s="735"/>
      <c r="AS150" s="735"/>
      <c r="AT150" s="735"/>
      <c r="AU150" s="735"/>
      <c r="AV150" s="735"/>
      <c r="AW150" s="735"/>
      <c r="AX150" s="735"/>
      <c r="AY150" s="735"/>
      <c r="AZ150" s="735"/>
      <c r="BA150" s="735"/>
      <c r="BB150" s="735"/>
      <c r="BC150" s="735"/>
      <c r="BD150" s="735"/>
      <c r="BE150" s="735"/>
      <c r="BF150" s="735"/>
      <c r="BG150" s="735"/>
      <c r="BH150" s="735"/>
      <c r="BI150" s="735"/>
      <c r="BJ150" s="735"/>
      <c r="BK150" s="735"/>
      <c r="IE150" s="1227"/>
    </row>
    <row r="151" spans="1:239" s="1223" customFormat="1" ht="15" customHeight="1" x14ac:dyDescent="0.25">
      <c r="A151" s="730"/>
      <c r="B151" s="936" t="s">
        <v>848</v>
      </c>
      <c r="C151" s="936"/>
      <c r="D151" s="936"/>
      <c r="E151" s="936"/>
      <c r="F151" s="1241"/>
      <c r="G151" s="1241"/>
      <c r="H151" s="1241"/>
      <c r="I151" s="1241"/>
      <c r="J151" s="1241"/>
      <c r="K151" s="1241"/>
      <c r="L151" s="1241"/>
      <c r="M151" s="1241"/>
      <c r="N151" s="1241"/>
      <c r="O151" s="1252"/>
      <c r="P151" s="1241"/>
      <c r="Q151" s="1241"/>
      <c r="R151" s="1241"/>
      <c r="S151" s="1241"/>
      <c r="T151" s="1253"/>
      <c r="U151" s="1252"/>
      <c r="V151" s="1241"/>
      <c r="W151" s="1241"/>
      <c r="X151" s="1241"/>
      <c r="Y151" s="1241"/>
      <c r="Z151" s="1241"/>
      <c r="AA151" s="1241"/>
      <c r="AB151" s="1241"/>
      <c r="AC151" s="1242"/>
      <c r="AD151" s="735"/>
      <c r="AE151" s="735"/>
      <c r="AF151" s="735"/>
      <c r="AG151" s="735"/>
      <c r="AH151" s="735"/>
      <c r="AI151" s="735"/>
      <c r="AJ151" s="735"/>
      <c r="AK151" s="735"/>
      <c r="AL151" s="735"/>
      <c r="AM151" s="735"/>
      <c r="AN151" s="735"/>
      <c r="AO151" s="735"/>
      <c r="AP151" s="735"/>
      <c r="AQ151" s="735"/>
      <c r="AR151" s="735"/>
      <c r="AS151" s="735"/>
      <c r="AT151" s="735"/>
      <c r="AU151" s="735"/>
      <c r="AV151" s="735"/>
      <c r="AW151" s="735"/>
      <c r="AX151" s="735"/>
      <c r="AY151" s="735"/>
      <c r="AZ151" s="735"/>
      <c r="BA151" s="735"/>
      <c r="BB151" s="735"/>
      <c r="BC151" s="735"/>
      <c r="BD151" s="735"/>
      <c r="BE151" s="735"/>
      <c r="BF151" s="735"/>
      <c r="BG151" s="735"/>
      <c r="BH151" s="735"/>
      <c r="BI151" s="735"/>
      <c r="BJ151" s="735"/>
      <c r="BK151" s="735"/>
      <c r="IE151" s="1227"/>
    </row>
    <row r="152" spans="1:239" s="1223" customFormat="1" ht="15" customHeight="1" x14ac:dyDescent="0.25">
      <c r="A152" s="730"/>
      <c r="B152" s="936" t="s">
        <v>849</v>
      </c>
      <c r="C152" s="936"/>
      <c r="D152" s="936"/>
      <c r="E152" s="936"/>
      <c r="F152" s="1241"/>
      <c r="G152" s="1241"/>
      <c r="H152" s="1241"/>
      <c r="I152" s="1241"/>
      <c r="J152" s="1241"/>
      <c r="K152" s="1241"/>
      <c r="L152" s="1241"/>
      <c r="M152" s="1241"/>
      <c r="N152" s="1241"/>
      <c r="O152" s="1252"/>
      <c r="P152" s="1241"/>
      <c r="Q152" s="1241"/>
      <c r="R152" s="1241"/>
      <c r="S152" s="1241"/>
      <c r="T152" s="1253"/>
      <c r="U152" s="1252"/>
      <c r="V152" s="1241"/>
      <c r="W152" s="1241"/>
      <c r="X152" s="1241"/>
      <c r="Y152" s="1241"/>
      <c r="Z152" s="1241"/>
      <c r="AA152" s="1241"/>
      <c r="AB152" s="1241"/>
      <c r="AC152" s="1242"/>
      <c r="AD152" s="735"/>
      <c r="AE152" s="735"/>
      <c r="AF152" s="735"/>
      <c r="AG152" s="735"/>
      <c r="AH152" s="735"/>
      <c r="AI152" s="735"/>
      <c r="AJ152" s="735"/>
      <c r="AK152" s="735"/>
      <c r="AL152" s="735"/>
      <c r="AM152" s="735"/>
      <c r="AN152" s="735"/>
      <c r="AO152" s="735"/>
      <c r="AP152" s="735"/>
      <c r="AQ152" s="735"/>
      <c r="AR152" s="735"/>
      <c r="AS152" s="735"/>
      <c r="AT152" s="735"/>
      <c r="AU152" s="735"/>
      <c r="AV152" s="735"/>
      <c r="AW152" s="735"/>
      <c r="AX152" s="735"/>
      <c r="AY152" s="735"/>
      <c r="AZ152" s="735"/>
      <c r="BA152" s="735"/>
      <c r="BB152" s="735"/>
      <c r="BC152" s="735"/>
      <c r="BD152" s="735"/>
      <c r="BE152" s="735"/>
      <c r="BF152" s="735"/>
      <c r="BG152" s="735"/>
      <c r="BH152" s="735"/>
      <c r="BI152" s="735"/>
      <c r="BJ152" s="735"/>
      <c r="BK152" s="735"/>
      <c r="IE152" s="1227"/>
    </row>
    <row r="153" spans="1:239" s="1223" customFormat="1" ht="15" customHeight="1" x14ac:dyDescent="0.25">
      <c r="A153" s="730"/>
      <c r="B153" s="936" t="s">
        <v>850</v>
      </c>
      <c r="C153" s="936"/>
      <c r="D153" s="936"/>
      <c r="E153" s="936"/>
      <c r="F153" s="1241"/>
      <c r="G153" s="1241"/>
      <c r="H153" s="1241"/>
      <c r="I153" s="1241"/>
      <c r="J153" s="1241"/>
      <c r="K153" s="1241"/>
      <c r="L153" s="1241"/>
      <c r="M153" s="1241"/>
      <c r="N153" s="1241"/>
      <c r="O153" s="1252"/>
      <c r="P153" s="1241"/>
      <c r="Q153" s="1241"/>
      <c r="R153" s="1241"/>
      <c r="S153" s="1241"/>
      <c r="T153" s="1253"/>
      <c r="U153" s="1252"/>
      <c r="V153" s="1241"/>
      <c r="W153" s="1241"/>
      <c r="X153" s="1241"/>
      <c r="Y153" s="1241"/>
      <c r="Z153" s="1241"/>
      <c r="AA153" s="1241"/>
      <c r="AB153" s="1241"/>
      <c r="AC153" s="1242"/>
      <c r="AD153" s="735"/>
      <c r="AE153" s="735"/>
      <c r="AF153" s="735"/>
      <c r="AG153" s="735"/>
      <c r="AH153" s="735"/>
      <c r="AI153" s="735"/>
      <c r="AJ153" s="735"/>
      <c r="AK153" s="735"/>
      <c r="AL153" s="735"/>
      <c r="AM153" s="735"/>
      <c r="AN153" s="735"/>
      <c r="AO153" s="735"/>
      <c r="AP153" s="735"/>
      <c r="AQ153" s="735"/>
      <c r="AR153" s="735"/>
      <c r="AS153" s="735"/>
      <c r="AT153" s="735"/>
      <c r="AU153" s="735"/>
      <c r="AV153" s="735"/>
      <c r="AW153" s="735"/>
      <c r="AX153" s="735"/>
      <c r="AY153" s="735"/>
      <c r="AZ153" s="735"/>
      <c r="BA153" s="735"/>
      <c r="BB153" s="735"/>
      <c r="BC153" s="735"/>
      <c r="BD153" s="735"/>
      <c r="BE153" s="735"/>
      <c r="BF153" s="735"/>
      <c r="BG153" s="735"/>
      <c r="BH153" s="735"/>
      <c r="BI153" s="735"/>
      <c r="BJ153" s="735"/>
      <c r="BK153" s="735"/>
      <c r="IE153" s="1227"/>
    </row>
    <row r="154" spans="1:239" s="1223" customFormat="1" ht="15" customHeight="1" x14ac:dyDescent="0.25">
      <c r="A154" s="730"/>
      <c r="B154" s="936" t="s">
        <v>646</v>
      </c>
      <c r="C154" s="936"/>
      <c r="D154" s="936"/>
      <c r="E154" s="936"/>
      <c r="F154" s="1241"/>
      <c r="G154" s="1245"/>
      <c r="H154" s="1245"/>
      <c r="I154" s="1245"/>
      <c r="J154" s="1245"/>
      <c r="K154" s="1245"/>
      <c r="L154" s="1245"/>
      <c r="M154" s="1245"/>
      <c r="N154" s="1245"/>
      <c r="O154" s="1252"/>
      <c r="P154" s="1241"/>
      <c r="Q154" s="1241"/>
      <c r="R154" s="1241"/>
      <c r="S154" s="1241"/>
      <c r="T154" s="1253"/>
      <c r="U154" s="1252"/>
      <c r="V154" s="1245"/>
      <c r="W154" s="1245"/>
      <c r="X154" s="1245"/>
      <c r="Y154" s="1245"/>
      <c r="Z154" s="1245"/>
      <c r="AA154" s="1245"/>
      <c r="AB154" s="1245"/>
      <c r="AC154" s="1246"/>
      <c r="AD154" s="735"/>
      <c r="AE154" s="735"/>
      <c r="AF154" s="735"/>
      <c r="AG154" s="735"/>
      <c r="AH154" s="735"/>
      <c r="AI154" s="735"/>
      <c r="AJ154" s="735"/>
      <c r="AK154" s="735"/>
      <c r="AL154" s="735"/>
      <c r="AM154" s="735"/>
      <c r="AN154" s="735"/>
      <c r="AO154" s="735"/>
      <c r="AP154" s="735"/>
      <c r="AQ154" s="735"/>
      <c r="AR154" s="735"/>
      <c r="AS154" s="735"/>
      <c r="AT154" s="735"/>
      <c r="AU154" s="735"/>
      <c r="AV154" s="735"/>
      <c r="AW154" s="735"/>
      <c r="AX154" s="735"/>
      <c r="AY154" s="735"/>
      <c r="AZ154" s="735"/>
      <c r="BA154" s="735"/>
      <c r="BB154" s="735"/>
      <c r="BC154" s="735"/>
      <c r="BD154" s="735"/>
      <c r="BE154" s="735"/>
      <c r="BF154" s="735"/>
      <c r="BG154" s="735"/>
      <c r="BH154" s="735"/>
      <c r="BI154" s="735"/>
      <c r="BJ154" s="735"/>
      <c r="BK154" s="735"/>
      <c r="IE154" s="1227"/>
    </row>
    <row r="155" spans="1:239" s="1223" customFormat="1" ht="15" customHeight="1" x14ac:dyDescent="0.25">
      <c r="A155" s="730"/>
      <c r="B155" s="959" t="s">
        <v>851</v>
      </c>
      <c r="C155" s="959"/>
      <c r="D155" s="959"/>
      <c r="E155" s="959"/>
      <c r="F155" s="1244"/>
      <c r="G155" s="1244"/>
      <c r="H155" s="1244"/>
      <c r="I155" s="1244"/>
      <c r="J155" s="1244"/>
      <c r="K155" s="1244"/>
      <c r="L155" s="1244"/>
      <c r="M155" s="1244"/>
      <c r="N155" s="1244"/>
      <c r="O155" s="1254"/>
      <c r="P155" s="1248"/>
      <c r="Q155" s="1248"/>
      <c r="R155" s="1248"/>
      <c r="S155" s="1248"/>
      <c r="T155" s="1255"/>
      <c r="U155" s="1244"/>
      <c r="V155" s="1244"/>
      <c r="W155" s="1244"/>
      <c r="X155" s="1244"/>
      <c r="Y155" s="1244"/>
      <c r="Z155" s="1244"/>
      <c r="AA155" s="1244"/>
      <c r="AB155" s="1244"/>
      <c r="AC155" s="368"/>
      <c r="AD155" s="735"/>
      <c r="AE155" s="735"/>
      <c r="AF155" s="735"/>
      <c r="AG155" s="735"/>
      <c r="AH155" s="735"/>
      <c r="AI155" s="735"/>
      <c r="AJ155" s="735"/>
      <c r="AK155" s="735"/>
      <c r="AL155" s="735"/>
      <c r="AM155" s="735"/>
      <c r="AN155" s="735"/>
      <c r="AO155" s="735"/>
      <c r="AP155" s="735"/>
      <c r="AQ155" s="735"/>
      <c r="AR155" s="735"/>
      <c r="AS155" s="735"/>
      <c r="AT155" s="735"/>
      <c r="AU155" s="735"/>
      <c r="AV155" s="735"/>
      <c r="AW155" s="735"/>
      <c r="AX155" s="735"/>
      <c r="AY155" s="735"/>
      <c r="AZ155" s="735"/>
      <c r="BA155" s="735"/>
      <c r="BB155" s="735"/>
      <c r="BC155" s="735"/>
      <c r="BD155" s="735"/>
      <c r="BE155" s="735"/>
      <c r="BF155" s="735"/>
      <c r="BG155" s="735"/>
      <c r="BH155" s="735"/>
      <c r="BI155" s="735"/>
      <c r="BJ155" s="735"/>
      <c r="BK155" s="735"/>
      <c r="IE155" s="1227"/>
    </row>
    <row r="156" spans="1:239" s="1222" customFormat="1" ht="15" customHeight="1" x14ac:dyDescent="0.25">
      <c r="A156" s="836"/>
      <c r="B156" s="734"/>
      <c r="C156" s="734"/>
      <c r="D156" s="734"/>
      <c r="E156" s="734"/>
      <c r="F156" s="734"/>
      <c r="G156" s="735"/>
      <c r="H156" s="735"/>
      <c r="I156" s="735"/>
      <c r="J156" s="716"/>
      <c r="K156" s="716"/>
      <c r="L156" s="716"/>
      <c r="M156" s="716"/>
      <c r="N156" s="735"/>
      <c r="O156" s="716"/>
      <c r="P156" s="716"/>
      <c r="Q156" s="735"/>
      <c r="R156" s="735"/>
      <c r="S156" s="735"/>
      <c r="T156" s="735"/>
      <c r="U156" s="735"/>
      <c r="V156" s="735"/>
      <c r="W156" s="735"/>
      <c r="X156" s="735"/>
      <c r="Y156" s="735"/>
      <c r="Z156" s="735"/>
      <c r="AA156" s="735"/>
      <c r="AB156" s="735"/>
      <c r="AC156" s="735"/>
      <c r="AD156" s="735"/>
      <c r="AE156" s="735"/>
      <c r="AF156" s="735"/>
      <c r="AG156" s="735"/>
      <c r="AH156" s="735"/>
      <c r="AI156" s="735"/>
      <c r="AJ156" s="735"/>
      <c r="AK156" s="735"/>
      <c r="AL156" s="735"/>
      <c r="AM156" s="735"/>
      <c r="AN156" s="735"/>
      <c r="AO156" s="735"/>
      <c r="AP156" s="735"/>
      <c r="AQ156" s="735"/>
      <c r="AR156" s="735"/>
      <c r="AS156" s="735"/>
      <c r="AT156" s="735"/>
      <c r="AU156" s="735"/>
      <c r="AV156" s="735"/>
      <c r="AW156" s="735"/>
      <c r="AX156" s="735"/>
      <c r="AY156" s="735"/>
      <c r="AZ156" s="735"/>
      <c r="BA156" s="735"/>
      <c r="BB156" s="735"/>
      <c r="BC156" s="735"/>
      <c r="BD156" s="735"/>
      <c r="BE156" s="735"/>
      <c r="BF156" s="735"/>
      <c r="BG156" s="735"/>
      <c r="BH156" s="735"/>
      <c r="BI156" s="735"/>
      <c r="BJ156" s="735"/>
      <c r="BK156" s="735"/>
      <c r="IE156" s="1226"/>
    </row>
    <row r="157" spans="1:239" s="1223" customFormat="1" ht="15" customHeight="1" x14ac:dyDescent="0.25">
      <c r="A157" s="730"/>
      <c r="B157" s="1738" t="s">
        <v>118</v>
      </c>
      <c r="C157" s="1815"/>
      <c r="D157" s="1815"/>
      <c r="E157" s="1815"/>
      <c r="F157" s="1815" t="s">
        <v>1587</v>
      </c>
      <c r="G157" s="1683"/>
      <c r="H157" s="735"/>
      <c r="I157" s="716"/>
      <c r="J157" s="735"/>
      <c r="K157" s="735"/>
      <c r="L157" s="735"/>
      <c r="M157" s="735"/>
      <c r="N157" s="735"/>
      <c r="O157" s="735"/>
      <c r="P157" s="735"/>
      <c r="Q157" s="735"/>
      <c r="R157" s="735"/>
      <c r="S157" s="735"/>
      <c r="T157" s="735"/>
      <c r="U157" s="735"/>
      <c r="V157" s="735"/>
      <c r="W157" s="735"/>
      <c r="X157" s="735"/>
      <c r="Y157" s="735"/>
      <c r="Z157" s="735"/>
      <c r="AA157" s="735"/>
      <c r="AB157" s="735"/>
      <c r="AC157" s="735"/>
      <c r="AD157" s="735"/>
      <c r="AE157" s="735"/>
      <c r="AF157" s="735"/>
      <c r="AG157" s="735"/>
      <c r="AH157" s="735"/>
      <c r="AI157" s="735"/>
      <c r="AJ157" s="735"/>
      <c r="AK157" s="735"/>
      <c r="AL157" s="735"/>
      <c r="AM157" s="735"/>
      <c r="AN157" s="735"/>
      <c r="AO157" s="735"/>
      <c r="AP157" s="735"/>
      <c r="AQ157" s="735"/>
      <c r="AR157" s="735"/>
      <c r="AS157" s="735"/>
      <c r="AT157" s="735"/>
      <c r="AU157" s="735"/>
      <c r="AV157" s="735"/>
      <c r="AW157" s="735"/>
      <c r="AX157" s="735"/>
      <c r="AY157" s="735"/>
      <c r="AZ157" s="735"/>
      <c r="BA157" s="735"/>
      <c r="BB157" s="735"/>
      <c r="BC157" s="735"/>
      <c r="BD157" s="735"/>
      <c r="BE157" s="735"/>
      <c r="BF157" s="735"/>
      <c r="BG157" s="735"/>
      <c r="BH157" s="735"/>
      <c r="BI157" s="735"/>
      <c r="BJ157" s="735"/>
      <c r="BK157" s="735"/>
      <c r="BL157" s="735"/>
      <c r="BM157" s="735"/>
      <c r="BN157" s="735"/>
      <c r="BO157" s="735"/>
      <c r="BP157" s="735"/>
      <c r="BQ157" s="735"/>
      <c r="BR157" s="735"/>
      <c r="BS157" s="735"/>
      <c r="BT157" s="735"/>
      <c r="BU157" s="735"/>
      <c r="BV157" s="735"/>
      <c r="BW157" s="735"/>
      <c r="BX157" s="735"/>
      <c r="BY157" s="735"/>
      <c r="BZ157" s="735"/>
      <c r="CA157" s="735"/>
      <c r="CB157" s="735"/>
      <c r="CC157" s="735"/>
      <c r="CD157" s="735"/>
      <c r="CE157" s="735"/>
      <c r="CF157" s="735"/>
      <c r="CG157" s="735"/>
      <c r="CH157" s="735"/>
      <c r="CI157" s="735"/>
      <c r="CJ157" s="735"/>
      <c r="CK157" s="735"/>
      <c r="CL157" s="735"/>
      <c r="CM157" s="735"/>
      <c r="CN157" s="735"/>
      <c r="CO157" s="735"/>
      <c r="CP157" s="735"/>
      <c r="IE157" s="1227"/>
    </row>
    <row r="158" spans="1:239" s="1223" customFormat="1" ht="30" customHeight="1" x14ac:dyDescent="0.25">
      <c r="A158" s="730"/>
      <c r="B158" s="1738"/>
      <c r="C158" s="1815"/>
      <c r="D158" s="1815"/>
      <c r="E158" s="1815"/>
      <c r="F158" s="1629" t="s">
        <v>1588</v>
      </c>
      <c r="G158" s="1627" t="s">
        <v>1589</v>
      </c>
      <c r="H158" s="735"/>
      <c r="I158" s="716"/>
      <c r="J158" s="735"/>
      <c r="K158" s="735"/>
      <c r="L158" s="735"/>
      <c r="M158" s="735"/>
      <c r="N158" s="735"/>
      <c r="O158" s="735"/>
      <c r="P158" s="735"/>
      <c r="Q158" s="735"/>
      <c r="R158" s="735"/>
      <c r="S158" s="735"/>
      <c r="T158" s="735"/>
      <c r="U158" s="735"/>
      <c r="V158" s="735"/>
      <c r="W158" s="735"/>
      <c r="X158" s="735"/>
      <c r="Y158" s="735"/>
      <c r="Z158" s="735"/>
      <c r="AA158" s="735"/>
      <c r="AB158" s="735"/>
      <c r="AC158" s="735"/>
      <c r="AD158" s="735"/>
      <c r="AE158" s="735"/>
      <c r="AF158" s="735"/>
      <c r="AG158" s="735"/>
      <c r="AH158" s="735"/>
      <c r="AI158" s="735"/>
      <c r="AJ158" s="735"/>
      <c r="AK158" s="735"/>
      <c r="AL158" s="735"/>
      <c r="AM158" s="735"/>
      <c r="AN158" s="735"/>
      <c r="AO158" s="735"/>
      <c r="AP158" s="735"/>
      <c r="AQ158" s="735"/>
      <c r="AR158" s="735"/>
      <c r="AS158" s="735"/>
      <c r="AT158" s="735"/>
      <c r="AU158" s="735"/>
      <c r="AV158" s="735"/>
      <c r="AW158" s="735"/>
      <c r="AX158" s="735"/>
      <c r="AY158" s="735"/>
      <c r="AZ158" s="735"/>
      <c r="BA158" s="735"/>
      <c r="BB158" s="735"/>
      <c r="BC158" s="735"/>
      <c r="BD158" s="735"/>
      <c r="BE158" s="735"/>
      <c r="BF158" s="735"/>
      <c r="BG158" s="735"/>
      <c r="BH158" s="735"/>
      <c r="BI158" s="735"/>
      <c r="BJ158" s="735"/>
      <c r="BK158" s="735"/>
      <c r="BL158" s="735"/>
      <c r="BM158" s="735"/>
      <c r="BN158" s="735"/>
      <c r="BO158" s="735"/>
      <c r="BP158" s="735"/>
      <c r="BQ158" s="735"/>
      <c r="BR158" s="735"/>
      <c r="BS158" s="735"/>
      <c r="BT158" s="735"/>
      <c r="BU158" s="735"/>
      <c r="BV158" s="735"/>
      <c r="BW158" s="735"/>
      <c r="BX158" s="735"/>
      <c r="BY158" s="735"/>
      <c r="BZ158" s="735"/>
      <c r="CA158" s="735"/>
      <c r="CB158" s="735"/>
      <c r="CC158" s="735"/>
      <c r="CD158" s="735"/>
      <c r="CE158" s="735"/>
      <c r="CF158" s="735"/>
      <c r="CG158" s="735"/>
      <c r="CH158" s="735"/>
      <c r="CI158" s="735"/>
      <c r="CJ158" s="735"/>
      <c r="CK158" s="735"/>
      <c r="CL158" s="735"/>
      <c r="CM158" s="735"/>
      <c r="CN158" s="735"/>
      <c r="CO158" s="735"/>
      <c r="CP158" s="735"/>
      <c r="IE158" s="1227"/>
    </row>
    <row r="159" spans="1:239" s="1223" customFormat="1" ht="15" customHeight="1" x14ac:dyDescent="0.25">
      <c r="A159" s="730"/>
      <c r="B159" s="1630" t="s">
        <v>1525</v>
      </c>
      <c r="C159" s="1630"/>
      <c r="D159" s="1630"/>
      <c r="E159" s="1631"/>
      <c r="F159" s="1250"/>
      <c r="G159" s="1250"/>
      <c r="I159" s="716"/>
      <c r="L159" s="735"/>
      <c r="M159" s="735"/>
      <c r="N159" s="735"/>
      <c r="O159" s="735"/>
      <c r="P159" s="735"/>
      <c r="Q159" s="735"/>
      <c r="R159" s="735"/>
      <c r="S159" s="735"/>
      <c r="T159" s="735"/>
      <c r="U159" s="735"/>
      <c r="V159" s="735"/>
      <c r="W159" s="735"/>
      <c r="X159" s="735"/>
      <c r="Y159" s="735"/>
      <c r="Z159" s="735"/>
      <c r="AA159" s="735"/>
      <c r="AB159" s="735"/>
      <c r="AC159" s="735"/>
      <c r="AD159" s="735"/>
      <c r="AE159" s="735"/>
      <c r="AF159" s="735"/>
      <c r="AG159" s="735"/>
      <c r="AH159" s="735"/>
      <c r="AI159" s="735"/>
      <c r="AJ159" s="735"/>
      <c r="AK159" s="735"/>
      <c r="AL159" s="735"/>
      <c r="AM159" s="735"/>
      <c r="AN159" s="735"/>
      <c r="AO159" s="735"/>
      <c r="AP159" s="735"/>
      <c r="AQ159" s="735"/>
      <c r="AR159" s="735"/>
      <c r="AS159" s="735"/>
      <c r="AT159" s="735"/>
      <c r="AU159" s="735"/>
      <c r="AV159" s="735"/>
      <c r="AW159" s="735"/>
      <c r="AX159" s="735"/>
      <c r="AY159" s="735"/>
      <c r="AZ159" s="735"/>
      <c r="BA159" s="735"/>
      <c r="BB159" s="735"/>
      <c r="BC159" s="735"/>
      <c r="BD159" s="735"/>
      <c r="BE159" s="735"/>
      <c r="BF159" s="735"/>
      <c r="BG159" s="735"/>
      <c r="BH159" s="735"/>
      <c r="BI159" s="735"/>
      <c r="BJ159" s="735"/>
      <c r="BK159" s="735"/>
      <c r="BL159" s="735"/>
      <c r="BM159" s="735"/>
      <c r="BN159" s="735"/>
      <c r="BO159" s="735"/>
      <c r="BP159" s="735"/>
      <c r="BQ159" s="735"/>
      <c r="BR159" s="735"/>
      <c r="BS159" s="735"/>
      <c r="BT159" s="735"/>
      <c r="BU159" s="735"/>
      <c r="BV159" s="735"/>
      <c r="BW159" s="735"/>
      <c r="BX159" s="735"/>
      <c r="BY159" s="735"/>
      <c r="BZ159" s="735"/>
      <c r="CA159" s="735"/>
      <c r="CB159" s="735"/>
      <c r="CC159" s="735"/>
      <c r="CD159" s="735"/>
      <c r="CE159" s="735"/>
      <c r="CF159" s="735"/>
      <c r="CG159" s="735"/>
      <c r="CH159" s="735"/>
      <c r="CI159" s="735"/>
      <c r="CJ159" s="735"/>
      <c r="CK159" s="735"/>
      <c r="CL159" s="735"/>
      <c r="CM159" s="735"/>
      <c r="CN159" s="735"/>
      <c r="CO159" s="735"/>
      <c r="CP159" s="735"/>
      <c r="IE159" s="1227"/>
    </row>
    <row r="160" spans="1:239" s="1223" customFormat="1" ht="15" customHeight="1" x14ac:dyDescent="0.25">
      <c r="A160" s="730"/>
      <c r="B160" s="1632" t="s">
        <v>1585</v>
      </c>
      <c r="C160" s="1632"/>
      <c r="D160" s="1632"/>
      <c r="E160" s="1633"/>
      <c r="F160" s="461"/>
      <c r="G160" s="461"/>
      <c r="I160" s="716"/>
      <c r="L160" s="735"/>
      <c r="M160" s="735"/>
      <c r="N160" s="735"/>
      <c r="O160" s="735"/>
      <c r="P160" s="735"/>
      <c r="Q160" s="735"/>
      <c r="R160" s="735"/>
      <c r="S160" s="735"/>
      <c r="T160" s="735"/>
      <c r="U160" s="735"/>
      <c r="V160" s="735"/>
      <c r="W160" s="735"/>
      <c r="X160" s="735"/>
      <c r="Y160" s="735"/>
      <c r="Z160" s="735"/>
      <c r="AA160" s="735"/>
      <c r="AB160" s="735"/>
      <c r="AC160" s="735"/>
      <c r="AD160" s="735"/>
      <c r="AE160" s="735"/>
      <c r="AF160" s="735"/>
      <c r="AG160" s="735"/>
      <c r="AH160" s="735"/>
      <c r="AI160" s="735"/>
      <c r="AJ160" s="735"/>
      <c r="AK160" s="735"/>
      <c r="AL160" s="735"/>
      <c r="AM160" s="735"/>
      <c r="AN160" s="735"/>
      <c r="AO160" s="735"/>
      <c r="AP160" s="735"/>
      <c r="AQ160" s="735"/>
      <c r="AR160" s="735"/>
      <c r="AS160" s="735"/>
      <c r="AT160" s="735"/>
      <c r="AU160" s="735"/>
      <c r="AV160" s="735"/>
      <c r="AW160" s="735"/>
      <c r="AX160" s="735"/>
      <c r="AY160" s="735"/>
      <c r="AZ160" s="735"/>
      <c r="BA160" s="735"/>
      <c r="BB160" s="735"/>
      <c r="BC160" s="735"/>
      <c r="BD160" s="735"/>
      <c r="BE160" s="735"/>
      <c r="BF160" s="735"/>
      <c r="BG160" s="735"/>
      <c r="BH160" s="735"/>
      <c r="BI160" s="735"/>
      <c r="BJ160" s="735"/>
      <c r="BK160" s="735"/>
      <c r="BL160" s="735"/>
      <c r="BM160" s="735"/>
      <c r="BN160" s="735"/>
      <c r="BO160" s="735"/>
      <c r="BP160" s="735"/>
      <c r="BQ160" s="735"/>
      <c r="BR160" s="735"/>
      <c r="BS160" s="735"/>
      <c r="BT160" s="735"/>
      <c r="BU160" s="735"/>
      <c r="BV160" s="735"/>
      <c r="BW160" s="735"/>
      <c r="BX160" s="735"/>
      <c r="BY160" s="735"/>
      <c r="BZ160" s="735"/>
      <c r="CA160" s="735"/>
      <c r="CB160" s="735"/>
      <c r="CC160" s="735"/>
      <c r="CD160" s="735"/>
      <c r="CE160" s="735"/>
      <c r="CF160" s="735"/>
      <c r="CG160" s="735"/>
      <c r="CH160" s="735"/>
      <c r="CI160" s="735"/>
      <c r="CJ160" s="735"/>
      <c r="CK160" s="735"/>
      <c r="CL160" s="735"/>
      <c r="CM160" s="735"/>
      <c r="CN160" s="735"/>
      <c r="CO160" s="735"/>
      <c r="CP160" s="735"/>
      <c r="IE160" s="1227"/>
    </row>
    <row r="161" spans="1:239" s="1223" customFormat="1" ht="15" customHeight="1" x14ac:dyDescent="0.25">
      <c r="A161" s="730"/>
      <c r="B161" s="1532" t="s">
        <v>1751</v>
      </c>
      <c r="C161" s="1535"/>
      <c r="D161" s="1262"/>
      <c r="E161" s="1263"/>
      <c r="F161" s="1246"/>
      <c r="G161" s="1246"/>
      <c r="I161" s="716"/>
      <c r="L161" s="735"/>
      <c r="M161" s="735"/>
      <c r="N161" s="735"/>
      <c r="O161" s="735"/>
      <c r="P161" s="735"/>
      <c r="Q161" s="735"/>
      <c r="R161" s="735"/>
      <c r="S161" s="735"/>
      <c r="T161" s="735"/>
      <c r="U161" s="735"/>
      <c r="V161" s="735"/>
      <c r="W161" s="735"/>
      <c r="X161" s="735"/>
      <c r="Y161" s="735"/>
      <c r="Z161" s="735"/>
      <c r="AA161" s="735"/>
      <c r="AB161" s="735"/>
      <c r="AC161" s="735"/>
      <c r="AD161" s="735"/>
      <c r="AE161" s="735"/>
      <c r="AF161" s="735"/>
      <c r="AG161" s="735"/>
      <c r="AH161" s="735"/>
      <c r="AI161" s="735"/>
      <c r="AJ161" s="735"/>
      <c r="AK161" s="735"/>
      <c r="AL161" s="735"/>
      <c r="AM161" s="735"/>
      <c r="AN161" s="735"/>
      <c r="AO161" s="735"/>
      <c r="AP161" s="735"/>
      <c r="AQ161" s="735"/>
      <c r="AR161" s="735"/>
      <c r="AS161" s="735"/>
      <c r="AT161" s="735"/>
      <c r="AU161" s="735"/>
      <c r="AV161" s="735"/>
      <c r="AW161" s="735"/>
      <c r="AX161" s="735"/>
      <c r="AY161" s="735"/>
      <c r="AZ161" s="735"/>
      <c r="BA161" s="735"/>
      <c r="BB161" s="735"/>
      <c r="BC161" s="735"/>
      <c r="BD161" s="735"/>
      <c r="BE161" s="735"/>
      <c r="BF161" s="735"/>
      <c r="BG161" s="735"/>
      <c r="BH161" s="735"/>
      <c r="BI161" s="735"/>
      <c r="BJ161" s="735"/>
      <c r="BK161" s="735"/>
      <c r="BL161" s="735"/>
      <c r="BM161" s="735"/>
      <c r="BN161" s="735"/>
      <c r="BO161" s="735"/>
      <c r="BP161" s="735"/>
      <c r="BQ161" s="735"/>
      <c r="BR161" s="735"/>
      <c r="BS161" s="735"/>
      <c r="BT161" s="735"/>
      <c r="BU161" s="735"/>
      <c r="BV161" s="735"/>
      <c r="BW161" s="735"/>
      <c r="BX161" s="735"/>
      <c r="BY161" s="735"/>
      <c r="BZ161" s="735"/>
      <c r="CA161" s="735"/>
      <c r="CB161" s="735"/>
      <c r="CC161" s="735"/>
      <c r="CD161" s="735"/>
      <c r="CE161" s="735"/>
      <c r="CF161" s="735"/>
      <c r="CG161" s="735"/>
      <c r="CH161" s="735"/>
      <c r="CI161" s="735"/>
      <c r="CJ161" s="735"/>
      <c r="CK161" s="735"/>
      <c r="CL161" s="735"/>
      <c r="CM161" s="735"/>
      <c r="CN161" s="735"/>
      <c r="CO161" s="735"/>
      <c r="CP161" s="735"/>
      <c r="IE161" s="1227"/>
    </row>
    <row r="162" spans="1:239" s="1223" customFormat="1" ht="15" customHeight="1" x14ac:dyDescent="0.25">
      <c r="A162" s="730"/>
      <c r="B162" s="1532" t="s">
        <v>1752</v>
      </c>
      <c r="C162" s="1535"/>
      <c r="D162" s="1262"/>
      <c r="E162" s="1263"/>
      <c r="F162" s="1246"/>
      <c r="G162" s="1246"/>
      <c r="I162" s="716"/>
      <c r="L162" s="735"/>
      <c r="M162" s="735"/>
      <c r="N162" s="735"/>
      <c r="O162" s="735"/>
      <c r="P162" s="735"/>
      <c r="Q162" s="735"/>
      <c r="R162" s="735"/>
      <c r="S162" s="735"/>
      <c r="T162" s="735"/>
      <c r="U162" s="735"/>
      <c r="V162" s="735"/>
      <c r="W162" s="735"/>
      <c r="X162" s="735"/>
      <c r="Y162" s="735"/>
      <c r="Z162" s="735"/>
      <c r="AA162" s="735"/>
      <c r="AB162" s="735"/>
      <c r="AC162" s="735"/>
      <c r="AD162" s="735"/>
      <c r="AE162" s="735"/>
      <c r="AF162" s="735"/>
      <c r="AG162" s="735"/>
      <c r="AH162" s="735"/>
      <c r="AI162" s="735"/>
      <c r="AJ162" s="735"/>
      <c r="AK162" s="735"/>
      <c r="AL162" s="735"/>
      <c r="AM162" s="735"/>
      <c r="AN162" s="735"/>
      <c r="AO162" s="735"/>
      <c r="AP162" s="735"/>
      <c r="AQ162" s="735"/>
      <c r="AR162" s="735"/>
      <c r="AS162" s="735"/>
      <c r="AT162" s="735"/>
      <c r="AU162" s="735"/>
      <c r="AV162" s="735"/>
      <c r="AW162" s="735"/>
      <c r="AX162" s="735"/>
      <c r="AY162" s="735"/>
      <c r="AZ162" s="735"/>
      <c r="BA162" s="735"/>
      <c r="BB162" s="735"/>
      <c r="BC162" s="735"/>
      <c r="BD162" s="735"/>
      <c r="BE162" s="735"/>
      <c r="BF162" s="735"/>
      <c r="BG162" s="735"/>
      <c r="BH162" s="735"/>
      <c r="BI162" s="735"/>
      <c r="BJ162" s="735"/>
      <c r="BK162" s="735"/>
      <c r="BL162" s="735"/>
      <c r="BM162" s="735"/>
      <c r="BN162" s="735"/>
      <c r="BO162" s="735"/>
      <c r="BP162" s="735"/>
      <c r="BQ162" s="735"/>
      <c r="BR162" s="735"/>
      <c r="BS162" s="735"/>
      <c r="BT162" s="735"/>
      <c r="BU162" s="735"/>
      <c r="BV162" s="735"/>
      <c r="BW162" s="735"/>
      <c r="BX162" s="735"/>
      <c r="BY162" s="735"/>
      <c r="BZ162" s="735"/>
      <c r="CA162" s="735"/>
      <c r="CB162" s="735"/>
      <c r="CC162" s="735"/>
      <c r="CD162" s="735"/>
      <c r="CE162" s="735"/>
      <c r="CF162" s="735"/>
      <c r="CG162" s="735"/>
      <c r="CH162" s="735"/>
      <c r="CI162" s="735"/>
      <c r="CJ162" s="735"/>
      <c r="CK162" s="735"/>
      <c r="CL162" s="735"/>
      <c r="CM162" s="735"/>
      <c r="CN162" s="735"/>
      <c r="CO162" s="735"/>
      <c r="CP162" s="735"/>
      <c r="IE162" s="1227"/>
    </row>
    <row r="163" spans="1:239" s="1223" customFormat="1" ht="15" customHeight="1" x14ac:dyDescent="0.25">
      <c r="A163" s="730"/>
      <c r="B163" s="1532" t="s">
        <v>1753</v>
      </c>
      <c r="C163" s="1535"/>
      <c r="D163" s="1262"/>
      <c r="E163" s="1263"/>
      <c r="F163" s="1246"/>
      <c r="G163" s="1246"/>
      <c r="I163" s="716"/>
      <c r="L163" s="735"/>
      <c r="M163" s="735"/>
      <c r="N163" s="735"/>
      <c r="O163" s="735"/>
      <c r="P163" s="735"/>
      <c r="Q163" s="735"/>
      <c r="R163" s="735"/>
      <c r="S163" s="735"/>
      <c r="T163" s="735"/>
      <c r="U163" s="735"/>
      <c r="V163" s="735"/>
      <c r="W163" s="735"/>
      <c r="X163" s="735"/>
      <c r="Y163" s="735"/>
      <c r="Z163" s="735"/>
      <c r="AA163" s="735"/>
      <c r="AB163" s="735"/>
      <c r="AC163" s="735"/>
      <c r="AD163" s="735"/>
      <c r="AE163" s="735"/>
      <c r="AF163" s="735"/>
      <c r="AG163" s="735"/>
      <c r="AH163" s="735"/>
      <c r="AI163" s="735"/>
      <c r="AJ163" s="735"/>
      <c r="AK163" s="735"/>
      <c r="AL163" s="735"/>
      <c r="AM163" s="735"/>
      <c r="AN163" s="735"/>
      <c r="AO163" s="735"/>
      <c r="AP163" s="735"/>
      <c r="AQ163" s="735"/>
      <c r="AR163" s="735"/>
      <c r="AS163" s="735"/>
      <c r="AT163" s="735"/>
      <c r="AU163" s="735"/>
      <c r="AV163" s="735"/>
      <c r="AW163" s="735"/>
      <c r="AX163" s="735"/>
      <c r="AY163" s="735"/>
      <c r="AZ163" s="735"/>
      <c r="BA163" s="735"/>
      <c r="BB163" s="735"/>
      <c r="BC163" s="735"/>
      <c r="BD163" s="735"/>
      <c r="BE163" s="735"/>
      <c r="BF163" s="735"/>
      <c r="BG163" s="735"/>
      <c r="BH163" s="735"/>
      <c r="BI163" s="735"/>
      <c r="BJ163" s="735"/>
      <c r="BK163" s="735"/>
      <c r="BL163" s="735"/>
      <c r="BM163" s="735"/>
      <c r="BN163" s="735"/>
      <c r="BO163" s="735"/>
      <c r="BP163" s="735"/>
      <c r="BQ163" s="735"/>
      <c r="BR163" s="735"/>
      <c r="BS163" s="735"/>
      <c r="BT163" s="735"/>
      <c r="BU163" s="735"/>
      <c r="BV163" s="735"/>
      <c r="BW163" s="735"/>
      <c r="BX163" s="735"/>
      <c r="BY163" s="735"/>
      <c r="BZ163" s="735"/>
      <c r="CA163" s="735"/>
      <c r="CB163" s="735"/>
      <c r="CC163" s="735"/>
      <c r="CD163" s="735"/>
      <c r="CE163" s="735"/>
      <c r="CF163" s="735"/>
      <c r="CG163" s="735"/>
      <c r="CH163" s="735"/>
      <c r="CI163" s="735"/>
      <c r="CJ163" s="735"/>
      <c r="CK163" s="735"/>
      <c r="CL163" s="735"/>
      <c r="CM163" s="735"/>
      <c r="CN163" s="735"/>
      <c r="CO163" s="735"/>
      <c r="CP163" s="735"/>
      <c r="IE163" s="1227"/>
    </row>
    <row r="164" spans="1:239" s="1223" customFormat="1" ht="15" customHeight="1" x14ac:dyDescent="0.25">
      <c r="A164" s="730"/>
      <c r="B164" s="1634" t="s">
        <v>1586</v>
      </c>
      <c r="C164" s="1634"/>
      <c r="D164" s="1634"/>
      <c r="E164" s="1635"/>
      <c r="F164" s="1243"/>
      <c r="G164" s="1243"/>
      <c r="I164" s="716"/>
      <c r="L164" s="735"/>
      <c r="M164" s="735"/>
      <c r="N164" s="735"/>
      <c r="O164" s="735"/>
      <c r="P164" s="735"/>
      <c r="Q164" s="735"/>
      <c r="R164" s="735"/>
      <c r="S164" s="735"/>
      <c r="T164" s="735"/>
      <c r="U164" s="735"/>
      <c r="V164" s="735"/>
      <c r="W164" s="735"/>
      <c r="X164" s="735"/>
      <c r="Y164" s="735"/>
      <c r="Z164" s="735"/>
      <c r="AA164" s="735"/>
      <c r="AB164" s="735"/>
      <c r="AC164" s="735"/>
      <c r="AD164" s="735"/>
      <c r="AE164" s="735"/>
      <c r="AF164" s="735"/>
      <c r="AG164" s="735"/>
      <c r="AH164" s="735"/>
      <c r="AI164" s="735"/>
      <c r="AJ164" s="735"/>
      <c r="AK164" s="735"/>
      <c r="AL164" s="735"/>
      <c r="AM164" s="735"/>
      <c r="AN164" s="735"/>
      <c r="AO164" s="735"/>
      <c r="AP164" s="735"/>
      <c r="AQ164" s="735"/>
      <c r="AR164" s="735"/>
      <c r="AS164" s="735"/>
      <c r="AT164" s="735"/>
      <c r="AU164" s="735"/>
      <c r="AV164" s="735"/>
      <c r="AW164" s="735"/>
      <c r="AX164" s="735"/>
      <c r="AY164" s="735"/>
      <c r="AZ164" s="735"/>
      <c r="BA164" s="735"/>
      <c r="BB164" s="735"/>
      <c r="BC164" s="735"/>
      <c r="BD164" s="735"/>
      <c r="BE164" s="735"/>
      <c r="BF164" s="735"/>
      <c r="BG164" s="735"/>
      <c r="BH164" s="735"/>
      <c r="BI164" s="735"/>
      <c r="BJ164" s="735"/>
      <c r="BK164" s="735"/>
      <c r="BL164" s="735"/>
      <c r="BM164" s="735"/>
      <c r="BN164" s="735"/>
      <c r="BO164" s="735"/>
      <c r="BP164" s="735"/>
      <c r="BQ164" s="735"/>
      <c r="BR164" s="735"/>
      <c r="BS164" s="735"/>
      <c r="BT164" s="735"/>
      <c r="BU164" s="735"/>
      <c r="BV164" s="735"/>
      <c r="BW164" s="735"/>
      <c r="BX164" s="735"/>
      <c r="BY164" s="735"/>
      <c r="BZ164" s="735"/>
      <c r="CA164" s="735"/>
      <c r="CB164" s="735"/>
      <c r="CC164" s="735"/>
      <c r="CD164" s="735"/>
      <c r="CE164" s="735"/>
      <c r="CF164" s="735"/>
      <c r="CG164" s="735"/>
      <c r="CH164" s="735"/>
      <c r="CI164" s="735"/>
      <c r="CJ164" s="735"/>
      <c r="CK164" s="735"/>
      <c r="CL164" s="735"/>
      <c r="CM164" s="735"/>
      <c r="CN164" s="735"/>
      <c r="CO164" s="735"/>
      <c r="CP164" s="735"/>
      <c r="IE164" s="1227"/>
    </row>
    <row r="165" spans="1:239" s="1222" customFormat="1" ht="15" customHeight="1" x14ac:dyDescent="0.25">
      <c r="A165" s="821"/>
      <c r="B165" s="716"/>
      <c r="C165" s="716"/>
      <c r="D165" s="716"/>
      <c r="E165" s="716"/>
      <c r="F165" s="716"/>
      <c r="G165" s="716"/>
      <c r="H165" s="716"/>
      <c r="I165" s="716"/>
      <c r="J165" s="716"/>
      <c r="K165" s="716"/>
      <c r="L165" s="716"/>
      <c r="M165" s="716"/>
      <c r="N165" s="716"/>
      <c r="O165" s="716"/>
      <c r="P165" s="716"/>
      <c r="Q165" s="716"/>
      <c r="R165" s="716"/>
      <c r="S165" s="716"/>
      <c r="T165" s="716"/>
      <c r="U165" s="716"/>
      <c r="V165" s="716"/>
      <c r="W165" s="716"/>
      <c r="X165" s="716"/>
      <c r="Y165" s="716"/>
      <c r="Z165" s="716"/>
      <c r="AA165" s="716"/>
      <c r="AB165" s="716"/>
      <c r="AC165" s="716"/>
      <c r="AD165" s="716"/>
      <c r="AE165" s="716"/>
      <c r="AF165" s="716"/>
      <c r="AG165" s="716"/>
      <c r="AH165" s="716"/>
      <c r="AI165" s="716"/>
      <c r="AJ165" s="716"/>
      <c r="AK165" s="716"/>
      <c r="AL165" s="716"/>
      <c r="AM165" s="716"/>
      <c r="AN165" s="716"/>
      <c r="AO165" s="716"/>
      <c r="AP165" s="716"/>
      <c r="AQ165" s="716"/>
      <c r="AR165" s="716"/>
      <c r="AS165" s="716"/>
      <c r="AT165" s="716"/>
      <c r="AU165" s="716"/>
      <c r="AV165" s="716"/>
      <c r="AW165" s="716"/>
      <c r="AX165" s="716"/>
      <c r="AY165" s="716"/>
      <c r="AZ165" s="716"/>
      <c r="BA165" s="716"/>
      <c r="BB165" s="716"/>
      <c r="BC165" s="749"/>
      <c r="BD165" s="749"/>
      <c r="BE165" s="749"/>
      <c r="BF165" s="749"/>
      <c r="BG165" s="749"/>
      <c r="BH165" s="749"/>
      <c r="BI165" s="749"/>
      <c r="BJ165" s="749"/>
      <c r="BK165" s="749"/>
      <c r="BL165" s="1228"/>
      <c r="BM165" s="1228"/>
      <c r="BN165" s="1228"/>
      <c r="BO165" s="1228"/>
      <c r="BP165" s="1228"/>
      <c r="BQ165" s="1228"/>
      <c r="BR165" s="1228"/>
      <c r="BS165" s="1228"/>
      <c r="BT165" s="1228"/>
      <c r="BU165" s="1228"/>
      <c r="BV165" s="1228"/>
      <c r="BW165" s="1228"/>
      <c r="BX165" s="1228"/>
      <c r="BY165" s="1228"/>
      <c r="BZ165" s="1228"/>
      <c r="CA165" s="1228"/>
      <c r="CB165" s="1228"/>
      <c r="CC165" s="1228"/>
      <c r="CD165" s="1228"/>
      <c r="CE165" s="1228"/>
      <c r="CF165" s="1228"/>
      <c r="CG165" s="1228"/>
      <c r="CH165" s="1228"/>
      <c r="CI165" s="1228"/>
      <c r="CJ165" s="1228"/>
      <c r="CK165" s="1228"/>
      <c r="CL165" s="1228"/>
      <c r="CM165" s="1228"/>
      <c r="CN165" s="1228"/>
      <c r="CO165" s="1228"/>
      <c r="CP165" s="1228"/>
      <c r="CQ165" s="1228"/>
      <c r="CR165" s="1228"/>
      <c r="CS165" s="1228"/>
      <c r="CT165" s="1228"/>
      <c r="CU165" s="1228"/>
      <c r="CV165" s="1228"/>
      <c r="CW165" s="1228"/>
      <c r="CX165" s="1228"/>
      <c r="CY165" s="1228"/>
      <c r="CZ165" s="1228"/>
      <c r="DA165" s="1228"/>
      <c r="DB165" s="1228"/>
      <c r="DC165" s="1228"/>
      <c r="DD165" s="1228"/>
      <c r="DE165" s="1228"/>
      <c r="DF165" s="1228"/>
      <c r="DG165" s="1228"/>
      <c r="DH165" s="1228"/>
      <c r="DI165" s="1228"/>
      <c r="DJ165" s="1228"/>
      <c r="DK165" s="1228"/>
      <c r="DL165" s="1228"/>
      <c r="DM165" s="1228"/>
      <c r="DN165" s="1228"/>
      <c r="DO165" s="1228"/>
      <c r="DP165" s="1228"/>
      <c r="DQ165" s="1228"/>
      <c r="DR165" s="1228"/>
      <c r="DS165" s="1228"/>
      <c r="DT165" s="1228"/>
      <c r="DU165" s="1228"/>
      <c r="DV165" s="1228"/>
      <c r="DW165" s="1228"/>
      <c r="DX165" s="1228"/>
      <c r="DY165" s="1228"/>
      <c r="DZ165" s="1228"/>
      <c r="EA165" s="1228"/>
      <c r="EB165" s="1228"/>
      <c r="EC165" s="1228"/>
      <c r="ED165" s="1228"/>
      <c r="EE165" s="1228"/>
      <c r="EF165" s="1228"/>
      <c r="EG165" s="1228"/>
      <c r="EH165" s="1228"/>
      <c r="EI165" s="1228"/>
      <c r="EJ165" s="1228"/>
      <c r="EK165" s="1228"/>
      <c r="EL165" s="1228"/>
      <c r="EM165" s="1228"/>
      <c r="EN165" s="1228"/>
      <c r="EO165" s="1228"/>
      <c r="EP165" s="1228"/>
      <c r="EQ165" s="1228"/>
      <c r="ER165" s="1228"/>
      <c r="ES165" s="1228"/>
      <c r="ET165" s="1228"/>
      <c r="EU165" s="1228"/>
      <c r="EV165" s="1228"/>
      <c r="EW165" s="1228"/>
      <c r="EX165" s="1228"/>
      <c r="EY165" s="1228"/>
      <c r="EZ165" s="1228"/>
      <c r="FA165" s="1228"/>
      <c r="FB165" s="1228"/>
      <c r="FC165" s="1228"/>
      <c r="FD165" s="1228"/>
      <c r="FE165" s="1228"/>
      <c r="FF165" s="1228"/>
      <c r="FG165" s="1228"/>
      <c r="FH165" s="1228"/>
      <c r="FI165" s="1228"/>
      <c r="FJ165" s="1228"/>
      <c r="FK165" s="1228"/>
      <c r="FL165" s="1228"/>
      <c r="FM165" s="1228"/>
      <c r="FN165" s="1228"/>
      <c r="FO165" s="1228"/>
      <c r="FP165" s="1228"/>
      <c r="FQ165" s="1228"/>
      <c r="FR165" s="1228"/>
      <c r="FS165" s="1228"/>
      <c r="FT165" s="1228"/>
      <c r="FU165" s="1228"/>
      <c r="FV165" s="1228"/>
      <c r="FW165" s="1228"/>
      <c r="FX165" s="1228"/>
      <c r="FY165" s="1228"/>
      <c r="FZ165" s="1228"/>
      <c r="GA165" s="1228"/>
      <c r="GB165" s="1228"/>
      <c r="GC165" s="1228"/>
      <c r="GD165" s="1228"/>
      <c r="GE165" s="1228"/>
      <c r="GF165" s="1228"/>
      <c r="GG165" s="1228"/>
      <c r="GH165" s="1228"/>
      <c r="GI165" s="1228"/>
      <c r="GJ165" s="1228"/>
      <c r="GK165" s="1228"/>
      <c r="GL165" s="1228"/>
      <c r="GM165" s="1228"/>
      <c r="GN165" s="1228"/>
      <c r="GO165" s="1228"/>
      <c r="GP165" s="1228"/>
      <c r="GQ165" s="1228"/>
      <c r="GR165" s="1228"/>
      <c r="GS165" s="1228"/>
      <c r="GT165" s="1228"/>
      <c r="GU165" s="1228"/>
      <c r="GV165" s="1228"/>
      <c r="GW165" s="1228"/>
      <c r="GX165" s="1228"/>
      <c r="GY165" s="1228"/>
      <c r="GZ165" s="1228"/>
      <c r="HA165" s="1228"/>
      <c r="HB165" s="1228"/>
      <c r="HC165" s="1228"/>
      <c r="HD165" s="1228"/>
      <c r="HE165" s="1228"/>
      <c r="HF165" s="1228"/>
      <c r="HG165" s="1228"/>
      <c r="HH165" s="1228"/>
      <c r="HI165" s="1228"/>
      <c r="HJ165" s="1228"/>
      <c r="HK165" s="1228"/>
      <c r="HL165" s="1228"/>
      <c r="HM165" s="1228"/>
      <c r="HN165" s="1228"/>
      <c r="HO165" s="1228"/>
      <c r="HP165" s="1228"/>
      <c r="HQ165" s="1228"/>
      <c r="HR165" s="1228"/>
      <c r="HS165" s="1228"/>
      <c r="HT165" s="1228"/>
      <c r="HU165" s="1228"/>
      <c r="HV165" s="1228"/>
      <c r="HW165" s="1228"/>
      <c r="HX165" s="1228"/>
      <c r="HY165" s="1228"/>
      <c r="HZ165" s="1228"/>
      <c r="IA165" s="1228"/>
      <c r="IB165" s="1228"/>
      <c r="IC165" s="1228"/>
      <c r="ID165" s="1228"/>
      <c r="IE165" s="1229"/>
    </row>
    <row r="166" spans="1:239" s="1222" customFormat="1" ht="30" customHeight="1" x14ac:dyDescent="0.3">
      <c r="A166" s="776" t="s">
        <v>1590</v>
      </c>
      <c r="B166" s="785"/>
      <c r="C166" s="768"/>
      <c r="D166" s="768"/>
      <c r="E166" s="768"/>
      <c r="F166" s="768"/>
      <c r="G166" s="725"/>
      <c r="H166" s="725"/>
      <c r="I166" s="725"/>
      <c r="J166" s="725"/>
      <c r="K166" s="725"/>
      <c r="L166" s="725"/>
      <c r="M166" s="725"/>
      <c r="N166" s="725"/>
      <c r="O166" s="725"/>
      <c r="P166" s="725"/>
      <c r="Q166" s="725"/>
      <c r="R166" s="725"/>
      <c r="S166" s="725"/>
      <c r="T166" s="725"/>
      <c r="U166" s="725"/>
      <c r="V166" s="725"/>
      <c r="W166" s="725"/>
      <c r="X166" s="725"/>
      <c r="Y166" s="725"/>
      <c r="Z166" s="725"/>
      <c r="AA166" s="725"/>
      <c r="AB166" s="725"/>
      <c r="AC166" s="725"/>
      <c r="AD166" s="725"/>
      <c r="AE166" s="725"/>
      <c r="AF166" s="725"/>
      <c r="AG166" s="725"/>
      <c r="AH166" s="725"/>
      <c r="AI166" s="725"/>
      <c r="AJ166" s="725"/>
      <c r="AK166" s="725"/>
      <c r="AL166" s="725"/>
      <c r="AM166" s="725"/>
      <c r="AN166" s="725"/>
      <c r="AO166" s="725"/>
      <c r="AP166" s="725"/>
      <c r="AQ166" s="725"/>
      <c r="AR166" s="725"/>
      <c r="AS166" s="725"/>
      <c r="AT166" s="725"/>
      <c r="AU166" s="725"/>
      <c r="AV166" s="725"/>
      <c r="AW166" s="725"/>
      <c r="AX166" s="725"/>
      <c r="AY166" s="725"/>
      <c r="AZ166" s="725"/>
      <c r="BA166" s="725"/>
      <c r="BB166" s="725"/>
      <c r="BC166" s="716"/>
      <c r="BD166" s="716"/>
      <c r="BE166" s="716"/>
      <c r="BF166" s="716"/>
      <c r="BG166" s="716"/>
      <c r="BH166" s="716"/>
      <c r="BI166" s="716"/>
      <c r="BJ166" s="716"/>
      <c r="BK166" s="716"/>
      <c r="IE166" s="1226"/>
    </row>
    <row r="167" spans="1:239" s="1222" customFormat="1" ht="15" customHeight="1" x14ac:dyDescent="0.25">
      <c r="A167" s="821"/>
      <c r="B167" s="716"/>
      <c r="C167" s="716"/>
      <c r="D167" s="716"/>
      <c r="E167" s="716"/>
      <c r="F167" s="716"/>
      <c r="G167" s="716"/>
      <c r="H167" s="716"/>
      <c r="I167" s="716"/>
      <c r="J167" s="716"/>
      <c r="K167" s="716"/>
      <c r="L167" s="716"/>
      <c r="M167" s="716"/>
      <c r="N167" s="716"/>
      <c r="O167" s="716"/>
      <c r="P167" s="716"/>
      <c r="Q167" s="716"/>
      <c r="R167" s="716"/>
      <c r="S167" s="716"/>
      <c r="T167" s="716"/>
      <c r="U167" s="716"/>
      <c r="V167" s="716"/>
      <c r="W167" s="716"/>
      <c r="X167" s="716"/>
      <c r="Y167" s="716"/>
      <c r="Z167" s="716"/>
      <c r="AA167" s="716"/>
      <c r="AB167" s="716"/>
      <c r="AC167" s="716"/>
      <c r="AD167" s="716"/>
      <c r="AE167" s="716"/>
      <c r="AF167" s="716"/>
      <c r="AG167" s="716"/>
      <c r="AH167" s="716"/>
      <c r="AI167" s="716"/>
      <c r="AJ167" s="716"/>
      <c r="AK167" s="716"/>
      <c r="AL167" s="716"/>
      <c r="AM167" s="716"/>
      <c r="AN167" s="716"/>
      <c r="AO167" s="716"/>
      <c r="AP167" s="716"/>
      <c r="AQ167" s="716"/>
      <c r="AR167" s="716"/>
      <c r="AS167" s="716"/>
      <c r="AT167" s="716"/>
      <c r="AU167" s="716"/>
      <c r="AV167" s="716"/>
      <c r="AW167" s="716"/>
      <c r="AX167" s="716"/>
      <c r="AY167" s="716"/>
      <c r="AZ167" s="716"/>
      <c r="BA167" s="716"/>
      <c r="BB167" s="716"/>
      <c r="BC167" s="716"/>
      <c r="BD167" s="716"/>
      <c r="BE167" s="716"/>
      <c r="BF167" s="716"/>
      <c r="BG167" s="716"/>
      <c r="BH167" s="716"/>
      <c r="BI167" s="716"/>
      <c r="BJ167" s="716"/>
      <c r="BK167" s="716"/>
      <c r="IE167" s="1226"/>
    </row>
    <row r="168" spans="1:239" s="1222" customFormat="1" ht="15" customHeight="1" x14ac:dyDescent="0.25">
      <c r="A168" s="821"/>
      <c r="B168" s="1872" t="s">
        <v>852</v>
      </c>
      <c r="C168" s="1872"/>
      <c r="D168" s="1872"/>
      <c r="E168" s="1873"/>
      <c r="F168" s="1819" t="s">
        <v>891</v>
      </c>
      <c r="G168" s="1845"/>
      <c r="H168" s="1845"/>
      <c r="I168" s="1845"/>
      <c r="J168" s="1845"/>
      <c r="K168" s="1845"/>
      <c r="L168" s="1845"/>
      <c r="M168" s="1845"/>
      <c r="N168" s="1845"/>
      <c r="O168" s="1845"/>
      <c r="P168" s="1845"/>
      <c r="Q168" s="1845"/>
      <c r="R168" s="716"/>
      <c r="S168" s="716"/>
      <c r="T168" s="716"/>
      <c r="U168" s="716"/>
      <c r="V168" s="716"/>
      <c r="W168" s="716"/>
      <c r="X168" s="716"/>
      <c r="Y168" s="716"/>
      <c r="Z168" s="716"/>
      <c r="AA168" s="716"/>
      <c r="AB168" s="716"/>
      <c r="AC168" s="716"/>
      <c r="AD168" s="716"/>
      <c r="AE168" s="716"/>
      <c r="AF168" s="716"/>
      <c r="AG168" s="716"/>
      <c r="AH168" s="716"/>
      <c r="AI168" s="716"/>
      <c r="AJ168" s="716"/>
      <c r="AK168" s="716"/>
      <c r="AL168" s="716"/>
      <c r="AM168" s="716"/>
      <c r="AN168" s="716"/>
      <c r="AO168" s="716"/>
      <c r="AP168" s="716"/>
      <c r="AQ168" s="716"/>
      <c r="AR168" s="716"/>
      <c r="AS168" s="716"/>
      <c r="AT168" s="716"/>
      <c r="AU168" s="716"/>
      <c r="AV168" s="716"/>
      <c r="AW168" s="716"/>
      <c r="AX168" s="716"/>
      <c r="AY168" s="716"/>
      <c r="AZ168" s="716"/>
      <c r="BA168" s="716"/>
      <c r="BB168" s="716"/>
      <c r="BC168" s="716"/>
      <c r="BD168" s="716"/>
      <c r="BE168" s="716"/>
      <c r="BF168" s="716"/>
      <c r="BG168" s="716"/>
      <c r="BH168" s="716"/>
      <c r="BI168" s="716"/>
      <c r="BJ168" s="716"/>
      <c r="BK168" s="716"/>
      <c r="IE168" s="1226"/>
    </row>
    <row r="169" spans="1:239" s="1222" customFormat="1" ht="15" customHeight="1" x14ac:dyDescent="0.25">
      <c r="A169" s="821"/>
      <c r="B169" s="1874"/>
      <c r="C169" s="1874"/>
      <c r="D169" s="1874"/>
      <c r="E169" s="1875"/>
      <c r="F169" s="1878" t="s">
        <v>876</v>
      </c>
      <c r="G169" s="1844"/>
      <c r="H169" s="1844"/>
      <c r="I169" s="1871"/>
      <c r="J169" s="1870" t="s">
        <v>877</v>
      </c>
      <c r="K169" s="1844"/>
      <c r="L169" s="1844"/>
      <c r="M169" s="1871"/>
      <c r="N169" s="1870" t="s">
        <v>879</v>
      </c>
      <c r="O169" s="1844"/>
      <c r="P169" s="1844"/>
      <c r="Q169" s="1844"/>
      <c r="R169" s="716"/>
      <c r="S169" s="716"/>
      <c r="T169" s="716"/>
      <c r="U169" s="716"/>
      <c r="V169" s="716"/>
      <c r="W169" s="716"/>
      <c r="X169" s="716"/>
      <c r="Y169" s="716"/>
      <c r="Z169" s="716"/>
      <c r="AA169" s="716"/>
      <c r="AB169" s="716"/>
      <c r="AC169" s="716"/>
      <c r="AD169" s="716"/>
      <c r="AE169" s="716"/>
      <c r="AF169" s="716"/>
      <c r="AG169" s="716"/>
      <c r="AH169" s="716"/>
      <c r="AI169" s="716"/>
      <c r="AJ169" s="716"/>
      <c r="AK169" s="716"/>
      <c r="AL169" s="716"/>
      <c r="AM169" s="716"/>
      <c r="AN169" s="716"/>
      <c r="AO169" s="716"/>
      <c r="AP169" s="716"/>
      <c r="AQ169" s="716"/>
      <c r="AR169" s="716"/>
      <c r="AS169" s="716"/>
      <c r="AT169" s="716"/>
      <c r="AU169" s="716"/>
      <c r="AV169" s="716"/>
      <c r="AW169" s="716"/>
      <c r="AX169" s="716"/>
      <c r="AY169" s="716"/>
      <c r="AZ169" s="716"/>
      <c r="BA169" s="716"/>
      <c r="BB169" s="716"/>
      <c r="BC169" s="716"/>
      <c r="BD169" s="716"/>
      <c r="BE169" s="716"/>
      <c r="BF169" s="716"/>
      <c r="BG169" s="716"/>
      <c r="BH169" s="716"/>
      <c r="BI169" s="716"/>
      <c r="BJ169" s="716"/>
      <c r="BK169" s="716"/>
      <c r="IE169" s="1226"/>
    </row>
    <row r="170" spans="1:239" s="1222" customFormat="1" ht="15" customHeight="1" x14ac:dyDescent="0.25">
      <c r="A170" s="821"/>
      <c r="B170" s="1874"/>
      <c r="C170" s="1874"/>
      <c r="D170" s="1874"/>
      <c r="E170" s="1875"/>
      <c r="F170" s="1881" t="s">
        <v>889</v>
      </c>
      <c r="G170" s="1882"/>
      <c r="H170" s="1881" t="s">
        <v>890</v>
      </c>
      <c r="I170" s="1883"/>
      <c r="J170" s="1884" t="s">
        <v>889</v>
      </c>
      <c r="K170" s="1882"/>
      <c r="L170" s="1881" t="s">
        <v>890</v>
      </c>
      <c r="M170" s="1883"/>
      <c r="N170" s="1884" t="s">
        <v>889</v>
      </c>
      <c r="O170" s="1882"/>
      <c r="P170" s="1881" t="s">
        <v>890</v>
      </c>
      <c r="Q170" s="1885"/>
      <c r="R170" s="716"/>
      <c r="S170" s="716"/>
      <c r="T170" s="716"/>
      <c r="U170" s="716"/>
      <c r="V170" s="716"/>
      <c r="W170" s="716"/>
      <c r="X170" s="716"/>
      <c r="Y170" s="716"/>
      <c r="Z170" s="716"/>
      <c r="AA170" s="716"/>
      <c r="AB170" s="716"/>
      <c r="AC170" s="716"/>
      <c r="AD170" s="716"/>
      <c r="AE170" s="716"/>
      <c r="AF170" s="716"/>
      <c r="AG170" s="716"/>
      <c r="AH170" s="716"/>
      <c r="AI170" s="716"/>
      <c r="AJ170" s="716"/>
      <c r="AK170" s="716"/>
      <c r="AL170" s="716"/>
      <c r="AM170" s="716"/>
      <c r="AN170" s="716"/>
      <c r="AO170" s="716"/>
      <c r="AP170" s="716"/>
      <c r="AQ170" s="716"/>
      <c r="AR170" s="716"/>
      <c r="AS170" s="716"/>
      <c r="AT170" s="716"/>
      <c r="AU170" s="716"/>
      <c r="AV170" s="716"/>
      <c r="AW170" s="716"/>
      <c r="AX170" s="716"/>
      <c r="AY170" s="716"/>
      <c r="AZ170" s="716"/>
      <c r="BA170" s="716"/>
      <c r="BB170" s="716"/>
      <c r="BC170" s="716"/>
      <c r="BD170" s="716"/>
      <c r="BE170" s="716"/>
      <c r="BF170" s="716"/>
      <c r="BG170" s="716"/>
      <c r="BH170" s="716"/>
      <c r="BI170" s="716"/>
      <c r="BJ170" s="716"/>
      <c r="BK170" s="716"/>
      <c r="IE170" s="1226"/>
    </row>
    <row r="171" spans="1:239" s="1222" customFormat="1" ht="45" customHeight="1" x14ac:dyDescent="0.25">
      <c r="A171" s="821"/>
      <c r="B171" s="1876"/>
      <c r="C171" s="1876"/>
      <c r="D171" s="1876"/>
      <c r="E171" s="1877"/>
      <c r="F171" s="956" t="s">
        <v>878</v>
      </c>
      <c r="G171" s="956" t="s">
        <v>880</v>
      </c>
      <c r="H171" s="956" t="s">
        <v>878</v>
      </c>
      <c r="I171" s="1637" t="s">
        <v>880</v>
      </c>
      <c r="J171" s="955" t="s">
        <v>878</v>
      </c>
      <c r="K171" s="956" t="s">
        <v>880</v>
      </c>
      <c r="L171" s="956" t="s">
        <v>878</v>
      </c>
      <c r="M171" s="957" t="s">
        <v>880</v>
      </c>
      <c r="N171" s="1638" t="s">
        <v>878</v>
      </c>
      <c r="O171" s="956" t="s">
        <v>880</v>
      </c>
      <c r="P171" s="956" t="s">
        <v>878</v>
      </c>
      <c r="Q171" s="1637" t="s">
        <v>880</v>
      </c>
      <c r="R171" s="716"/>
      <c r="S171" s="716"/>
      <c r="T171" s="716"/>
      <c r="U171" s="716"/>
      <c r="V171" s="716"/>
      <c r="W171" s="716"/>
      <c r="X171" s="716"/>
      <c r="Y171" s="716"/>
      <c r="Z171" s="716"/>
      <c r="AA171" s="716"/>
      <c r="AB171" s="716"/>
      <c r="AC171" s="716"/>
      <c r="AD171" s="716"/>
      <c r="AE171" s="716"/>
      <c r="AF171" s="716"/>
      <c r="AG171" s="716"/>
      <c r="AH171" s="716"/>
      <c r="AI171" s="716"/>
      <c r="AJ171" s="716"/>
      <c r="AK171" s="716"/>
      <c r="AL171" s="716"/>
      <c r="AM171" s="716"/>
      <c r="AN171" s="716"/>
      <c r="AO171" s="716"/>
      <c r="AP171" s="716"/>
      <c r="AQ171" s="716"/>
      <c r="AR171" s="716"/>
      <c r="AS171" s="716"/>
      <c r="AT171" s="716"/>
      <c r="AU171" s="716"/>
      <c r="AV171" s="716"/>
      <c r="AW171" s="716"/>
      <c r="AX171" s="716"/>
      <c r="AY171" s="716"/>
      <c r="AZ171" s="716"/>
      <c r="BA171" s="716"/>
      <c r="BB171" s="716"/>
      <c r="BC171" s="716"/>
      <c r="BD171" s="716"/>
      <c r="BE171" s="716"/>
      <c r="BF171" s="716"/>
      <c r="BG171" s="716"/>
      <c r="BH171" s="716"/>
      <c r="BI171" s="716"/>
      <c r="BJ171" s="716"/>
      <c r="BK171" s="716"/>
      <c r="IE171" s="1226"/>
    </row>
    <row r="172" spans="1:239" s="1223" customFormat="1" ht="15" customHeight="1" x14ac:dyDescent="0.25">
      <c r="A172" s="821"/>
      <c r="B172" s="965" t="s">
        <v>881</v>
      </c>
      <c r="C172" s="965"/>
      <c r="D172" s="966"/>
      <c r="E172" s="967"/>
      <c r="F172" s="1247"/>
      <c r="G172" s="1247"/>
      <c r="H172" s="1247"/>
      <c r="I172" s="1250"/>
      <c r="J172" s="1249"/>
      <c r="K172" s="1247"/>
      <c r="L172" s="1247"/>
      <c r="M172" s="1251"/>
      <c r="N172" s="1259"/>
      <c r="O172" s="1247"/>
      <c r="P172" s="1247"/>
      <c r="Q172" s="1250"/>
      <c r="R172" s="716"/>
      <c r="S172" s="716"/>
      <c r="T172" s="716"/>
      <c r="U172" s="716"/>
      <c r="V172" s="716"/>
      <c r="W172" s="716"/>
      <c r="X172" s="716"/>
      <c r="Y172" s="716"/>
      <c r="Z172" s="716"/>
      <c r="AA172" s="716"/>
      <c r="AB172" s="716"/>
      <c r="AC172" s="716"/>
      <c r="AD172" s="716"/>
      <c r="AE172" s="716"/>
      <c r="AF172" s="716"/>
      <c r="AG172" s="716"/>
      <c r="AH172" s="716"/>
      <c r="AI172" s="716"/>
      <c r="AJ172" s="716"/>
      <c r="AK172" s="716"/>
      <c r="AL172" s="716"/>
      <c r="AM172" s="716"/>
      <c r="AN172" s="716"/>
      <c r="AO172" s="716"/>
      <c r="AP172" s="716"/>
      <c r="AQ172" s="716"/>
      <c r="AR172" s="716"/>
      <c r="AS172" s="716"/>
      <c r="AT172" s="716"/>
      <c r="AU172" s="716"/>
      <c r="AV172" s="716"/>
      <c r="AW172" s="716"/>
      <c r="AX172" s="716"/>
      <c r="AY172" s="716"/>
      <c r="AZ172" s="716"/>
      <c r="BA172" s="716"/>
      <c r="BB172" s="716"/>
      <c r="BC172" s="716"/>
      <c r="BD172" s="716"/>
      <c r="BE172" s="716"/>
      <c r="BF172" s="716"/>
      <c r="BG172" s="716"/>
      <c r="BH172" s="716"/>
      <c r="BI172" s="716"/>
      <c r="BJ172" s="716"/>
      <c r="BK172" s="716"/>
      <c r="IE172" s="1227"/>
    </row>
    <row r="173" spans="1:239" s="1223" customFormat="1" ht="15" customHeight="1" x14ac:dyDescent="0.25">
      <c r="A173" s="821"/>
      <c r="B173" s="963" t="s">
        <v>882</v>
      </c>
      <c r="C173" s="963"/>
      <c r="D173" s="964"/>
      <c r="E173" s="947"/>
      <c r="F173" s="1241"/>
      <c r="G173" s="1241"/>
      <c r="H173" s="1241"/>
      <c r="I173" s="1242"/>
      <c r="J173" s="1252"/>
      <c r="K173" s="1241"/>
      <c r="L173" s="1241"/>
      <c r="M173" s="1253"/>
      <c r="N173" s="1260"/>
      <c r="O173" s="1241"/>
      <c r="P173" s="1241"/>
      <c r="Q173" s="1242"/>
      <c r="R173" s="716"/>
      <c r="S173" s="716"/>
      <c r="T173" s="716"/>
      <c r="U173" s="716"/>
      <c r="V173" s="716"/>
      <c r="W173" s="716"/>
      <c r="X173" s="716"/>
      <c r="Y173" s="716"/>
      <c r="Z173" s="716"/>
      <c r="AA173" s="716"/>
      <c r="AB173" s="716"/>
      <c r="AC173" s="716"/>
      <c r="AD173" s="716"/>
      <c r="AE173" s="716"/>
      <c r="AF173" s="716"/>
      <c r="AG173" s="716"/>
      <c r="AH173" s="716"/>
      <c r="AI173" s="716"/>
      <c r="AJ173" s="716"/>
      <c r="AK173" s="716"/>
      <c r="AL173" s="716"/>
      <c r="AM173" s="716"/>
      <c r="AN173" s="716"/>
      <c r="AO173" s="716"/>
      <c r="AP173" s="716"/>
      <c r="AQ173" s="716"/>
      <c r="AR173" s="716"/>
      <c r="AS173" s="716"/>
      <c r="AT173" s="716"/>
      <c r="AU173" s="716"/>
      <c r="AV173" s="716"/>
      <c r="AW173" s="716"/>
      <c r="AX173" s="716"/>
      <c r="AY173" s="716"/>
      <c r="AZ173" s="716"/>
      <c r="BA173" s="716"/>
      <c r="BB173" s="716"/>
      <c r="BC173" s="716"/>
      <c r="BD173" s="716"/>
      <c r="BE173" s="716"/>
      <c r="BF173" s="716"/>
      <c r="BG173" s="716"/>
      <c r="BH173" s="716"/>
      <c r="BI173" s="716"/>
      <c r="BJ173" s="716"/>
      <c r="BK173" s="716"/>
      <c r="IE173" s="1227"/>
    </row>
    <row r="174" spans="1:239" s="1223" customFormat="1" ht="15" customHeight="1" x14ac:dyDescent="0.25">
      <c r="A174" s="821"/>
      <c r="B174" s="964" t="s">
        <v>314</v>
      </c>
      <c r="C174" s="964"/>
      <c r="D174" s="964"/>
      <c r="E174" s="947"/>
      <c r="F174" s="1241"/>
      <c r="G174" s="1241"/>
      <c r="H174" s="1241"/>
      <c r="I174" s="1242"/>
      <c r="J174" s="1252"/>
      <c r="K174" s="1241"/>
      <c r="L174" s="1241"/>
      <c r="M174" s="1253"/>
      <c r="N174" s="1260"/>
      <c r="O174" s="1241"/>
      <c r="P174" s="1241"/>
      <c r="Q174" s="1242"/>
      <c r="R174" s="716"/>
      <c r="S174" s="716"/>
      <c r="T174" s="716"/>
      <c r="U174" s="716"/>
      <c r="V174" s="716"/>
      <c r="W174" s="716"/>
      <c r="X174" s="716"/>
      <c r="Y174" s="716"/>
      <c r="Z174" s="716"/>
      <c r="AA174" s="716"/>
      <c r="AB174" s="716"/>
      <c r="AC174" s="716"/>
      <c r="AD174" s="716"/>
      <c r="AE174" s="716"/>
      <c r="AF174" s="716"/>
      <c r="AG174" s="716"/>
      <c r="AH174" s="716"/>
      <c r="AI174" s="716"/>
      <c r="AJ174" s="716"/>
      <c r="AK174" s="716"/>
      <c r="AL174" s="716"/>
      <c r="AM174" s="716"/>
      <c r="AN174" s="716"/>
      <c r="AO174" s="716"/>
      <c r="AP174" s="716"/>
      <c r="AQ174" s="716"/>
      <c r="AR174" s="716"/>
      <c r="AS174" s="716"/>
      <c r="AT174" s="716"/>
      <c r="AU174" s="716"/>
      <c r="AV174" s="716"/>
      <c r="AW174" s="716"/>
      <c r="AX174" s="716"/>
      <c r="AY174" s="716"/>
      <c r="AZ174" s="716"/>
      <c r="BA174" s="716"/>
      <c r="BB174" s="716"/>
      <c r="BC174" s="716"/>
      <c r="BD174" s="716"/>
      <c r="BE174" s="716"/>
      <c r="BF174" s="716"/>
      <c r="BG174" s="716"/>
      <c r="BH174" s="716"/>
      <c r="BI174" s="716"/>
      <c r="BJ174" s="716"/>
      <c r="BK174" s="716"/>
      <c r="IE174" s="1227"/>
    </row>
    <row r="175" spans="1:239" s="1223" customFormat="1" ht="15" customHeight="1" x14ac:dyDescent="0.25">
      <c r="A175" s="821"/>
      <c r="B175" s="964" t="s">
        <v>883</v>
      </c>
      <c r="C175" s="964"/>
      <c r="D175" s="964"/>
      <c r="E175" s="947"/>
      <c r="F175" s="1241"/>
      <c r="G175" s="1241"/>
      <c r="H175" s="1241"/>
      <c r="I175" s="1242"/>
      <c r="J175" s="1252"/>
      <c r="K175" s="1241"/>
      <c r="L175" s="1241"/>
      <c r="M175" s="1253"/>
      <c r="N175" s="1260"/>
      <c r="O175" s="1241"/>
      <c r="P175" s="1241"/>
      <c r="Q175" s="1242"/>
      <c r="R175" s="716"/>
      <c r="S175" s="716"/>
      <c r="T175" s="716"/>
      <c r="U175" s="716"/>
      <c r="V175" s="716"/>
      <c r="W175" s="716"/>
      <c r="X175" s="716"/>
      <c r="Y175" s="716"/>
      <c r="Z175" s="716"/>
      <c r="AA175" s="716"/>
      <c r="AB175" s="716"/>
      <c r="AC175" s="716"/>
      <c r="AD175" s="716"/>
      <c r="AE175" s="716"/>
      <c r="AF175" s="716"/>
      <c r="AG175" s="716"/>
      <c r="AH175" s="716"/>
      <c r="AI175" s="716"/>
      <c r="AJ175" s="716"/>
      <c r="AK175" s="716"/>
      <c r="AL175" s="716"/>
      <c r="AM175" s="716"/>
      <c r="AN175" s="716"/>
      <c r="AO175" s="716"/>
      <c r="AP175" s="716"/>
      <c r="AQ175" s="716"/>
      <c r="AR175" s="716"/>
      <c r="AS175" s="716"/>
      <c r="AT175" s="716"/>
      <c r="AU175" s="716"/>
      <c r="AV175" s="716"/>
      <c r="AW175" s="716"/>
      <c r="AX175" s="716"/>
      <c r="AY175" s="716"/>
      <c r="AZ175" s="716"/>
      <c r="BA175" s="716"/>
      <c r="BB175" s="716"/>
      <c r="BC175" s="716"/>
      <c r="BD175" s="716"/>
      <c r="BE175" s="716"/>
      <c r="BF175" s="716"/>
      <c r="BG175" s="716"/>
      <c r="BH175" s="716"/>
      <c r="BI175" s="716"/>
      <c r="BJ175" s="716"/>
      <c r="BK175" s="716"/>
      <c r="IE175" s="1227"/>
    </row>
    <row r="176" spans="1:239" s="1223" customFormat="1" ht="15" customHeight="1" x14ac:dyDescent="0.25">
      <c r="A176" s="821"/>
      <c r="B176" s="964" t="s">
        <v>884</v>
      </c>
      <c r="C176" s="964"/>
      <c r="D176" s="964"/>
      <c r="E176" s="947"/>
      <c r="F176" s="1241"/>
      <c r="G176" s="1241"/>
      <c r="H176" s="1241"/>
      <c r="I176" s="1242"/>
      <c r="J176" s="1252"/>
      <c r="K176" s="1241"/>
      <c r="L176" s="1241"/>
      <c r="M176" s="1253"/>
      <c r="N176" s="1260"/>
      <c r="O176" s="1241"/>
      <c r="P176" s="1241"/>
      <c r="Q176" s="1242"/>
      <c r="R176" s="716"/>
      <c r="S176" s="716"/>
      <c r="T176" s="716"/>
      <c r="U176" s="716"/>
      <c r="V176" s="716"/>
      <c r="W176" s="716"/>
      <c r="X176" s="716"/>
      <c r="Y176" s="716"/>
      <c r="Z176" s="716"/>
      <c r="AA176" s="716"/>
      <c r="AB176" s="716"/>
      <c r="AC176" s="716"/>
      <c r="AD176" s="716"/>
      <c r="AE176" s="716"/>
      <c r="AF176" s="716"/>
      <c r="AG176" s="716"/>
      <c r="AH176" s="716"/>
      <c r="AI176" s="716"/>
      <c r="AJ176" s="716"/>
      <c r="AK176" s="716"/>
      <c r="AL176" s="716"/>
      <c r="AM176" s="716"/>
      <c r="AN176" s="716"/>
      <c r="AO176" s="716"/>
      <c r="AP176" s="716"/>
      <c r="AQ176" s="716"/>
      <c r="AR176" s="716"/>
      <c r="AS176" s="716"/>
      <c r="AT176" s="716"/>
      <c r="AU176" s="716"/>
      <c r="AV176" s="716"/>
      <c r="AW176" s="716"/>
      <c r="AX176" s="716"/>
      <c r="AY176" s="716"/>
      <c r="AZ176" s="716"/>
      <c r="BA176" s="716"/>
      <c r="BB176" s="716"/>
      <c r="BC176" s="716"/>
      <c r="BD176" s="716"/>
      <c r="BE176" s="716"/>
      <c r="BF176" s="716"/>
      <c r="BG176" s="716"/>
      <c r="BH176" s="716"/>
      <c r="BI176" s="716"/>
      <c r="BJ176" s="716"/>
      <c r="BK176" s="716"/>
      <c r="IE176" s="1227"/>
    </row>
    <row r="177" spans="1:239" s="1223" customFormat="1" ht="15" customHeight="1" x14ac:dyDescent="0.25">
      <c r="A177" s="821"/>
      <c r="B177" s="964" t="s">
        <v>315</v>
      </c>
      <c r="C177" s="964"/>
      <c r="D177" s="964"/>
      <c r="E177" s="947"/>
      <c r="F177" s="1241"/>
      <c r="G177" s="1241"/>
      <c r="H177" s="1241"/>
      <c r="I177" s="1242"/>
      <c r="J177" s="1252"/>
      <c r="K177" s="1241"/>
      <c r="L177" s="1241"/>
      <c r="M177" s="1253"/>
      <c r="N177" s="1260"/>
      <c r="O177" s="1241"/>
      <c r="P177" s="1241"/>
      <c r="Q177" s="1242"/>
      <c r="R177" s="716"/>
      <c r="S177" s="716"/>
      <c r="T177" s="716"/>
      <c r="U177" s="716"/>
      <c r="V177" s="716"/>
      <c r="W177" s="716"/>
      <c r="X177" s="716"/>
      <c r="Y177" s="716"/>
      <c r="Z177" s="716"/>
      <c r="AA177" s="716"/>
      <c r="AB177" s="716"/>
      <c r="AC177" s="716"/>
      <c r="AD177" s="716"/>
      <c r="AE177" s="716"/>
      <c r="AF177" s="716"/>
      <c r="AG177" s="716"/>
      <c r="AH177" s="716"/>
      <c r="AI177" s="716"/>
      <c r="AJ177" s="716"/>
      <c r="AK177" s="716"/>
      <c r="AL177" s="716"/>
      <c r="AM177" s="716"/>
      <c r="AN177" s="716"/>
      <c r="AO177" s="716"/>
      <c r="AP177" s="716"/>
      <c r="AQ177" s="716"/>
      <c r="AR177" s="716"/>
      <c r="AS177" s="716"/>
      <c r="AT177" s="716"/>
      <c r="AU177" s="716"/>
      <c r="AV177" s="716"/>
      <c r="AW177" s="716"/>
      <c r="AX177" s="716"/>
      <c r="AY177" s="716"/>
      <c r="AZ177" s="716"/>
      <c r="BA177" s="716"/>
      <c r="BB177" s="716"/>
      <c r="BC177" s="716"/>
      <c r="BD177" s="716"/>
      <c r="BE177" s="716"/>
      <c r="BF177" s="716"/>
      <c r="BG177" s="716"/>
      <c r="BH177" s="716"/>
      <c r="BI177" s="716"/>
      <c r="BJ177" s="716"/>
      <c r="BK177" s="716"/>
      <c r="IE177" s="1227"/>
    </row>
    <row r="178" spans="1:239" s="1223" customFormat="1" ht="15" customHeight="1" x14ac:dyDescent="0.25">
      <c r="A178" s="821"/>
      <c r="B178" s="964" t="s">
        <v>885</v>
      </c>
      <c r="C178" s="964"/>
      <c r="D178" s="964"/>
      <c r="E178" s="947"/>
      <c r="F178" s="1241"/>
      <c r="G178" s="1241"/>
      <c r="H178" s="1241"/>
      <c r="I178" s="1242"/>
      <c r="J178" s="1252"/>
      <c r="K178" s="1241"/>
      <c r="L178" s="1241"/>
      <c r="M178" s="1253"/>
      <c r="N178" s="1260"/>
      <c r="O178" s="1241"/>
      <c r="P178" s="1241"/>
      <c r="Q178" s="1242"/>
      <c r="R178" s="716"/>
      <c r="S178" s="716"/>
      <c r="T178" s="716"/>
      <c r="U178" s="716"/>
      <c r="V178" s="716"/>
      <c r="W178" s="716"/>
      <c r="X178" s="716"/>
      <c r="Y178" s="716"/>
      <c r="Z178" s="716"/>
      <c r="AA178" s="716"/>
      <c r="AB178" s="716"/>
      <c r="AC178" s="716"/>
      <c r="AD178" s="716"/>
      <c r="AE178" s="716"/>
      <c r="AF178" s="716"/>
      <c r="AG178" s="716"/>
      <c r="AH178" s="716"/>
      <c r="AI178" s="716"/>
      <c r="AJ178" s="716"/>
      <c r="AK178" s="716"/>
      <c r="AL178" s="716"/>
      <c r="AM178" s="716"/>
      <c r="AN178" s="716"/>
      <c r="AO178" s="716"/>
      <c r="AP178" s="716"/>
      <c r="AQ178" s="716"/>
      <c r="AR178" s="716"/>
      <c r="AS178" s="716"/>
      <c r="AT178" s="716"/>
      <c r="AU178" s="716"/>
      <c r="AV178" s="716"/>
      <c r="AW178" s="716"/>
      <c r="AX178" s="716"/>
      <c r="AY178" s="716"/>
      <c r="AZ178" s="716"/>
      <c r="BA178" s="716"/>
      <c r="BB178" s="716"/>
      <c r="BC178" s="716"/>
      <c r="BD178" s="716"/>
      <c r="BE178" s="716"/>
      <c r="BF178" s="716"/>
      <c r="BG178" s="716"/>
      <c r="BH178" s="716"/>
      <c r="BI178" s="716"/>
      <c r="BJ178" s="716"/>
      <c r="BK178" s="716"/>
      <c r="IE178" s="1227"/>
    </row>
    <row r="179" spans="1:239" s="1223" customFormat="1" ht="15" customHeight="1" x14ac:dyDescent="0.25">
      <c r="A179" s="821"/>
      <c r="B179" s="964" t="s">
        <v>886</v>
      </c>
      <c r="C179" s="964"/>
      <c r="D179" s="964"/>
      <c r="E179" s="947"/>
      <c r="F179" s="1241"/>
      <c r="G179" s="1241"/>
      <c r="H179" s="1241"/>
      <c r="I179" s="1242"/>
      <c r="J179" s="1252"/>
      <c r="K179" s="1241"/>
      <c r="L179" s="1241"/>
      <c r="M179" s="1253"/>
      <c r="N179" s="1260"/>
      <c r="O179" s="1241"/>
      <c r="P179" s="1241"/>
      <c r="Q179" s="1242"/>
      <c r="R179" s="716"/>
      <c r="S179" s="716"/>
      <c r="T179" s="716"/>
      <c r="U179" s="716"/>
      <c r="V179" s="716"/>
      <c r="W179" s="716"/>
      <c r="X179" s="716"/>
      <c r="Y179" s="716"/>
      <c r="Z179" s="716"/>
      <c r="AA179" s="716"/>
      <c r="AB179" s="716"/>
      <c r="AC179" s="716"/>
      <c r="AD179" s="716"/>
      <c r="AE179" s="716"/>
      <c r="AF179" s="716"/>
      <c r="AG179" s="716"/>
      <c r="AH179" s="716"/>
      <c r="AI179" s="716"/>
      <c r="AJ179" s="716"/>
      <c r="AK179" s="716"/>
      <c r="AL179" s="716"/>
      <c r="AM179" s="716"/>
      <c r="AN179" s="716"/>
      <c r="AO179" s="716"/>
      <c r="AP179" s="716"/>
      <c r="AQ179" s="716"/>
      <c r="AR179" s="716"/>
      <c r="AS179" s="716"/>
      <c r="AT179" s="716"/>
      <c r="AU179" s="716"/>
      <c r="AV179" s="716"/>
      <c r="AW179" s="716"/>
      <c r="AX179" s="716"/>
      <c r="AY179" s="716"/>
      <c r="AZ179" s="716"/>
      <c r="BA179" s="716"/>
      <c r="BB179" s="716"/>
      <c r="BC179" s="716"/>
      <c r="BD179" s="716"/>
      <c r="BE179" s="716"/>
      <c r="BF179" s="716"/>
      <c r="BG179" s="716"/>
      <c r="BH179" s="716"/>
      <c r="BI179" s="716"/>
      <c r="BJ179" s="716"/>
      <c r="BK179" s="716"/>
      <c r="IE179" s="1227"/>
    </row>
    <row r="180" spans="1:239" s="1223" customFormat="1" ht="15" customHeight="1" x14ac:dyDescent="0.25">
      <c r="A180" s="821"/>
      <c r="B180" s="746" t="s">
        <v>887</v>
      </c>
      <c r="C180" s="746"/>
      <c r="D180" s="746"/>
      <c r="E180" s="948"/>
      <c r="F180" s="1245"/>
      <c r="G180" s="1245"/>
      <c r="H180" s="1245"/>
      <c r="I180" s="1246"/>
      <c r="J180" s="509"/>
      <c r="K180" s="1245"/>
      <c r="L180" s="1245"/>
      <c r="M180" s="508"/>
      <c r="N180" s="511"/>
      <c r="O180" s="1245"/>
      <c r="P180" s="1245"/>
      <c r="Q180" s="1246"/>
      <c r="R180" s="716"/>
      <c r="S180" s="716"/>
      <c r="T180" s="716"/>
      <c r="U180" s="716"/>
      <c r="V180" s="716"/>
      <c r="W180" s="716"/>
      <c r="X180" s="716"/>
      <c r="Y180" s="716"/>
      <c r="Z180" s="716"/>
      <c r="AA180" s="716"/>
      <c r="AB180" s="716"/>
      <c r="AC180" s="716"/>
      <c r="AD180" s="716"/>
      <c r="AE180" s="716"/>
      <c r="AF180" s="716"/>
      <c r="AG180" s="716"/>
      <c r="AH180" s="716"/>
      <c r="AI180" s="716"/>
      <c r="AJ180" s="716"/>
      <c r="AK180" s="716"/>
      <c r="AL180" s="716"/>
      <c r="AM180" s="716"/>
      <c r="AN180" s="716"/>
      <c r="AO180" s="716"/>
      <c r="AP180" s="716"/>
      <c r="AQ180" s="716"/>
      <c r="AR180" s="716"/>
      <c r="AS180" s="716"/>
      <c r="AT180" s="716"/>
      <c r="AU180" s="716"/>
      <c r="AV180" s="716"/>
      <c r="AW180" s="716"/>
      <c r="AX180" s="716"/>
      <c r="AY180" s="716"/>
      <c r="AZ180" s="716"/>
      <c r="BA180" s="716"/>
      <c r="BB180" s="716"/>
      <c r="BC180" s="716"/>
      <c r="BD180" s="716"/>
      <c r="BE180" s="716"/>
      <c r="BF180" s="716"/>
      <c r="BG180" s="716"/>
      <c r="BH180" s="716"/>
      <c r="BI180" s="716"/>
      <c r="BJ180" s="716"/>
      <c r="BK180" s="716"/>
      <c r="IE180" s="1227"/>
    </row>
    <row r="181" spans="1:239" s="1223" customFormat="1" ht="15" customHeight="1" x14ac:dyDescent="0.25">
      <c r="A181" s="821"/>
      <c r="B181" s="962" t="s">
        <v>894</v>
      </c>
      <c r="C181" s="962"/>
      <c r="D181" s="962"/>
      <c r="E181" s="946"/>
      <c r="F181" s="36" t="str">
        <f>IF(AND(ISNUMBER(F172),ISNUMBER(F173),ISNUMBER(F174),ISNUMBER(F175),ISNUMBER(F176),ISNUMBER(F177),ISNUMBER(F178),ISNUMBER(F179),ISNUMBER(F180),ISNUMBER(G172),ISNUMBER(G173),ISNUMBER(G174),ISNUMBER(G175),ISNUMBER(G176),ISNUMBER(G177),ISNUMBER(G178),ISNUMBER(G179),ISNUMBER(G180)),SUM(F172:G180),"")</f>
        <v/>
      </c>
      <c r="G181" s="512"/>
      <c r="H181" s="1357" t="str">
        <f>IF(AND(ISNUMBER(H172),ISNUMBER(H173),ISNUMBER(H174),ISNUMBER(H175),ISNUMBER(H176),ISNUMBER(H177),ISNUMBER(H178),ISNUMBER(H179),ISNUMBER(H180),ISNUMBER(I172),ISNUMBER(I173),ISNUMBER(I174),ISNUMBER(I175),ISNUMBER(I176),ISNUMBER(I177),ISNUMBER(I178),ISNUMBER(I179),ISNUMBER(I180)),SUM(H172:I180),"")</f>
        <v/>
      </c>
      <c r="I181" s="513"/>
      <c r="J181" s="514" t="str">
        <f>IF(AND(ISNUMBER(J172),ISNUMBER(J173),ISNUMBER(J174),ISNUMBER(J175),ISNUMBER(J176),ISNUMBER(J177),ISNUMBER(J178),ISNUMBER(J179),ISNUMBER(J180),ISNUMBER(K172),ISNUMBER(K173),ISNUMBER(K174),ISNUMBER(K175),ISNUMBER(K176),ISNUMBER(K177),ISNUMBER(K178),ISNUMBER(K179),ISNUMBER(K180)),SUM(J172:K180),"")</f>
        <v/>
      </c>
      <c r="K181" s="512"/>
      <c r="L181" s="36" t="str">
        <f>IF(AND(ISNUMBER(L172),ISNUMBER(L173),ISNUMBER(L174),ISNUMBER(L175),ISNUMBER(L176),ISNUMBER(L177),ISNUMBER(L178),ISNUMBER(L179),ISNUMBER(L180),ISNUMBER(M172),ISNUMBER(M173),ISNUMBER(M174),ISNUMBER(M175),ISNUMBER(M176),ISNUMBER(M177),ISNUMBER(M178),ISNUMBER(M179),ISNUMBER(M180)),SUM(L172:M180),"")</f>
        <v/>
      </c>
      <c r="M181" s="513"/>
      <c r="N181" s="514" t="str">
        <f>IF(AND(ISNUMBER(N172),ISNUMBER(N173),ISNUMBER(N174),ISNUMBER(N175),ISNUMBER(N176),ISNUMBER(N177),ISNUMBER(N178),ISNUMBER(N179),ISNUMBER(N180),ISNUMBER(O172),ISNUMBER(O173),ISNUMBER(O174),ISNUMBER(O175),ISNUMBER(O176),ISNUMBER(O177),ISNUMBER(O178),ISNUMBER(O179),ISNUMBER(O180)),SUM(N172:O180),"")</f>
        <v/>
      </c>
      <c r="O181" s="512"/>
      <c r="P181" s="36" t="str">
        <f>IF(AND(ISNUMBER(P172),ISNUMBER(P173),ISNUMBER(P174),ISNUMBER(P175),ISNUMBER(P176),ISNUMBER(P177),ISNUMBER(P178),ISNUMBER(P179),ISNUMBER(P180),ISNUMBER(Q172),ISNUMBER(Q173),ISNUMBER(Q174),ISNUMBER(Q175),ISNUMBER(Q176),ISNUMBER(Q177),ISNUMBER(Q178),ISNUMBER(Q179),ISNUMBER(Q180)),SUM(P172:Q180),"")</f>
        <v/>
      </c>
      <c r="Q181" s="515"/>
      <c r="R181" s="716"/>
      <c r="S181" s="716"/>
      <c r="T181" s="716"/>
      <c r="U181" s="716"/>
      <c r="V181" s="716"/>
      <c r="W181" s="716"/>
      <c r="X181" s="716"/>
      <c r="Y181" s="716"/>
      <c r="Z181" s="716"/>
      <c r="AA181" s="716"/>
      <c r="AB181" s="716"/>
      <c r="AC181" s="716"/>
      <c r="AD181" s="716"/>
      <c r="AE181" s="716"/>
      <c r="AF181" s="716"/>
      <c r="AG181" s="716"/>
      <c r="AH181" s="716"/>
      <c r="AI181" s="716"/>
      <c r="AJ181" s="716"/>
      <c r="AK181" s="716"/>
      <c r="AL181" s="716"/>
      <c r="AM181" s="716"/>
      <c r="AN181" s="716"/>
      <c r="AO181" s="716"/>
      <c r="AP181" s="716"/>
      <c r="AQ181" s="716"/>
      <c r="AR181" s="716"/>
      <c r="AS181" s="716"/>
      <c r="AT181" s="716"/>
      <c r="AU181" s="716"/>
      <c r="AV181" s="716"/>
      <c r="AW181" s="716"/>
      <c r="AX181" s="716"/>
      <c r="AY181" s="716"/>
      <c r="AZ181" s="716"/>
      <c r="BA181" s="716"/>
      <c r="BB181" s="716"/>
      <c r="BC181" s="716"/>
      <c r="BD181" s="716"/>
      <c r="BE181" s="716"/>
      <c r="BF181" s="716"/>
      <c r="BG181" s="716"/>
      <c r="BH181" s="716"/>
      <c r="BI181" s="716"/>
      <c r="BJ181" s="716"/>
      <c r="BK181" s="716"/>
      <c r="IE181" s="1227"/>
    </row>
    <row r="182" spans="1:239" s="1223" customFormat="1" ht="15" customHeight="1" x14ac:dyDescent="0.25">
      <c r="A182" s="821"/>
      <c r="B182" s="964" t="s">
        <v>895</v>
      </c>
      <c r="C182" s="964"/>
      <c r="D182" s="964"/>
      <c r="E182" s="947"/>
      <c r="F182" s="51"/>
      <c r="G182" s="461"/>
      <c r="H182" s="1355" t="str">
        <f>IF(AND(ISNUMBER(F181),ISNUMBER(H181)),IF(F181+H181&lt;&gt;0,F181/(F181+H181),""),"")</f>
        <v/>
      </c>
      <c r="I182" s="1356"/>
      <c r="J182" s="517"/>
      <c r="K182" s="51"/>
      <c r="L182" s="1355" t="str">
        <f>IF(AND(ISNUMBER(J181),ISNUMBER(L181)),IF(J181+L181&lt;&gt;0,J181/(J181+L181),""),"")</f>
        <v/>
      </c>
      <c r="M182" s="516"/>
      <c r="N182" s="517"/>
      <c r="O182" s="51"/>
      <c r="P182" s="1355" t="str">
        <f>IF(AND(ISNUMBER(N181),ISNUMBER(P181)),IF(N181+P181&lt;&gt;0,N181/(N181+P181),""),"")</f>
        <v/>
      </c>
      <c r="Q182" s="461"/>
      <c r="R182" s="716"/>
      <c r="S182" s="716"/>
      <c r="T182" s="716"/>
      <c r="U182" s="716"/>
      <c r="V182" s="716"/>
      <c r="W182" s="716"/>
      <c r="X182" s="716"/>
      <c r="Y182" s="716"/>
      <c r="Z182" s="716"/>
      <c r="AA182" s="716"/>
      <c r="AB182" s="716"/>
      <c r="AC182" s="716"/>
      <c r="AD182" s="716"/>
      <c r="AE182" s="716"/>
      <c r="AF182" s="716"/>
      <c r="AG182" s="716"/>
      <c r="AH182" s="716"/>
      <c r="AI182" s="716"/>
      <c r="AJ182" s="716"/>
      <c r="AK182" s="716"/>
      <c r="AL182" s="716"/>
      <c r="AM182" s="716"/>
      <c r="AN182" s="716"/>
      <c r="AO182" s="716"/>
      <c r="AP182" s="716"/>
      <c r="AQ182" s="716"/>
      <c r="AR182" s="716"/>
      <c r="AS182" s="716"/>
      <c r="AT182" s="716"/>
      <c r="AU182" s="716"/>
      <c r="AV182" s="716"/>
      <c r="AW182" s="716"/>
      <c r="AX182" s="716"/>
      <c r="AY182" s="716"/>
      <c r="AZ182" s="716"/>
      <c r="BA182" s="716"/>
      <c r="BB182" s="716"/>
      <c r="BC182" s="716"/>
      <c r="BD182" s="716"/>
      <c r="BE182" s="716"/>
      <c r="BF182" s="716"/>
      <c r="BG182" s="716"/>
      <c r="BH182" s="716"/>
      <c r="BI182" s="716"/>
      <c r="BJ182" s="716"/>
      <c r="BK182" s="716"/>
      <c r="IE182" s="1227"/>
    </row>
    <row r="183" spans="1:239" s="1223" customFormat="1" ht="15" customHeight="1" x14ac:dyDescent="0.25">
      <c r="A183" s="821"/>
      <c r="B183" s="964"/>
      <c r="C183" s="968">
        <v>5.0000000000000001E-3</v>
      </c>
      <c r="D183" s="964"/>
      <c r="E183" s="947"/>
      <c r="F183" s="51"/>
      <c r="G183" s="85" t="str">
        <f>IF(AND(ISNUMBER(F172),ISNUMBER(G172)), IF(AND(F172&gt;=0,G172&gt;=0),$C183*(F172+G172),""), "")</f>
        <v/>
      </c>
      <c r="H183" s="41"/>
      <c r="I183" s="85" t="str">
        <f>IF(AND(ISNUMBER(H172),ISNUMBER(I172)), IF(AND(H172&gt;=0,I172&gt;=0),$C183*(H172+I172),""), "")</f>
        <v/>
      </c>
      <c r="J183" s="517"/>
      <c r="K183" s="85" t="str">
        <f>IF(AND(ISNUMBER(J172),ISNUMBER(K172)), IF(AND(J172&gt;=0,K172&gt;=0),$C183*(J172+K172),""), "")</f>
        <v/>
      </c>
      <c r="L183" s="51"/>
      <c r="M183" s="85" t="str">
        <f>IF(AND(ISNUMBER(L172),ISNUMBER(M172)), IF(AND(L172&gt;=0,M172&gt;=0),$C183*(L172+M172),""), "")</f>
        <v/>
      </c>
      <c r="N183" s="517"/>
      <c r="O183" s="85" t="str">
        <f>IF(AND(ISNUMBER(N172),ISNUMBER(O172)), IF(AND(N172&gt;=0,O172&gt;=0),$C183*(N172+O172),""), "")</f>
        <v/>
      </c>
      <c r="P183" s="51"/>
      <c r="Q183" s="19" t="str">
        <f t="shared" ref="Q183:Q191" si="0">IF(AND(ISNUMBER(P172),ISNUMBER(Q172)), IF(AND(P172&gt;=0,Q172&gt;=0),$C183*(P172+Q172),""), "")</f>
        <v/>
      </c>
      <c r="R183" s="716"/>
      <c r="S183" s="716"/>
      <c r="T183" s="716"/>
      <c r="U183" s="716"/>
      <c r="V183" s="716"/>
      <c r="W183" s="716"/>
      <c r="X183" s="716"/>
      <c r="Y183" s="716"/>
      <c r="Z183" s="716"/>
      <c r="AA183" s="716"/>
      <c r="AB183" s="716"/>
      <c r="AC183" s="716"/>
      <c r="AD183" s="716"/>
      <c r="AE183" s="716"/>
      <c r="AF183" s="716"/>
      <c r="AG183" s="716"/>
      <c r="AH183" s="716"/>
      <c r="AI183" s="716"/>
      <c r="AJ183" s="716"/>
      <c r="AK183" s="716"/>
      <c r="AL183" s="716"/>
      <c r="AM183" s="716"/>
      <c r="AN183" s="716"/>
      <c r="AO183" s="716"/>
      <c r="AP183" s="716"/>
      <c r="AQ183" s="716"/>
      <c r="AR183" s="716"/>
      <c r="AS183" s="716"/>
      <c r="AT183" s="716"/>
      <c r="AU183" s="716"/>
      <c r="AV183" s="716"/>
      <c r="AW183" s="716"/>
      <c r="AX183" s="716"/>
      <c r="AY183" s="716"/>
      <c r="AZ183" s="716"/>
      <c r="BA183" s="716"/>
      <c r="BB183" s="716"/>
      <c r="BC183" s="716"/>
      <c r="BD183" s="716"/>
      <c r="BE183" s="716"/>
      <c r="BF183" s="716"/>
      <c r="BG183" s="716"/>
      <c r="BH183" s="716"/>
      <c r="BI183" s="716"/>
      <c r="BJ183" s="716"/>
      <c r="BK183" s="716"/>
      <c r="IE183" s="1227"/>
    </row>
    <row r="184" spans="1:239" s="1223" customFormat="1" ht="15" customHeight="1" x14ac:dyDescent="0.25">
      <c r="A184" s="821"/>
      <c r="B184" s="964"/>
      <c r="C184" s="968">
        <v>0.02</v>
      </c>
      <c r="D184" s="964"/>
      <c r="E184" s="947"/>
      <c r="F184" s="51"/>
      <c r="G184" s="85" t="str">
        <f t="shared" ref="G184:I191" si="1">IF(AND(ISNUMBER(F173),ISNUMBER(G173)), IF(AND(F173&gt;=0,G173&gt;=0),$C184*(F173+G173),""), "")</f>
        <v/>
      </c>
      <c r="H184" s="51"/>
      <c r="I184" s="85" t="str">
        <f t="shared" si="1"/>
        <v/>
      </c>
      <c r="J184" s="517"/>
      <c r="K184" s="85" t="str">
        <f t="shared" ref="K184:K191" si="2">IF(AND(ISNUMBER(J173),ISNUMBER(K173)), IF(AND(J173&gt;=0,K173&gt;=0),$C184*(J173+K173),""), "")</f>
        <v/>
      </c>
      <c r="L184" s="51"/>
      <c r="M184" s="85" t="str">
        <f t="shared" ref="M184:M191" si="3">IF(AND(ISNUMBER(L173),ISNUMBER(M173)), IF(AND(L173&gt;=0,M173&gt;=0),$C184*(L173+M173),""), "")</f>
        <v/>
      </c>
      <c r="N184" s="517"/>
      <c r="O184" s="85" t="str">
        <f t="shared" ref="O184:O191" si="4">IF(AND(ISNUMBER(N173),ISNUMBER(O173)), IF(AND(N173&gt;=0,O173&gt;=0),$C184*(N173+O173),""), "")</f>
        <v/>
      </c>
      <c r="P184" s="51"/>
      <c r="Q184" s="19" t="str">
        <f t="shared" si="0"/>
        <v/>
      </c>
      <c r="R184" s="716"/>
      <c r="S184" s="716"/>
      <c r="T184" s="716"/>
      <c r="U184" s="716"/>
      <c r="V184" s="716"/>
      <c r="W184" s="716"/>
      <c r="X184" s="716"/>
      <c r="Y184" s="716"/>
      <c r="Z184" s="716"/>
      <c r="AA184" s="716"/>
      <c r="AB184" s="716"/>
      <c r="AC184" s="716"/>
      <c r="AD184" s="716"/>
      <c r="AE184" s="716"/>
      <c r="AF184" s="716"/>
      <c r="AG184" s="716"/>
      <c r="AH184" s="716"/>
      <c r="AI184" s="716"/>
      <c r="AJ184" s="716"/>
      <c r="AK184" s="716"/>
      <c r="AL184" s="716"/>
      <c r="AM184" s="716"/>
      <c r="AN184" s="716"/>
      <c r="AO184" s="716"/>
      <c r="AP184" s="716"/>
      <c r="AQ184" s="716"/>
      <c r="AR184" s="716"/>
      <c r="AS184" s="716"/>
      <c r="AT184" s="716"/>
      <c r="AU184" s="716"/>
      <c r="AV184" s="716"/>
      <c r="AW184" s="716"/>
      <c r="AX184" s="716"/>
      <c r="AY184" s="716"/>
      <c r="AZ184" s="716"/>
      <c r="BA184" s="716"/>
      <c r="BB184" s="716"/>
      <c r="BC184" s="716"/>
      <c r="BD184" s="716"/>
      <c r="BE184" s="716"/>
      <c r="BF184" s="716"/>
      <c r="BG184" s="716"/>
      <c r="BH184" s="716"/>
      <c r="BI184" s="716"/>
      <c r="BJ184" s="716"/>
      <c r="BK184" s="716"/>
      <c r="IE184" s="1227"/>
    </row>
    <row r="185" spans="1:239" s="1223" customFormat="1" ht="15" customHeight="1" x14ac:dyDescent="0.25">
      <c r="A185" s="821"/>
      <c r="B185" s="964"/>
      <c r="C185" s="968">
        <v>0.03</v>
      </c>
      <c r="D185" s="964"/>
      <c r="E185" s="947"/>
      <c r="F185" s="51"/>
      <c r="G185" s="85" t="str">
        <f t="shared" si="1"/>
        <v/>
      </c>
      <c r="H185" s="51"/>
      <c r="I185" s="85" t="str">
        <f t="shared" si="1"/>
        <v/>
      </c>
      <c r="J185" s="517"/>
      <c r="K185" s="85" t="str">
        <f t="shared" si="2"/>
        <v/>
      </c>
      <c r="L185" s="51"/>
      <c r="M185" s="85" t="str">
        <f t="shared" si="3"/>
        <v/>
      </c>
      <c r="N185" s="517"/>
      <c r="O185" s="85" t="str">
        <f t="shared" si="4"/>
        <v/>
      </c>
      <c r="P185" s="51"/>
      <c r="Q185" s="19" t="str">
        <f t="shared" si="0"/>
        <v/>
      </c>
      <c r="R185" s="716"/>
      <c r="S185" s="716"/>
      <c r="T185" s="716"/>
      <c r="U185" s="716"/>
      <c r="V185" s="716"/>
      <c r="W185" s="716"/>
      <c r="X185" s="716"/>
      <c r="Y185" s="716"/>
      <c r="Z185" s="716"/>
      <c r="AA185" s="716"/>
      <c r="AB185" s="716"/>
      <c r="AC185" s="716"/>
      <c r="AD185" s="716"/>
      <c r="AE185" s="716"/>
      <c r="AF185" s="716"/>
      <c r="AG185" s="716"/>
      <c r="AH185" s="716"/>
      <c r="AI185" s="716"/>
      <c r="AJ185" s="716"/>
      <c r="AK185" s="716"/>
      <c r="AL185" s="716"/>
      <c r="AM185" s="716"/>
      <c r="AN185" s="716"/>
      <c r="AO185" s="716"/>
      <c r="AP185" s="716"/>
      <c r="AQ185" s="716"/>
      <c r="AR185" s="716"/>
      <c r="AS185" s="716"/>
      <c r="AT185" s="716"/>
      <c r="AU185" s="716"/>
      <c r="AV185" s="716"/>
      <c r="AW185" s="716"/>
      <c r="AX185" s="716"/>
      <c r="AY185" s="716"/>
      <c r="AZ185" s="716"/>
      <c r="BA185" s="716"/>
      <c r="BB185" s="716"/>
      <c r="BC185" s="716"/>
      <c r="BD185" s="716"/>
      <c r="BE185" s="716"/>
      <c r="BF185" s="716"/>
      <c r="BG185" s="716"/>
      <c r="BH185" s="716"/>
      <c r="BI185" s="716"/>
      <c r="BJ185" s="716"/>
      <c r="BK185" s="716"/>
      <c r="IE185" s="1227"/>
    </row>
    <row r="186" spans="1:239" s="1223" customFormat="1" ht="15" customHeight="1" x14ac:dyDescent="0.25">
      <c r="A186" s="821"/>
      <c r="B186" s="964"/>
      <c r="C186" s="968">
        <v>0.06</v>
      </c>
      <c r="D186" s="964"/>
      <c r="E186" s="947"/>
      <c r="F186" s="51"/>
      <c r="G186" s="85" t="str">
        <f t="shared" si="1"/>
        <v/>
      </c>
      <c r="H186" s="51"/>
      <c r="I186" s="85" t="str">
        <f t="shared" si="1"/>
        <v/>
      </c>
      <c r="J186" s="517"/>
      <c r="K186" s="85" t="str">
        <f t="shared" si="2"/>
        <v/>
      </c>
      <c r="L186" s="51"/>
      <c r="M186" s="85" t="str">
        <f t="shared" si="3"/>
        <v/>
      </c>
      <c r="N186" s="517"/>
      <c r="O186" s="85" t="str">
        <f t="shared" si="4"/>
        <v/>
      </c>
      <c r="P186" s="51"/>
      <c r="Q186" s="19" t="str">
        <f t="shared" si="0"/>
        <v/>
      </c>
      <c r="R186" s="716"/>
      <c r="S186" s="716"/>
      <c r="T186" s="716"/>
      <c r="U186" s="716"/>
      <c r="V186" s="716"/>
      <c r="W186" s="716"/>
      <c r="X186" s="716"/>
      <c r="Y186" s="716"/>
      <c r="Z186" s="716"/>
      <c r="AA186" s="716"/>
      <c r="AB186" s="716"/>
      <c r="AC186" s="716"/>
      <c r="AD186" s="716"/>
      <c r="AE186" s="716"/>
      <c r="AF186" s="716"/>
      <c r="AG186" s="716"/>
      <c r="AH186" s="716"/>
      <c r="AI186" s="716"/>
      <c r="AJ186" s="716"/>
      <c r="AK186" s="716"/>
      <c r="AL186" s="716"/>
      <c r="AM186" s="716"/>
      <c r="AN186" s="716"/>
      <c r="AO186" s="716"/>
      <c r="AP186" s="716"/>
      <c r="AQ186" s="716"/>
      <c r="AR186" s="716"/>
      <c r="AS186" s="716"/>
      <c r="AT186" s="716"/>
      <c r="AU186" s="716"/>
      <c r="AV186" s="716"/>
      <c r="AW186" s="716"/>
      <c r="AX186" s="716"/>
      <c r="AY186" s="716"/>
      <c r="AZ186" s="716"/>
      <c r="BA186" s="716"/>
      <c r="BB186" s="716"/>
      <c r="BC186" s="716"/>
      <c r="BD186" s="716"/>
      <c r="BE186" s="716"/>
      <c r="BF186" s="716"/>
      <c r="BG186" s="716"/>
      <c r="BH186" s="716"/>
      <c r="BI186" s="716"/>
      <c r="BJ186" s="716"/>
      <c r="BK186" s="716"/>
      <c r="IE186" s="1227"/>
    </row>
    <row r="187" spans="1:239" s="1223" customFormat="1" ht="15" customHeight="1" x14ac:dyDescent="0.25">
      <c r="A187" s="821"/>
      <c r="B187" s="964"/>
      <c r="C187" s="968">
        <v>0.15</v>
      </c>
      <c r="D187" s="964"/>
      <c r="E187" s="947"/>
      <c r="F187" s="51"/>
      <c r="G187" s="85" t="str">
        <f t="shared" si="1"/>
        <v/>
      </c>
      <c r="H187" s="51"/>
      <c r="I187" s="85" t="str">
        <f t="shared" si="1"/>
        <v/>
      </c>
      <c r="J187" s="517"/>
      <c r="K187" s="85" t="str">
        <f t="shared" si="2"/>
        <v/>
      </c>
      <c r="L187" s="51"/>
      <c r="M187" s="85" t="str">
        <f t="shared" si="3"/>
        <v/>
      </c>
      <c r="N187" s="517"/>
      <c r="O187" s="85" t="str">
        <f t="shared" si="4"/>
        <v/>
      </c>
      <c r="P187" s="51"/>
      <c r="Q187" s="19" t="str">
        <f t="shared" si="0"/>
        <v/>
      </c>
      <c r="R187" s="716"/>
      <c r="S187" s="716"/>
      <c r="T187" s="716"/>
      <c r="U187" s="716"/>
      <c r="V187" s="716"/>
      <c r="W187" s="716"/>
      <c r="X187" s="716"/>
      <c r="Y187" s="716"/>
      <c r="Z187" s="716"/>
      <c r="AA187" s="716"/>
      <c r="AB187" s="716"/>
      <c r="AC187" s="716"/>
      <c r="AD187" s="716"/>
      <c r="AE187" s="716"/>
      <c r="AF187" s="716"/>
      <c r="AG187" s="716"/>
      <c r="AH187" s="716"/>
      <c r="AI187" s="716"/>
      <c r="AJ187" s="716"/>
      <c r="AK187" s="716"/>
      <c r="AL187" s="716"/>
      <c r="AM187" s="716"/>
      <c r="AN187" s="716"/>
      <c r="AO187" s="716"/>
      <c r="AP187" s="716"/>
      <c r="AQ187" s="716"/>
      <c r="AR187" s="716"/>
      <c r="AS187" s="716"/>
      <c r="AT187" s="716"/>
      <c r="AU187" s="716"/>
      <c r="AV187" s="716"/>
      <c r="AW187" s="716"/>
      <c r="AX187" s="716"/>
      <c r="AY187" s="716"/>
      <c r="AZ187" s="716"/>
      <c r="BA187" s="716"/>
      <c r="BB187" s="716"/>
      <c r="BC187" s="716"/>
      <c r="BD187" s="716"/>
      <c r="BE187" s="716"/>
      <c r="BF187" s="716"/>
      <c r="BG187" s="716"/>
      <c r="BH187" s="716"/>
      <c r="BI187" s="716"/>
      <c r="BJ187" s="716"/>
      <c r="BK187" s="716"/>
      <c r="IE187" s="1227"/>
    </row>
    <row r="188" spans="1:239" s="1223" customFormat="1" ht="15" customHeight="1" x14ac:dyDescent="0.25">
      <c r="A188" s="821"/>
      <c r="B188" s="964"/>
      <c r="C188" s="968">
        <v>0.3</v>
      </c>
      <c r="D188" s="964"/>
      <c r="E188" s="947"/>
      <c r="F188" s="51"/>
      <c r="G188" s="85" t="str">
        <f t="shared" si="1"/>
        <v/>
      </c>
      <c r="H188" s="51"/>
      <c r="I188" s="85" t="str">
        <f t="shared" si="1"/>
        <v/>
      </c>
      <c r="J188" s="517"/>
      <c r="K188" s="85" t="str">
        <f t="shared" si="2"/>
        <v/>
      </c>
      <c r="L188" s="51"/>
      <c r="M188" s="85" t="str">
        <f t="shared" si="3"/>
        <v/>
      </c>
      <c r="N188" s="517"/>
      <c r="O188" s="85" t="str">
        <f t="shared" si="4"/>
        <v/>
      </c>
      <c r="P188" s="51"/>
      <c r="Q188" s="19" t="str">
        <f t="shared" si="0"/>
        <v/>
      </c>
      <c r="R188" s="716"/>
      <c r="S188" s="716"/>
      <c r="T188" s="716"/>
      <c r="U188" s="716"/>
      <c r="V188" s="716"/>
      <c r="W188" s="716"/>
      <c r="X188" s="716"/>
      <c r="Y188" s="716"/>
      <c r="Z188" s="716"/>
      <c r="AA188" s="716"/>
      <c r="AB188" s="716"/>
      <c r="AC188" s="716"/>
      <c r="AD188" s="716"/>
      <c r="AE188" s="716"/>
      <c r="AF188" s="716"/>
      <c r="AG188" s="716"/>
      <c r="AH188" s="716"/>
      <c r="AI188" s="716"/>
      <c r="AJ188" s="716"/>
      <c r="AK188" s="716"/>
      <c r="AL188" s="716"/>
      <c r="AM188" s="716"/>
      <c r="AN188" s="716"/>
      <c r="AO188" s="716"/>
      <c r="AP188" s="716"/>
      <c r="AQ188" s="716"/>
      <c r="AR188" s="716"/>
      <c r="AS188" s="716"/>
      <c r="AT188" s="716"/>
      <c r="AU188" s="716"/>
      <c r="AV188" s="716"/>
      <c r="AW188" s="716"/>
      <c r="AX188" s="716"/>
      <c r="AY188" s="716"/>
      <c r="AZ188" s="716"/>
      <c r="BA188" s="716"/>
      <c r="BB188" s="716"/>
      <c r="BC188" s="716"/>
      <c r="BD188" s="716"/>
      <c r="BE188" s="716"/>
      <c r="BF188" s="716"/>
      <c r="BG188" s="716"/>
      <c r="BH188" s="716"/>
      <c r="BI188" s="716"/>
      <c r="BJ188" s="716"/>
      <c r="BK188" s="716"/>
      <c r="IE188" s="1227"/>
    </row>
    <row r="189" spans="1:239" s="1223" customFormat="1" ht="15" customHeight="1" x14ac:dyDescent="0.25">
      <c r="A189" s="821"/>
      <c r="B189" s="964"/>
      <c r="C189" s="968">
        <v>0.5</v>
      </c>
      <c r="D189" s="964"/>
      <c r="E189" s="947"/>
      <c r="F189" s="51"/>
      <c r="G189" s="85" t="str">
        <f t="shared" si="1"/>
        <v/>
      </c>
      <c r="H189" s="51"/>
      <c r="I189" s="85" t="str">
        <f t="shared" si="1"/>
        <v/>
      </c>
      <c r="J189" s="517"/>
      <c r="K189" s="85" t="str">
        <f t="shared" si="2"/>
        <v/>
      </c>
      <c r="L189" s="51"/>
      <c r="M189" s="85" t="str">
        <f t="shared" si="3"/>
        <v/>
      </c>
      <c r="N189" s="517"/>
      <c r="O189" s="85" t="str">
        <f t="shared" si="4"/>
        <v/>
      </c>
      <c r="P189" s="51"/>
      <c r="Q189" s="19" t="str">
        <f t="shared" si="0"/>
        <v/>
      </c>
      <c r="R189" s="716"/>
      <c r="S189" s="716"/>
      <c r="T189" s="716"/>
      <c r="U189" s="716"/>
      <c r="V189" s="716"/>
      <c r="W189" s="716"/>
      <c r="X189" s="716"/>
      <c r="Y189" s="716"/>
      <c r="Z189" s="716"/>
      <c r="AA189" s="716"/>
      <c r="AB189" s="716"/>
      <c r="AC189" s="716"/>
      <c r="AD189" s="716"/>
      <c r="AE189" s="716"/>
      <c r="AF189" s="716"/>
      <c r="AG189" s="716"/>
      <c r="AH189" s="716"/>
      <c r="AI189" s="716"/>
      <c r="AJ189" s="716"/>
      <c r="AK189" s="716"/>
      <c r="AL189" s="716"/>
      <c r="AM189" s="716"/>
      <c r="AN189" s="716"/>
      <c r="AO189" s="716"/>
      <c r="AP189" s="716"/>
      <c r="AQ189" s="716"/>
      <c r="AR189" s="716"/>
      <c r="AS189" s="716"/>
      <c r="AT189" s="716"/>
      <c r="AU189" s="716"/>
      <c r="AV189" s="716"/>
      <c r="AW189" s="716"/>
      <c r="AX189" s="716"/>
      <c r="AY189" s="716"/>
      <c r="AZ189" s="716"/>
      <c r="BA189" s="716"/>
      <c r="BB189" s="716"/>
      <c r="BC189" s="716"/>
      <c r="BD189" s="716"/>
      <c r="BE189" s="716"/>
      <c r="BF189" s="716"/>
      <c r="BG189" s="716"/>
      <c r="BH189" s="716"/>
      <c r="BI189" s="716"/>
      <c r="BJ189" s="716"/>
      <c r="BK189" s="716"/>
      <c r="IE189" s="1227"/>
    </row>
    <row r="190" spans="1:239" s="1223" customFormat="1" ht="15" customHeight="1" x14ac:dyDescent="0.25">
      <c r="A190" s="821"/>
      <c r="B190" s="964"/>
      <c r="C190" s="968">
        <v>0.15</v>
      </c>
      <c r="D190" s="964"/>
      <c r="E190" s="947"/>
      <c r="F190" s="51"/>
      <c r="G190" s="85" t="str">
        <f t="shared" si="1"/>
        <v/>
      </c>
      <c r="H190" s="51"/>
      <c r="I190" s="85" t="str">
        <f t="shared" si="1"/>
        <v/>
      </c>
      <c r="J190" s="517"/>
      <c r="K190" s="85" t="str">
        <f t="shared" si="2"/>
        <v/>
      </c>
      <c r="L190" s="51"/>
      <c r="M190" s="85" t="str">
        <f t="shared" si="3"/>
        <v/>
      </c>
      <c r="N190" s="517"/>
      <c r="O190" s="85" t="str">
        <f t="shared" si="4"/>
        <v/>
      </c>
      <c r="P190" s="51"/>
      <c r="Q190" s="19" t="str">
        <f t="shared" si="0"/>
        <v/>
      </c>
      <c r="R190" s="716"/>
      <c r="S190" s="716"/>
      <c r="T190" s="716"/>
      <c r="U190" s="716"/>
      <c r="V190" s="716"/>
      <c r="W190" s="716"/>
      <c r="X190" s="716"/>
      <c r="Y190" s="716"/>
      <c r="Z190" s="716"/>
      <c r="AA190" s="716"/>
      <c r="AB190" s="716"/>
      <c r="AC190" s="716"/>
      <c r="AD190" s="716"/>
      <c r="AE190" s="716"/>
      <c r="AF190" s="716"/>
      <c r="AG190" s="716"/>
      <c r="AH190" s="716"/>
      <c r="AI190" s="716"/>
      <c r="AJ190" s="716"/>
      <c r="AK190" s="716"/>
      <c r="AL190" s="716"/>
      <c r="AM190" s="716"/>
      <c r="AN190" s="716"/>
      <c r="AO190" s="716"/>
      <c r="AP190" s="716"/>
      <c r="AQ190" s="716"/>
      <c r="AR190" s="716"/>
      <c r="AS190" s="716"/>
      <c r="AT190" s="716"/>
      <c r="AU190" s="716"/>
      <c r="AV190" s="716"/>
      <c r="AW190" s="716"/>
      <c r="AX190" s="716"/>
      <c r="AY190" s="716"/>
      <c r="AZ190" s="716"/>
      <c r="BA190" s="716"/>
      <c r="BB190" s="716"/>
      <c r="BC190" s="716"/>
      <c r="BD190" s="716"/>
      <c r="BE190" s="716"/>
      <c r="BF190" s="716"/>
      <c r="BG190" s="716"/>
      <c r="BH190" s="716"/>
      <c r="BI190" s="716"/>
      <c r="BJ190" s="716"/>
      <c r="BK190" s="716"/>
      <c r="IE190" s="1227"/>
    </row>
    <row r="191" spans="1:239" s="1223" customFormat="1" ht="15" customHeight="1" x14ac:dyDescent="0.25">
      <c r="A191" s="821"/>
      <c r="B191" s="746"/>
      <c r="C191" s="969">
        <v>1</v>
      </c>
      <c r="D191" s="746"/>
      <c r="E191" s="948"/>
      <c r="F191" s="54"/>
      <c r="G191" s="85" t="str">
        <f t="shared" si="1"/>
        <v/>
      </c>
      <c r="H191" s="54"/>
      <c r="I191" s="85" t="str">
        <f t="shared" si="1"/>
        <v/>
      </c>
      <c r="J191" s="518"/>
      <c r="K191" s="85" t="str">
        <f t="shared" si="2"/>
        <v/>
      </c>
      <c r="L191" s="54"/>
      <c r="M191" s="85" t="str">
        <f t="shared" si="3"/>
        <v/>
      </c>
      <c r="N191" s="518"/>
      <c r="O191" s="85" t="str">
        <f t="shared" si="4"/>
        <v/>
      </c>
      <c r="P191" s="54"/>
      <c r="Q191" s="109" t="str">
        <f t="shared" si="0"/>
        <v/>
      </c>
      <c r="R191" s="716"/>
      <c r="S191" s="716"/>
      <c r="T191" s="716"/>
      <c r="U191" s="716"/>
      <c r="V191" s="716"/>
      <c r="W191" s="716"/>
      <c r="X191" s="716"/>
      <c r="Y191" s="716"/>
      <c r="Z191" s="716"/>
      <c r="AA191" s="716"/>
      <c r="AB191" s="716"/>
      <c r="AC191" s="716"/>
      <c r="AD191" s="716"/>
      <c r="AE191" s="716"/>
      <c r="AF191" s="716"/>
      <c r="AG191" s="716"/>
      <c r="AH191" s="716"/>
      <c r="AI191" s="716"/>
      <c r="AJ191" s="716"/>
      <c r="AK191" s="716"/>
      <c r="AL191" s="716"/>
      <c r="AM191" s="716"/>
      <c r="AN191" s="716"/>
      <c r="AO191" s="716"/>
      <c r="AP191" s="716"/>
      <c r="AQ191" s="716"/>
      <c r="AR191" s="716"/>
      <c r="AS191" s="716"/>
      <c r="AT191" s="716"/>
      <c r="AU191" s="716"/>
      <c r="AV191" s="716"/>
      <c r="AW191" s="716"/>
      <c r="AX191" s="716"/>
      <c r="AY191" s="716"/>
      <c r="AZ191" s="716"/>
      <c r="BA191" s="716"/>
      <c r="BB191" s="716"/>
      <c r="BC191" s="716"/>
      <c r="BD191" s="716"/>
      <c r="BE191" s="716"/>
      <c r="BF191" s="716"/>
      <c r="BG191" s="716"/>
      <c r="BH191" s="716"/>
      <c r="BI191" s="716"/>
      <c r="BJ191" s="716"/>
      <c r="BK191" s="716"/>
      <c r="IE191" s="1227"/>
    </row>
    <row r="192" spans="1:239" s="1222" customFormat="1" ht="15" customHeight="1" x14ac:dyDescent="0.25">
      <c r="A192" s="821"/>
      <c r="B192" s="894"/>
      <c r="C192" s="894"/>
      <c r="D192" s="745"/>
      <c r="E192" s="958"/>
      <c r="F192" s="1878" t="s">
        <v>876</v>
      </c>
      <c r="G192" s="1844"/>
      <c r="H192" s="1844"/>
      <c r="I192" s="1871"/>
      <c r="J192" s="1870" t="s">
        <v>877</v>
      </c>
      <c r="K192" s="1844"/>
      <c r="L192" s="1844"/>
      <c r="M192" s="1871"/>
      <c r="N192" s="1870" t="s">
        <v>879</v>
      </c>
      <c r="O192" s="1844"/>
      <c r="P192" s="1844"/>
      <c r="Q192" s="1844"/>
      <c r="R192" s="716"/>
      <c r="S192" s="716"/>
      <c r="T192" s="716"/>
      <c r="U192" s="716"/>
      <c r="V192" s="716"/>
      <c r="W192" s="716"/>
      <c r="X192" s="716"/>
      <c r="Y192" s="716"/>
      <c r="Z192" s="716"/>
      <c r="AA192" s="716"/>
      <c r="AB192" s="716"/>
      <c r="AC192" s="716"/>
      <c r="AD192" s="716"/>
      <c r="AE192" s="716"/>
      <c r="AF192" s="716"/>
      <c r="AG192" s="716"/>
      <c r="AH192" s="716"/>
      <c r="AI192" s="716"/>
      <c r="AJ192" s="716"/>
      <c r="AK192" s="716"/>
      <c r="AL192" s="716"/>
      <c r="AM192" s="716"/>
      <c r="AN192" s="716"/>
      <c r="AO192" s="716"/>
      <c r="AP192" s="716"/>
      <c r="AQ192" s="716"/>
      <c r="AR192" s="716"/>
      <c r="AS192" s="716"/>
      <c r="AT192" s="716"/>
      <c r="AU192" s="716"/>
      <c r="AV192" s="716"/>
      <c r="AW192" s="716"/>
      <c r="AX192" s="716"/>
      <c r="AY192" s="716"/>
      <c r="AZ192" s="716"/>
      <c r="BA192" s="716"/>
      <c r="BB192" s="716"/>
      <c r="BC192" s="716"/>
      <c r="BD192" s="716"/>
      <c r="BE192" s="716"/>
      <c r="BF192" s="716"/>
      <c r="BG192" s="716"/>
      <c r="BH192" s="716"/>
      <c r="BI192" s="716"/>
      <c r="BJ192" s="716"/>
      <c r="BK192" s="716"/>
      <c r="IE192" s="1226"/>
    </row>
    <row r="193" spans="1:239" s="1223" customFormat="1" ht="15" customHeight="1" x14ac:dyDescent="0.25">
      <c r="A193" s="821"/>
      <c r="B193" s="894" t="s">
        <v>118</v>
      </c>
      <c r="C193" s="894"/>
      <c r="D193" s="745"/>
      <c r="E193" s="958"/>
      <c r="F193" s="156"/>
      <c r="G193" s="156"/>
      <c r="H193" s="506"/>
      <c r="I193" s="519" t="str">
        <f>IF(ISNUMBER(H182),SUM(G183:G191)-H182*SUM(I183:I191),"")</f>
        <v/>
      </c>
      <c r="J193" s="156"/>
      <c r="K193" s="156"/>
      <c r="L193" s="156"/>
      <c r="M193" s="519" t="str">
        <f>IF(ISNUMBER(L182),SUM(K183:K191)-L182*SUM(M183:M191),"")</f>
        <v/>
      </c>
      <c r="N193" s="156"/>
      <c r="O193" s="156"/>
      <c r="P193" s="156"/>
      <c r="Q193" s="1265" t="str">
        <f>IF(ISNUMBER(P182),SUM(O183:O191)-P182*SUM(Q183:Q191),"")</f>
        <v/>
      </c>
      <c r="R193" s="716"/>
      <c r="S193" s="716"/>
      <c r="T193" s="716"/>
      <c r="U193" s="716"/>
      <c r="V193" s="716"/>
      <c r="W193" s="716"/>
      <c r="X193" s="716"/>
      <c r="Y193" s="716"/>
      <c r="Z193" s="716"/>
      <c r="AA193" s="716"/>
      <c r="AB193" s="716"/>
      <c r="AC193" s="716"/>
      <c r="AD193" s="716"/>
      <c r="AE193" s="716"/>
      <c r="AF193" s="716"/>
      <c r="AG193" s="716"/>
      <c r="AH193" s="716"/>
      <c r="AI193" s="716"/>
      <c r="AJ193" s="716"/>
      <c r="AK193" s="716"/>
      <c r="AL193" s="716"/>
      <c r="AM193" s="716"/>
      <c r="AN193" s="716"/>
      <c r="AO193" s="716"/>
      <c r="AP193" s="716"/>
      <c r="AQ193" s="716"/>
      <c r="AR193" s="716"/>
      <c r="AS193" s="716"/>
      <c r="AT193" s="716"/>
      <c r="AU193" s="716"/>
      <c r="AV193" s="716"/>
      <c r="AW193" s="716"/>
      <c r="AX193" s="716"/>
      <c r="AY193" s="716"/>
      <c r="AZ193" s="716"/>
      <c r="BA193" s="716"/>
      <c r="BB193" s="716"/>
      <c r="BC193" s="716"/>
      <c r="BD193" s="716"/>
      <c r="BE193" s="716"/>
      <c r="BF193" s="716"/>
      <c r="BG193" s="716"/>
      <c r="BH193" s="716"/>
      <c r="BI193" s="716"/>
      <c r="BJ193" s="716"/>
      <c r="BK193" s="716"/>
      <c r="IE193" s="1227"/>
    </row>
    <row r="194" spans="1:239" s="1222" customFormat="1" ht="15" customHeight="1" x14ac:dyDescent="0.25">
      <c r="A194" s="821"/>
      <c r="B194" s="716"/>
      <c r="C194" s="716"/>
      <c r="D194" s="716"/>
      <c r="E194" s="716"/>
      <c r="F194" s="716"/>
      <c r="G194" s="716"/>
      <c r="H194" s="716"/>
      <c r="I194" s="716"/>
      <c r="J194" s="716"/>
      <c r="K194" s="716"/>
      <c r="L194" s="716"/>
      <c r="M194" s="716"/>
      <c r="N194" s="716"/>
      <c r="O194" s="716"/>
      <c r="P194" s="716"/>
      <c r="Q194" s="716"/>
      <c r="R194" s="716"/>
      <c r="S194" s="716"/>
      <c r="T194" s="716"/>
      <c r="U194" s="716"/>
      <c r="V194" s="716"/>
      <c r="W194" s="716"/>
      <c r="X194" s="716"/>
      <c r="Y194" s="716"/>
      <c r="Z194" s="716"/>
      <c r="AA194" s="716"/>
      <c r="AB194" s="716"/>
      <c r="AC194" s="716"/>
      <c r="AD194" s="716"/>
      <c r="AE194" s="716"/>
      <c r="AF194" s="716"/>
      <c r="AG194" s="716"/>
      <c r="AH194" s="716"/>
      <c r="AI194" s="716"/>
      <c r="AJ194" s="716"/>
      <c r="AK194" s="716"/>
      <c r="AL194" s="716"/>
      <c r="AM194" s="716"/>
      <c r="AN194" s="716"/>
      <c r="AO194" s="716"/>
      <c r="AP194" s="716"/>
      <c r="AQ194" s="716"/>
      <c r="AR194" s="716"/>
      <c r="AS194" s="716"/>
      <c r="AT194" s="716"/>
      <c r="AU194" s="716"/>
      <c r="AV194" s="716"/>
      <c r="AW194" s="716"/>
      <c r="AX194" s="716"/>
      <c r="AY194" s="716"/>
      <c r="AZ194" s="716"/>
      <c r="BA194" s="716"/>
      <c r="BB194" s="716"/>
      <c r="BC194" s="716"/>
      <c r="BD194" s="716"/>
      <c r="BE194" s="716"/>
      <c r="BF194" s="716"/>
      <c r="BG194" s="716"/>
      <c r="BH194" s="716"/>
      <c r="BI194" s="716"/>
      <c r="BJ194" s="716"/>
      <c r="BK194" s="716"/>
      <c r="IE194" s="1226"/>
    </row>
    <row r="195" spans="1:239" s="1223" customFormat="1" ht="15" customHeight="1" x14ac:dyDescent="0.25">
      <c r="A195" s="821"/>
      <c r="B195" s="507" t="s">
        <v>888</v>
      </c>
      <c r="C195" s="507"/>
      <c r="D195" s="507"/>
      <c r="E195" s="507"/>
      <c r="F195" s="507"/>
      <c r="G195" s="507"/>
      <c r="H195" s="507"/>
      <c r="I195" s="1256" t="str">
        <f>IF(AND(ISNUMBER(I193),ISNUMBER(M193),ISNUMBER(Q193)),I193+M193+Q193,"")</f>
        <v/>
      </c>
      <c r="J195" s="4"/>
      <c r="K195" s="4"/>
      <c r="L195" s="4"/>
      <c r="M195" s="4"/>
      <c r="N195" s="4"/>
      <c r="O195" s="1368"/>
      <c r="P195" s="1368"/>
      <c r="Q195" s="1368"/>
      <c r="R195" s="716"/>
      <c r="S195" s="716"/>
      <c r="T195" s="716"/>
      <c r="U195" s="716"/>
      <c r="V195" s="716"/>
      <c r="W195" s="716"/>
      <c r="X195" s="716"/>
      <c r="Y195" s="716"/>
      <c r="Z195" s="716"/>
      <c r="AA195" s="716"/>
      <c r="AB195" s="716"/>
      <c r="AC195" s="716"/>
      <c r="AD195" s="716"/>
      <c r="AE195" s="716"/>
      <c r="AF195" s="716"/>
      <c r="AG195" s="716"/>
      <c r="AH195" s="716"/>
      <c r="AI195" s="716"/>
      <c r="AJ195" s="716"/>
      <c r="AK195" s="716"/>
      <c r="AL195" s="716"/>
      <c r="AM195" s="716"/>
      <c r="AN195" s="716"/>
      <c r="AO195" s="716"/>
      <c r="AP195" s="716"/>
      <c r="AQ195" s="716"/>
      <c r="AR195" s="716"/>
      <c r="AS195" s="716"/>
      <c r="AT195" s="716"/>
      <c r="AU195" s="716"/>
      <c r="AV195" s="716"/>
      <c r="AW195" s="716"/>
      <c r="AX195" s="716"/>
      <c r="AY195" s="716"/>
      <c r="AZ195" s="716"/>
      <c r="BA195" s="716"/>
      <c r="BB195" s="716"/>
      <c r="BC195" s="716"/>
      <c r="BD195" s="716"/>
      <c r="BE195" s="716"/>
      <c r="BF195" s="716"/>
      <c r="BG195" s="716"/>
      <c r="BH195" s="716"/>
      <c r="BI195" s="716"/>
      <c r="BJ195" s="716"/>
      <c r="BK195" s="716"/>
      <c r="IE195" s="1227"/>
    </row>
    <row r="196" spans="1:239" s="1228" customFormat="1" ht="15" customHeight="1" x14ac:dyDescent="0.25">
      <c r="A196" s="748"/>
      <c r="B196" s="749"/>
      <c r="C196" s="749"/>
      <c r="D196" s="749"/>
      <c r="E196" s="749"/>
      <c r="F196" s="749"/>
      <c r="G196" s="749"/>
      <c r="H196" s="749"/>
      <c r="I196" s="749"/>
      <c r="J196" s="749"/>
      <c r="K196" s="749"/>
      <c r="L196" s="749"/>
      <c r="M196" s="749"/>
      <c r="N196" s="749"/>
      <c r="O196" s="749"/>
      <c r="P196" s="749"/>
      <c r="Q196" s="749"/>
      <c r="R196" s="749"/>
      <c r="S196" s="749"/>
      <c r="T196" s="749"/>
      <c r="U196" s="749"/>
      <c r="V196" s="749"/>
      <c r="W196" s="749"/>
      <c r="X196" s="749"/>
      <c r="Y196" s="749"/>
      <c r="Z196" s="749"/>
      <c r="AA196" s="749"/>
      <c r="AB196" s="749"/>
      <c r="AC196" s="749"/>
      <c r="AD196" s="749"/>
      <c r="AE196" s="749"/>
      <c r="AF196" s="749"/>
      <c r="AG196" s="749"/>
      <c r="AH196" s="749"/>
      <c r="AI196" s="749"/>
      <c r="AJ196" s="749"/>
      <c r="AK196" s="749"/>
      <c r="AL196" s="749"/>
      <c r="AM196" s="749"/>
      <c r="AN196" s="749"/>
      <c r="AO196" s="749"/>
      <c r="AP196" s="749"/>
      <c r="AQ196" s="749"/>
      <c r="AR196" s="749"/>
      <c r="AS196" s="749"/>
      <c r="AT196" s="749"/>
      <c r="AU196" s="749"/>
      <c r="AV196" s="749"/>
      <c r="AW196" s="749"/>
      <c r="AX196" s="749"/>
      <c r="AY196" s="749"/>
      <c r="AZ196" s="749"/>
      <c r="BA196" s="749"/>
      <c r="BB196" s="749"/>
      <c r="BC196" s="749"/>
      <c r="BD196" s="749"/>
      <c r="BE196" s="749"/>
      <c r="BF196" s="749"/>
      <c r="BG196" s="749"/>
      <c r="BH196" s="749"/>
      <c r="BI196" s="749"/>
      <c r="BJ196" s="749"/>
      <c r="BK196" s="749"/>
      <c r="IE196" s="1229"/>
    </row>
    <row r="197" spans="1:239" ht="15" hidden="1" customHeight="1" x14ac:dyDescent="0.25"/>
    <row r="198" spans="1:239" ht="15" hidden="1" customHeight="1" x14ac:dyDescent="0.25"/>
    <row r="199" spans="1:239" ht="15" hidden="1" customHeight="1" x14ac:dyDescent="0.25"/>
    <row r="200" spans="1:239" ht="15" hidden="1" customHeight="1" x14ac:dyDescent="0.25"/>
    <row r="201" spans="1:239" ht="15" hidden="1" customHeight="1" x14ac:dyDescent="0.25"/>
    <row r="202" spans="1:239" ht="15" hidden="1" customHeight="1" x14ac:dyDescent="0.25"/>
    <row r="203" spans="1:239" ht="15" hidden="1" customHeight="1" x14ac:dyDescent="0.25"/>
    <row r="204" spans="1:239" ht="15" hidden="1" customHeight="1" x14ac:dyDescent="0.25"/>
    <row r="205" spans="1:239" ht="15" hidden="1" customHeight="1" x14ac:dyDescent="0.25"/>
    <row r="206" spans="1:239" ht="15" hidden="1" customHeight="1" x14ac:dyDescent="0.25"/>
    <row r="207" spans="1:239" ht="15" hidden="1" customHeight="1" x14ac:dyDescent="0.25"/>
    <row r="208" spans="1:239"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sheetData>
  <mergeCells count="236">
    <mergeCell ref="B157:E158"/>
    <mergeCell ref="F157:G157"/>
    <mergeCell ref="Z48:Z49"/>
    <mergeCell ref="AA48:AA49"/>
    <mergeCell ref="AB48:AC48"/>
    <mergeCell ref="Y47:AC47"/>
    <mergeCell ref="O74:T74"/>
    <mergeCell ref="U74:Y74"/>
    <mergeCell ref="B74:B75"/>
    <mergeCell ref="C74:C75"/>
    <mergeCell ref="D74:D75"/>
    <mergeCell ref="E74:E75"/>
    <mergeCell ref="C86:E86"/>
    <mergeCell ref="C84:C85"/>
    <mergeCell ref="F98:N98"/>
    <mergeCell ref="F74:N74"/>
    <mergeCell ref="C98:E99"/>
    <mergeCell ref="C76:C83"/>
    <mergeCell ref="D76:D79"/>
    <mergeCell ref="D80:D83"/>
    <mergeCell ref="B88:E88"/>
    <mergeCell ref="B98:B99"/>
    <mergeCell ref="O98:T98"/>
    <mergeCell ref="U98:Y98"/>
    <mergeCell ref="J192:M192"/>
    <mergeCell ref="N192:Q192"/>
    <mergeCell ref="B168:E171"/>
    <mergeCell ref="F192:I192"/>
    <mergeCell ref="C108:E108"/>
    <mergeCell ref="C109:E109"/>
    <mergeCell ref="C110:E110"/>
    <mergeCell ref="F168:Q168"/>
    <mergeCell ref="F169:I169"/>
    <mergeCell ref="J169:M169"/>
    <mergeCell ref="N169:Q169"/>
    <mergeCell ref="F170:G170"/>
    <mergeCell ref="H170:I170"/>
    <mergeCell ref="J170:K170"/>
    <mergeCell ref="L170:M170"/>
    <mergeCell ref="N170:O170"/>
    <mergeCell ref="P170:Q170"/>
    <mergeCell ref="B112:E112"/>
    <mergeCell ref="F123:F124"/>
    <mergeCell ref="G123:G124"/>
    <mergeCell ref="H123:H124"/>
    <mergeCell ref="I123:J123"/>
    <mergeCell ref="O122:T122"/>
    <mergeCell ref="O123:O124"/>
    <mergeCell ref="C56:C61"/>
    <mergeCell ref="D56:E56"/>
    <mergeCell ref="D57:E57"/>
    <mergeCell ref="D58:E58"/>
    <mergeCell ref="D59:E59"/>
    <mergeCell ref="D60:E60"/>
    <mergeCell ref="D61:E61"/>
    <mergeCell ref="B64:E64"/>
    <mergeCell ref="B3:E5"/>
    <mergeCell ref="B37:E38"/>
    <mergeCell ref="C50:C55"/>
    <mergeCell ref="D50:E50"/>
    <mergeCell ref="D51:E51"/>
    <mergeCell ref="D52:E52"/>
    <mergeCell ref="D53:E53"/>
    <mergeCell ref="D54:E54"/>
    <mergeCell ref="D55:E55"/>
    <mergeCell ref="C62:E62"/>
    <mergeCell ref="H4:H5"/>
    <mergeCell ref="I4:I5"/>
    <mergeCell ref="J4:J5"/>
    <mergeCell ref="F3:J3"/>
    <mergeCell ref="I48:I49"/>
    <mergeCell ref="AA3:AD3"/>
    <mergeCell ref="AA4:AD4"/>
    <mergeCell ref="AE3:AH3"/>
    <mergeCell ref="AE4:AH4"/>
    <mergeCell ref="K4:N4"/>
    <mergeCell ref="K3:N3"/>
    <mergeCell ref="O4:R4"/>
    <mergeCell ref="O3:R3"/>
    <mergeCell ref="S3:V3"/>
    <mergeCell ref="S4:V4"/>
    <mergeCell ref="W4:Z4"/>
    <mergeCell ref="W3:Z3"/>
    <mergeCell ref="F37:G37"/>
    <mergeCell ref="F4:F5"/>
    <mergeCell ref="G4:G5"/>
    <mergeCell ref="G48:G49"/>
    <mergeCell ref="H48:H49"/>
    <mergeCell ref="AI3:AL3"/>
    <mergeCell ref="AI4:AL4"/>
    <mergeCell ref="AM3:AP3"/>
    <mergeCell ref="AM4:AP4"/>
    <mergeCell ref="AQ3:AT3"/>
    <mergeCell ref="AQ4:AT4"/>
    <mergeCell ref="AU3:AX3"/>
    <mergeCell ref="AU4:AX4"/>
    <mergeCell ref="AY3:BB3"/>
    <mergeCell ref="BC3:BF3"/>
    <mergeCell ref="BG3:BJ3"/>
    <mergeCell ref="BK3:BN3"/>
    <mergeCell ref="BO3:BR3"/>
    <mergeCell ref="BS3:BV3"/>
    <mergeCell ref="BW3:BZ3"/>
    <mergeCell ref="CA3:CD3"/>
    <mergeCell ref="CE3:CH3"/>
    <mergeCell ref="AY4:BB4"/>
    <mergeCell ref="BC4:BF4"/>
    <mergeCell ref="BG4:BJ4"/>
    <mergeCell ref="BK4:BN4"/>
    <mergeCell ref="BO4:BR4"/>
    <mergeCell ref="BS4:BV4"/>
    <mergeCell ref="BW4:BZ4"/>
    <mergeCell ref="CA4:CD4"/>
    <mergeCell ref="CE4:CH4"/>
    <mergeCell ref="CI3:CL3"/>
    <mergeCell ref="CM3:CP3"/>
    <mergeCell ref="CQ3:CT3"/>
    <mergeCell ref="CU3:CX3"/>
    <mergeCell ref="CY3:DB3"/>
    <mergeCell ref="DC3:DF3"/>
    <mergeCell ref="DG3:DJ3"/>
    <mergeCell ref="DK3:DN3"/>
    <mergeCell ref="CI4:CL4"/>
    <mergeCell ref="CM4:CP4"/>
    <mergeCell ref="CQ4:CT4"/>
    <mergeCell ref="CU4:CX4"/>
    <mergeCell ref="CY4:DB4"/>
    <mergeCell ref="DC4:DF4"/>
    <mergeCell ref="DG4:DJ4"/>
    <mergeCell ref="DK4:DN4"/>
    <mergeCell ref="DO3:DR3"/>
    <mergeCell ref="DS3:DV3"/>
    <mergeCell ref="DW3:DZ3"/>
    <mergeCell ref="EA3:ED3"/>
    <mergeCell ref="EE3:EH3"/>
    <mergeCell ref="EI3:EL3"/>
    <mergeCell ref="EM3:EP3"/>
    <mergeCell ref="DO4:DR4"/>
    <mergeCell ref="DS4:DV4"/>
    <mergeCell ref="DW4:DZ4"/>
    <mergeCell ref="EA4:ED4"/>
    <mergeCell ref="EE4:EH4"/>
    <mergeCell ref="EI4:EL4"/>
    <mergeCell ref="EM4:EP4"/>
    <mergeCell ref="HS3:HV3"/>
    <mergeCell ref="HS4:HV4"/>
    <mergeCell ref="HW4:HW5"/>
    <mergeCell ref="HX4:HX5"/>
    <mergeCell ref="HY4:HY5"/>
    <mergeCell ref="HZ4:HZ5"/>
    <mergeCell ref="IA4:IA5"/>
    <mergeCell ref="IB4:IB5"/>
    <mergeCell ref="HC3:HF3"/>
    <mergeCell ref="HG3:HJ3"/>
    <mergeCell ref="HC4:HF4"/>
    <mergeCell ref="HG4:HJ4"/>
    <mergeCell ref="HK3:HN3"/>
    <mergeCell ref="HO3:HR3"/>
    <mergeCell ref="HK4:HN4"/>
    <mergeCell ref="HO4:HR4"/>
    <mergeCell ref="HW3:IB3"/>
    <mergeCell ref="GI3:GL3"/>
    <mergeCell ref="GM3:GP3"/>
    <mergeCell ref="GQ3:GT3"/>
    <mergeCell ref="GU3:GX3"/>
    <mergeCell ref="GI4:GL4"/>
    <mergeCell ref="GM4:GP4"/>
    <mergeCell ref="GQ4:GT4"/>
    <mergeCell ref="GU4:GX4"/>
    <mergeCell ref="GY3:HB3"/>
    <mergeCell ref="GY4:HB4"/>
    <mergeCell ref="GE4:GH4"/>
    <mergeCell ref="EQ3:ET3"/>
    <mergeCell ref="EU3:EX3"/>
    <mergeCell ref="EY3:FB3"/>
    <mergeCell ref="FC3:FF3"/>
    <mergeCell ref="FG3:FJ3"/>
    <mergeCell ref="FO3:FR3"/>
    <mergeCell ref="FS3:FV3"/>
    <mergeCell ref="FW3:FZ3"/>
    <mergeCell ref="GA3:GD3"/>
    <mergeCell ref="FK3:FN3"/>
    <mergeCell ref="EQ4:ET4"/>
    <mergeCell ref="EU4:EX4"/>
    <mergeCell ref="EY4:FB4"/>
    <mergeCell ref="FC4:FF4"/>
    <mergeCell ref="FG4:FJ4"/>
    <mergeCell ref="FK4:FN4"/>
    <mergeCell ref="IC4:IC5"/>
    <mergeCell ref="ID4:ID5"/>
    <mergeCell ref="IC3:ID3"/>
    <mergeCell ref="B47:B49"/>
    <mergeCell ref="J48:J49"/>
    <mergeCell ref="K48:N48"/>
    <mergeCell ref="O48:R48"/>
    <mergeCell ref="F47:R47"/>
    <mergeCell ref="C47:C49"/>
    <mergeCell ref="D47:E49"/>
    <mergeCell ref="F48:F49"/>
    <mergeCell ref="S47:X47"/>
    <mergeCell ref="S48:S49"/>
    <mergeCell ref="T48:T49"/>
    <mergeCell ref="U48:U49"/>
    <mergeCell ref="V48:V49"/>
    <mergeCell ref="W48:W49"/>
    <mergeCell ref="X48:X49"/>
    <mergeCell ref="Y48:Y49"/>
    <mergeCell ref="GE3:GH3"/>
    <mergeCell ref="FO4:FR4"/>
    <mergeCell ref="FS4:FV4"/>
    <mergeCell ref="FW4:FZ4"/>
    <mergeCell ref="GA4:GD4"/>
    <mergeCell ref="C100:E100"/>
    <mergeCell ref="C101:E101"/>
    <mergeCell ref="C102:E102"/>
    <mergeCell ref="C103:E103"/>
    <mergeCell ref="C104:E104"/>
    <mergeCell ref="B122:E124"/>
    <mergeCell ref="C105:E105"/>
    <mergeCell ref="C106:E106"/>
    <mergeCell ref="C107:E107"/>
    <mergeCell ref="P123:P124"/>
    <mergeCell ref="Q123:Q124"/>
    <mergeCell ref="R123:R124"/>
    <mergeCell ref="S123:S124"/>
    <mergeCell ref="T123:T124"/>
    <mergeCell ref="AB123:AC123"/>
    <mergeCell ref="K123:L123"/>
    <mergeCell ref="M123:N123"/>
    <mergeCell ref="F122:N122"/>
    <mergeCell ref="Z123:AA123"/>
    <mergeCell ref="X123:Y123"/>
    <mergeCell ref="W123:W124"/>
    <mergeCell ref="V123:V124"/>
    <mergeCell ref="U123:U124"/>
    <mergeCell ref="U122:AC122"/>
  </mergeCells>
  <conditionalFormatting sqref="F172:Q180">
    <cfRule type="cellIs" dxfId="61" priority="6" stopIfTrue="1" operator="lessThan">
      <formula>0</formula>
    </cfRule>
  </conditionalFormatting>
  <conditionalFormatting sqref="F125:F154 H125:N154 O125:O155 Q125:U154 W125:AC154 F159:G159 F161:G164 Q155:T155">
    <cfRule type="cellIs" dxfId="60" priority="5" stopIfTrue="1" operator="lessThan">
      <formula>0</formula>
    </cfRule>
  </conditionalFormatting>
  <conditionalFormatting sqref="F76:F86 H76:H86 J76:N85 O76:O86 Q76:U86 W76:X86 Y76:Y85 F89 F91:F94 J86">
    <cfRule type="cellIs" dxfId="59" priority="4" stopIfTrue="1" operator="lessThan">
      <formula>0</formula>
    </cfRule>
  </conditionalFormatting>
  <conditionalFormatting sqref="F50:F62 H50:H62 J50:R61 S50:S62 U50:Y62 AA50:AB62 AC50:AC61 F65 F67:F70 J62">
    <cfRule type="cellIs" dxfId="58" priority="3" stopIfTrue="1" operator="lessThan">
      <formula>0</formula>
    </cfRule>
  </conditionalFormatting>
  <conditionalFormatting sqref="F39:G39 F41:G44">
    <cfRule type="cellIs" dxfId="57" priority="2" stopIfTrue="1" operator="lessThan">
      <formula>0</formula>
    </cfRule>
  </conditionalFormatting>
  <conditionalFormatting sqref="F6:F35 H6:H35 J6:HW35 HY6:IC35">
    <cfRule type="cellIs" dxfId="56"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4" manualBreakCount="4">
    <brk id="45" max="58" man="1"/>
    <brk id="95" max="24" man="1"/>
    <brk id="119" max="58" man="1"/>
    <brk id="165" max="28" man="1"/>
  </rowBreaks>
  <colBreaks count="24" manualBreakCount="24">
    <brk id="13" min="165" max="195" man="1"/>
    <brk id="14" max="44" man="1"/>
    <brk id="14" min="45" max="118" man="1"/>
    <brk id="14" min="71" max="118" man="1"/>
    <brk id="14" min="119" max="164" man="1"/>
    <brk id="20" min="119" max="195" man="1"/>
    <brk id="24" min="45" max="70" man="1"/>
    <brk id="26" max="44" man="1"/>
    <brk id="31" min="119" max="195" man="1"/>
    <brk id="31" min="45" max="118" man="1"/>
    <brk id="38" max="44" man="1"/>
    <brk id="43" min="119" max="195" man="1"/>
    <brk id="50" max="44" man="1"/>
    <brk id="110" max="44" man="1"/>
    <brk id="122" max="44" man="1"/>
    <brk id="134" max="44" man="1"/>
    <brk id="146" max="44" man="1"/>
    <brk id="158" max="44" man="1"/>
    <brk id="170" max="44" man="1"/>
    <brk id="182" max="44" man="1"/>
    <brk id="194" max="44" man="1"/>
    <brk id="206" max="44" man="1"/>
    <brk id="218" max="44" man="1"/>
    <brk id="230" max="44" man="1"/>
  </colBreaks>
  <ignoredErrors>
    <ignoredError sqref="F45:AF46 F49:H49 F63:L63 Y63:AF63 F95:AF96 F72:AF73 F87:AF87 G86:J86 N86 G77:N85 F111:AF111 F165:AF167 F168:AF181 F119:AC121 F126:H154 F156:AC156 F183:AF196 F182:K182 M182:O182 Q182:AF182 G62:H62 G50:H50 G76:N76 G125:H125 G51:H61 F97:Y97 F48 H48"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9CCFF"/>
  </sheetPr>
  <dimension ref="A1:H115"/>
  <sheetViews>
    <sheetView zoomScale="75" zoomScaleNormal="75" workbookViewId="0">
      <pane ySplit="1" topLeftCell="A2" activePane="bottomLeft" state="frozen"/>
      <selection pane="bottomLeft"/>
    </sheetView>
  </sheetViews>
  <sheetFormatPr defaultColWidth="0" defaultRowHeight="0" customHeight="1" zeroHeight="1" x14ac:dyDescent="0.25"/>
  <cols>
    <col min="1" max="1" width="1.7109375" style="736" customWidth="1"/>
    <col min="2" max="2" width="80.7109375" style="736" customWidth="1"/>
    <col min="3" max="4" width="16.7109375" style="492" customWidth="1"/>
    <col min="5" max="5" width="16.7109375" style="408" customWidth="1"/>
    <col min="6" max="6" width="40.7109375" style="408" customWidth="1"/>
    <col min="7" max="7" width="16.7109375" style="408" customWidth="1"/>
    <col min="8" max="8" width="1.7109375" style="736" customWidth="1"/>
    <col min="9" max="16384" width="16.7109375" style="716" hidden="1"/>
  </cols>
  <sheetData>
    <row r="1" spans="1:8" ht="30" customHeight="1" x14ac:dyDescent="0.55000000000000004">
      <c r="A1" s="713" t="s">
        <v>1205</v>
      </c>
      <c r="B1" s="714"/>
      <c r="C1" s="714"/>
      <c r="D1" s="1511" t="str">
        <f>CONCATENATE("Reporting unit: ", 'General Info'!$C$50, " ", 'General Info'!$C$49)</f>
        <v xml:space="preserve">Reporting unit: 1 </v>
      </c>
      <c r="E1" s="714"/>
      <c r="F1" s="714"/>
      <c r="G1" s="714"/>
      <c r="H1" s="970"/>
    </row>
    <row r="2" spans="1:8" ht="30" customHeight="1" x14ac:dyDescent="0.3">
      <c r="A2" s="776" t="s">
        <v>1197</v>
      </c>
      <c r="B2" s="785"/>
      <c r="C2" s="768"/>
      <c r="D2" s="768"/>
      <c r="E2" s="725"/>
      <c r="F2" s="725"/>
      <c r="G2" s="725"/>
      <c r="H2" s="715"/>
    </row>
    <row r="3" spans="1:8" ht="15" customHeight="1" x14ac:dyDescent="0.25">
      <c r="A3" s="821"/>
      <c r="B3" s="716"/>
      <c r="C3" s="716"/>
      <c r="D3" s="716"/>
      <c r="E3" s="716"/>
      <c r="F3" s="716"/>
      <c r="G3" s="716"/>
      <c r="H3" s="727"/>
    </row>
    <row r="4" spans="1:8" ht="15" customHeight="1" x14ac:dyDescent="0.25">
      <c r="A4" s="821"/>
      <c r="B4" s="949" t="s">
        <v>792</v>
      </c>
      <c r="C4" s="1683" t="s">
        <v>791</v>
      </c>
      <c r="D4" s="1684"/>
      <c r="E4" s="1738"/>
      <c r="F4" s="770" t="s">
        <v>793</v>
      </c>
      <c r="G4" s="770" t="s">
        <v>1202</v>
      </c>
      <c r="H4" s="727"/>
    </row>
    <row r="5" spans="1:8" ht="15" customHeight="1" x14ac:dyDescent="0.25">
      <c r="A5" s="821"/>
      <c r="B5" s="971" t="str">
        <f>"Desk " &amp; (ROW(B5)-ROW(B$4))</f>
        <v>Desk 1</v>
      </c>
      <c r="C5" s="1902"/>
      <c r="D5" s="1902"/>
      <c r="E5" s="1902"/>
      <c r="F5" s="709"/>
      <c r="G5" s="107"/>
      <c r="H5" s="727"/>
    </row>
    <row r="6" spans="1:8" ht="15" customHeight="1" x14ac:dyDescent="0.25">
      <c r="A6" s="821"/>
      <c r="B6" s="953" t="str">
        <f t="shared" ref="B6:B69" si="0">"Desk " &amp; (ROW(B6)-ROW(B$4))</f>
        <v>Desk 2</v>
      </c>
      <c r="C6" s="1902"/>
      <c r="D6" s="1902"/>
      <c r="E6" s="1902"/>
      <c r="F6" s="710"/>
      <c r="G6" s="107"/>
      <c r="H6" s="727"/>
    </row>
    <row r="7" spans="1:8" ht="15" customHeight="1" x14ac:dyDescent="0.25">
      <c r="A7" s="821"/>
      <c r="B7" s="953" t="str">
        <f t="shared" si="0"/>
        <v>Desk 3</v>
      </c>
      <c r="C7" s="1902"/>
      <c r="D7" s="1902"/>
      <c r="E7" s="1902"/>
      <c r="F7" s="710"/>
      <c r="G7" s="107"/>
      <c r="H7" s="727"/>
    </row>
    <row r="8" spans="1:8" ht="15" customHeight="1" x14ac:dyDescent="0.25">
      <c r="A8" s="821"/>
      <c r="B8" s="953" t="str">
        <f t="shared" si="0"/>
        <v>Desk 4</v>
      </c>
      <c r="C8" s="1902"/>
      <c r="D8" s="1902"/>
      <c r="E8" s="1902"/>
      <c r="F8" s="710"/>
      <c r="G8" s="107"/>
      <c r="H8" s="727"/>
    </row>
    <row r="9" spans="1:8" ht="15" customHeight="1" x14ac:dyDescent="0.25">
      <c r="A9" s="821"/>
      <c r="B9" s="953" t="str">
        <f t="shared" si="0"/>
        <v>Desk 5</v>
      </c>
      <c r="C9" s="1902"/>
      <c r="D9" s="1902"/>
      <c r="E9" s="1902"/>
      <c r="F9" s="710"/>
      <c r="G9" s="107"/>
      <c r="H9" s="727"/>
    </row>
    <row r="10" spans="1:8" ht="15" customHeight="1" x14ac:dyDescent="0.25">
      <c r="A10" s="821"/>
      <c r="B10" s="953" t="str">
        <f t="shared" si="0"/>
        <v>Desk 6</v>
      </c>
      <c r="C10" s="1902"/>
      <c r="D10" s="1902"/>
      <c r="E10" s="1902"/>
      <c r="F10" s="710"/>
      <c r="G10" s="107"/>
      <c r="H10" s="727"/>
    </row>
    <row r="11" spans="1:8" ht="15" customHeight="1" x14ac:dyDescent="0.25">
      <c r="A11" s="821"/>
      <c r="B11" s="953" t="str">
        <f t="shared" si="0"/>
        <v>Desk 7</v>
      </c>
      <c r="C11" s="1902"/>
      <c r="D11" s="1902"/>
      <c r="E11" s="1902"/>
      <c r="F11" s="710"/>
      <c r="G11" s="107"/>
      <c r="H11" s="727"/>
    </row>
    <row r="12" spans="1:8" ht="15" customHeight="1" x14ac:dyDescent="0.25">
      <c r="A12" s="821"/>
      <c r="B12" s="953" t="str">
        <f t="shared" si="0"/>
        <v>Desk 8</v>
      </c>
      <c r="C12" s="1902"/>
      <c r="D12" s="1902"/>
      <c r="E12" s="1902"/>
      <c r="F12" s="710"/>
      <c r="G12" s="107"/>
      <c r="H12" s="727"/>
    </row>
    <row r="13" spans="1:8" ht="15" customHeight="1" x14ac:dyDescent="0.25">
      <c r="A13" s="821"/>
      <c r="B13" s="953" t="str">
        <f t="shared" si="0"/>
        <v>Desk 9</v>
      </c>
      <c r="C13" s="1902"/>
      <c r="D13" s="1902"/>
      <c r="E13" s="1902"/>
      <c r="F13" s="710"/>
      <c r="G13" s="107"/>
      <c r="H13" s="727"/>
    </row>
    <row r="14" spans="1:8" ht="15" customHeight="1" x14ac:dyDescent="0.25">
      <c r="A14" s="821"/>
      <c r="B14" s="953" t="str">
        <f t="shared" si="0"/>
        <v>Desk 10</v>
      </c>
      <c r="C14" s="1902"/>
      <c r="D14" s="1902"/>
      <c r="E14" s="1902"/>
      <c r="F14" s="710"/>
      <c r="G14" s="107"/>
      <c r="H14" s="727"/>
    </row>
    <row r="15" spans="1:8" ht="15" customHeight="1" x14ac:dyDescent="0.25">
      <c r="A15" s="821"/>
      <c r="B15" s="953" t="str">
        <f t="shared" si="0"/>
        <v>Desk 11</v>
      </c>
      <c r="C15" s="1902"/>
      <c r="D15" s="1902"/>
      <c r="E15" s="1902"/>
      <c r="F15" s="710"/>
      <c r="G15" s="107"/>
      <c r="H15" s="727"/>
    </row>
    <row r="16" spans="1:8" ht="15" customHeight="1" x14ac:dyDescent="0.25">
      <c r="A16" s="821"/>
      <c r="B16" s="953" t="str">
        <f t="shared" si="0"/>
        <v>Desk 12</v>
      </c>
      <c r="C16" s="1902"/>
      <c r="D16" s="1902"/>
      <c r="E16" s="1902"/>
      <c r="F16" s="710"/>
      <c r="G16" s="107"/>
      <c r="H16" s="727"/>
    </row>
    <row r="17" spans="1:8" ht="15" customHeight="1" x14ac:dyDescent="0.25">
      <c r="A17" s="821"/>
      <c r="B17" s="953" t="str">
        <f t="shared" si="0"/>
        <v>Desk 13</v>
      </c>
      <c r="C17" s="1902"/>
      <c r="D17" s="1902"/>
      <c r="E17" s="1902"/>
      <c r="F17" s="710"/>
      <c r="G17" s="107"/>
      <c r="H17" s="727"/>
    </row>
    <row r="18" spans="1:8" ht="15" customHeight="1" x14ac:dyDescent="0.25">
      <c r="A18" s="821"/>
      <c r="B18" s="953" t="str">
        <f t="shared" si="0"/>
        <v>Desk 14</v>
      </c>
      <c r="C18" s="1902"/>
      <c r="D18" s="1902"/>
      <c r="E18" s="1902"/>
      <c r="F18" s="710"/>
      <c r="G18" s="107"/>
      <c r="H18" s="727"/>
    </row>
    <row r="19" spans="1:8" ht="15" customHeight="1" x14ac:dyDescent="0.25">
      <c r="A19" s="821"/>
      <c r="B19" s="953" t="str">
        <f t="shared" si="0"/>
        <v>Desk 15</v>
      </c>
      <c r="C19" s="1902"/>
      <c r="D19" s="1902"/>
      <c r="E19" s="1902"/>
      <c r="F19" s="710"/>
      <c r="G19" s="107"/>
      <c r="H19" s="727"/>
    </row>
    <row r="20" spans="1:8" ht="15" customHeight="1" x14ac:dyDescent="0.25">
      <c r="A20" s="821"/>
      <c r="B20" s="953" t="str">
        <f t="shared" si="0"/>
        <v>Desk 16</v>
      </c>
      <c r="C20" s="1902"/>
      <c r="D20" s="1902"/>
      <c r="E20" s="1902"/>
      <c r="F20" s="710"/>
      <c r="G20" s="107"/>
      <c r="H20" s="727"/>
    </row>
    <row r="21" spans="1:8" ht="15" customHeight="1" x14ac:dyDescent="0.25">
      <c r="A21" s="821"/>
      <c r="B21" s="953" t="str">
        <f t="shared" si="0"/>
        <v>Desk 17</v>
      </c>
      <c r="C21" s="1902"/>
      <c r="D21" s="1902"/>
      <c r="E21" s="1902"/>
      <c r="F21" s="710"/>
      <c r="G21" s="107"/>
      <c r="H21" s="727"/>
    </row>
    <row r="22" spans="1:8" ht="15" customHeight="1" x14ac:dyDescent="0.25">
      <c r="A22" s="821"/>
      <c r="B22" s="953" t="str">
        <f t="shared" si="0"/>
        <v>Desk 18</v>
      </c>
      <c r="C22" s="1902"/>
      <c r="D22" s="1902"/>
      <c r="E22" s="1902"/>
      <c r="F22" s="710"/>
      <c r="G22" s="107"/>
      <c r="H22" s="727"/>
    </row>
    <row r="23" spans="1:8" ht="15" customHeight="1" x14ac:dyDescent="0.25">
      <c r="A23" s="821"/>
      <c r="B23" s="953" t="str">
        <f t="shared" si="0"/>
        <v>Desk 19</v>
      </c>
      <c r="C23" s="1902"/>
      <c r="D23" s="1902"/>
      <c r="E23" s="1902"/>
      <c r="F23" s="710"/>
      <c r="G23" s="107"/>
      <c r="H23" s="727"/>
    </row>
    <row r="24" spans="1:8" ht="15" customHeight="1" x14ac:dyDescent="0.25">
      <c r="A24" s="821"/>
      <c r="B24" s="953" t="str">
        <f t="shared" si="0"/>
        <v>Desk 20</v>
      </c>
      <c r="C24" s="1902"/>
      <c r="D24" s="1902"/>
      <c r="E24" s="1902"/>
      <c r="F24" s="710"/>
      <c r="G24" s="107"/>
      <c r="H24" s="727"/>
    </row>
    <row r="25" spans="1:8" ht="15" customHeight="1" x14ac:dyDescent="0.25">
      <c r="A25" s="821"/>
      <c r="B25" s="953" t="str">
        <f t="shared" si="0"/>
        <v>Desk 21</v>
      </c>
      <c r="C25" s="1902"/>
      <c r="D25" s="1902"/>
      <c r="E25" s="1902"/>
      <c r="F25" s="710"/>
      <c r="G25" s="107"/>
      <c r="H25" s="727"/>
    </row>
    <row r="26" spans="1:8" ht="15" customHeight="1" x14ac:dyDescent="0.25">
      <c r="A26" s="821"/>
      <c r="B26" s="953" t="str">
        <f t="shared" si="0"/>
        <v>Desk 22</v>
      </c>
      <c r="C26" s="1902"/>
      <c r="D26" s="1902"/>
      <c r="E26" s="1902"/>
      <c r="F26" s="710"/>
      <c r="G26" s="107"/>
      <c r="H26" s="727"/>
    </row>
    <row r="27" spans="1:8" ht="15" customHeight="1" x14ac:dyDescent="0.25">
      <c r="A27" s="821"/>
      <c r="B27" s="953" t="str">
        <f t="shared" si="0"/>
        <v>Desk 23</v>
      </c>
      <c r="C27" s="1902"/>
      <c r="D27" s="1902"/>
      <c r="E27" s="1902"/>
      <c r="F27" s="710"/>
      <c r="G27" s="107"/>
      <c r="H27" s="727"/>
    </row>
    <row r="28" spans="1:8" ht="15" customHeight="1" x14ac:dyDescent="0.25">
      <c r="A28" s="821"/>
      <c r="B28" s="953" t="str">
        <f t="shared" si="0"/>
        <v>Desk 24</v>
      </c>
      <c r="C28" s="1902"/>
      <c r="D28" s="1902"/>
      <c r="E28" s="1902"/>
      <c r="F28" s="710"/>
      <c r="G28" s="107"/>
      <c r="H28" s="727"/>
    </row>
    <row r="29" spans="1:8" ht="15" customHeight="1" x14ac:dyDescent="0.25">
      <c r="A29" s="821"/>
      <c r="B29" s="953" t="str">
        <f t="shared" si="0"/>
        <v>Desk 25</v>
      </c>
      <c r="C29" s="1902"/>
      <c r="D29" s="1902"/>
      <c r="E29" s="1902"/>
      <c r="F29" s="710"/>
      <c r="G29" s="107"/>
      <c r="H29" s="727"/>
    </row>
    <row r="30" spans="1:8" ht="15" customHeight="1" x14ac:dyDescent="0.25">
      <c r="A30" s="821"/>
      <c r="B30" s="953" t="str">
        <f t="shared" si="0"/>
        <v>Desk 26</v>
      </c>
      <c r="C30" s="1902"/>
      <c r="D30" s="1902"/>
      <c r="E30" s="1902"/>
      <c r="F30" s="710"/>
      <c r="G30" s="107"/>
      <c r="H30" s="727"/>
    </row>
    <row r="31" spans="1:8" ht="15" customHeight="1" x14ac:dyDescent="0.25">
      <c r="A31" s="821"/>
      <c r="B31" s="953" t="str">
        <f t="shared" si="0"/>
        <v>Desk 27</v>
      </c>
      <c r="C31" s="1902"/>
      <c r="D31" s="1902"/>
      <c r="E31" s="1902"/>
      <c r="F31" s="710"/>
      <c r="G31" s="107"/>
      <c r="H31" s="727"/>
    </row>
    <row r="32" spans="1:8" ht="15" customHeight="1" x14ac:dyDescent="0.25">
      <c r="A32" s="821"/>
      <c r="B32" s="953" t="str">
        <f t="shared" si="0"/>
        <v>Desk 28</v>
      </c>
      <c r="C32" s="1902"/>
      <c r="D32" s="1902"/>
      <c r="E32" s="1902"/>
      <c r="F32" s="710"/>
      <c r="G32" s="107"/>
      <c r="H32" s="727"/>
    </row>
    <row r="33" spans="1:8" ht="15" customHeight="1" x14ac:dyDescent="0.25">
      <c r="A33" s="821"/>
      <c r="B33" s="953" t="str">
        <f t="shared" si="0"/>
        <v>Desk 29</v>
      </c>
      <c r="C33" s="1902"/>
      <c r="D33" s="1902"/>
      <c r="E33" s="1902"/>
      <c r="F33" s="710"/>
      <c r="G33" s="107"/>
      <c r="H33" s="727"/>
    </row>
    <row r="34" spans="1:8" ht="15" customHeight="1" x14ac:dyDescent="0.25">
      <c r="A34" s="821"/>
      <c r="B34" s="953" t="str">
        <f t="shared" si="0"/>
        <v>Desk 30</v>
      </c>
      <c r="C34" s="1902"/>
      <c r="D34" s="1902"/>
      <c r="E34" s="1902"/>
      <c r="F34" s="710"/>
      <c r="G34" s="107"/>
      <c r="H34" s="727"/>
    </row>
    <row r="35" spans="1:8" ht="15" customHeight="1" x14ac:dyDescent="0.25">
      <c r="A35" s="821"/>
      <c r="B35" s="953" t="str">
        <f t="shared" si="0"/>
        <v>Desk 31</v>
      </c>
      <c r="C35" s="1902"/>
      <c r="D35" s="1902"/>
      <c r="E35" s="1902"/>
      <c r="F35" s="710"/>
      <c r="G35" s="107"/>
      <c r="H35" s="727"/>
    </row>
    <row r="36" spans="1:8" ht="15" customHeight="1" x14ac:dyDescent="0.25">
      <c r="A36" s="821"/>
      <c r="B36" s="953" t="str">
        <f t="shared" si="0"/>
        <v>Desk 32</v>
      </c>
      <c r="C36" s="1902"/>
      <c r="D36" s="1902"/>
      <c r="E36" s="1902"/>
      <c r="F36" s="710"/>
      <c r="G36" s="107"/>
      <c r="H36" s="727"/>
    </row>
    <row r="37" spans="1:8" ht="15" customHeight="1" x14ac:dyDescent="0.25">
      <c r="A37" s="821"/>
      <c r="B37" s="953" t="str">
        <f t="shared" si="0"/>
        <v>Desk 33</v>
      </c>
      <c r="C37" s="1902"/>
      <c r="D37" s="1902"/>
      <c r="E37" s="1902"/>
      <c r="F37" s="710"/>
      <c r="G37" s="107"/>
      <c r="H37" s="727"/>
    </row>
    <row r="38" spans="1:8" ht="15" customHeight="1" x14ac:dyDescent="0.25">
      <c r="A38" s="821"/>
      <c r="B38" s="953" t="str">
        <f t="shared" si="0"/>
        <v>Desk 34</v>
      </c>
      <c r="C38" s="1902"/>
      <c r="D38" s="1902"/>
      <c r="E38" s="1902"/>
      <c r="F38" s="710"/>
      <c r="G38" s="107"/>
      <c r="H38" s="727"/>
    </row>
    <row r="39" spans="1:8" ht="15" customHeight="1" x14ac:dyDescent="0.25">
      <c r="A39" s="821"/>
      <c r="B39" s="953" t="str">
        <f t="shared" si="0"/>
        <v>Desk 35</v>
      </c>
      <c r="C39" s="1902"/>
      <c r="D39" s="1902"/>
      <c r="E39" s="1902"/>
      <c r="F39" s="710"/>
      <c r="G39" s="107"/>
      <c r="H39" s="727"/>
    </row>
    <row r="40" spans="1:8" ht="15" customHeight="1" x14ac:dyDescent="0.25">
      <c r="A40" s="821"/>
      <c r="B40" s="953" t="str">
        <f t="shared" si="0"/>
        <v>Desk 36</v>
      </c>
      <c r="C40" s="1902"/>
      <c r="D40" s="1902"/>
      <c r="E40" s="1902"/>
      <c r="F40" s="710"/>
      <c r="G40" s="107"/>
      <c r="H40" s="727"/>
    </row>
    <row r="41" spans="1:8" ht="15" customHeight="1" x14ac:dyDescent="0.25">
      <c r="A41" s="821"/>
      <c r="B41" s="953" t="str">
        <f t="shared" si="0"/>
        <v>Desk 37</v>
      </c>
      <c r="C41" s="1902"/>
      <c r="D41" s="1902"/>
      <c r="E41" s="1902"/>
      <c r="F41" s="710"/>
      <c r="G41" s="107"/>
      <c r="H41" s="727"/>
    </row>
    <row r="42" spans="1:8" ht="15" customHeight="1" x14ac:dyDescent="0.25">
      <c r="A42" s="821"/>
      <c r="B42" s="953" t="str">
        <f t="shared" si="0"/>
        <v>Desk 38</v>
      </c>
      <c r="C42" s="1902"/>
      <c r="D42" s="1902"/>
      <c r="E42" s="1902"/>
      <c r="F42" s="710"/>
      <c r="G42" s="107"/>
      <c r="H42" s="727"/>
    </row>
    <row r="43" spans="1:8" ht="15" customHeight="1" x14ac:dyDescent="0.25">
      <c r="A43" s="821"/>
      <c r="B43" s="953" t="str">
        <f t="shared" si="0"/>
        <v>Desk 39</v>
      </c>
      <c r="C43" s="1902"/>
      <c r="D43" s="1902"/>
      <c r="E43" s="1902"/>
      <c r="F43" s="710"/>
      <c r="G43" s="107"/>
      <c r="H43" s="727"/>
    </row>
    <row r="44" spans="1:8" ht="15" customHeight="1" x14ac:dyDescent="0.25">
      <c r="A44" s="821"/>
      <c r="B44" s="953" t="str">
        <f t="shared" si="0"/>
        <v>Desk 40</v>
      </c>
      <c r="C44" s="1902"/>
      <c r="D44" s="1902"/>
      <c r="E44" s="1902"/>
      <c r="F44" s="710"/>
      <c r="G44" s="107"/>
      <c r="H44" s="727"/>
    </row>
    <row r="45" spans="1:8" ht="15" customHeight="1" x14ac:dyDescent="0.25">
      <c r="A45" s="821"/>
      <c r="B45" s="953" t="str">
        <f t="shared" si="0"/>
        <v>Desk 41</v>
      </c>
      <c r="C45" s="1902"/>
      <c r="D45" s="1902"/>
      <c r="E45" s="1902"/>
      <c r="F45" s="710"/>
      <c r="G45" s="107"/>
      <c r="H45" s="727"/>
    </row>
    <row r="46" spans="1:8" ht="15" customHeight="1" x14ac:dyDescent="0.25">
      <c r="A46" s="821"/>
      <c r="B46" s="953" t="str">
        <f t="shared" si="0"/>
        <v>Desk 42</v>
      </c>
      <c r="C46" s="1902"/>
      <c r="D46" s="1902"/>
      <c r="E46" s="1902"/>
      <c r="F46" s="710"/>
      <c r="G46" s="107"/>
      <c r="H46" s="727"/>
    </row>
    <row r="47" spans="1:8" ht="15" customHeight="1" x14ac:dyDescent="0.25">
      <c r="A47" s="821"/>
      <c r="B47" s="953" t="str">
        <f t="shared" si="0"/>
        <v>Desk 43</v>
      </c>
      <c r="C47" s="1902"/>
      <c r="D47" s="1902"/>
      <c r="E47" s="1902"/>
      <c r="F47" s="710"/>
      <c r="G47" s="107"/>
      <c r="H47" s="727"/>
    </row>
    <row r="48" spans="1:8" ht="15" customHeight="1" x14ac:dyDescent="0.25">
      <c r="A48" s="821"/>
      <c r="B48" s="953" t="str">
        <f t="shared" si="0"/>
        <v>Desk 44</v>
      </c>
      <c r="C48" s="1902"/>
      <c r="D48" s="1902"/>
      <c r="E48" s="1902"/>
      <c r="F48" s="710"/>
      <c r="G48" s="107"/>
      <c r="H48" s="727"/>
    </row>
    <row r="49" spans="1:8" ht="15" customHeight="1" x14ac:dyDescent="0.25">
      <c r="A49" s="821"/>
      <c r="B49" s="953" t="str">
        <f t="shared" si="0"/>
        <v>Desk 45</v>
      </c>
      <c r="C49" s="1902"/>
      <c r="D49" s="1902"/>
      <c r="E49" s="1902"/>
      <c r="F49" s="710"/>
      <c r="G49" s="107"/>
      <c r="H49" s="727"/>
    </row>
    <row r="50" spans="1:8" ht="15" customHeight="1" x14ac:dyDescent="0.25">
      <c r="A50" s="821"/>
      <c r="B50" s="953" t="str">
        <f t="shared" si="0"/>
        <v>Desk 46</v>
      </c>
      <c r="C50" s="1902"/>
      <c r="D50" s="1902"/>
      <c r="E50" s="1902"/>
      <c r="F50" s="710"/>
      <c r="G50" s="107"/>
      <c r="H50" s="727"/>
    </row>
    <row r="51" spans="1:8" ht="15" customHeight="1" x14ac:dyDescent="0.25">
      <c r="A51" s="821"/>
      <c r="B51" s="953" t="str">
        <f t="shared" si="0"/>
        <v>Desk 47</v>
      </c>
      <c r="C51" s="1902"/>
      <c r="D51" s="1902"/>
      <c r="E51" s="1902"/>
      <c r="F51" s="710"/>
      <c r="G51" s="107"/>
      <c r="H51" s="727"/>
    </row>
    <row r="52" spans="1:8" ht="15" customHeight="1" x14ac:dyDescent="0.25">
      <c r="A52" s="821"/>
      <c r="B52" s="953" t="str">
        <f t="shared" si="0"/>
        <v>Desk 48</v>
      </c>
      <c r="C52" s="1902"/>
      <c r="D52" s="1902"/>
      <c r="E52" s="1902"/>
      <c r="F52" s="710"/>
      <c r="G52" s="107"/>
      <c r="H52" s="727"/>
    </row>
    <row r="53" spans="1:8" ht="15" customHeight="1" x14ac:dyDescent="0.25">
      <c r="A53" s="821"/>
      <c r="B53" s="953" t="str">
        <f t="shared" si="0"/>
        <v>Desk 49</v>
      </c>
      <c r="C53" s="1902"/>
      <c r="D53" s="1902"/>
      <c r="E53" s="1902"/>
      <c r="F53" s="710"/>
      <c r="G53" s="107"/>
      <c r="H53" s="727"/>
    </row>
    <row r="54" spans="1:8" ht="15" customHeight="1" x14ac:dyDescent="0.25">
      <c r="A54" s="821"/>
      <c r="B54" s="953" t="str">
        <f t="shared" si="0"/>
        <v>Desk 50</v>
      </c>
      <c r="C54" s="1902"/>
      <c r="D54" s="1902"/>
      <c r="E54" s="1902"/>
      <c r="F54" s="710"/>
      <c r="G54" s="107"/>
      <c r="H54" s="727"/>
    </row>
    <row r="55" spans="1:8" ht="15" customHeight="1" x14ac:dyDescent="0.25">
      <c r="A55" s="821"/>
      <c r="B55" s="953" t="str">
        <f t="shared" si="0"/>
        <v>Desk 51</v>
      </c>
      <c r="C55" s="1902"/>
      <c r="D55" s="1902"/>
      <c r="E55" s="1902"/>
      <c r="F55" s="710"/>
      <c r="G55" s="107"/>
      <c r="H55" s="727"/>
    </row>
    <row r="56" spans="1:8" ht="15" customHeight="1" x14ac:dyDescent="0.25">
      <c r="A56" s="821"/>
      <c r="B56" s="953" t="str">
        <f t="shared" si="0"/>
        <v>Desk 52</v>
      </c>
      <c r="C56" s="1902"/>
      <c r="D56" s="1902"/>
      <c r="E56" s="1902"/>
      <c r="F56" s="710"/>
      <c r="G56" s="107"/>
      <c r="H56" s="727"/>
    </row>
    <row r="57" spans="1:8" ht="15" customHeight="1" x14ac:dyDescent="0.25">
      <c r="A57" s="821"/>
      <c r="B57" s="953" t="str">
        <f t="shared" si="0"/>
        <v>Desk 53</v>
      </c>
      <c r="C57" s="1902"/>
      <c r="D57" s="1902"/>
      <c r="E57" s="1902"/>
      <c r="F57" s="710"/>
      <c r="G57" s="107"/>
      <c r="H57" s="727"/>
    </row>
    <row r="58" spans="1:8" ht="15" customHeight="1" x14ac:dyDescent="0.25">
      <c r="A58" s="821"/>
      <c r="B58" s="953" t="str">
        <f t="shared" si="0"/>
        <v>Desk 54</v>
      </c>
      <c r="C58" s="1902"/>
      <c r="D58" s="1902"/>
      <c r="E58" s="1902"/>
      <c r="F58" s="710"/>
      <c r="G58" s="107"/>
      <c r="H58" s="727"/>
    </row>
    <row r="59" spans="1:8" ht="15" customHeight="1" x14ac:dyDescent="0.25">
      <c r="A59" s="821"/>
      <c r="B59" s="953" t="str">
        <f t="shared" si="0"/>
        <v>Desk 55</v>
      </c>
      <c r="C59" s="1902"/>
      <c r="D59" s="1902"/>
      <c r="E59" s="1902"/>
      <c r="F59" s="710"/>
      <c r="G59" s="107"/>
      <c r="H59" s="727"/>
    </row>
    <row r="60" spans="1:8" ht="15" customHeight="1" x14ac:dyDescent="0.25">
      <c r="A60" s="821"/>
      <c r="B60" s="953" t="str">
        <f t="shared" si="0"/>
        <v>Desk 56</v>
      </c>
      <c r="C60" s="1902"/>
      <c r="D60" s="1902"/>
      <c r="E60" s="1902"/>
      <c r="F60" s="710"/>
      <c r="G60" s="107"/>
      <c r="H60" s="727"/>
    </row>
    <row r="61" spans="1:8" ht="15" customHeight="1" x14ac:dyDescent="0.25">
      <c r="A61" s="821"/>
      <c r="B61" s="953" t="str">
        <f t="shared" si="0"/>
        <v>Desk 57</v>
      </c>
      <c r="C61" s="1902"/>
      <c r="D61" s="1902"/>
      <c r="E61" s="1902"/>
      <c r="F61" s="710"/>
      <c r="G61" s="107"/>
      <c r="H61" s="727"/>
    </row>
    <row r="62" spans="1:8" ht="15" customHeight="1" x14ac:dyDescent="0.25">
      <c r="A62" s="821"/>
      <c r="B62" s="953" t="str">
        <f t="shared" si="0"/>
        <v>Desk 58</v>
      </c>
      <c r="C62" s="1902"/>
      <c r="D62" s="1902"/>
      <c r="E62" s="1902"/>
      <c r="F62" s="710"/>
      <c r="G62" s="107"/>
      <c r="H62" s="727"/>
    </row>
    <row r="63" spans="1:8" ht="15" customHeight="1" x14ac:dyDescent="0.25">
      <c r="A63" s="821"/>
      <c r="B63" s="953" t="str">
        <f t="shared" si="0"/>
        <v>Desk 59</v>
      </c>
      <c r="C63" s="1902"/>
      <c r="D63" s="1902"/>
      <c r="E63" s="1902"/>
      <c r="F63" s="710"/>
      <c r="G63" s="107"/>
      <c r="H63" s="727"/>
    </row>
    <row r="64" spans="1:8" ht="15" customHeight="1" x14ac:dyDescent="0.25">
      <c r="A64" s="821"/>
      <c r="B64" s="953" t="str">
        <f t="shared" si="0"/>
        <v>Desk 60</v>
      </c>
      <c r="C64" s="1902"/>
      <c r="D64" s="1902"/>
      <c r="E64" s="1902"/>
      <c r="F64" s="710"/>
      <c r="G64" s="107"/>
      <c r="H64" s="727"/>
    </row>
    <row r="65" spans="1:8" ht="15" customHeight="1" x14ac:dyDescent="0.25">
      <c r="A65" s="821"/>
      <c r="B65" s="953" t="str">
        <f t="shared" si="0"/>
        <v>Desk 61</v>
      </c>
      <c r="C65" s="1902"/>
      <c r="D65" s="1902"/>
      <c r="E65" s="1902"/>
      <c r="F65" s="710"/>
      <c r="G65" s="107"/>
      <c r="H65" s="727"/>
    </row>
    <row r="66" spans="1:8" ht="15" customHeight="1" x14ac:dyDescent="0.25">
      <c r="A66" s="821"/>
      <c r="B66" s="953" t="str">
        <f t="shared" si="0"/>
        <v>Desk 62</v>
      </c>
      <c r="C66" s="1902"/>
      <c r="D66" s="1902"/>
      <c r="E66" s="1902"/>
      <c r="F66" s="710"/>
      <c r="G66" s="107"/>
      <c r="H66" s="727"/>
    </row>
    <row r="67" spans="1:8" ht="15" customHeight="1" x14ac:dyDescent="0.25">
      <c r="A67" s="821"/>
      <c r="B67" s="953" t="str">
        <f t="shared" si="0"/>
        <v>Desk 63</v>
      </c>
      <c r="C67" s="1902"/>
      <c r="D67" s="1902"/>
      <c r="E67" s="1902"/>
      <c r="F67" s="710"/>
      <c r="G67" s="107"/>
      <c r="H67" s="727"/>
    </row>
    <row r="68" spans="1:8" ht="15" customHeight="1" x14ac:dyDescent="0.25">
      <c r="A68" s="821"/>
      <c r="B68" s="953" t="str">
        <f t="shared" si="0"/>
        <v>Desk 64</v>
      </c>
      <c r="C68" s="1902"/>
      <c r="D68" s="1902"/>
      <c r="E68" s="1902"/>
      <c r="F68" s="710"/>
      <c r="G68" s="107"/>
      <c r="H68" s="727"/>
    </row>
    <row r="69" spans="1:8" ht="15" customHeight="1" x14ac:dyDescent="0.25">
      <c r="A69" s="821"/>
      <c r="B69" s="953" t="str">
        <f t="shared" si="0"/>
        <v>Desk 65</v>
      </c>
      <c r="C69" s="1902"/>
      <c r="D69" s="1902"/>
      <c r="E69" s="1902"/>
      <c r="F69" s="710"/>
      <c r="G69" s="107"/>
      <c r="H69" s="727"/>
    </row>
    <row r="70" spans="1:8" ht="15" customHeight="1" x14ac:dyDescent="0.25">
      <c r="A70" s="821"/>
      <c r="B70" s="953" t="str">
        <f t="shared" ref="B70:B104" si="1">"Desk " &amp; (ROW(B70)-ROW(B$4))</f>
        <v>Desk 66</v>
      </c>
      <c r="C70" s="1902"/>
      <c r="D70" s="1902"/>
      <c r="E70" s="1902"/>
      <c r="F70" s="710"/>
      <c r="G70" s="107"/>
      <c r="H70" s="727"/>
    </row>
    <row r="71" spans="1:8" ht="15" customHeight="1" x14ac:dyDescent="0.25">
      <c r="A71" s="821"/>
      <c r="B71" s="953" t="str">
        <f t="shared" si="1"/>
        <v>Desk 67</v>
      </c>
      <c r="C71" s="1902"/>
      <c r="D71" s="1902"/>
      <c r="E71" s="1902"/>
      <c r="F71" s="710"/>
      <c r="G71" s="107"/>
      <c r="H71" s="727"/>
    </row>
    <row r="72" spans="1:8" ht="15" customHeight="1" x14ac:dyDescent="0.25">
      <c r="A72" s="821"/>
      <c r="B72" s="953" t="str">
        <f t="shared" si="1"/>
        <v>Desk 68</v>
      </c>
      <c r="C72" s="1902"/>
      <c r="D72" s="1902"/>
      <c r="E72" s="1902"/>
      <c r="F72" s="710"/>
      <c r="G72" s="107"/>
      <c r="H72" s="727"/>
    </row>
    <row r="73" spans="1:8" ht="15" customHeight="1" x14ac:dyDescent="0.25">
      <c r="A73" s="821"/>
      <c r="B73" s="953" t="str">
        <f t="shared" si="1"/>
        <v>Desk 69</v>
      </c>
      <c r="C73" s="1902"/>
      <c r="D73" s="1902"/>
      <c r="E73" s="1902"/>
      <c r="F73" s="710"/>
      <c r="G73" s="107"/>
      <c r="H73" s="727"/>
    </row>
    <row r="74" spans="1:8" ht="15" customHeight="1" x14ac:dyDescent="0.25">
      <c r="A74" s="821"/>
      <c r="B74" s="953" t="str">
        <f t="shared" si="1"/>
        <v>Desk 70</v>
      </c>
      <c r="C74" s="1902"/>
      <c r="D74" s="1902"/>
      <c r="E74" s="1902"/>
      <c r="F74" s="710"/>
      <c r="G74" s="107"/>
      <c r="H74" s="727"/>
    </row>
    <row r="75" spans="1:8" ht="15" customHeight="1" x14ac:dyDescent="0.25">
      <c r="A75" s="821"/>
      <c r="B75" s="953" t="str">
        <f t="shared" si="1"/>
        <v>Desk 71</v>
      </c>
      <c r="C75" s="1902"/>
      <c r="D75" s="1902"/>
      <c r="E75" s="1902"/>
      <c r="F75" s="710"/>
      <c r="G75" s="107"/>
      <c r="H75" s="727"/>
    </row>
    <row r="76" spans="1:8" ht="15" customHeight="1" x14ac:dyDescent="0.25">
      <c r="A76" s="821"/>
      <c r="B76" s="953" t="str">
        <f t="shared" si="1"/>
        <v>Desk 72</v>
      </c>
      <c r="C76" s="1902"/>
      <c r="D76" s="1902"/>
      <c r="E76" s="1902"/>
      <c r="F76" s="710"/>
      <c r="G76" s="107"/>
      <c r="H76" s="727"/>
    </row>
    <row r="77" spans="1:8" ht="15" customHeight="1" x14ac:dyDescent="0.25">
      <c r="A77" s="821"/>
      <c r="B77" s="953" t="str">
        <f t="shared" si="1"/>
        <v>Desk 73</v>
      </c>
      <c r="C77" s="1902"/>
      <c r="D77" s="1902"/>
      <c r="E77" s="1902"/>
      <c r="F77" s="710"/>
      <c r="G77" s="107"/>
      <c r="H77" s="727"/>
    </row>
    <row r="78" spans="1:8" ht="15" customHeight="1" x14ac:dyDescent="0.25">
      <c r="A78" s="821"/>
      <c r="B78" s="953" t="str">
        <f t="shared" si="1"/>
        <v>Desk 74</v>
      </c>
      <c r="C78" s="1902"/>
      <c r="D78" s="1902"/>
      <c r="E78" s="1902"/>
      <c r="F78" s="710"/>
      <c r="G78" s="107"/>
      <c r="H78" s="727"/>
    </row>
    <row r="79" spans="1:8" ht="15" customHeight="1" x14ac:dyDescent="0.25">
      <c r="A79" s="821"/>
      <c r="B79" s="953" t="str">
        <f t="shared" si="1"/>
        <v>Desk 75</v>
      </c>
      <c r="C79" s="1902"/>
      <c r="D79" s="1902"/>
      <c r="E79" s="1902"/>
      <c r="F79" s="710"/>
      <c r="G79" s="107"/>
      <c r="H79" s="727"/>
    </row>
    <row r="80" spans="1:8" ht="15" customHeight="1" x14ac:dyDescent="0.25">
      <c r="A80" s="821"/>
      <c r="B80" s="953" t="str">
        <f t="shared" si="1"/>
        <v>Desk 76</v>
      </c>
      <c r="C80" s="1902"/>
      <c r="D80" s="1902"/>
      <c r="E80" s="1902"/>
      <c r="F80" s="710"/>
      <c r="G80" s="107"/>
      <c r="H80" s="727"/>
    </row>
    <row r="81" spans="1:8" ht="15" customHeight="1" x14ac:dyDescent="0.25">
      <c r="A81" s="821"/>
      <c r="B81" s="953" t="str">
        <f t="shared" si="1"/>
        <v>Desk 77</v>
      </c>
      <c r="C81" s="1902"/>
      <c r="D81" s="1902"/>
      <c r="E81" s="1902"/>
      <c r="F81" s="710"/>
      <c r="G81" s="107"/>
      <c r="H81" s="727"/>
    </row>
    <row r="82" spans="1:8" ht="15" customHeight="1" x14ac:dyDescent="0.25">
      <c r="A82" s="821"/>
      <c r="B82" s="953" t="str">
        <f t="shared" si="1"/>
        <v>Desk 78</v>
      </c>
      <c r="C82" s="1902"/>
      <c r="D82" s="1902"/>
      <c r="E82" s="1902"/>
      <c r="F82" s="710"/>
      <c r="G82" s="107"/>
      <c r="H82" s="727"/>
    </row>
    <row r="83" spans="1:8" ht="15" customHeight="1" x14ac:dyDescent="0.25">
      <c r="A83" s="821"/>
      <c r="B83" s="953" t="str">
        <f t="shared" si="1"/>
        <v>Desk 79</v>
      </c>
      <c r="C83" s="1902"/>
      <c r="D83" s="1902"/>
      <c r="E83" s="1902"/>
      <c r="F83" s="710"/>
      <c r="G83" s="107"/>
      <c r="H83" s="727"/>
    </row>
    <row r="84" spans="1:8" ht="15" customHeight="1" x14ac:dyDescent="0.25">
      <c r="A84" s="821"/>
      <c r="B84" s="953" t="str">
        <f t="shared" si="1"/>
        <v>Desk 80</v>
      </c>
      <c r="C84" s="1902"/>
      <c r="D84" s="1902"/>
      <c r="E84" s="1902"/>
      <c r="F84" s="710"/>
      <c r="G84" s="107"/>
      <c r="H84" s="727"/>
    </row>
    <row r="85" spans="1:8" ht="15" customHeight="1" x14ac:dyDescent="0.25">
      <c r="A85" s="821"/>
      <c r="B85" s="953" t="str">
        <f t="shared" si="1"/>
        <v>Desk 81</v>
      </c>
      <c r="C85" s="1902"/>
      <c r="D85" s="1902"/>
      <c r="E85" s="1902"/>
      <c r="F85" s="710"/>
      <c r="G85" s="107"/>
      <c r="H85" s="727"/>
    </row>
    <row r="86" spans="1:8" ht="15" customHeight="1" x14ac:dyDescent="0.25">
      <c r="A86" s="821"/>
      <c r="B86" s="953" t="str">
        <f t="shared" si="1"/>
        <v>Desk 82</v>
      </c>
      <c r="C86" s="1902"/>
      <c r="D86" s="1902"/>
      <c r="E86" s="1902"/>
      <c r="F86" s="710"/>
      <c r="G86" s="107"/>
      <c r="H86" s="727"/>
    </row>
    <row r="87" spans="1:8" ht="15" customHeight="1" x14ac:dyDescent="0.25">
      <c r="A87" s="821"/>
      <c r="B87" s="953" t="str">
        <f t="shared" si="1"/>
        <v>Desk 83</v>
      </c>
      <c r="C87" s="1902"/>
      <c r="D87" s="1902"/>
      <c r="E87" s="1902"/>
      <c r="F87" s="710"/>
      <c r="G87" s="107"/>
      <c r="H87" s="727"/>
    </row>
    <row r="88" spans="1:8" ht="15" customHeight="1" x14ac:dyDescent="0.25">
      <c r="A88" s="821"/>
      <c r="B88" s="953" t="str">
        <f t="shared" si="1"/>
        <v>Desk 84</v>
      </c>
      <c r="C88" s="1902"/>
      <c r="D88" s="1902"/>
      <c r="E88" s="1902"/>
      <c r="F88" s="710"/>
      <c r="G88" s="107"/>
      <c r="H88" s="727"/>
    </row>
    <row r="89" spans="1:8" ht="15" customHeight="1" x14ac:dyDescent="0.25">
      <c r="A89" s="821"/>
      <c r="B89" s="953" t="str">
        <f t="shared" si="1"/>
        <v>Desk 85</v>
      </c>
      <c r="C89" s="1902"/>
      <c r="D89" s="1902"/>
      <c r="E89" s="1902"/>
      <c r="F89" s="710"/>
      <c r="G89" s="107"/>
      <c r="H89" s="727"/>
    </row>
    <row r="90" spans="1:8" ht="15" customHeight="1" x14ac:dyDescent="0.25">
      <c r="A90" s="821"/>
      <c r="B90" s="953" t="str">
        <f t="shared" si="1"/>
        <v>Desk 86</v>
      </c>
      <c r="C90" s="1902"/>
      <c r="D90" s="1902"/>
      <c r="E90" s="1902"/>
      <c r="F90" s="710"/>
      <c r="G90" s="107"/>
      <c r="H90" s="727"/>
    </row>
    <row r="91" spans="1:8" ht="15" customHeight="1" x14ac:dyDescent="0.25">
      <c r="A91" s="821"/>
      <c r="B91" s="953" t="str">
        <f t="shared" si="1"/>
        <v>Desk 87</v>
      </c>
      <c r="C91" s="1902"/>
      <c r="D91" s="1902"/>
      <c r="E91" s="1902"/>
      <c r="F91" s="710"/>
      <c r="G91" s="107"/>
      <c r="H91" s="727"/>
    </row>
    <row r="92" spans="1:8" ht="15" customHeight="1" x14ac:dyDescent="0.25">
      <c r="A92" s="821"/>
      <c r="B92" s="953" t="str">
        <f t="shared" si="1"/>
        <v>Desk 88</v>
      </c>
      <c r="C92" s="1902"/>
      <c r="D92" s="1902"/>
      <c r="E92" s="1902"/>
      <c r="F92" s="710"/>
      <c r="G92" s="107"/>
      <c r="H92" s="727"/>
    </row>
    <row r="93" spans="1:8" ht="15" customHeight="1" x14ac:dyDescent="0.25">
      <c r="A93" s="821"/>
      <c r="B93" s="953" t="str">
        <f t="shared" si="1"/>
        <v>Desk 89</v>
      </c>
      <c r="C93" s="1902"/>
      <c r="D93" s="1902"/>
      <c r="E93" s="1902"/>
      <c r="F93" s="710"/>
      <c r="G93" s="107"/>
      <c r="H93" s="727"/>
    </row>
    <row r="94" spans="1:8" ht="15" customHeight="1" x14ac:dyDescent="0.25">
      <c r="A94" s="821"/>
      <c r="B94" s="953" t="str">
        <f t="shared" si="1"/>
        <v>Desk 90</v>
      </c>
      <c r="C94" s="1902"/>
      <c r="D94" s="1902"/>
      <c r="E94" s="1902"/>
      <c r="F94" s="710"/>
      <c r="G94" s="107"/>
      <c r="H94" s="727"/>
    </row>
    <row r="95" spans="1:8" ht="15" customHeight="1" x14ac:dyDescent="0.25">
      <c r="A95" s="821"/>
      <c r="B95" s="953" t="str">
        <f t="shared" si="1"/>
        <v>Desk 91</v>
      </c>
      <c r="C95" s="1902"/>
      <c r="D95" s="1902"/>
      <c r="E95" s="1902"/>
      <c r="F95" s="710"/>
      <c r="G95" s="107"/>
      <c r="H95" s="727"/>
    </row>
    <row r="96" spans="1:8" ht="15" customHeight="1" x14ac:dyDescent="0.25">
      <c r="A96" s="821"/>
      <c r="B96" s="953" t="str">
        <f t="shared" si="1"/>
        <v>Desk 92</v>
      </c>
      <c r="C96" s="1902"/>
      <c r="D96" s="1902"/>
      <c r="E96" s="1902"/>
      <c r="F96" s="710"/>
      <c r="G96" s="107"/>
      <c r="H96" s="727"/>
    </row>
    <row r="97" spans="1:8" ht="15" customHeight="1" x14ac:dyDescent="0.25">
      <c r="A97" s="821"/>
      <c r="B97" s="953" t="str">
        <f t="shared" si="1"/>
        <v>Desk 93</v>
      </c>
      <c r="C97" s="1902"/>
      <c r="D97" s="1902"/>
      <c r="E97" s="1902"/>
      <c r="F97" s="710"/>
      <c r="G97" s="107"/>
      <c r="H97" s="727"/>
    </row>
    <row r="98" spans="1:8" ht="15" customHeight="1" x14ac:dyDescent="0.25">
      <c r="A98" s="821"/>
      <c r="B98" s="953" t="str">
        <f t="shared" si="1"/>
        <v>Desk 94</v>
      </c>
      <c r="C98" s="1902"/>
      <c r="D98" s="1902"/>
      <c r="E98" s="1902"/>
      <c r="F98" s="710"/>
      <c r="G98" s="107"/>
      <c r="H98" s="727"/>
    </row>
    <row r="99" spans="1:8" ht="15" customHeight="1" x14ac:dyDescent="0.25">
      <c r="A99" s="821"/>
      <c r="B99" s="953" t="str">
        <f t="shared" si="1"/>
        <v>Desk 95</v>
      </c>
      <c r="C99" s="1902"/>
      <c r="D99" s="1902"/>
      <c r="E99" s="1902"/>
      <c r="F99" s="710"/>
      <c r="G99" s="107"/>
      <c r="H99" s="727"/>
    </row>
    <row r="100" spans="1:8" ht="15" customHeight="1" x14ac:dyDescent="0.25">
      <c r="A100" s="821"/>
      <c r="B100" s="953" t="str">
        <f t="shared" si="1"/>
        <v>Desk 96</v>
      </c>
      <c r="C100" s="1902"/>
      <c r="D100" s="1902"/>
      <c r="E100" s="1902"/>
      <c r="F100" s="710"/>
      <c r="G100" s="107"/>
      <c r="H100" s="727"/>
    </row>
    <row r="101" spans="1:8" ht="15" customHeight="1" x14ac:dyDescent="0.25">
      <c r="A101" s="821"/>
      <c r="B101" s="953" t="str">
        <f t="shared" si="1"/>
        <v>Desk 97</v>
      </c>
      <c r="C101" s="1902"/>
      <c r="D101" s="1902"/>
      <c r="E101" s="1902"/>
      <c r="F101" s="710"/>
      <c r="G101" s="107"/>
      <c r="H101" s="727"/>
    </row>
    <row r="102" spans="1:8" ht="15" customHeight="1" x14ac:dyDescent="0.25">
      <c r="A102" s="821"/>
      <c r="B102" s="953" t="str">
        <f t="shared" si="1"/>
        <v>Desk 98</v>
      </c>
      <c r="C102" s="1902"/>
      <c r="D102" s="1902"/>
      <c r="E102" s="1902"/>
      <c r="F102" s="710"/>
      <c r="G102" s="107"/>
      <c r="H102" s="727"/>
    </row>
    <row r="103" spans="1:8" ht="15" customHeight="1" x14ac:dyDescent="0.25">
      <c r="A103" s="821"/>
      <c r="B103" s="953" t="str">
        <f t="shared" si="1"/>
        <v>Desk 99</v>
      </c>
      <c r="C103" s="1902"/>
      <c r="D103" s="1902"/>
      <c r="E103" s="1902"/>
      <c r="F103" s="710"/>
      <c r="G103" s="107"/>
      <c r="H103" s="727"/>
    </row>
    <row r="104" spans="1:8" ht="15" customHeight="1" x14ac:dyDescent="0.25">
      <c r="A104" s="821"/>
      <c r="B104" s="954" t="str">
        <f t="shared" si="1"/>
        <v>Desk 100</v>
      </c>
      <c r="C104" s="1903"/>
      <c r="D104" s="1903"/>
      <c r="E104" s="1903"/>
      <c r="F104" s="711"/>
      <c r="G104" s="504"/>
      <c r="H104" s="727"/>
    </row>
    <row r="105" spans="1:8" ht="15" customHeight="1" x14ac:dyDescent="0.25">
      <c r="A105" s="748"/>
      <c r="B105" s="749"/>
      <c r="C105" s="749"/>
      <c r="D105" s="749"/>
      <c r="E105" s="749"/>
      <c r="F105" s="749"/>
      <c r="G105" s="749"/>
      <c r="H105" s="750"/>
    </row>
    <row r="106" spans="1:8" ht="30" customHeight="1" x14ac:dyDescent="0.3">
      <c r="A106" s="776" t="s">
        <v>1204</v>
      </c>
      <c r="B106" s="785"/>
      <c r="C106" s="768"/>
      <c r="D106" s="768"/>
      <c r="E106" s="725"/>
      <c r="F106" s="725"/>
      <c r="G106" s="725"/>
      <c r="H106" s="715"/>
    </row>
    <row r="107" spans="1:8" ht="15" customHeight="1" x14ac:dyDescent="0.25">
      <c r="A107" s="821"/>
      <c r="B107" s="716"/>
      <c r="C107" s="716"/>
      <c r="D107" s="716"/>
      <c r="E107" s="716"/>
      <c r="F107" s="716"/>
      <c r="G107" s="716"/>
      <c r="H107" s="727"/>
    </row>
    <row r="108" spans="1:8" ht="15" customHeight="1" x14ac:dyDescent="0.25">
      <c r="A108" s="821"/>
      <c r="B108" s="949" t="s">
        <v>1198</v>
      </c>
      <c r="C108" s="949" t="s">
        <v>1199</v>
      </c>
      <c r="D108" s="949" t="s">
        <v>1200</v>
      </c>
      <c r="E108" s="972" t="s">
        <v>1201</v>
      </c>
      <c r="F108" s="716"/>
      <c r="G108" s="716"/>
      <c r="H108" s="727"/>
    </row>
    <row r="109" spans="1:8" ht="15" customHeight="1" x14ac:dyDescent="0.25">
      <c r="A109" s="821"/>
      <c r="B109" s="961" t="s">
        <v>1203</v>
      </c>
      <c r="C109" s="913" t="str">
        <f>IF(ISNUMBER('TB general'!C50), 'TB general'!C50, "")</f>
        <v/>
      </c>
      <c r="D109" s="447"/>
      <c r="E109" s="432"/>
      <c r="F109" s="716"/>
      <c r="G109" s="716"/>
      <c r="H109" s="727"/>
    </row>
    <row r="110" spans="1:8" ht="15" customHeight="1" x14ac:dyDescent="0.25">
      <c r="A110" s="821"/>
      <c r="B110" s="1656" t="s">
        <v>763</v>
      </c>
      <c r="C110" s="792" t="str">
        <f>IF(ISNUMBER('TB general'!C54), 'TB general'!C54, "")</f>
        <v/>
      </c>
      <c r="D110" s="60"/>
      <c r="E110" s="107"/>
      <c r="F110" s="716"/>
      <c r="G110" s="716"/>
      <c r="H110" s="727"/>
    </row>
    <row r="111" spans="1:8" ht="15" customHeight="1" x14ac:dyDescent="0.25">
      <c r="A111" s="821"/>
      <c r="B111" s="1515" t="s">
        <v>767</v>
      </c>
      <c r="C111" s="973" t="str">
        <f>IF(ISNUMBER('TB general'!C77), 'TB general'!C77, "")</f>
        <v/>
      </c>
      <c r="D111" s="60"/>
      <c r="E111" s="107"/>
      <c r="F111" s="716"/>
      <c r="G111" s="716"/>
      <c r="H111" s="727"/>
    </row>
    <row r="112" spans="1:8" ht="15" customHeight="1" x14ac:dyDescent="0.25">
      <c r="A112" s="821"/>
      <c r="B112" s="936" t="s">
        <v>764</v>
      </c>
      <c r="C112" s="792" t="str">
        <f>IF(ISNUMBER('TB general'!C58), 'TB general'!C58, "")</f>
        <v/>
      </c>
      <c r="D112" s="42"/>
      <c r="E112" s="107"/>
      <c r="F112" s="716"/>
      <c r="G112" s="716"/>
      <c r="H112" s="727"/>
    </row>
    <row r="113" spans="1:8" ht="15" customHeight="1" x14ac:dyDescent="0.25">
      <c r="A113" s="821"/>
      <c r="B113" s="936" t="s">
        <v>765</v>
      </c>
      <c r="C113" s="792" t="str">
        <f>IF(ISNUMBER('TB general'!C62), 'TB general'!C62, "")</f>
        <v/>
      </c>
      <c r="D113" s="60"/>
      <c r="E113" s="107"/>
      <c r="F113" s="716"/>
      <c r="G113" s="716"/>
      <c r="H113" s="727"/>
    </row>
    <row r="114" spans="1:8" ht="15" customHeight="1" x14ac:dyDescent="0.25">
      <c r="A114" s="821"/>
      <c r="B114" s="959" t="s">
        <v>766</v>
      </c>
      <c r="C114" s="1524" t="str">
        <f>IF(ISNUMBER('TB general'!C66), 'TB general'!C66, "")</f>
        <v/>
      </c>
      <c r="D114" s="55"/>
      <c r="E114" s="504"/>
      <c r="F114" s="716"/>
      <c r="G114" s="716"/>
      <c r="H114" s="727"/>
    </row>
    <row r="115" spans="1:8" ht="15" customHeight="1" x14ac:dyDescent="0.25">
      <c r="A115" s="748"/>
      <c r="B115" s="749"/>
      <c r="C115" s="749"/>
      <c r="D115" s="749"/>
      <c r="E115" s="749"/>
      <c r="F115" s="749"/>
      <c r="G115" s="749"/>
      <c r="H115" s="750"/>
    </row>
  </sheetData>
  <mergeCells count="101">
    <mergeCell ref="C17:E17"/>
    <mergeCell ref="C4:E4"/>
    <mergeCell ref="C5:E5"/>
    <mergeCell ref="C6:E6"/>
    <mergeCell ref="C13:E13"/>
    <mergeCell ref="C14:E14"/>
    <mergeCell ref="C10:E10"/>
    <mergeCell ref="C11:E11"/>
    <mergeCell ref="C12:E12"/>
    <mergeCell ref="C7:E7"/>
    <mergeCell ref="C8:E8"/>
    <mergeCell ref="C9:E9"/>
    <mergeCell ref="C15:E15"/>
    <mergeCell ref="C16:E16"/>
    <mergeCell ref="C28:E28"/>
    <mergeCell ref="C29:E29"/>
    <mergeCell ref="C30:E30"/>
    <mergeCell ref="C18:E18"/>
    <mergeCell ref="C25:E25"/>
    <mergeCell ref="C26:E26"/>
    <mergeCell ref="C27:E27"/>
    <mergeCell ref="C22:E22"/>
    <mergeCell ref="C23:E23"/>
    <mergeCell ref="C24:E24"/>
    <mergeCell ref="C19:E19"/>
    <mergeCell ref="C20:E20"/>
    <mergeCell ref="C21:E21"/>
    <mergeCell ref="C37:E37"/>
    <mergeCell ref="C38:E38"/>
    <mergeCell ref="C39:E39"/>
    <mergeCell ref="C34:E34"/>
    <mergeCell ref="C35:E35"/>
    <mergeCell ref="C36:E36"/>
    <mergeCell ref="C31:E31"/>
    <mergeCell ref="C32:E32"/>
    <mergeCell ref="C33:E33"/>
    <mergeCell ref="C46:E46"/>
    <mergeCell ref="C47:E47"/>
    <mergeCell ref="C48:E48"/>
    <mergeCell ref="C43:E43"/>
    <mergeCell ref="C44:E44"/>
    <mergeCell ref="C45:E45"/>
    <mergeCell ref="C40:E40"/>
    <mergeCell ref="C41:E41"/>
    <mergeCell ref="C42:E42"/>
    <mergeCell ref="C55:E55"/>
    <mergeCell ref="C56:E56"/>
    <mergeCell ref="C57:E57"/>
    <mergeCell ref="C52:E52"/>
    <mergeCell ref="C53:E53"/>
    <mergeCell ref="C54:E54"/>
    <mergeCell ref="C49:E49"/>
    <mergeCell ref="C50:E50"/>
    <mergeCell ref="C51:E51"/>
    <mergeCell ref="C64:E64"/>
    <mergeCell ref="C65:E65"/>
    <mergeCell ref="C66:E66"/>
    <mergeCell ref="C61:E61"/>
    <mergeCell ref="C62:E62"/>
    <mergeCell ref="C63:E63"/>
    <mergeCell ref="C58:E58"/>
    <mergeCell ref="C59:E59"/>
    <mergeCell ref="C60:E60"/>
    <mergeCell ref="C73:E73"/>
    <mergeCell ref="C74:E74"/>
    <mergeCell ref="C75:E75"/>
    <mergeCell ref="C70:E70"/>
    <mergeCell ref="C71:E71"/>
    <mergeCell ref="C72:E72"/>
    <mergeCell ref="C67:E67"/>
    <mergeCell ref="C68:E68"/>
    <mergeCell ref="C69:E69"/>
    <mergeCell ref="C82:E82"/>
    <mergeCell ref="C83:E83"/>
    <mergeCell ref="C84:E84"/>
    <mergeCell ref="C79:E79"/>
    <mergeCell ref="C80:E80"/>
    <mergeCell ref="C81:E81"/>
    <mergeCell ref="C76:E76"/>
    <mergeCell ref="C77:E77"/>
    <mergeCell ref="C78:E78"/>
    <mergeCell ref="C91:E91"/>
    <mergeCell ref="C92:E92"/>
    <mergeCell ref="C93:E93"/>
    <mergeCell ref="C88:E88"/>
    <mergeCell ref="C89:E89"/>
    <mergeCell ref="C90:E90"/>
    <mergeCell ref="C85:E85"/>
    <mergeCell ref="C86:E86"/>
    <mergeCell ref="C87:E87"/>
    <mergeCell ref="C103:E103"/>
    <mergeCell ref="C104:E104"/>
    <mergeCell ref="C100:E100"/>
    <mergeCell ref="C101:E101"/>
    <mergeCell ref="C102:E102"/>
    <mergeCell ref="C97:E97"/>
    <mergeCell ref="C98:E98"/>
    <mergeCell ref="C99:E99"/>
    <mergeCell ref="C94:E94"/>
    <mergeCell ref="C95:E95"/>
    <mergeCell ref="C96:E96"/>
  </mergeCells>
  <conditionalFormatting sqref="G5:G104">
    <cfRule type="cellIs" dxfId="55" priority="1" operator="lessThan">
      <formula>0</formula>
    </cfRule>
  </conditionalFormatting>
  <dataValidations disablePrompts="1" count="1">
    <dataValidation type="list" allowBlank="1" showInputMessage="1" showErrorMessage="1" sqref="F5:F104">
      <formula1>RegDesks</formula1>
    </dataValidation>
  </dataValidation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3" manualBreakCount="3">
    <brk id="52" max="7" man="1"/>
    <brk id="105" max="7" man="1"/>
    <brk id="164" max="16383" man="1"/>
  </rowBreaks>
  <ignoredErrors>
    <ignoredError sqref="C115:G115 C2:G3 C107:G107 C105:G106 C4:F4 G113:G114 G110:G111 F5 G109 C6:F104" emptyCellReferenc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6CADE1"/>
  </sheetPr>
  <dimension ref="A1:DT316"/>
  <sheetViews>
    <sheetView zoomScale="75" zoomScaleNormal="75" workbookViewId="0">
      <pane xSplit="3" ySplit="5" topLeftCell="D6" activePane="bottomRight" state="frozen"/>
      <selection pane="topRight" activeCell="D1" sqref="D1"/>
      <selection pane="bottomLeft" activeCell="A6" sqref="A6"/>
      <selection pane="bottomRight"/>
    </sheetView>
  </sheetViews>
  <sheetFormatPr defaultColWidth="0" defaultRowHeight="0" customHeight="1" zeroHeight="1" x14ac:dyDescent="0.25"/>
  <cols>
    <col min="1" max="1" width="1.7109375" style="736" customWidth="1"/>
    <col min="2" max="2" width="16.7109375" style="736" customWidth="1"/>
    <col min="3" max="3" width="46.7109375" style="492" customWidth="1"/>
    <col min="4" max="4" width="16.7109375" style="408" customWidth="1"/>
    <col min="5" max="123" width="16.7109375" style="716" customWidth="1"/>
    <col min="124" max="124" width="1.7109375" style="716" customWidth="1"/>
    <col min="125" max="16384" width="16.7109375" style="716" hidden="1"/>
  </cols>
  <sheetData>
    <row r="1" spans="1:124" s="745" customFormat="1" ht="30" customHeight="1" x14ac:dyDescent="0.55000000000000004">
      <c r="A1" s="713" t="s">
        <v>1487</v>
      </c>
      <c r="B1" s="714"/>
      <c r="C1" s="714"/>
      <c r="D1" s="714"/>
      <c r="H1" s="1511" t="str">
        <f>CONCATENATE("Reporting unit: ", 'General Info'!$C$50, " ", 'General Info'!$C$49)</f>
        <v xml:space="preserve">Reporting unit: 1 </v>
      </c>
      <c r="DT1" s="782"/>
    </row>
    <row r="2" spans="1:124" ht="15" customHeight="1" x14ac:dyDescent="0.25">
      <c r="A2" s="821"/>
      <c r="B2" s="716"/>
      <c r="C2" s="716"/>
      <c r="D2" s="716"/>
      <c r="DT2" s="727"/>
    </row>
    <row r="3" spans="1:124" ht="15" customHeight="1" x14ac:dyDescent="0.25">
      <c r="A3" s="821"/>
      <c r="B3" s="949" t="s">
        <v>792</v>
      </c>
      <c r="C3" s="1208" t="s">
        <v>791</v>
      </c>
      <c r="D3" s="1208" t="s">
        <v>1490</v>
      </c>
      <c r="E3" s="1208" t="str">
        <f t="shared" ref="E3:AJ3" si="0">"T+" &amp; (COLUMN(E3)-COLUMN($D3))</f>
        <v>T+1</v>
      </c>
      <c r="F3" s="1208" t="str">
        <f t="shared" si="0"/>
        <v>T+2</v>
      </c>
      <c r="G3" s="1208" t="str">
        <f t="shared" si="0"/>
        <v>T+3</v>
      </c>
      <c r="H3" s="1208" t="str">
        <f t="shared" si="0"/>
        <v>T+4</v>
      </c>
      <c r="I3" s="1208" t="str">
        <f t="shared" si="0"/>
        <v>T+5</v>
      </c>
      <c r="J3" s="1208" t="str">
        <f t="shared" si="0"/>
        <v>T+6</v>
      </c>
      <c r="K3" s="1208" t="str">
        <f t="shared" si="0"/>
        <v>T+7</v>
      </c>
      <c r="L3" s="1208" t="str">
        <f t="shared" si="0"/>
        <v>T+8</v>
      </c>
      <c r="M3" s="1208" t="str">
        <f t="shared" si="0"/>
        <v>T+9</v>
      </c>
      <c r="N3" s="1208" t="str">
        <f t="shared" si="0"/>
        <v>T+10</v>
      </c>
      <c r="O3" s="1208" t="str">
        <f t="shared" si="0"/>
        <v>T+11</v>
      </c>
      <c r="P3" s="1208" t="str">
        <f t="shared" si="0"/>
        <v>T+12</v>
      </c>
      <c r="Q3" s="1208" t="str">
        <f t="shared" si="0"/>
        <v>T+13</v>
      </c>
      <c r="R3" s="1208" t="str">
        <f t="shared" si="0"/>
        <v>T+14</v>
      </c>
      <c r="S3" s="1208" t="str">
        <f t="shared" si="0"/>
        <v>T+15</v>
      </c>
      <c r="T3" s="1208" t="str">
        <f t="shared" si="0"/>
        <v>T+16</v>
      </c>
      <c r="U3" s="1208" t="str">
        <f t="shared" si="0"/>
        <v>T+17</v>
      </c>
      <c r="V3" s="1208" t="str">
        <f t="shared" si="0"/>
        <v>T+18</v>
      </c>
      <c r="W3" s="1208" t="str">
        <f t="shared" si="0"/>
        <v>T+19</v>
      </c>
      <c r="X3" s="1208" t="str">
        <f t="shared" si="0"/>
        <v>T+20</v>
      </c>
      <c r="Y3" s="1208" t="str">
        <f t="shared" si="0"/>
        <v>T+21</v>
      </c>
      <c r="Z3" s="1208" t="str">
        <f t="shared" si="0"/>
        <v>T+22</v>
      </c>
      <c r="AA3" s="1208" t="str">
        <f t="shared" si="0"/>
        <v>T+23</v>
      </c>
      <c r="AB3" s="1208" t="str">
        <f t="shared" si="0"/>
        <v>T+24</v>
      </c>
      <c r="AC3" s="1208" t="str">
        <f t="shared" si="0"/>
        <v>T+25</v>
      </c>
      <c r="AD3" s="1208" t="str">
        <f t="shared" si="0"/>
        <v>T+26</v>
      </c>
      <c r="AE3" s="1208" t="str">
        <f t="shared" si="0"/>
        <v>T+27</v>
      </c>
      <c r="AF3" s="1208" t="str">
        <f t="shared" si="0"/>
        <v>T+28</v>
      </c>
      <c r="AG3" s="1208" t="str">
        <f t="shared" si="0"/>
        <v>T+29</v>
      </c>
      <c r="AH3" s="1208" t="str">
        <f t="shared" si="0"/>
        <v>T+30</v>
      </c>
      <c r="AI3" s="1208" t="str">
        <f t="shared" si="0"/>
        <v>T+31</v>
      </c>
      <c r="AJ3" s="1208" t="str">
        <f t="shared" si="0"/>
        <v>T+32</v>
      </c>
      <c r="AK3" s="1208" t="str">
        <f t="shared" ref="AK3:BP3" si="1">"T+" &amp; (COLUMN(AK3)-COLUMN($D3))</f>
        <v>T+33</v>
      </c>
      <c r="AL3" s="1208" t="str">
        <f t="shared" si="1"/>
        <v>T+34</v>
      </c>
      <c r="AM3" s="1208" t="str">
        <f t="shared" si="1"/>
        <v>T+35</v>
      </c>
      <c r="AN3" s="1208" t="str">
        <f t="shared" si="1"/>
        <v>T+36</v>
      </c>
      <c r="AO3" s="1208" t="str">
        <f t="shared" si="1"/>
        <v>T+37</v>
      </c>
      <c r="AP3" s="1208" t="str">
        <f t="shared" si="1"/>
        <v>T+38</v>
      </c>
      <c r="AQ3" s="1208" t="str">
        <f t="shared" si="1"/>
        <v>T+39</v>
      </c>
      <c r="AR3" s="1208" t="str">
        <f t="shared" si="1"/>
        <v>T+40</v>
      </c>
      <c r="AS3" s="1208" t="str">
        <f t="shared" si="1"/>
        <v>T+41</v>
      </c>
      <c r="AT3" s="1208" t="str">
        <f t="shared" si="1"/>
        <v>T+42</v>
      </c>
      <c r="AU3" s="1208" t="str">
        <f t="shared" si="1"/>
        <v>T+43</v>
      </c>
      <c r="AV3" s="1208" t="str">
        <f t="shared" si="1"/>
        <v>T+44</v>
      </c>
      <c r="AW3" s="1208" t="str">
        <f t="shared" si="1"/>
        <v>T+45</v>
      </c>
      <c r="AX3" s="1208" t="str">
        <f t="shared" si="1"/>
        <v>T+46</v>
      </c>
      <c r="AY3" s="1208" t="str">
        <f t="shared" si="1"/>
        <v>T+47</v>
      </c>
      <c r="AZ3" s="1208" t="str">
        <f t="shared" si="1"/>
        <v>T+48</v>
      </c>
      <c r="BA3" s="1208" t="str">
        <f t="shared" si="1"/>
        <v>T+49</v>
      </c>
      <c r="BB3" s="1208" t="str">
        <f t="shared" si="1"/>
        <v>T+50</v>
      </c>
      <c r="BC3" s="1208" t="str">
        <f t="shared" si="1"/>
        <v>T+51</v>
      </c>
      <c r="BD3" s="1208" t="str">
        <f t="shared" si="1"/>
        <v>T+52</v>
      </c>
      <c r="BE3" s="1208" t="str">
        <f t="shared" si="1"/>
        <v>T+53</v>
      </c>
      <c r="BF3" s="1208" t="str">
        <f t="shared" si="1"/>
        <v>T+54</v>
      </c>
      <c r="BG3" s="1208" t="str">
        <f t="shared" si="1"/>
        <v>T+55</v>
      </c>
      <c r="BH3" s="1208" t="str">
        <f t="shared" si="1"/>
        <v>T+56</v>
      </c>
      <c r="BI3" s="1208" t="str">
        <f t="shared" si="1"/>
        <v>T+57</v>
      </c>
      <c r="BJ3" s="1208" t="str">
        <f t="shared" si="1"/>
        <v>T+58</v>
      </c>
      <c r="BK3" s="1208" t="str">
        <f t="shared" si="1"/>
        <v>T+59</v>
      </c>
      <c r="BL3" s="1208" t="str">
        <f t="shared" si="1"/>
        <v>T+60</v>
      </c>
      <c r="BM3" s="1208" t="str">
        <f t="shared" si="1"/>
        <v>T+61</v>
      </c>
      <c r="BN3" s="1208" t="str">
        <f t="shared" si="1"/>
        <v>T+62</v>
      </c>
      <c r="BO3" s="1208" t="str">
        <f t="shared" si="1"/>
        <v>T+63</v>
      </c>
      <c r="BP3" s="1208" t="str">
        <f t="shared" si="1"/>
        <v>T+64</v>
      </c>
      <c r="BQ3" s="1208" t="str">
        <f t="shared" ref="BQ3:CV3" si="2">"T+" &amp; (COLUMN(BQ3)-COLUMN($D3))</f>
        <v>T+65</v>
      </c>
      <c r="BR3" s="1208" t="str">
        <f t="shared" si="2"/>
        <v>T+66</v>
      </c>
      <c r="BS3" s="1208" t="str">
        <f t="shared" si="2"/>
        <v>T+67</v>
      </c>
      <c r="BT3" s="1208" t="str">
        <f t="shared" si="2"/>
        <v>T+68</v>
      </c>
      <c r="BU3" s="1208" t="str">
        <f t="shared" si="2"/>
        <v>T+69</v>
      </c>
      <c r="BV3" s="1208" t="str">
        <f t="shared" si="2"/>
        <v>T+70</v>
      </c>
      <c r="BW3" s="1208" t="str">
        <f t="shared" si="2"/>
        <v>T+71</v>
      </c>
      <c r="BX3" s="1208" t="str">
        <f t="shared" si="2"/>
        <v>T+72</v>
      </c>
      <c r="BY3" s="1208" t="str">
        <f t="shared" si="2"/>
        <v>T+73</v>
      </c>
      <c r="BZ3" s="1208" t="str">
        <f t="shared" si="2"/>
        <v>T+74</v>
      </c>
      <c r="CA3" s="1208" t="str">
        <f t="shared" si="2"/>
        <v>T+75</v>
      </c>
      <c r="CB3" s="1208" t="str">
        <f t="shared" si="2"/>
        <v>T+76</v>
      </c>
      <c r="CC3" s="1208" t="str">
        <f t="shared" si="2"/>
        <v>T+77</v>
      </c>
      <c r="CD3" s="1208" t="str">
        <f t="shared" si="2"/>
        <v>T+78</v>
      </c>
      <c r="CE3" s="1208" t="str">
        <f t="shared" si="2"/>
        <v>T+79</v>
      </c>
      <c r="CF3" s="1208" t="str">
        <f t="shared" si="2"/>
        <v>T+80</v>
      </c>
      <c r="CG3" s="1208" t="str">
        <f t="shared" si="2"/>
        <v>T+81</v>
      </c>
      <c r="CH3" s="1208" t="str">
        <f t="shared" si="2"/>
        <v>T+82</v>
      </c>
      <c r="CI3" s="1208" t="str">
        <f t="shared" si="2"/>
        <v>T+83</v>
      </c>
      <c r="CJ3" s="1208" t="str">
        <f t="shared" si="2"/>
        <v>T+84</v>
      </c>
      <c r="CK3" s="1208" t="str">
        <f t="shared" si="2"/>
        <v>T+85</v>
      </c>
      <c r="CL3" s="1208" t="str">
        <f t="shared" si="2"/>
        <v>T+86</v>
      </c>
      <c r="CM3" s="1208" t="str">
        <f t="shared" si="2"/>
        <v>T+87</v>
      </c>
      <c r="CN3" s="1208" t="str">
        <f t="shared" si="2"/>
        <v>T+88</v>
      </c>
      <c r="CO3" s="1208" t="str">
        <f t="shared" si="2"/>
        <v>T+89</v>
      </c>
      <c r="CP3" s="1208" t="str">
        <f t="shared" si="2"/>
        <v>T+90</v>
      </c>
      <c r="CQ3" s="1208" t="str">
        <f t="shared" si="2"/>
        <v>T+91</v>
      </c>
      <c r="CR3" s="1208" t="str">
        <f t="shared" si="2"/>
        <v>T+92</v>
      </c>
      <c r="CS3" s="1208" t="str">
        <f t="shared" si="2"/>
        <v>T+93</v>
      </c>
      <c r="CT3" s="1208" t="str">
        <f t="shared" si="2"/>
        <v>T+94</v>
      </c>
      <c r="CU3" s="1208" t="str">
        <f t="shared" si="2"/>
        <v>T+95</v>
      </c>
      <c r="CV3" s="1208" t="str">
        <f t="shared" si="2"/>
        <v>T+96</v>
      </c>
      <c r="CW3" s="1208" t="str">
        <f t="shared" ref="CW3:DS3" si="3">"T+" &amp; (COLUMN(CW3)-COLUMN($D3))</f>
        <v>T+97</v>
      </c>
      <c r="CX3" s="1208" t="str">
        <f t="shared" si="3"/>
        <v>T+98</v>
      </c>
      <c r="CY3" s="1208" t="str">
        <f t="shared" si="3"/>
        <v>T+99</v>
      </c>
      <c r="CZ3" s="1208" t="str">
        <f t="shared" si="3"/>
        <v>T+100</v>
      </c>
      <c r="DA3" s="1208" t="str">
        <f t="shared" si="3"/>
        <v>T+101</v>
      </c>
      <c r="DB3" s="1208" t="str">
        <f t="shared" si="3"/>
        <v>T+102</v>
      </c>
      <c r="DC3" s="1208" t="str">
        <f t="shared" si="3"/>
        <v>T+103</v>
      </c>
      <c r="DD3" s="1208" t="str">
        <f t="shared" si="3"/>
        <v>T+104</v>
      </c>
      <c r="DE3" s="1208" t="str">
        <f t="shared" si="3"/>
        <v>T+105</v>
      </c>
      <c r="DF3" s="1208" t="str">
        <f t="shared" si="3"/>
        <v>T+106</v>
      </c>
      <c r="DG3" s="1208" t="str">
        <f t="shared" si="3"/>
        <v>T+107</v>
      </c>
      <c r="DH3" s="1208" t="str">
        <f t="shared" si="3"/>
        <v>T+108</v>
      </c>
      <c r="DI3" s="1208" t="str">
        <f t="shared" si="3"/>
        <v>T+109</v>
      </c>
      <c r="DJ3" s="1208" t="str">
        <f t="shared" si="3"/>
        <v>T+110</v>
      </c>
      <c r="DK3" s="1208" t="str">
        <f t="shared" si="3"/>
        <v>T+111</v>
      </c>
      <c r="DL3" s="1208" t="str">
        <f t="shared" si="3"/>
        <v>T+112</v>
      </c>
      <c r="DM3" s="1208" t="str">
        <f t="shared" si="3"/>
        <v>T+113</v>
      </c>
      <c r="DN3" s="1208" t="str">
        <f t="shared" si="3"/>
        <v>T+114</v>
      </c>
      <c r="DO3" s="1208" t="str">
        <f t="shared" si="3"/>
        <v>T+115</v>
      </c>
      <c r="DP3" s="1208" t="str">
        <f t="shared" si="3"/>
        <v>T+116</v>
      </c>
      <c r="DQ3" s="1208" t="str">
        <f t="shared" si="3"/>
        <v>T+117</v>
      </c>
      <c r="DR3" s="1208" t="str">
        <f t="shared" si="3"/>
        <v>T+118</v>
      </c>
      <c r="DS3" s="1208" t="str">
        <f t="shared" si="3"/>
        <v>T+119</v>
      </c>
      <c r="DT3" s="727"/>
    </row>
    <row r="4" spans="1:124" ht="15" customHeight="1" x14ac:dyDescent="0.25">
      <c r="A4" s="821"/>
      <c r="B4" s="1217" t="s">
        <v>1489</v>
      </c>
      <c r="C4" s="1218"/>
      <c r="D4" s="1648"/>
      <c r="E4" s="1649"/>
      <c r="F4" s="1649"/>
      <c r="G4" s="1649"/>
      <c r="H4" s="1649"/>
      <c r="I4" s="1649"/>
      <c r="J4" s="1649"/>
      <c r="K4" s="1649"/>
      <c r="L4" s="1649"/>
      <c r="M4" s="1649"/>
      <c r="N4" s="1649"/>
      <c r="O4" s="1649"/>
      <c r="P4" s="1649"/>
      <c r="Q4" s="1649"/>
      <c r="R4" s="1649"/>
      <c r="S4" s="1649"/>
      <c r="T4" s="1649"/>
      <c r="U4" s="1649"/>
      <c r="V4" s="1649"/>
      <c r="W4" s="1649"/>
      <c r="X4" s="1649"/>
      <c r="Y4" s="1649"/>
      <c r="Z4" s="1649"/>
      <c r="AA4" s="1649"/>
      <c r="AB4" s="1649"/>
      <c r="AC4" s="1649"/>
      <c r="AD4" s="1649"/>
      <c r="AE4" s="1649"/>
      <c r="AF4" s="1649"/>
      <c r="AG4" s="1649"/>
      <c r="AH4" s="1649"/>
      <c r="AI4" s="1649"/>
      <c r="AJ4" s="1649"/>
      <c r="AK4" s="1649"/>
      <c r="AL4" s="1649"/>
      <c r="AM4" s="1649"/>
      <c r="AN4" s="1649"/>
      <c r="AO4" s="1649"/>
      <c r="AP4" s="1649"/>
      <c r="AQ4" s="1649"/>
      <c r="AR4" s="1649"/>
      <c r="AS4" s="1649"/>
      <c r="AT4" s="1649"/>
      <c r="AU4" s="1649"/>
      <c r="AV4" s="1649"/>
      <c r="AW4" s="1649"/>
      <c r="AX4" s="1649"/>
      <c r="AY4" s="1649"/>
      <c r="AZ4" s="1649"/>
      <c r="BA4" s="1649"/>
      <c r="BB4" s="1649"/>
      <c r="BC4" s="1649"/>
      <c r="BD4" s="1649"/>
      <c r="BE4" s="1649"/>
      <c r="BF4" s="1649"/>
      <c r="BG4" s="1649"/>
      <c r="BH4" s="1649"/>
      <c r="BI4" s="1649"/>
      <c r="BJ4" s="1649"/>
      <c r="BK4" s="1649"/>
      <c r="BL4" s="1649"/>
      <c r="BM4" s="1649"/>
      <c r="BN4" s="1649"/>
      <c r="BO4" s="1649"/>
      <c r="BP4" s="1649"/>
      <c r="BQ4" s="1649"/>
      <c r="BR4" s="1649"/>
      <c r="BS4" s="1649"/>
      <c r="BT4" s="1649"/>
      <c r="BU4" s="1649"/>
      <c r="BV4" s="1649"/>
      <c r="BW4" s="1649"/>
      <c r="BX4" s="1649"/>
      <c r="BY4" s="1649"/>
      <c r="BZ4" s="1649"/>
      <c r="CA4" s="1649"/>
      <c r="CB4" s="1649"/>
      <c r="CC4" s="1649"/>
      <c r="CD4" s="1649"/>
      <c r="CE4" s="1649"/>
      <c r="CF4" s="1649"/>
      <c r="CG4" s="1649"/>
      <c r="CH4" s="1649"/>
      <c r="CI4" s="1649"/>
      <c r="CJ4" s="1649"/>
      <c r="CK4" s="1649"/>
      <c r="CL4" s="1649"/>
      <c r="CM4" s="1649"/>
      <c r="CN4" s="1649"/>
      <c r="CO4" s="1649"/>
      <c r="CP4" s="1649"/>
      <c r="CQ4" s="1649"/>
      <c r="CR4" s="1649"/>
      <c r="CS4" s="1649"/>
      <c r="CT4" s="1649"/>
      <c r="CU4" s="1649"/>
      <c r="CV4" s="1649"/>
      <c r="CW4" s="1649"/>
      <c r="CX4" s="1649"/>
      <c r="CY4" s="1649"/>
      <c r="CZ4" s="1649"/>
      <c r="DA4" s="1649"/>
      <c r="DB4" s="1649"/>
      <c r="DC4" s="1649"/>
      <c r="DD4" s="1649"/>
      <c r="DE4" s="1649"/>
      <c r="DF4" s="1649"/>
      <c r="DG4" s="1649"/>
      <c r="DH4" s="1649"/>
      <c r="DI4" s="1649"/>
      <c r="DJ4" s="1649"/>
      <c r="DK4" s="1649"/>
      <c r="DL4" s="1649"/>
      <c r="DM4" s="1649"/>
      <c r="DN4" s="1649"/>
      <c r="DO4" s="1649"/>
      <c r="DP4" s="1649"/>
      <c r="DQ4" s="1649"/>
      <c r="DR4" s="1649"/>
      <c r="DS4" s="1649"/>
      <c r="DT4" s="727"/>
    </row>
    <row r="5" spans="1:124" ht="15" customHeight="1" x14ac:dyDescent="0.25">
      <c r="A5" s="748"/>
      <c r="B5" s="749"/>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749"/>
      <c r="AF5" s="749"/>
      <c r="AG5" s="749"/>
      <c r="AH5" s="749"/>
      <c r="AI5" s="749"/>
      <c r="AJ5" s="749"/>
      <c r="AK5" s="749"/>
      <c r="AL5" s="749"/>
      <c r="AM5" s="749"/>
      <c r="AN5" s="749"/>
      <c r="AO5" s="749"/>
      <c r="AP5" s="749"/>
      <c r="AQ5" s="749"/>
      <c r="AR5" s="749"/>
      <c r="AS5" s="749"/>
      <c r="AT5" s="749"/>
      <c r="AU5" s="749"/>
      <c r="AV5" s="749"/>
      <c r="AW5" s="749"/>
      <c r="AX5" s="749"/>
      <c r="AY5" s="749"/>
      <c r="AZ5" s="749"/>
      <c r="BA5" s="749"/>
      <c r="BB5" s="749"/>
      <c r="BC5" s="749"/>
      <c r="BD5" s="749"/>
      <c r="BE5" s="749"/>
      <c r="BF5" s="749"/>
      <c r="BG5" s="749"/>
      <c r="BH5" s="749"/>
      <c r="BI5" s="749"/>
      <c r="BJ5" s="749"/>
      <c r="BK5" s="749"/>
      <c r="BL5" s="749"/>
      <c r="BM5" s="749"/>
      <c r="BN5" s="749"/>
      <c r="BO5" s="749"/>
      <c r="BP5" s="749"/>
      <c r="BQ5" s="749"/>
      <c r="BR5" s="749"/>
      <c r="BS5" s="749"/>
      <c r="BT5" s="749"/>
      <c r="BU5" s="749"/>
      <c r="BV5" s="749"/>
      <c r="BW5" s="749"/>
      <c r="BX5" s="749"/>
      <c r="BY5" s="749"/>
      <c r="BZ5" s="749"/>
      <c r="CA5" s="749"/>
      <c r="CB5" s="749"/>
      <c r="CC5" s="749"/>
      <c r="CD5" s="749"/>
      <c r="CE5" s="749"/>
      <c r="CF5" s="749"/>
      <c r="CG5" s="749"/>
      <c r="CH5" s="749"/>
      <c r="CI5" s="749"/>
      <c r="CJ5" s="749"/>
      <c r="CK5" s="749"/>
      <c r="CL5" s="749"/>
      <c r="CM5" s="749"/>
      <c r="CN5" s="749"/>
      <c r="CO5" s="749"/>
      <c r="CP5" s="749"/>
      <c r="CQ5" s="749"/>
      <c r="CR5" s="749"/>
      <c r="CS5" s="749"/>
      <c r="CT5" s="749"/>
      <c r="CU5" s="749"/>
      <c r="CV5" s="749"/>
      <c r="CW5" s="749"/>
      <c r="CX5" s="749"/>
      <c r="CY5" s="749"/>
      <c r="CZ5" s="749"/>
      <c r="DA5" s="749"/>
      <c r="DB5" s="749"/>
      <c r="DC5" s="749"/>
      <c r="DD5" s="749"/>
      <c r="DE5" s="749"/>
      <c r="DF5" s="749"/>
      <c r="DG5" s="749"/>
      <c r="DH5" s="749"/>
      <c r="DI5" s="749"/>
      <c r="DJ5" s="749"/>
      <c r="DK5" s="749"/>
      <c r="DL5" s="749"/>
      <c r="DM5" s="749"/>
      <c r="DN5" s="749"/>
      <c r="DO5" s="749"/>
      <c r="DP5" s="749"/>
      <c r="DQ5" s="749"/>
      <c r="DR5" s="749"/>
      <c r="DS5" s="749"/>
      <c r="DT5" s="750"/>
    </row>
    <row r="6" spans="1:124" s="735" customFormat="1" ht="45" customHeight="1" x14ac:dyDescent="0.25">
      <c r="A6" s="733" t="s">
        <v>1488</v>
      </c>
      <c r="B6" s="722"/>
      <c r="C6" s="734"/>
      <c r="DT6" s="422"/>
    </row>
    <row r="7" spans="1:124" ht="15" customHeight="1" x14ac:dyDescent="0.25">
      <c r="A7" s="821"/>
      <c r="B7" s="949" t="s">
        <v>792</v>
      </c>
      <c r="C7" s="1497" t="s">
        <v>791</v>
      </c>
      <c r="D7" s="1497" t="s">
        <v>1490</v>
      </c>
      <c r="E7" s="1497" t="str">
        <f t="shared" ref="E7:BP7" si="4">"T+" &amp; (COLUMN(E7)-COLUMN($D7))</f>
        <v>T+1</v>
      </c>
      <c r="F7" s="1497" t="str">
        <f t="shared" si="4"/>
        <v>T+2</v>
      </c>
      <c r="G7" s="1497" t="str">
        <f t="shared" si="4"/>
        <v>T+3</v>
      </c>
      <c r="H7" s="1497" t="str">
        <f t="shared" si="4"/>
        <v>T+4</v>
      </c>
      <c r="I7" s="1497" t="str">
        <f t="shared" si="4"/>
        <v>T+5</v>
      </c>
      <c r="J7" s="1497" t="str">
        <f t="shared" si="4"/>
        <v>T+6</v>
      </c>
      <c r="K7" s="1497" t="str">
        <f t="shared" si="4"/>
        <v>T+7</v>
      </c>
      <c r="L7" s="1497" t="str">
        <f t="shared" si="4"/>
        <v>T+8</v>
      </c>
      <c r="M7" s="1497" t="str">
        <f t="shared" si="4"/>
        <v>T+9</v>
      </c>
      <c r="N7" s="1497" t="str">
        <f t="shared" si="4"/>
        <v>T+10</v>
      </c>
      <c r="O7" s="1497" t="str">
        <f t="shared" si="4"/>
        <v>T+11</v>
      </c>
      <c r="P7" s="1497" t="str">
        <f t="shared" si="4"/>
        <v>T+12</v>
      </c>
      <c r="Q7" s="1497" t="str">
        <f t="shared" si="4"/>
        <v>T+13</v>
      </c>
      <c r="R7" s="1497" t="str">
        <f t="shared" si="4"/>
        <v>T+14</v>
      </c>
      <c r="S7" s="1497" t="str">
        <f t="shared" si="4"/>
        <v>T+15</v>
      </c>
      <c r="T7" s="1497" t="str">
        <f t="shared" si="4"/>
        <v>T+16</v>
      </c>
      <c r="U7" s="1497" t="str">
        <f t="shared" si="4"/>
        <v>T+17</v>
      </c>
      <c r="V7" s="1497" t="str">
        <f t="shared" si="4"/>
        <v>T+18</v>
      </c>
      <c r="W7" s="1497" t="str">
        <f t="shared" si="4"/>
        <v>T+19</v>
      </c>
      <c r="X7" s="1497" t="str">
        <f t="shared" si="4"/>
        <v>T+20</v>
      </c>
      <c r="Y7" s="1497" t="str">
        <f t="shared" si="4"/>
        <v>T+21</v>
      </c>
      <c r="Z7" s="1497" t="str">
        <f t="shared" si="4"/>
        <v>T+22</v>
      </c>
      <c r="AA7" s="1497" t="str">
        <f t="shared" si="4"/>
        <v>T+23</v>
      </c>
      <c r="AB7" s="1497" t="str">
        <f t="shared" si="4"/>
        <v>T+24</v>
      </c>
      <c r="AC7" s="1497" t="str">
        <f t="shared" si="4"/>
        <v>T+25</v>
      </c>
      <c r="AD7" s="1497" t="str">
        <f t="shared" si="4"/>
        <v>T+26</v>
      </c>
      <c r="AE7" s="1497" t="str">
        <f t="shared" si="4"/>
        <v>T+27</v>
      </c>
      <c r="AF7" s="1497" t="str">
        <f t="shared" si="4"/>
        <v>T+28</v>
      </c>
      <c r="AG7" s="1497" t="str">
        <f t="shared" si="4"/>
        <v>T+29</v>
      </c>
      <c r="AH7" s="1497" t="str">
        <f t="shared" si="4"/>
        <v>T+30</v>
      </c>
      <c r="AI7" s="1497" t="str">
        <f t="shared" si="4"/>
        <v>T+31</v>
      </c>
      <c r="AJ7" s="1497" t="str">
        <f t="shared" si="4"/>
        <v>T+32</v>
      </c>
      <c r="AK7" s="1497" t="str">
        <f t="shared" si="4"/>
        <v>T+33</v>
      </c>
      <c r="AL7" s="1497" t="str">
        <f t="shared" si="4"/>
        <v>T+34</v>
      </c>
      <c r="AM7" s="1497" t="str">
        <f t="shared" si="4"/>
        <v>T+35</v>
      </c>
      <c r="AN7" s="1497" t="str">
        <f t="shared" si="4"/>
        <v>T+36</v>
      </c>
      <c r="AO7" s="1497" t="str">
        <f t="shared" si="4"/>
        <v>T+37</v>
      </c>
      <c r="AP7" s="1497" t="str">
        <f t="shared" si="4"/>
        <v>T+38</v>
      </c>
      <c r="AQ7" s="1497" t="str">
        <f t="shared" si="4"/>
        <v>T+39</v>
      </c>
      <c r="AR7" s="1497" t="str">
        <f t="shared" si="4"/>
        <v>T+40</v>
      </c>
      <c r="AS7" s="1497" t="str">
        <f t="shared" si="4"/>
        <v>T+41</v>
      </c>
      <c r="AT7" s="1497" t="str">
        <f t="shared" si="4"/>
        <v>T+42</v>
      </c>
      <c r="AU7" s="1497" t="str">
        <f t="shared" si="4"/>
        <v>T+43</v>
      </c>
      <c r="AV7" s="1497" t="str">
        <f t="shared" si="4"/>
        <v>T+44</v>
      </c>
      <c r="AW7" s="1497" t="str">
        <f t="shared" si="4"/>
        <v>T+45</v>
      </c>
      <c r="AX7" s="1497" t="str">
        <f t="shared" si="4"/>
        <v>T+46</v>
      </c>
      <c r="AY7" s="1497" t="str">
        <f t="shared" si="4"/>
        <v>T+47</v>
      </c>
      <c r="AZ7" s="1497" t="str">
        <f t="shared" si="4"/>
        <v>T+48</v>
      </c>
      <c r="BA7" s="1497" t="str">
        <f t="shared" si="4"/>
        <v>T+49</v>
      </c>
      <c r="BB7" s="1497" t="str">
        <f t="shared" si="4"/>
        <v>T+50</v>
      </c>
      <c r="BC7" s="1497" t="str">
        <f t="shared" si="4"/>
        <v>T+51</v>
      </c>
      <c r="BD7" s="1497" t="str">
        <f t="shared" si="4"/>
        <v>T+52</v>
      </c>
      <c r="BE7" s="1497" t="str">
        <f t="shared" si="4"/>
        <v>T+53</v>
      </c>
      <c r="BF7" s="1497" t="str">
        <f t="shared" si="4"/>
        <v>T+54</v>
      </c>
      <c r="BG7" s="1497" t="str">
        <f t="shared" si="4"/>
        <v>T+55</v>
      </c>
      <c r="BH7" s="1497" t="str">
        <f t="shared" si="4"/>
        <v>T+56</v>
      </c>
      <c r="BI7" s="1497" t="str">
        <f t="shared" si="4"/>
        <v>T+57</v>
      </c>
      <c r="BJ7" s="1497" t="str">
        <f t="shared" si="4"/>
        <v>T+58</v>
      </c>
      <c r="BK7" s="1497" t="str">
        <f t="shared" si="4"/>
        <v>T+59</v>
      </c>
      <c r="BL7" s="1497" t="str">
        <f t="shared" si="4"/>
        <v>T+60</v>
      </c>
      <c r="BM7" s="1497" t="str">
        <f t="shared" si="4"/>
        <v>T+61</v>
      </c>
      <c r="BN7" s="1497" t="str">
        <f t="shared" si="4"/>
        <v>T+62</v>
      </c>
      <c r="BO7" s="1497" t="str">
        <f t="shared" si="4"/>
        <v>T+63</v>
      </c>
      <c r="BP7" s="1497" t="str">
        <f t="shared" si="4"/>
        <v>T+64</v>
      </c>
      <c r="BQ7" s="1497" t="str">
        <f t="shared" ref="BQ7:DS7" si="5">"T+" &amp; (COLUMN(BQ7)-COLUMN($D7))</f>
        <v>T+65</v>
      </c>
      <c r="BR7" s="1497" t="str">
        <f t="shared" si="5"/>
        <v>T+66</v>
      </c>
      <c r="BS7" s="1497" t="str">
        <f t="shared" si="5"/>
        <v>T+67</v>
      </c>
      <c r="BT7" s="1497" t="str">
        <f t="shared" si="5"/>
        <v>T+68</v>
      </c>
      <c r="BU7" s="1497" t="str">
        <f t="shared" si="5"/>
        <v>T+69</v>
      </c>
      <c r="BV7" s="1497" t="str">
        <f t="shared" si="5"/>
        <v>T+70</v>
      </c>
      <c r="BW7" s="1497" t="str">
        <f t="shared" si="5"/>
        <v>T+71</v>
      </c>
      <c r="BX7" s="1497" t="str">
        <f t="shared" si="5"/>
        <v>T+72</v>
      </c>
      <c r="BY7" s="1497" t="str">
        <f t="shared" si="5"/>
        <v>T+73</v>
      </c>
      <c r="BZ7" s="1497" t="str">
        <f t="shared" si="5"/>
        <v>T+74</v>
      </c>
      <c r="CA7" s="1497" t="str">
        <f t="shared" si="5"/>
        <v>T+75</v>
      </c>
      <c r="CB7" s="1497" t="str">
        <f t="shared" si="5"/>
        <v>T+76</v>
      </c>
      <c r="CC7" s="1497" t="str">
        <f t="shared" si="5"/>
        <v>T+77</v>
      </c>
      <c r="CD7" s="1497" t="str">
        <f t="shared" si="5"/>
        <v>T+78</v>
      </c>
      <c r="CE7" s="1497" t="str">
        <f t="shared" si="5"/>
        <v>T+79</v>
      </c>
      <c r="CF7" s="1497" t="str">
        <f t="shared" si="5"/>
        <v>T+80</v>
      </c>
      <c r="CG7" s="1497" t="str">
        <f t="shared" si="5"/>
        <v>T+81</v>
      </c>
      <c r="CH7" s="1497" t="str">
        <f t="shared" si="5"/>
        <v>T+82</v>
      </c>
      <c r="CI7" s="1497" t="str">
        <f t="shared" si="5"/>
        <v>T+83</v>
      </c>
      <c r="CJ7" s="1497" t="str">
        <f t="shared" si="5"/>
        <v>T+84</v>
      </c>
      <c r="CK7" s="1497" t="str">
        <f t="shared" si="5"/>
        <v>T+85</v>
      </c>
      <c r="CL7" s="1497" t="str">
        <f t="shared" si="5"/>
        <v>T+86</v>
      </c>
      <c r="CM7" s="1497" t="str">
        <f t="shared" si="5"/>
        <v>T+87</v>
      </c>
      <c r="CN7" s="1497" t="str">
        <f t="shared" si="5"/>
        <v>T+88</v>
      </c>
      <c r="CO7" s="1497" t="str">
        <f t="shared" si="5"/>
        <v>T+89</v>
      </c>
      <c r="CP7" s="1497" t="str">
        <f t="shared" si="5"/>
        <v>T+90</v>
      </c>
      <c r="CQ7" s="1497" t="str">
        <f t="shared" si="5"/>
        <v>T+91</v>
      </c>
      <c r="CR7" s="1497" t="str">
        <f t="shared" si="5"/>
        <v>T+92</v>
      </c>
      <c r="CS7" s="1497" t="str">
        <f t="shared" si="5"/>
        <v>T+93</v>
      </c>
      <c r="CT7" s="1497" t="str">
        <f t="shared" si="5"/>
        <v>T+94</v>
      </c>
      <c r="CU7" s="1497" t="str">
        <f t="shared" si="5"/>
        <v>T+95</v>
      </c>
      <c r="CV7" s="1497" t="str">
        <f t="shared" si="5"/>
        <v>T+96</v>
      </c>
      <c r="CW7" s="1497" t="str">
        <f t="shared" si="5"/>
        <v>T+97</v>
      </c>
      <c r="CX7" s="1497" t="str">
        <f t="shared" si="5"/>
        <v>T+98</v>
      </c>
      <c r="CY7" s="1497" t="str">
        <f t="shared" si="5"/>
        <v>T+99</v>
      </c>
      <c r="CZ7" s="1497" t="str">
        <f t="shared" si="5"/>
        <v>T+100</v>
      </c>
      <c r="DA7" s="1497" t="str">
        <f t="shared" si="5"/>
        <v>T+101</v>
      </c>
      <c r="DB7" s="1497" t="str">
        <f t="shared" si="5"/>
        <v>T+102</v>
      </c>
      <c r="DC7" s="1497" t="str">
        <f t="shared" si="5"/>
        <v>T+103</v>
      </c>
      <c r="DD7" s="1497" t="str">
        <f t="shared" si="5"/>
        <v>T+104</v>
      </c>
      <c r="DE7" s="1497" t="str">
        <f t="shared" si="5"/>
        <v>T+105</v>
      </c>
      <c r="DF7" s="1497" t="str">
        <f t="shared" si="5"/>
        <v>T+106</v>
      </c>
      <c r="DG7" s="1497" t="str">
        <f t="shared" si="5"/>
        <v>T+107</v>
      </c>
      <c r="DH7" s="1497" t="str">
        <f t="shared" si="5"/>
        <v>T+108</v>
      </c>
      <c r="DI7" s="1497" t="str">
        <f t="shared" si="5"/>
        <v>T+109</v>
      </c>
      <c r="DJ7" s="1497" t="str">
        <f t="shared" si="5"/>
        <v>T+110</v>
      </c>
      <c r="DK7" s="1497" t="str">
        <f t="shared" si="5"/>
        <v>T+111</v>
      </c>
      <c r="DL7" s="1497" t="str">
        <f t="shared" si="5"/>
        <v>T+112</v>
      </c>
      <c r="DM7" s="1497" t="str">
        <f t="shared" si="5"/>
        <v>T+113</v>
      </c>
      <c r="DN7" s="1497" t="str">
        <f t="shared" si="5"/>
        <v>T+114</v>
      </c>
      <c r="DO7" s="1497" t="str">
        <f t="shared" si="5"/>
        <v>T+115</v>
      </c>
      <c r="DP7" s="1497" t="str">
        <f t="shared" si="5"/>
        <v>T+116</v>
      </c>
      <c r="DQ7" s="1497" t="str">
        <f t="shared" si="5"/>
        <v>T+117</v>
      </c>
      <c r="DR7" s="1497" t="str">
        <f t="shared" si="5"/>
        <v>T+118</v>
      </c>
      <c r="DS7" s="1497" t="str">
        <f t="shared" si="5"/>
        <v>T+119</v>
      </c>
      <c r="DT7" s="727"/>
    </row>
    <row r="8" spans="1:124" ht="15" customHeight="1" x14ac:dyDescent="0.25">
      <c r="A8" s="821"/>
      <c r="B8" s="971" t="str">
        <f>"Desk " &amp; (ROW(B8)-ROW(B$7))</f>
        <v>Desk 1</v>
      </c>
      <c r="C8" s="1219" t="str">
        <f>IF('TB IMA'!C5&lt;&gt;"",'TB IMA'!C5,"")</f>
        <v/>
      </c>
      <c r="D8" s="431"/>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2"/>
      <c r="AY8" s="432"/>
      <c r="AZ8" s="432"/>
      <c r="BA8" s="432"/>
      <c r="BB8" s="432"/>
      <c r="BC8" s="432"/>
      <c r="BD8" s="432"/>
      <c r="BE8" s="432"/>
      <c r="BF8" s="432"/>
      <c r="BG8" s="432"/>
      <c r="BH8" s="432"/>
      <c r="BI8" s="432"/>
      <c r="BJ8" s="432"/>
      <c r="BK8" s="432"/>
      <c r="BL8" s="432"/>
      <c r="BM8" s="432"/>
      <c r="BN8" s="432"/>
      <c r="BO8" s="432"/>
      <c r="BP8" s="432"/>
      <c r="BQ8" s="432"/>
      <c r="BR8" s="432"/>
      <c r="BS8" s="432"/>
      <c r="BT8" s="432"/>
      <c r="BU8" s="432"/>
      <c r="BV8" s="432"/>
      <c r="BW8" s="432"/>
      <c r="BX8" s="432"/>
      <c r="BY8" s="432"/>
      <c r="BZ8" s="432"/>
      <c r="CA8" s="432"/>
      <c r="CB8" s="432"/>
      <c r="CC8" s="432"/>
      <c r="CD8" s="432"/>
      <c r="CE8" s="432"/>
      <c r="CF8" s="432"/>
      <c r="CG8" s="432"/>
      <c r="CH8" s="432"/>
      <c r="CI8" s="432"/>
      <c r="CJ8" s="432"/>
      <c r="CK8" s="432"/>
      <c r="CL8" s="432"/>
      <c r="CM8" s="432"/>
      <c r="CN8" s="432"/>
      <c r="CO8" s="432"/>
      <c r="CP8" s="432"/>
      <c r="CQ8" s="432"/>
      <c r="CR8" s="432"/>
      <c r="CS8" s="432"/>
      <c r="CT8" s="432"/>
      <c r="CU8" s="432"/>
      <c r="CV8" s="432"/>
      <c r="CW8" s="432"/>
      <c r="CX8" s="432"/>
      <c r="CY8" s="432"/>
      <c r="CZ8" s="432"/>
      <c r="DA8" s="432"/>
      <c r="DB8" s="432"/>
      <c r="DC8" s="432"/>
      <c r="DD8" s="432"/>
      <c r="DE8" s="432"/>
      <c r="DF8" s="432"/>
      <c r="DG8" s="432"/>
      <c r="DH8" s="432"/>
      <c r="DI8" s="432"/>
      <c r="DJ8" s="432"/>
      <c r="DK8" s="432"/>
      <c r="DL8" s="432"/>
      <c r="DM8" s="432"/>
      <c r="DN8" s="432"/>
      <c r="DO8" s="432"/>
      <c r="DP8" s="432"/>
      <c r="DQ8" s="432"/>
      <c r="DR8" s="432"/>
      <c r="DS8" s="432"/>
      <c r="DT8" s="727"/>
    </row>
    <row r="9" spans="1:124" ht="15" customHeight="1" x14ac:dyDescent="0.25">
      <c r="A9" s="821"/>
      <c r="B9" s="953" t="str">
        <f t="shared" ref="B9:B72" si="6">"Desk " &amp; (ROW(B9)-ROW(B$7))</f>
        <v>Desk 2</v>
      </c>
      <c r="C9" s="1220" t="str">
        <f>IF('TB IMA'!C6&lt;&gt;"",'TB IMA'!C6,"")</f>
        <v/>
      </c>
      <c r="D9" s="60"/>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727"/>
    </row>
    <row r="10" spans="1:124" ht="15" customHeight="1" x14ac:dyDescent="0.25">
      <c r="A10" s="821"/>
      <c r="B10" s="953" t="str">
        <f t="shared" si="6"/>
        <v>Desk 3</v>
      </c>
      <c r="C10" s="1220" t="str">
        <f>IF('TB IMA'!C7&lt;&gt;"",'TB IMA'!C7,"")</f>
        <v/>
      </c>
      <c r="D10" s="60"/>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727"/>
    </row>
    <row r="11" spans="1:124" ht="15" customHeight="1" x14ac:dyDescent="0.25">
      <c r="A11" s="821"/>
      <c r="B11" s="953" t="str">
        <f t="shared" si="6"/>
        <v>Desk 4</v>
      </c>
      <c r="C11" s="1220" t="str">
        <f>IF('TB IMA'!C8&lt;&gt;"",'TB IMA'!C8,"")</f>
        <v/>
      </c>
      <c r="D11" s="60"/>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727"/>
    </row>
    <row r="12" spans="1:124" ht="15" customHeight="1" x14ac:dyDescent="0.25">
      <c r="A12" s="821"/>
      <c r="B12" s="953" t="str">
        <f t="shared" si="6"/>
        <v>Desk 5</v>
      </c>
      <c r="C12" s="1220" t="str">
        <f>IF('TB IMA'!C9&lt;&gt;"",'TB IMA'!C9,"")</f>
        <v/>
      </c>
      <c r="D12" s="60"/>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727"/>
    </row>
    <row r="13" spans="1:124" ht="15" customHeight="1" x14ac:dyDescent="0.25">
      <c r="A13" s="821"/>
      <c r="B13" s="953" t="str">
        <f t="shared" si="6"/>
        <v>Desk 6</v>
      </c>
      <c r="C13" s="1220" t="str">
        <f>IF('TB IMA'!C10&lt;&gt;"",'TB IMA'!C10,"")</f>
        <v/>
      </c>
      <c r="D13" s="60"/>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727"/>
    </row>
    <row r="14" spans="1:124" ht="15" customHeight="1" x14ac:dyDescent="0.25">
      <c r="A14" s="821"/>
      <c r="B14" s="953" t="str">
        <f t="shared" si="6"/>
        <v>Desk 7</v>
      </c>
      <c r="C14" s="1220" t="str">
        <f>IF('TB IMA'!C11&lt;&gt;"",'TB IMA'!C11,"")</f>
        <v/>
      </c>
      <c r="D14" s="60"/>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727"/>
    </row>
    <row r="15" spans="1:124" ht="15" customHeight="1" x14ac:dyDescent="0.25">
      <c r="A15" s="821"/>
      <c r="B15" s="953" t="str">
        <f t="shared" si="6"/>
        <v>Desk 8</v>
      </c>
      <c r="C15" s="1220" t="str">
        <f>IF('TB IMA'!C12&lt;&gt;"",'TB IMA'!C12,"")</f>
        <v/>
      </c>
      <c r="D15" s="60"/>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727"/>
    </row>
    <row r="16" spans="1:124" ht="15" customHeight="1" x14ac:dyDescent="0.25">
      <c r="A16" s="821"/>
      <c r="B16" s="953" t="str">
        <f t="shared" si="6"/>
        <v>Desk 9</v>
      </c>
      <c r="C16" s="1220" t="str">
        <f>IF('TB IMA'!C13&lt;&gt;"",'TB IMA'!C13,"")</f>
        <v/>
      </c>
      <c r="D16" s="60"/>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727"/>
    </row>
    <row r="17" spans="1:124" ht="15" customHeight="1" x14ac:dyDescent="0.25">
      <c r="A17" s="821"/>
      <c r="B17" s="953" t="str">
        <f t="shared" si="6"/>
        <v>Desk 10</v>
      </c>
      <c r="C17" s="1220" t="str">
        <f>IF('TB IMA'!C14&lt;&gt;"",'TB IMA'!C14,"")</f>
        <v/>
      </c>
      <c r="D17" s="60"/>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727"/>
    </row>
    <row r="18" spans="1:124" ht="15" customHeight="1" x14ac:dyDescent="0.25">
      <c r="A18" s="821"/>
      <c r="B18" s="953" t="str">
        <f t="shared" si="6"/>
        <v>Desk 11</v>
      </c>
      <c r="C18" s="1220" t="str">
        <f>IF('TB IMA'!C15&lt;&gt;"",'TB IMA'!C15,"")</f>
        <v/>
      </c>
      <c r="D18" s="60"/>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727"/>
    </row>
    <row r="19" spans="1:124" ht="15" customHeight="1" x14ac:dyDescent="0.25">
      <c r="A19" s="821"/>
      <c r="B19" s="953" t="str">
        <f t="shared" si="6"/>
        <v>Desk 12</v>
      </c>
      <c r="C19" s="1220" t="str">
        <f>IF('TB IMA'!C16&lt;&gt;"",'TB IMA'!C16,"")</f>
        <v/>
      </c>
      <c r="D19" s="60"/>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727"/>
    </row>
    <row r="20" spans="1:124" ht="15" customHeight="1" x14ac:dyDescent="0.25">
      <c r="A20" s="821"/>
      <c r="B20" s="953" t="str">
        <f t="shared" si="6"/>
        <v>Desk 13</v>
      </c>
      <c r="C20" s="1220" t="str">
        <f>IF('TB IMA'!C17&lt;&gt;"",'TB IMA'!C17,"")</f>
        <v/>
      </c>
      <c r="D20" s="60"/>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727"/>
    </row>
    <row r="21" spans="1:124" ht="15" customHeight="1" x14ac:dyDescent="0.25">
      <c r="A21" s="821"/>
      <c r="B21" s="953" t="str">
        <f t="shared" si="6"/>
        <v>Desk 14</v>
      </c>
      <c r="C21" s="1220" t="str">
        <f>IF('TB IMA'!C18&lt;&gt;"",'TB IMA'!C18,"")</f>
        <v/>
      </c>
      <c r="D21" s="60"/>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727"/>
    </row>
    <row r="22" spans="1:124" ht="15" customHeight="1" x14ac:dyDescent="0.25">
      <c r="A22" s="821"/>
      <c r="B22" s="953" t="str">
        <f t="shared" si="6"/>
        <v>Desk 15</v>
      </c>
      <c r="C22" s="1220" t="str">
        <f>IF('TB IMA'!C19&lt;&gt;"",'TB IMA'!C19,"")</f>
        <v/>
      </c>
      <c r="D22" s="60"/>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727"/>
    </row>
    <row r="23" spans="1:124" ht="15" customHeight="1" x14ac:dyDescent="0.25">
      <c r="A23" s="821"/>
      <c r="B23" s="953" t="str">
        <f t="shared" si="6"/>
        <v>Desk 16</v>
      </c>
      <c r="C23" s="1220" t="str">
        <f>IF('TB IMA'!C20&lt;&gt;"",'TB IMA'!C20,"")</f>
        <v/>
      </c>
      <c r="D23" s="60"/>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727"/>
    </row>
    <row r="24" spans="1:124" ht="15" customHeight="1" x14ac:dyDescent="0.25">
      <c r="A24" s="821"/>
      <c r="B24" s="953" t="str">
        <f t="shared" si="6"/>
        <v>Desk 17</v>
      </c>
      <c r="C24" s="1220" t="str">
        <f>IF('TB IMA'!C21&lt;&gt;"",'TB IMA'!C21,"")</f>
        <v/>
      </c>
      <c r="D24" s="60"/>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727"/>
    </row>
    <row r="25" spans="1:124" ht="15" customHeight="1" x14ac:dyDescent="0.25">
      <c r="A25" s="821"/>
      <c r="B25" s="953" t="str">
        <f t="shared" si="6"/>
        <v>Desk 18</v>
      </c>
      <c r="C25" s="1220" t="str">
        <f>IF('TB IMA'!C22&lt;&gt;"",'TB IMA'!C22,"")</f>
        <v/>
      </c>
      <c r="D25" s="60"/>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727"/>
    </row>
    <row r="26" spans="1:124" ht="15" customHeight="1" x14ac:dyDescent="0.25">
      <c r="A26" s="821"/>
      <c r="B26" s="953" t="str">
        <f t="shared" si="6"/>
        <v>Desk 19</v>
      </c>
      <c r="C26" s="1220" t="str">
        <f>IF('TB IMA'!C23&lt;&gt;"",'TB IMA'!C23,"")</f>
        <v/>
      </c>
      <c r="D26" s="60"/>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727"/>
    </row>
    <row r="27" spans="1:124" ht="15" customHeight="1" x14ac:dyDescent="0.25">
      <c r="A27" s="821"/>
      <c r="B27" s="953" t="str">
        <f t="shared" si="6"/>
        <v>Desk 20</v>
      </c>
      <c r="C27" s="1220" t="str">
        <f>IF('TB IMA'!C24&lt;&gt;"",'TB IMA'!C24,"")</f>
        <v/>
      </c>
      <c r="D27" s="60"/>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727"/>
    </row>
    <row r="28" spans="1:124" ht="15" customHeight="1" x14ac:dyDescent="0.25">
      <c r="A28" s="821"/>
      <c r="B28" s="953" t="str">
        <f t="shared" si="6"/>
        <v>Desk 21</v>
      </c>
      <c r="C28" s="1220" t="str">
        <f>IF('TB IMA'!C25&lt;&gt;"",'TB IMA'!C25,"")</f>
        <v/>
      </c>
      <c r="D28" s="60"/>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727"/>
    </row>
    <row r="29" spans="1:124" ht="15" customHeight="1" x14ac:dyDescent="0.25">
      <c r="A29" s="821"/>
      <c r="B29" s="953" t="str">
        <f t="shared" si="6"/>
        <v>Desk 22</v>
      </c>
      <c r="C29" s="1220" t="str">
        <f>IF('TB IMA'!C26&lt;&gt;"",'TB IMA'!C26,"")</f>
        <v/>
      </c>
      <c r="D29" s="60"/>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727"/>
    </row>
    <row r="30" spans="1:124" ht="15" customHeight="1" x14ac:dyDescent="0.25">
      <c r="A30" s="821"/>
      <c r="B30" s="953" t="str">
        <f t="shared" si="6"/>
        <v>Desk 23</v>
      </c>
      <c r="C30" s="1220" t="str">
        <f>IF('TB IMA'!C27&lt;&gt;"",'TB IMA'!C27,"")</f>
        <v/>
      </c>
      <c r="D30" s="60"/>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727"/>
    </row>
    <row r="31" spans="1:124" ht="15" customHeight="1" x14ac:dyDescent="0.25">
      <c r="A31" s="821"/>
      <c r="B31" s="953" t="str">
        <f t="shared" si="6"/>
        <v>Desk 24</v>
      </c>
      <c r="C31" s="1220" t="str">
        <f>IF('TB IMA'!C28&lt;&gt;"",'TB IMA'!C28,"")</f>
        <v/>
      </c>
      <c r="D31" s="60"/>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727"/>
    </row>
    <row r="32" spans="1:124" ht="15" customHeight="1" x14ac:dyDescent="0.25">
      <c r="A32" s="821"/>
      <c r="B32" s="953" t="str">
        <f t="shared" si="6"/>
        <v>Desk 25</v>
      </c>
      <c r="C32" s="1220" t="str">
        <f>IF('TB IMA'!C29&lt;&gt;"",'TB IMA'!C29,"")</f>
        <v/>
      </c>
      <c r="D32" s="60"/>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727"/>
    </row>
    <row r="33" spans="1:124" ht="15" customHeight="1" x14ac:dyDescent="0.25">
      <c r="A33" s="821"/>
      <c r="B33" s="953" t="str">
        <f t="shared" si="6"/>
        <v>Desk 26</v>
      </c>
      <c r="C33" s="1220" t="str">
        <f>IF('TB IMA'!C30&lt;&gt;"",'TB IMA'!C30,"")</f>
        <v/>
      </c>
      <c r="D33" s="60"/>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727"/>
    </row>
    <row r="34" spans="1:124" ht="15" customHeight="1" x14ac:dyDescent="0.25">
      <c r="A34" s="821"/>
      <c r="B34" s="953" t="str">
        <f t="shared" si="6"/>
        <v>Desk 27</v>
      </c>
      <c r="C34" s="1220" t="str">
        <f>IF('TB IMA'!C31&lt;&gt;"",'TB IMA'!C31,"")</f>
        <v/>
      </c>
      <c r="D34" s="60"/>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727"/>
    </row>
    <row r="35" spans="1:124" ht="15" customHeight="1" x14ac:dyDescent="0.25">
      <c r="A35" s="821"/>
      <c r="B35" s="953" t="str">
        <f t="shared" si="6"/>
        <v>Desk 28</v>
      </c>
      <c r="C35" s="1220" t="str">
        <f>IF('TB IMA'!C32&lt;&gt;"",'TB IMA'!C32,"")</f>
        <v/>
      </c>
      <c r="D35" s="60"/>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727"/>
    </row>
    <row r="36" spans="1:124" ht="15" customHeight="1" x14ac:dyDescent="0.25">
      <c r="A36" s="821"/>
      <c r="B36" s="953" t="str">
        <f t="shared" si="6"/>
        <v>Desk 29</v>
      </c>
      <c r="C36" s="1220" t="str">
        <f>IF('TB IMA'!C33&lt;&gt;"",'TB IMA'!C33,"")</f>
        <v/>
      </c>
      <c r="D36" s="60"/>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727"/>
    </row>
    <row r="37" spans="1:124" ht="15" customHeight="1" x14ac:dyDescent="0.25">
      <c r="A37" s="821"/>
      <c r="B37" s="953" t="str">
        <f t="shared" si="6"/>
        <v>Desk 30</v>
      </c>
      <c r="C37" s="1220" t="str">
        <f>IF('TB IMA'!C34&lt;&gt;"",'TB IMA'!C34,"")</f>
        <v/>
      </c>
      <c r="D37" s="60"/>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727"/>
    </row>
    <row r="38" spans="1:124" ht="15" customHeight="1" x14ac:dyDescent="0.25">
      <c r="A38" s="821"/>
      <c r="B38" s="953" t="str">
        <f t="shared" si="6"/>
        <v>Desk 31</v>
      </c>
      <c r="C38" s="1220" t="str">
        <f>IF('TB IMA'!C35&lt;&gt;"",'TB IMA'!C35,"")</f>
        <v/>
      </c>
      <c r="D38" s="60"/>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727"/>
    </row>
    <row r="39" spans="1:124" ht="15" customHeight="1" x14ac:dyDescent="0.25">
      <c r="A39" s="821"/>
      <c r="B39" s="953" t="str">
        <f t="shared" si="6"/>
        <v>Desk 32</v>
      </c>
      <c r="C39" s="1220" t="str">
        <f>IF('TB IMA'!C36&lt;&gt;"",'TB IMA'!C36,"")</f>
        <v/>
      </c>
      <c r="D39" s="60"/>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727"/>
    </row>
    <row r="40" spans="1:124" ht="15" customHeight="1" x14ac:dyDescent="0.25">
      <c r="A40" s="821"/>
      <c r="B40" s="953" t="str">
        <f t="shared" si="6"/>
        <v>Desk 33</v>
      </c>
      <c r="C40" s="1220" t="str">
        <f>IF('TB IMA'!C37&lt;&gt;"",'TB IMA'!C37,"")</f>
        <v/>
      </c>
      <c r="D40" s="60"/>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727"/>
    </row>
    <row r="41" spans="1:124" ht="15" customHeight="1" x14ac:dyDescent="0.25">
      <c r="A41" s="821"/>
      <c r="B41" s="953" t="str">
        <f t="shared" si="6"/>
        <v>Desk 34</v>
      </c>
      <c r="C41" s="1220" t="str">
        <f>IF('TB IMA'!C38&lt;&gt;"",'TB IMA'!C38,"")</f>
        <v/>
      </c>
      <c r="D41" s="60"/>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727"/>
    </row>
    <row r="42" spans="1:124" ht="15" customHeight="1" x14ac:dyDescent="0.25">
      <c r="A42" s="821"/>
      <c r="B42" s="953" t="str">
        <f t="shared" si="6"/>
        <v>Desk 35</v>
      </c>
      <c r="C42" s="1220" t="str">
        <f>IF('TB IMA'!C39&lt;&gt;"",'TB IMA'!C39,"")</f>
        <v/>
      </c>
      <c r="D42" s="60"/>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727"/>
    </row>
    <row r="43" spans="1:124" ht="15" customHeight="1" x14ac:dyDescent="0.25">
      <c r="A43" s="821"/>
      <c r="B43" s="953" t="str">
        <f t="shared" si="6"/>
        <v>Desk 36</v>
      </c>
      <c r="C43" s="1220" t="str">
        <f>IF('TB IMA'!C40&lt;&gt;"",'TB IMA'!C40,"")</f>
        <v/>
      </c>
      <c r="D43" s="60"/>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727"/>
    </row>
    <row r="44" spans="1:124" ht="15" customHeight="1" x14ac:dyDescent="0.25">
      <c r="A44" s="821"/>
      <c r="B44" s="953" t="str">
        <f t="shared" si="6"/>
        <v>Desk 37</v>
      </c>
      <c r="C44" s="1220" t="str">
        <f>IF('TB IMA'!C41&lt;&gt;"",'TB IMA'!C41,"")</f>
        <v/>
      </c>
      <c r="D44" s="60"/>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727"/>
    </row>
    <row r="45" spans="1:124" ht="15" customHeight="1" x14ac:dyDescent="0.25">
      <c r="A45" s="821"/>
      <c r="B45" s="953" t="str">
        <f t="shared" si="6"/>
        <v>Desk 38</v>
      </c>
      <c r="C45" s="1220" t="str">
        <f>IF('TB IMA'!C42&lt;&gt;"",'TB IMA'!C42,"")</f>
        <v/>
      </c>
      <c r="D45" s="60"/>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727"/>
    </row>
    <row r="46" spans="1:124" ht="15" customHeight="1" x14ac:dyDescent="0.25">
      <c r="A46" s="821"/>
      <c r="B46" s="953" t="str">
        <f t="shared" si="6"/>
        <v>Desk 39</v>
      </c>
      <c r="C46" s="1220" t="str">
        <f>IF('TB IMA'!C43&lt;&gt;"",'TB IMA'!C43,"")</f>
        <v/>
      </c>
      <c r="D46" s="60"/>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727"/>
    </row>
    <row r="47" spans="1:124" ht="15" customHeight="1" x14ac:dyDescent="0.25">
      <c r="A47" s="821"/>
      <c r="B47" s="953" t="str">
        <f t="shared" si="6"/>
        <v>Desk 40</v>
      </c>
      <c r="C47" s="1220" t="str">
        <f>IF('TB IMA'!C44&lt;&gt;"",'TB IMA'!C44,"")</f>
        <v/>
      </c>
      <c r="D47" s="60"/>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727"/>
    </row>
    <row r="48" spans="1:124" ht="15" customHeight="1" x14ac:dyDescent="0.25">
      <c r="A48" s="821"/>
      <c r="B48" s="953" t="str">
        <f t="shared" si="6"/>
        <v>Desk 41</v>
      </c>
      <c r="C48" s="1220" t="str">
        <f>IF('TB IMA'!C45&lt;&gt;"",'TB IMA'!C45,"")</f>
        <v/>
      </c>
      <c r="D48" s="60"/>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727"/>
    </row>
    <row r="49" spans="1:124" ht="15" customHeight="1" x14ac:dyDescent="0.25">
      <c r="A49" s="821"/>
      <c r="B49" s="953" t="str">
        <f t="shared" si="6"/>
        <v>Desk 42</v>
      </c>
      <c r="C49" s="1220" t="str">
        <f>IF('TB IMA'!C46&lt;&gt;"",'TB IMA'!C46,"")</f>
        <v/>
      </c>
      <c r="D49" s="60"/>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727"/>
    </row>
    <row r="50" spans="1:124" ht="15" customHeight="1" x14ac:dyDescent="0.25">
      <c r="A50" s="821"/>
      <c r="B50" s="953" t="str">
        <f t="shared" si="6"/>
        <v>Desk 43</v>
      </c>
      <c r="C50" s="1220" t="str">
        <f>IF('TB IMA'!C47&lt;&gt;"",'TB IMA'!C47,"")</f>
        <v/>
      </c>
      <c r="D50" s="60"/>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727"/>
    </row>
    <row r="51" spans="1:124" ht="15" customHeight="1" x14ac:dyDescent="0.25">
      <c r="A51" s="821"/>
      <c r="B51" s="953" t="str">
        <f t="shared" si="6"/>
        <v>Desk 44</v>
      </c>
      <c r="C51" s="1220" t="str">
        <f>IF('TB IMA'!C48&lt;&gt;"",'TB IMA'!C48,"")</f>
        <v/>
      </c>
      <c r="D51" s="60"/>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727"/>
    </row>
    <row r="52" spans="1:124" ht="15" customHeight="1" x14ac:dyDescent="0.25">
      <c r="A52" s="821"/>
      <c r="B52" s="953" t="str">
        <f t="shared" si="6"/>
        <v>Desk 45</v>
      </c>
      <c r="C52" s="1220" t="str">
        <f>IF('TB IMA'!C49&lt;&gt;"",'TB IMA'!C49,"")</f>
        <v/>
      </c>
      <c r="D52" s="60"/>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727"/>
    </row>
    <row r="53" spans="1:124" ht="15" customHeight="1" x14ac:dyDescent="0.25">
      <c r="A53" s="821"/>
      <c r="B53" s="953" t="str">
        <f t="shared" si="6"/>
        <v>Desk 46</v>
      </c>
      <c r="C53" s="1220" t="str">
        <f>IF('TB IMA'!C50&lt;&gt;"",'TB IMA'!C50,"")</f>
        <v/>
      </c>
      <c r="D53" s="60"/>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c r="CJ53" s="107"/>
      <c r="CK53" s="107"/>
      <c r="CL53" s="107"/>
      <c r="CM53" s="107"/>
      <c r="CN53" s="107"/>
      <c r="CO53" s="107"/>
      <c r="CP53" s="107"/>
      <c r="CQ53" s="107"/>
      <c r="CR53" s="107"/>
      <c r="CS53" s="107"/>
      <c r="CT53" s="107"/>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727"/>
    </row>
    <row r="54" spans="1:124" ht="15" customHeight="1" x14ac:dyDescent="0.25">
      <c r="A54" s="821"/>
      <c r="B54" s="953" t="str">
        <f t="shared" si="6"/>
        <v>Desk 47</v>
      </c>
      <c r="C54" s="1220" t="str">
        <f>IF('TB IMA'!C51&lt;&gt;"",'TB IMA'!C51,"")</f>
        <v/>
      </c>
      <c r="D54" s="60"/>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7"/>
      <c r="CK54" s="107"/>
      <c r="CL54" s="107"/>
      <c r="CM54" s="107"/>
      <c r="CN54" s="107"/>
      <c r="CO54" s="107"/>
      <c r="CP54" s="107"/>
      <c r="CQ54" s="107"/>
      <c r="CR54" s="107"/>
      <c r="CS54" s="107"/>
      <c r="CT54" s="107"/>
      <c r="CU54" s="107"/>
      <c r="CV54" s="107"/>
      <c r="CW54" s="107"/>
      <c r="CX54" s="107"/>
      <c r="CY54" s="107"/>
      <c r="CZ54" s="107"/>
      <c r="DA54" s="107"/>
      <c r="DB54" s="107"/>
      <c r="DC54" s="107"/>
      <c r="DD54" s="107"/>
      <c r="DE54" s="107"/>
      <c r="DF54" s="107"/>
      <c r="DG54" s="107"/>
      <c r="DH54" s="107"/>
      <c r="DI54" s="107"/>
      <c r="DJ54" s="107"/>
      <c r="DK54" s="107"/>
      <c r="DL54" s="107"/>
      <c r="DM54" s="107"/>
      <c r="DN54" s="107"/>
      <c r="DO54" s="107"/>
      <c r="DP54" s="107"/>
      <c r="DQ54" s="107"/>
      <c r="DR54" s="107"/>
      <c r="DS54" s="107"/>
      <c r="DT54" s="727"/>
    </row>
    <row r="55" spans="1:124" ht="15" customHeight="1" x14ac:dyDescent="0.25">
      <c r="A55" s="821"/>
      <c r="B55" s="953" t="str">
        <f t="shared" si="6"/>
        <v>Desk 48</v>
      </c>
      <c r="C55" s="1220" t="str">
        <f>IF('TB IMA'!C52&lt;&gt;"",'TB IMA'!C52,"")</f>
        <v/>
      </c>
      <c r="D55" s="60"/>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727"/>
    </row>
    <row r="56" spans="1:124" ht="15" customHeight="1" x14ac:dyDescent="0.25">
      <c r="A56" s="821"/>
      <c r="B56" s="953" t="str">
        <f t="shared" si="6"/>
        <v>Desk 49</v>
      </c>
      <c r="C56" s="1220" t="str">
        <f>IF('TB IMA'!C53&lt;&gt;"",'TB IMA'!C53,"")</f>
        <v/>
      </c>
      <c r="D56" s="60"/>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07"/>
      <c r="DB56" s="107"/>
      <c r="DC56" s="107"/>
      <c r="DD56" s="107"/>
      <c r="DE56" s="107"/>
      <c r="DF56" s="107"/>
      <c r="DG56" s="107"/>
      <c r="DH56" s="107"/>
      <c r="DI56" s="107"/>
      <c r="DJ56" s="107"/>
      <c r="DK56" s="107"/>
      <c r="DL56" s="107"/>
      <c r="DM56" s="107"/>
      <c r="DN56" s="107"/>
      <c r="DO56" s="107"/>
      <c r="DP56" s="107"/>
      <c r="DQ56" s="107"/>
      <c r="DR56" s="107"/>
      <c r="DS56" s="107"/>
      <c r="DT56" s="727"/>
    </row>
    <row r="57" spans="1:124" ht="15" customHeight="1" x14ac:dyDescent="0.25">
      <c r="A57" s="821"/>
      <c r="B57" s="953" t="str">
        <f t="shared" si="6"/>
        <v>Desk 50</v>
      </c>
      <c r="C57" s="1220" t="str">
        <f>IF('TB IMA'!C54&lt;&gt;"",'TB IMA'!C54,"")</f>
        <v/>
      </c>
      <c r="D57" s="60"/>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727"/>
    </row>
    <row r="58" spans="1:124" ht="15" customHeight="1" x14ac:dyDescent="0.25">
      <c r="A58" s="821"/>
      <c r="B58" s="953" t="str">
        <f t="shared" si="6"/>
        <v>Desk 51</v>
      </c>
      <c r="C58" s="1220" t="str">
        <f>IF('TB IMA'!C55&lt;&gt;"",'TB IMA'!C55,"")</f>
        <v/>
      </c>
      <c r="D58" s="60"/>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7"/>
      <c r="DJ58" s="107"/>
      <c r="DK58" s="107"/>
      <c r="DL58" s="107"/>
      <c r="DM58" s="107"/>
      <c r="DN58" s="107"/>
      <c r="DO58" s="107"/>
      <c r="DP58" s="107"/>
      <c r="DQ58" s="107"/>
      <c r="DR58" s="107"/>
      <c r="DS58" s="107"/>
      <c r="DT58" s="727"/>
    </row>
    <row r="59" spans="1:124" ht="15" customHeight="1" x14ac:dyDescent="0.25">
      <c r="A59" s="821"/>
      <c r="B59" s="953" t="str">
        <f t="shared" si="6"/>
        <v>Desk 52</v>
      </c>
      <c r="C59" s="1220" t="str">
        <f>IF('TB IMA'!C56&lt;&gt;"",'TB IMA'!C56,"")</f>
        <v/>
      </c>
      <c r="D59" s="60"/>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727"/>
    </row>
    <row r="60" spans="1:124" ht="15" customHeight="1" x14ac:dyDescent="0.25">
      <c r="A60" s="821"/>
      <c r="B60" s="953" t="str">
        <f t="shared" si="6"/>
        <v>Desk 53</v>
      </c>
      <c r="C60" s="1220" t="str">
        <f>IF('TB IMA'!C57&lt;&gt;"",'TB IMA'!C57,"")</f>
        <v/>
      </c>
      <c r="D60" s="60"/>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727"/>
    </row>
    <row r="61" spans="1:124" ht="15" customHeight="1" x14ac:dyDescent="0.25">
      <c r="A61" s="821"/>
      <c r="B61" s="953" t="str">
        <f t="shared" si="6"/>
        <v>Desk 54</v>
      </c>
      <c r="C61" s="1220" t="str">
        <f>IF('TB IMA'!C58&lt;&gt;"",'TB IMA'!C58,"")</f>
        <v/>
      </c>
      <c r="D61" s="60"/>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727"/>
    </row>
    <row r="62" spans="1:124" ht="15" customHeight="1" x14ac:dyDescent="0.25">
      <c r="A62" s="821"/>
      <c r="B62" s="953" t="str">
        <f t="shared" si="6"/>
        <v>Desk 55</v>
      </c>
      <c r="C62" s="1220" t="str">
        <f>IF('TB IMA'!C59&lt;&gt;"",'TB IMA'!C59,"")</f>
        <v/>
      </c>
      <c r="D62" s="60"/>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727"/>
    </row>
    <row r="63" spans="1:124" ht="15" customHeight="1" x14ac:dyDescent="0.25">
      <c r="A63" s="821"/>
      <c r="B63" s="953" t="str">
        <f t="shared" si="6"/>
        <v>Desk 56</v>
      </c>
      <c r="C63" s="1220" t="str">
        <f>IF('TB IMA'!C60&lt;&gt;"",'TB IMA'!C60,"")</f>
        <v/>
      </c>
      <c r="D63" s="60"/>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727"/>
    </row>
    <row r="64" spans="1:124" ht="15" customHeight="1" x14ac:dyDescent="0.25">
      <c r="A64" s="821"/>
      <c r="B64" s="953" t="str">
        <f t="shared" si="6"/>
        <v>Desk 57</v>
      </c>
      <c r="C64" s="1220" t="str">
        <f>IF('TB IMA'!C61&lt;&gt;"",'TB IMA'!C61,"")</f>
        <v/>
      </c>
      <c r="D64" s="60"/>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727"/>
    </row>
    <row r="65" spans="1:124" ht="15" customHeight="1" x14ac:dyDescent="0.25">
      <c r="A65" s="821"/>
      <c r="B65" s="953" t="str">
        <f t="shared" si="6"/>
        <v>Desk 58</v>
      </c>
      <c r="C65" s="1220" t="str">
        <f>IF('TB IMA'!C62&lt;&gt;"",'TB IMA'!C62,"")</f>
        <v/>
      </c>
      <c r="D65" s="60"/>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727"/>
    </row>
    <row r="66" spans="1:124" ht="15" customHeight="1" x14ac:dyDescent="0.25">
      <c r="A66" s="821"/>
      <c r="B66" s="953" t="str">
        <f t="shared" si="6"/>
        <v>Desk 59</v>
      </c>
      <c r="C66" s="1220" t="str">
        <f>IF('TB IMA'!C63&lt;&gt;"",'TB IMA'!C63,"")</f>
        <v/>
      </c>
      <c r="D66" s="60"/>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727"/>
    </row>
    <row r="67" spans="1:124" ht="15" customHeight="1" x14ac:dyDescent="0.25">
      <c r="A67" s="821"/>
      <c r="B67" s="953" t="str">
        <f t="shared" si="6"/>
        <v>Desk 60</v>
      </c>
      <c r="C67" s="1220" t="str">
        <f>IF('TB IMA'!C64&lt;&gt;"",'TB IMA'!C64,"")</f>
        <v/>
      </c>
      <c r="D67" s="60"/>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727"/>
    </row>
    <row r="68" spans="1:124" ht="15" customHeight="1" x14ac:dyDescent="0.25">
      <c r="A68" s="821"/>
      <c r="B68" s="953" t="str">
        <f t="shared" si="6"/>
        <v>Desk 61</v>
      </c>
      <c r="C68" s="1220" t="str">
        <f>IF('TB IMA'!C65&lt;&gt;"",'TB IMA'!C65,"")</f>
        <v/>
      </c>
      <c r="D68" s="60"/>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727"/>
    </row>
    <row r="69" spans="1:124" ht="15" customHeight="1" x14ac:dyDescent="0.25">
      <c r="A69" s="821"/>
      <c r="B69" s="953" t="str">
        <f t="shared" si="6"/>
        <v>Desk 62</v>
      </c>
      <c r="C69" s="1220" t="str">
        <f>IF('TB IMA'!C66&lt;&gt;"",'TB IMA'!C66,"")</f>
        <v/>
      </c>
      <c r="D69" s="60"/>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727"/>
    </row>
    <row r="70" spans="1:124" ht="15" customHeight="1" x14ac:dyDescent="0.25">
      <c r="A70" s="821"/>
      <c r="B70" s="953" t="str">
        <f t="shared" si="6"/>
        <v>Desk 63</v>
      </c>
      <c r="C70" s="1220" t="str">
        <f>IF('TB IMA'!C67&lt;&gt;"",'TB IMA'!C67,"")</f>
        <v/>
      </c>
      <c r="D70" s="60"/>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07"/>
      <c r="DB70" s="107"/>
      <c r="DC70" s="107"/>
      <c r="DD70" s="107"/>
      <c r="DE70" s="107"/>
      <c r="DF70" s="107"/>
      <c r="DG70" s="107"/>
      <c r="DH70" s="107"/>
      <c r="DI70" s="107"/>
      <c r="DJ70" s="107"/>
      <c r="DK70" s="107"/>
      <c r="DL70" s="107"/>
      <c r="DM70" s="107"/>
      <c r="DN70" s="107"/>
      <c r="DO70" s="107"/>
      <c r="DP70" s="107"/>
      <c r="DQ70" s="107"/>
      <c r="DR70" s="107"/>
      <c r="DS70" s="107"/>
      <c r="DT70" s="727"/>
    </row>
    <row r="71" spans="1:124" ht="15" customHeight="1" x14ac:dyDescent="0.25">
      <c r="A71" s="821"/>
      <c r="B71" s="953" t="str">
        <f t="shared" si="6"/>
        <v>Desk 64</v>
      </c>
      <c r="C71" s="1220" t="str">
        <f>IF('TB IMA'!C68&lt;&gt;"",'TB IMA'!C68,"")</f>
        <v/>
      </c>
      <c r="D71" s="60"/>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107"/>
      <c r="DE71" s="107"/>
      <c r="DF71" s="107"/>
      <c r="DG71" s="107"/>
      <c r="DH71" s="107"/>
      <c r="DI71" s="107"/>
      <c r="DJ71" s="107"/>
      <c r="DK71" s="107"/>
      <c r="DL71" s="107"/>
      <c r="DM71" s="107"/>
      <c r="DN71" s="107"/>
      <c r="DO71" s="107"/>
      <c r="DP71" s="107"/>
      <c r="DQ71" s="107"/>
      <c r="DR71" s="107"/>
      <c r="DS71" s="107"/>
      <c r="DT71" s="727"/>
    </row>
    <row r="72" spans="1:124" ht="15" customHeight="1" x14ac:dyDescent="0.25">
      <c r="A72" s="821"/>
      <c r="B72" s="953" t="str">
        <f t="shared" si="6"/>
        <v>Desk 65</v>
      </c>
      <c r="C72" s="1220" t="str">
        <f>IF('TB IMA'!C69&lt;&gt;"",'TB IMA'!C69,"")</f>
        <v/>
      </c>
      <c r="D72" s="60"/>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07"/>
      <c r="DB72" s="107"/>
      <c r="DC72" s="107"/>
      <c r="DD72" s="107"/>
      <c r="DE72" s="107"/>
      <c r="DF72" s="107"/>
      <c r="DG72" s="107"/>
      <c r="DH72" s="107"/>
      <c r="DI72" s="107"/>
      <c r="DJ72" s="107"/>
      <c r="DK72" s="107"/>
      <c r="DL72" s="107"/>
      <c r="DM72" s="107"/>
      <c r="DN72" s="107"/>
      <c r="DO72" s="107"/>
      <c r="DP72" s="107"/>
      <c r="DQ72" s="107"/>
      <c r="DR72" s="107"/>
      <c r="DS72" s="107"/>
      <c r="DT72" s="727"/>
    </row>
    <row r="73" spans="1:124" ht="15" customHeight="1" x14ac:dyDescent="0.25">
      <c r="A73" s="821"/>
      <c r="B73" s="953" t="str">
        <f t="shared" ref="B73:B107" si="7">"Desk " &amp; (ROW(B73)-ROW(B$7))</f>
        <v>Desk 66</v>
      </c>
      <c r="C73" s="1220" t="str">
        <f>IF('TB IMA'!C70&lt;&gt;"",'TB IMA'!C70,"")</f>
        <v/>
      </c>
      <c r="D73" s="60"/>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727"/>
    </row>
    <row r="74" spans="1:124" ht="15" customHeight="1" x14ac:dyDescent="0.25">
      <c r="A74" s="821"/>
      <c r="B74" s="953" t="str">
        <f t="shared" si="7"/>
        <v>Desk 67</v>
      </c>
      <c r="C74" s="1220" t="str">
        <f>IF('TB IMA'!C71&lt;&gt;"",'TB IMA'!C71,"")</f>
        <v/>
      </c>
      <c r="D74" s="60"/>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7"/>
      <c r="DJ74" s="107"/>
      <c r="DK74" s="107"/>
      <c r="DL74" s="107"/>
      <c r="DM74" s="107"/>
      <c r="DN74" s="107"/>
      <c r="DO74" s="107"/>
      <c r="DP74" s="107"/>
      <c r="DQ74" s="107"/>
      <c r="DR74" s="107"/>
      <c r="DS74" s="107"/>
      <c r="DT74" s="727"/>
    </row>
    <row r="75" spans="1:124" ht="15" customHeight="1" x14ac:dyDescent="0.25">
      <c r="A75" s="821"/>
      <c r="B75" s="953" t="str">
        <f t="shared" si="7"/>
        <v>Desk 68</v>
      </c>
      <c r="C75" s="1220" t="str">
        <f>IF('TB IMA'!C72&lt;&gt;"",'TB IMA'!C72,"")</f>
        <v/>
      </c>
      <c r="D75" s="60"/>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107"/>
      <c r="CJ75" s="107"/>
      <c r="CK75" s="107"/>
      <c r="CL75" s="107"/>
      <c r="CM75" s="107"/>
      <c r="CN75" s="107"/>
      <c r="CO75" s="107"/>
      <c r="CP75" s="107"/>
      <c r="CQ75" s="107"/>
      <c r="CR75" s="107"/>
      <c r="CS75" s="107"/>
      <c r="CT75" s="107"/>
      <c r="CU75" s="107"/>
      <c r="CV75" s="107"/>
      <c r="CW75" s="107"/>
      <c r="CX75" s="107"/>
      <c r="CY75" s="107"/>
      <c r="CZ75" s="107"/>
      <c r="DA75" s="107"/>
      <c r="DB75" s="107"/>
      <c r="DC75" s="107"/>
      <c r="DD75" s="107"/>
      <c r="DE75" s="107"/>
      <c r="DF75" s="107"/>
      <c r="DG75" s="107"/>
      <c r="DH75" s="107"/>
      <c r="DI75" s="107"/>
      <c r="DJ75" s="107"/>
      <c r="DK75" s="107"/>
      <c r="DL75" s="107"/>
      <c r="DM75" s="107"/>
      <c r="DN75" s="107"/>
      <c r="DO75" s="107"/>
      <c r="DP75" s="107"/>
      <c r="DQ75" s="107"/>
      <c r="DR75" s="107"/>
      <c r="DS75" s="107"/>
      <c r="DT75" s="727"/>
    </row>
    <row r="76" spans="1:124" ht="15" customHeight="1" x14ac:dyDescent="0.25">
      <c r="A76" s="821"/>
      <c r="B76" s="953" t="str">
        <f t="shared" si="7"/>
        <v>Desk 69</v>
      </c>
      <c r="C76" s="1220" t="str">
        <f>IF('TB IMA'!C73&lt;&gt;"",'TB IMA'!C73,"")</f>
        <v/>
      </c>
      <c r="D76" s="60"/>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107"/>
      <c r="DF76" s="107"/>
      <c r="DG76" s="107"/>
      <c r="DH76" s="107"/>
      <c r="DI76" s="107"/>
      <c r="DJ76" s="107"/>
      <c r="DK76" s="107"/>
      <c r="DL76" s="107"/>
      <c r="DM76" s="107"/>
      <c r="DN76" s="107"/>
      <c r="DO76" s="107"/>
      <c r="DP76" s="107"/>
      <c r="DQ76" s="107"/>
      <c r="DR76" s="107"/>
      <c r="DS76" s="107"/>
      <c r="DT76" s="727"/>
    </row>
    <row r="77" spans="1:124" ht="15" customHeight="1" x14ac:dyDescent="0.25">
      <c r="A77" s="821"/>
      <c r="B77" s="953" t="str">
        <f t="shared" si="7"/>
        <v>Desk 70</v>
      </c>
      <c r="C77" s="1220" t="str">
        <f>IF('TB IMA'!C74&lt;&gt;"",'TB IMA'!C74,"")</f>
        <v/>
      </c>
      <c r="D77" s="60"/>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07"/>
      <c r="DB77" s="107"/>
      <c r="DC77" s="107"/>
      <c r="DD77" s="107"/>
      <c r="DE77" s="107"/>
      <c r="DF77" s="107"/>
      <c r="DG77" s="107"/>
      <c r="DH77" s="107"/>
      <c r="DI77" s="107"/>
      <c r="DJ77" s="107"/>
      <c r="DK77" s="107"/>
      <c r="DL77" s="107"/>
      <c r="DM77" s="107"/>
      <c r="DN77" s="107"/>
      <c r="DO77" s="107"/>
      <c r="DP77" s="107"/>
      <c r="DQ77" s="107"/>
      <c r="DR77" s="107"/>
      <c r="DS77" s="107"/>
      <c r="DT77" s="727"/>
    </row>
    <row r="78" spans="1:124" ht="15" customHeight="1" x14ac:dyDescent="0.25">
      <c r="A78" s="821"/>
      <c r="B78" s="953" t="str">
        <f t="shared" si="7"/>
        <v>Desk 71</v>
      </c>
      <c r="C78" s="1220" t="str">
        <f>IF('TB IMA'!C75&lt;&gt;"",'TB IMA'!C75,"")</f>
        <v/>
      </c>
      <c r="D78" s="60"/>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727"/>
    </row>
    <row r="79" spans="1:124" ht="15" customHeight="1" x14ac:dyDescent="0.25">
      <c r="A79" s="821"/>
      <c r="B79" s="953" t="str">
        <f t="shared" si="7"/>
        <v>Desk 72</v>
      </c>
      <c r="C79" s="1220" t="str">
        <f>IF('TB IMA'!C76&lt;&gt;"",'TB IMA'!C76,"")</f>
        <v/>
      </c>
      <c r="D79" s="60"/>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727"/>
    </row>
    <row r="80" spans="1:124" ht="15" customHeight="1" x14ac:dyDescent="0.25">
      <c r="A80" s="821"/>
      <c r="B80" s="953" t="str">
        <f t="shared" si="7"/>
        <v>Desk 73</v>
      </c>
      <c r="C80" s="1220" t="str">
        <f>IF('TB IMA'!C77&lt;&gt;"",'TB IMA'!C77,"")</f>
        <v/>
      </c>
      <c r="D80" s="60"/>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727"/>
    </row>
    <row r="81" spans="1:124" ht="15" customHeight="1" x14ac:dyDescent="0.25">
      <c r="A81" s="821"/>
      <c r="B81" s="953" t="str">
        <f t="shared" si="7"/>
        <v>Desk 74</v>
      </c>
      <c r="C81" s="1220" t="str">
        <f>IF('TB IMA'!C78&lt;&gt;"",'TB IMA'!C78,"")</f>
        <v/>
      </c>
      <c r="D81" s="60"/>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07"/>
      <c r="DO81" s="107"/>
      <c r="DP81" s="107"/>
      <c r="DQ81" s="107"/>
      <c r="DR81" s="107"/>
      <c r="DS81" s="107"/>
      <c r="DT81" s="727"/>
    </row>
    <row r="82" spans="1:124" ht="15" customHeight="1" x14ac:dyDescent="0.25">
      <c r="A82" s="821"/>
      <c r="B82" s="953" t="str">
        <f t="shared" si="7"/>
        <v>Desk 75</v>
      </c>
      <c r="C82" s="1220" t="str">
        <f>IF('TB IMA'!C79&lt;&gt;"",'TB IMA'!C79,"")</f>
        <v/>
      </c>
      <c r="D82" s="60"/>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727"/>
    </row>
    <row r="83" spans="1:124" ht="15" customHeight="1" x14ac:dyDescent="0.25">
      <c r="A83" s="821"/>
      <c r="B83" s="953" t="str">
        <f t="shared" si="7"/>
        <v>Desk 76</v>
      </c>
      <c r="C83" s="1220" t="str">
        <f>IF('TB IMA'!C80&lt;&gt;"",'TB IMA'!C80,"")</f>
        <v/>
      </c>
      <c r="D83" s="60"/>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c r="DQ83" s="107"/>
      <c r="DR83" s="107"/>
      <c r="DS83" s="107"/>
      <c r="DT83" s="727"/>
    </row>
    <row r="84" spans="1:124" ht="15" customHeight="1" x14ac:dyDescent="0.25">
      <c r="A84" s="821"/>
      <c r="B84" s="953" t="str">
        <f t="shared" si="7"/>
        <v>Desk 77</v>
      </c>
      <c r="C84" s="1220" t="str">
        <f>IF('TB IMA'!C81&lt;&gt;"",'TB IMA'!C81,"")</f>
        <v/>
      </c>
      <c r="D84" s="60"/>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727"/>
    </row>
    <row r="85" spans="1:124" ht="15" customHeight="1" x14ac:dyDescent="0.25">
      <c r="A85" s="821"/>
      <c r="B85" s="953" t="str">
        <f t="shared" si="7"/>
        <v>Desk 78</v>
      </c>
      <c r="C85" s="1220" t="str">
        <f>IF('TB IMA'!C82&lt;&gt;"",'TB IMA'!C82,"")</f>
        <v/>
      </c>
      <c r="D85" s="60"/>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727"/>
    </row>
    <row r="86" spans="1:124" ht="15" customHeight="1" x14ac:dyDescent="0.25">
      <c r="A86" s="821"/>
      <c r="B86" s="953" t="str">
        <f t="shared" si="7"/>
        <v>Desk 79</v>
      </c>
      <c r="C86" s="1220" t="str">
        <f>IF('TB IMA'!C83&lt;&gt;"",'TB IMA'!C83,"")</f>
        <v/>
      </c>
      <c r="D86" s="60"/>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727"/>
    </row>
    <row r="87" spans="1:124" ht="15" customHeight="1" x14ac:dyDescent="0.25">
      <c r="A87" s="821"/>
      <c r="B87" s="953" t="str">
        <f t="shared" si="7"/>
        <v>Desk 80</v>
      </c>
      <c r="C87" s="1220" t="str">
        <f>IF('TB IMA'!C84&lt;&gt;"",'TB IMA'!C84,"")</f>
        <v/>
      </c>
      <c r="D87" s="60"/>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7"/>
      <c r="BR87" s="107"/>
      <c r="BS87" s="107"/>
      <c r="BT87" s="107"/>
      <c r="BU87" s="107"/>
      <c r="BV87" s="107"/>
      <c r="BW87" s="107"/>
      <c r="BX87" s="107"/>
      <c r="BY87" s="107"/>
      <c r="BZ87" s="107"/>
      <c r="CA87" s="107"/>
      <c r="CB87" s="107"/>
      <c r="CC87" s="107"/>
      <c r="CD87" s="107"/>
      <c r="CE87" s="107"/>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7"/>
      <c r="DC87" s="107"/>
      <c r="DD87" s="107"/>
      <c r="DE87" s="107"/>
      <c r="DF87" s="107"/>
      <c r="DG87" s="107"/>
      <c r="DH87" s="107"/>
      <c r="DI87" s="107"/>
      <c r="DJ87" s="107"/>
      <c r="DK87" s="107"/>
      <c r="DL87" s="107"/>
      <c r="DM87" s="107"/>
      <c r="DN87" s="107"/>
      <c r="DO87" s="107"/>
      <c r="DP87" s="107"/>
      <c r="DQ87" s="107"/>
      <c r="DR87" s="107"/>
      <c r="DS87" s="107"/>
      <c r="DT87" s="727"/>
    </row>
    <row r="88" spans="1:124" ht="15" customHeight="1" x14ac:dyDescent="0.25">
      <c r="A88" s="821"/>
      <c r="B88" s="953" t="str">
        <f t="shared" si="7"/>
        <v>Desk 81</v>
      </c>
      <c r="C88" s="1220" t="str">
        <f>IF('TB IMA'!C85&lt;&gt;"",'TB IMA'!C85,"")</f>
        <v/>
      </c>
      <c r="D88" s="60"/>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c r="CJ88" s="107"/>
      <c r="CK88" s="107"/>
      <c r="CL88" s="107"/>
      <c r="CM88" s="107"/>
      <c r="CN88" s="107"/>
      <c r="CO88" s="107"/>
      <c r="CP88" s="107"/>
      <c r="CQ88" s="107"/>
      <c r="CR88" s="107"/>
      <c r="CS88" s="107"/>
      <c r="CT88" s="107"/>
      <c r="CU88" s="107"/>
      <c r="CV88" s="107"/>
      <c r="CW88" s="107"/>
      <c r="CX88" s="107"/>
      <c r="CY88" s="107"/>
      <c r="CZ88" s="107"/>
      <c r="DA88" s="107"/>
      <c r="DB88" s="107"/>
      <c r="DC88" s="107"/>
      <c r="DD88" s="107"/>
      <c r="DE88" s="107"/>
      <c r="DF88" s="107"/>
      <c r="DG88" s="107"/>
      <c r="DH88" s="107"/>
      <c r="DI88" s="107"/>
      <c r="DJ88" s="107"/>
      <c r="DK88" s="107"/>
      <c r="DL88" s="107"/>
      <c r="DM88" s="107"/>
      <c r="DN88" s="107"/>
      <c r="DO88" s="107"/>
      <c r="DP88" s="107"/>
      <c r="DQ88" s="107"/>
      <c r="DR88" s="107"/>
      <c r="DS88" s="107"/>
      <c r="DT88" s="727"/>
    </row>
    <row r="89" spans="1:124" ht="15" customHeight="1" x14ac:dyDescent="0.25">
      <c r="A89" s="821"/>
      <c r="B89" s="953" t="str">
        <f t="shared" si="7"/>
        <v>Desk 82</v>
      </c>
      <c r="C89" s="1220" t="str">
        <f>IF('TB IMA'!C86&lt;&gt;"",'TB IMA'!C86,"")</f>
        <v/>
      </c>
      <c r="D89" s="60"/>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c r="CU89" s="107"/>
      <c r="CV89" s="107"/>
      <c r="CW89" s="107"/>
      <c r="CX89" s="107"/>
      <c r="CY89" s="107"/>
      <c r="CZ89" s="107"/>
      <c r="DA89" s="107"/>
      <c r="DB89" s="107"/>
      <c r="DC89" s="107"/>
      <c r="DD89" s="107"/>
      <c r="DE89" s="107"/>
      <c r="DF89" s="107"/>
      <c r="DG89" s="107"/>
      <c r="DH89" s="107"/>
      <c r="DI89" s="107"/>
      <c r="DJ89" s="107"/>
      <c r="DK89" s="107"/>
      <c r="DL89" s="107"/>
      <c r="DM89" s="107"/>
      <c r="DN89" s="107"/>
      <c r="DO89" s="107"/>
      <c r="DP89" s="107"/>
      <c r="DQ89" s="107"/>
      <c r="DR89" s="107"/>
      <c r="DS89" s="107"/>
      <c r="DT89" s="727"/>
    </row>
    <row r="90" spans="1:124" ht="15" customHeight="1" x14ac:dyDescent="0.25">
      <c r="A90" s="821"/>
      <c r="B90" s="953" t="str">
        <f t="shared" si="7"/>
        <v>Desk 83</v>
      </c>
      <c r="C90" s="1220" t="str">
        <f>IF('TB IMA'!C87&lt;&gt;"",'TB IMA'!C87,"")</f>
        <v/>
      </c>
      <c r="D90" s="60"/>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7"/>
      <c r="DJ90" s="107"/>
      <c r="DK90" s="107"/>
      <c r="DL90" s="107"/>
      <c r="DM90" s="107"/>
      <c r="DN90" s="107"/>
      <c r="DO90" s="107"/>
      <c r="DP90" s="107"/>
      <c r="DQ90" s="107"/>
      <c r="DR90" s="107"/>
      <c r="DS90" s="107"/>
      <c r="DT90" s="727"/>
    </row>
    <row r="91" spans="1:124" ht="15" customHeight="1" x14ac:dyDescent="0.25">
      <c r="A91" s="821"/>
      <c r="B91" s="953" t="str">
        <f t="shared" si="7"/>
        <v>Desk 84</v>
      </c>
      <c r="C91" s="1220" t="str">
        <f>IF('TB IMA'!C88&lt;&gt;"",'TB IMA'!C88,"")</f>
        <v/>
      </c>
      <c r="D91" s="60"/>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c r="CU91" s="107"/>
      <c r="CV91" s="107"/>
      <c r="CW91" s="107"/>
      <c r="CX91" s="107"/>
      <c r="CY91" s="107"/>
      <c r="CZ91" s="107"/>
      <c r="DA91" s="107"/>
      <c r="DB91" s="107"/>
      <c r="DC91" s="107"/>
      <c r="DD91" s="107"/>
      <c r="DE91" s="107"/>
      <c r="DF91" s="107"/>
      <c r="DG91" s="107"/>
      <c r="DH91" s="107"/>
      <c r="DI91" s="107"/>
      <c r="DJ91" s="107"/>
      <c r="DK91" s="107"/>
      <c r="DL91" s="107"/>
      <c r="DM91" s="107"/>
      <c r="DN91" s="107"/>
      <c r="DO91" s="107"/>
      <c r="DP91" s="107"/>
      <c r="DQ91" s="107"/>
      <c r="DR91" s="107"/>
      <c r="DS91" s="107"/>
      <c r="DT91" s="727"/>
    </row>
    <row r="92" spans="1:124" ht="15" customHeight="1" x14ac:dyDescent="0.25">
      <c r="A92" s="821"/>
      <c r="B92" s="953" t="str">
        <f t="shared" si="7"/>
        <v>Desk 85</v>
      </c>
      <c r="C92" s="1220" t="str">
        <f>IF('TB IMA'!C89&lt;&gt;"",'TB IMA'!C89,"")</f>
        <v/>
      </c>
      <c r="D92" s="60"/>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c r="CU92" s="107"/>
      <c r="CV92" s="107"/>
      <c r="CW92" s="107"/>
      <c r="CX92" s="107"/>
      <c r="CY92" s="107"/>
      <c r="CZ92" s="107"/>
      <c r="DA92" s="107"/>
      <c r="DB92" s="107"/>
      <c r="DC92" s="107"/>
      <c r="DD92" s="107"/>
      <c r="DE92" s="107"/>
      <c r="DF92" s="107"/>
      <c r="DG92" s="107"/>
      <c r="DH92" s="107"/>
      <c r="DI92" s="107"/>
      <c r="DJ92" s="107"/>
      <c r="DK92" s="107"/>
      <c r="DL92" s="107"/>
      <c r="DM92" s="107"/>
      <c r="DN92" s="107"/>
      <c r="DO92" s="107"/>
      <c r="DP92" s="107"/>
      <c r="DQ92" s="107"/>
      <c r="DR92" s="107"/>
      <c r="DS92" s="107"/>
      <c r="DT92" s="727"/>
    </row>
    <row r="93" spans="1:124" ht="15" customHeight="1" x14ac:dyDescent="0.25">
      <c r="A93" s="821"/>
      <c r="B93" s="953" t="str">
        <f t="shared" si="7"/>
        <v>Desk 86</v>
      </c>
      <c r="C93" s="1220" t="str">
        <f>IF('TB IMA'!C90&lt;&gt;"",'TB IMA'!C90,"")</f>
        <v/>
      </c>
      <c r="D93" s="60"/>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7"/>
      <c r="DC93" s="107"/>
      <c r="DD93" s="107"/>
      <c r="DE93" s="107"/>
      <c r="DF93" s="107"/>
      <c r="DG93" s="107"/>
      <c r="DH93" s="107"/>
      <c r="DI93" s="107"/>
      <c r="DJ93" s="107"/>
      <c r="DK93" s="107"/>
      <c r="DL93" s="107"/>
      <c r="DM93" s="107"/>
      <c r="DN93" s="107"/>
      <c r="DO93" s="107"/>
      <c r="DP93" s="107"/>
      <c r="DQ93" s="107"/>
      <c r="DR93" s="107"/>
      <c r="DS93" s="107"/>
      <c r="DT93" s="727"/>
    </row>
    <row r="94" spans="1:124" ht="15" customHeight="1" x14ac:dyDescent="0.25">
      <c r="A94" s="821"/>
      <c r="B94" s="953" t="str">
        <f t="shared" si="7"/>
        <v>Desk 87</v>
      </c>
      <c r="C94" s="1220" t="str">
        <f>IF('TB IMA'!C91&lt;&gt;"",'TB IMA'!C91,"")</f>
        <v/>
      </c>
      <c r="D94" s="60"/>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727"/>
    </row>
    <row r="95" spans="1:124" ht="15" customHeight="1" x14ac:dyDescent="0.25">
      <c r="A95" s="821"/>
      <c r="B95" s="953" t="str">
        <f t="shared" si="7"/>
        <v>Desk 88</v>
      </c>
      <c r="C95" s="1220" t="str">
        <f>IF('TB IMA'!C92&lt;&gt;"",'TB IMA'!C92,"")</f>
        <v/>
      </c>
      <c r="D95" s="60"/>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c r="CJ95" s="107"/>
      <c r="CK95" s="107"/>
      <c r="CL95" s="107"/>
      <c r="CM95" s="107"/>
      <c r="CN95" s="107"/>
      <c r="CO95" s="107"/>
      <c r="CP95" s="107"/>
      <c r="CQ95" s="107"/>
      <c r="CR95" s="107"/>
      <c r="CS95" s="107"/>
      <c r="CT95" s="107"/>
      <c r="CU95" s="107"/>
      <c r="CV95" s="107"/>
      <c r="CW95" s="107"/>
      <c r="CX95" s="107"/>
      <c r="CY95" s="107"/>
      <c r="CZ95" s="107"/>
      <c r="DA95" s="107"/>
      <c r="DB95" s="107"/>
      <c r="DC95" s="107"/>
      <c r="DD95" s="107"/>
      <c r="DE95" s="107"/>
      <c r="DF95" s="107"/>
      <c r="DG95" s="107"/>
      <c r="DH95" s="107"/>
      <c r="DI95" s="107"/>
      <c r="DJ95" s="107"/>
      <c r="DK95" s="107"/>
      <c r="DL95" s="107"/>
      <c r="DM95" s="107"/>
      <c r="DN95" s="107"/>
      <c r="DO95" s="107"/>
      <c r="DP95" s="107"/>
      <c r="DQ95" s="107"/>
      <c r="DR95" s="107"/>
      <c r="DS95" s="107"/>
      <c r="DT95" s="727"/>
    </row>
    <row r="96" spans="1:124" ht="15" customHeight="1" x14ac:dyDescent="0.25">
      <c r="A96" s="821"/>
      <c r="B96" s="953" t="str">
        <f t="shared" si="7"/>
        <v>Desk 89</v>
      </c>
      <c r="C96" s="1220" t="str">
        <f>IF('TB IMA'!C93&lt;&gt;"",'TB IMA'!C93,"")</f>
        <v/>
      </c>
      <c r="D96" s="60"/>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7"/>
      <c r="DC96" s="107"/>
      <c r="DD96" s="107"/>
      <c r="DE96" s="107"/>
      <c r="DF96" s="107"/>
      <c r="DG96" s="107"/>
      <c r="DH96" s="107"/>
      <c r="DI96" s="107"/>
      <c r="DJ96" s="107"/>
      <c r="DK96" s="107"/>
      <c r="DL96" s="107"/>
      <c r="DM96" s="107"/>
      <c r="DN96" s="107"/>
      <c r="DO96" s="107"/>
      <c r="DP96" s="107"/>
      <c r="DQ96" s="107"/>
      <c r="DR96" s="107"/>
      <c r="DS96" s="107"/>
      <c r="DT96" s="727"/>
    </row>
    <row r="97" spans="1:124" ht="15" customHeight="1" x14ac:dyDescent="0.25">
      <c r="A97" s="821"/>
      <c r="B97" s="953" t="str">
        <f t="shared" si="7"/>
        <v>Desk 90</v>
      </c>
      <c r="C97" s="1220" t="str">
        <f>IF('TB IMA'!C94&lt;&gt;"",'TB IMA'!C94,"")</f>
        <v/>
      </c>
      <c r="D97" s="60"/>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c r="CJ97" s="107"/>
      <c r="CK97" s="107"/>
      <c r="CL97" s="107"/>
      <c r="CM97" s="107"/>
      <c r="CN97" s="107"/>
      <c r="CO97" s="107"/>
      <c r="CP97" s="107"/>
      <c r="CQ97" s="107"/>
      <c r="CR97" s="107"/>
      <c r="CS97" s="107"/>
      <c r="CT97" s="107"/>
      <c r="CU97" s="107"/>
      <c r="CV97" s="107"/>
      <c r="CW97" s="107"/>
      <c r="CX97" s="107"/>
      <c r="CY97" s="107"/>
      <c r="CZ97" s="107"/>
      <c r="DA97" s="107"/>
      <c r="DB97" s="107"/>
      <c r="DC97" s="107"/>
      <c r="DD97" s="107"/>
      <c r="DE97" s="107"/>
      <c r="DF97" s="107"/>
      <c r="DG97" s="107"/>
      <c r="DH97" s="107"/>
      <c r="DI97" s="107"/>
      <c r="DJ97" s="107"/>
      <c r="DK97" s="107"/>
      <c r="DL97" s="107"/>
      <c r="DM97" s="107"/>
      <c r="DN97" s="107"/>
      <c r="DO97" s="107"/>
      <c r="DP97" s="107"/>
      <c r="DQ97" s="107"/>
      <c r="DR97" s="107"/>
      <c r="DS97" s="107"/>
      <c r="DT97" s="727"/>
    </row>
    <row r="98" spans="1:124" ht="15" customHeight="1" x14ac:dyDescent="0.25">
      <c r="A98" s="821"/>
      <c r="B98" s="953" t="str">
        <f t="shared" si="7"/>
        <v>Desk 91</v>
      </c>
      <c r="C98" s="1220" t="str">
        <f>IF('TB IMA'!C95&lt;&gt;"",'TB IMA'!C95,"")</f>
        <v/>
      </c>
      <c r="D98" s="60"/>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7"/>
      <c r="DJ98" s="107"/>
      <c r="DK98" s="107"/>
      <c r="DL98" s="107"/>
      <c r="DM98" s="107"/>
      <c r="DN98" s="107"/>
      <c r="DO98" s="107"/>
      <c r="DP98" s="107"/>
      <c r="DQ98" s="107"/>
      <c r="DR98" s="107"/>
      <c r="DS98" s="107"/>
      <c r="DT98" s="727"/>
    </row>
    <row r="99" spans="1:124" ht="15" customHeight="1" x14ac:dyDescent="0.25">
      <c r="A99" s="821"/>
      <c r="B99" s="953" t="str">
        <f t="shared" si="7"/>
        <v>Desk 92</v>
      </c>
      <c r="C99" s="1220" t="str">
        <f>IF('TB IMA'!C96&lt;&gt;"",'TB IMA'!C96,"")</f>
        <v/>
      </c>
      <c r="D99" s="60"/>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c r="DQ99" s="107"/>
      <c r="DR99" s="107"/>
      <c r="DS99" s="107"/>
      <c r="DT99" s="727"/>
    </row>
    <row r="100" spans="1:124" ht="15" customHeight="1" x14ac:dyDescent="0.25">
      <c r="A100" s="821"/>
      <c r="B100" s="953" t="str">
        <f t="shared" si="7"/>
        <v>Desk 93</v>
      </c>
      <c r="C100" s="1220" t="str">
        <f>IF('TB IMA'!C97&lt;&gt;"",'TB IMA'!C97,"")</f>
        <v/>
      </c>
      <c r="D100" s="60"/>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c r="CJ100" s="107"/>
      <c r="CK100" s="107"/>
      <c r="CL100" s="107"/>
      <c r="CM100" s="107"/>
      <c r="CN100" s="107"/>
      <c r="CO100" s="107"/>
      <c r="CP100" s="107"/>
      <c r="CQ100" s="107"/>
      <c r="CR100" s="107"/>
      <c r="CS100" s="107"/>
      <c r="CT100" s="107"/>
      <c r="CU100" s="107"/>
      <c r="CV100" s="107"/>
      <c r="CW100" s="107"/>
      <c r="CX100" s="107"/>
      <c r="CY100" s="107"/>
      <c r="CZ100" s="107"/>
      <c r="DA100" s="107"/>
      <c r="DB100" s="107"/>
      <c r="DC100" s="107"/>
      <c r="DD100" s="107"/>
      <c r="DE100" s="107"/>
      <c r="DF100" s="107"/>
      <c r="DG100" s="107"/>
      <c r="DH100" s="107"/>
      <c r="DI100" s="107"/>
      <c r="DJ100" s="107"/>
      <c r="DK100" s="107"/>
      <c r="DL100" s="107"/>
      <c r="DM100" s="107"/>
      <c r="DN100" s="107"/>
      <c r="DO100" s="107"/>
      <c r="DP100" s="107"/>
      <c r="DQ100" s="107"/>
      <c r="DR100" s="107"/>
      <c r="DS100" s="107"/>
      <c r="DT100" s="727"/>
    </row>
    <row r="101" spans="1:124" ht="15" customHeight="1" x14ac:dyDescent="0.25">
      <c r="A101" s="821"/>
      <c r="B101" s="953" t="str">
        <f t="shared" si="7"/>
        <v>Desk 94</v>
      </c>
      <c r="C101" s="1220" t="str">
        <f>IF('TB IMA'!C98&lt;&gt;"",'TB IMA'!C98,"")</f>
        <v/>
      </c>
      <c r="D101" s="60"/>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c r="CJ101" s="107"/>
      <c r="CK101" s="107"/>
      <c r="CL101" s="107"/>
      <c r="CM101" s="107"/>
      <c r="CN101" s="107"/>
      <c r="CO101" s="107"/>
      <c r="CP101" s="107"/>
      <c r="CQ101" s="107"/>
      <c r="CR101" s="107"/>
      <c r="CS101" s="107"/>
      <c r="CT101" s="107"/>
      <c r="CU101" s="107"/>
      <c r="CV101" s="107"/>
      <c r="CW101" s="107"/>
      <c r="CX101" s="107"/>
      <c r="CY101" s="107"/>
      <c r="CZ101" s="107"/>
      <c r="DA101" s="107"/>
      <c r="DB101" s="107"/>
      <c r="DC101" s="107"/>
      <c r="DD101" s="107"/>
      <c r="DE101" s="107"/>
      <c r="DF101" s="107"/>
      <c r="DG101" s="107"/>
      <c r="DH101" s="107"/>
      <c r="DI101" s="107"/>
      <c r="DJ101" s="107"/>
      <c r="DK101" s="107"/>
      <c r="DL101" s="107"/>
      <c r="DM101" s="107"/>
      <c r="DN101" s="107"/>
      <c r="DO101" s="107"/>
      <c r="DP101" s="107"/>
      <c r="DQ101" s="107"/>
      <c r="DR101" s="107"/>
      <c r="DS101" s="107"/>
      <c r="DT101" s="727"/>
    </row>
    <row r="102" spans="1:124" ht="15" customHeight="1" x14ac:dyDescent="0.25">
      <c r="A102" s="821"/>
      <c r="B102" s="953" t="str">
        <f t="shared" si="7"/>
        <v>Desk 95</v>
      </c>
      <c r="C102" s="1220" t="str">
        <f>IF('TB IMA'!C99&lt;&gt;"",'TB IMA'!C99,"")</f>
        <v/>
      </c>
      <c r="D102" s="60"/>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c r="DB102" s="107"/>
      <c r="DC102" s="107"/>
      <c r="DD102" s="107"/>
      <c r="DE102" s="107"/>
      <c r="DF102" s="107"/>
      <c r="DG102" s="107"/>
      <c r="DH102" s="107"/>
      <c r="DI102" s="107"/>
      <c r="DJ102" s="107"/>
      <c r="DK102" s="107"/>
      <c r="DL102" s="107"/>
      <c r="DM102" s="107"/>
      <c r="DN102" s="107"/>
      <c r="DO102" s="107"/>
      <c r="DP102" s="107"/>
      <c r="DQ102" s="107"/>
      <c r="DR102" s="107"/>
      <c r="DS102" s="107"/>
      <c r="DT102" s="727"/>
    </row>
    <row r="103" spans="1:124" ht="15" customHeight="1" x14ac:dyDescent="0.25">
      <c r="A103" s="821"/>
      <c r="B103" s="953" t="str">
        <f t="shared" si="7"/>
        <v>Desk 96</v>
      </c>
      <c r="C103" s="1220" t="str">
        <f>IF('TB IMA'!C100&lt;&gt;"",'TB IMA'!C100,"")</f>
        <v/>
      </c>
      <c r="D103" s="60"/>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727"/>
    </row>
    <row r="104" spans="1:124" ht="15" customHeight="1" x14ac:dyDescent="0.25">
      <c r="A104" s="821"/>
      <c r="B104" s="953" t="str">
        <f t="shared" si="7"/>
        <v>Desk 97</v>
      </c>
      <c r="C104" s="1220" t="str">
        <f>IF('TB IMA'!C101&lt;&gt;"",'TB IMA'!C101,"")</f>
        <v/>
      </c>
      <c r="D104" s="60"/>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107"/>
      <c r="DQ104" s="107"/>
      <c r="DR104" s="107"/>
      <c r="DS104" s="107"/>
      <c r="DT104" s="727"/>
    </row>
    <row r="105" spans="1:124" ht="15" customHeight="1" x14ac:dyDescent="0.25">
      <c r="A105" s="821"/>
      <c r="B105" s="953" t="str">
        <f t="shared" si="7"/>
        <v>Desk 98</v>
      </c>
      <c r="C105" s="1220" t="str">
        <f>IF('TB IMA'!C102&lt;&gt;"",'TB IMA'!C102,"")</f>
        <v/>
      </c>
      <c r="D105" s="60"/>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c r="DP105" s="107"/>
      <c r="DQ105" s="107"/>
      <c r="DR105" s="107"/>
      <c r="DS105" s="107"/>
      <c r="DT105" s="727"/>
    </row>
    <row r="106" spans="1:124" ht="15" customHeight="1" x14ac:dyDescent="0.25">
      <c r="A106" s="821"/>
      <c r="B106" s="953" t="str">
        <f t="shared" si="7"/>
        <v>Desk 99</v>
      </c>
      <c r="C106" s="1220" t="str">
        <f>IF('TB IMA'!C103&lt;&gt;"",'TB IMA'!C103,"")</f>
        <v/>
      </c>
      <c r="D106" s="60"/>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107"/>
      <c r="DQ106" s="107"/>
      <c r="DR106" s="107"/>
      <c r="DS106" s="107"/>
      <c r="DT106" s="727"/>
    </row>
    <row r="107" spans="1:124" ht="15" customHeight="1" x14ac:dyDescent="0.25">
      <c r="A107" s="821"/>
      <c r="B107" s="954" t="str">
        <f t="shared" si="7"/>
        <v>Desk 100</v>
      </c>
      <c r="C107" s="1221" t="str">
        <f>IF('TB IMA'!C104&lt;&gt;"",'TB IMA'!C104,"")</f>
        <v/>
      </c>
      <c r="D107" s="55"/>
      <c r="E107" s="504"/>
      <c r="F107" s="504"/>
      <c r="G107" s="504"/>
      <c r="H107" s="504"/>
      <c r="I107" s="504"/>
      <c r="J107" s="504"/>
      <c r="K107" s="504"/>
      <c r="L107" s="504"/>
      <c r="M107" s="504"/>
      <c r="N107" s="504"/>
      <c r="O107" s="504"/>
      <c r="P107" s="504"/>
      <c r="Q107" s="504"/>
      <c r="R107" s="504"/>
      <c r="S107" s="504"/>
      <c r="T107" s="504"/>
      <c r="U107" s="504"/>
      <c r="V107" s="504"/>
      <c r="W107" s="504"/>
      <c r="X107" s="504"/>
      <c r="Y107" s="504"/>
      <c r="Z107" s="504"/>
      <c r="AA107" s="504"/>
      <c r="AB107" s="504"/>
      <c r="AC107" s="504"/>
      <c r="AD107" s="504"/>
      <c r="AE107" s="504"/>
      <c r="AF107" s="504"/>
      <c r="AG107" s="504"/>
      <c r="AH107" s="504"/>
      <c r="AI107" s="504"/>
      <c r="AJ107" s="504"/>
      <c r="AK107" s="504"/>
      <c r="AL107" s="504"/>
      <c r="AM107" s="504"/>
      <c r="AN107" s="504"/>
      <c r="AO107" s="504"/>
      <c r="AP107" s="504"/>
      <c r="AQ107" s="504"/>
      <c r="AR107" s="504"/>
      <c r="AS107" s="504"/>
      <c r="AT107" s="504"/>
      <c r="AU107" s="504"/>
      <c r="AV107" s="504"/>
      <c r="AW107" s="504"/>
      <c r="AX107" s="504"/>
      <c r="AY107" s="504"/>
      <c r="AZ107" s="504"/>
      <c r="BA107" s="504"/>
      <c r="BB107" s="504"/>
      <c r="BC107" s="504"/>
      <c r="BD107" s="504"/>
      <c r="BE107" s="504"/>
      <c r="BF107" s="504"/>
      <c r="BG107" s="504"/>
      <c r="BH107" s="504"/>
      <c r="BI107" s="504"/>
      <c r="BJ107" s="504"/>
      <c r="BK107" s="504"/>
      <c r="BL107" s="504"/>
      <c r="BM107" s="504"/>
      <c r="BN107" s="504"/>
      <c r="BO107" s="504"/>
      <c r="BP107" s="504"/>
      <c r="BQ107" s="504"/>
      <c r="BR107" s="504"/>
      <c r="BS107" s="504"/>
      <c r="BT107" s="504"/>
      <c r="BU107" s="504"/>
      <c r="BV107" s="504"/>
      <c r="BW107" s="504"/>
      <c r="BX107" s="504"/>
      <c r="BY107" s="504"/>
      <c r="BZ107" s="504"/>
      <c r="CA107" s="504"/>
      <c r="CB107" s="504"/>
      <c r="CC107" s="504"/>
      <c r="CD107" s="504"/>
      <c r="CE107" s="504"/>
      <c r="CF107" s="504"/>
      <c r="CG107" s="504"/>
      <c r="CH107" s="504"/>
      <c r="CI107" s="504"/>
      <c r="CJ107" s="504"/>
      <c r="CK107" s="504"/>
      <c r="CL107" s="504"/>
      <c r="CM107" s="504"/>
      <c r="CN107" s="504"/>
      <c r="CO107" s="504"/>
      <c r="CP107" s="504"/>
      <c r="CQ107" s="504"/>
      <c r="CR107" s="504"/>
      <c r="CS107" s="504"/>
      <c r="CT107" s="504"/>
      <c r="CU107" s="504"/>
      <c r="CV107" s="504"/>
      <c r="CW107" s="504"/>
      <c r="CX107" s="504"/>
      <c r="CY107" s="504"/>
      <c r="CZ107" s="504"/>
      <c r="DA107" s="504"/>
      <c r="DB107" s="504"/>
      <c r="DC107" s="504"/>
      <c r="DD107" s="504"/>
      <c r="DE107" s="504"/>
      <c r="DF107" s="504"/>
      <c r="DG107" s="504"/>
      <c r="DH107" s="504"/>
      <c r="DI107" s="504"/>
      <c r="DJ107" s="504"/>
      <c r="DK107" s="504"/>
      <c r="DL107" s="504"/>
      <c r="DM107" s="504"/>
      <c r="DN107" s="504"/>
      <c r="DO107" s="504"/>
      <c r="DP107" s="504"/>
      <c r="DQ107" s="504"/>
      <c r="DR107" s="504"/>
      <c r="DS107" s="504"/>
      <c r="DT107" s="727"/>
    </row>
    <row r="108" spans="1:124" ht="15" customHeight="1" x14ac:dyDescent="0.25">
      <c r="A108" s="821"/>
      <c r="B108" s="716"/>
      <c r="C108" s="716"/>
      <c r="D108" s="716"/>
      <c r="DT108" s="727"/>
    </row>
    <row r="109" spans="1:124" ht="30" customHeight="1" x14ac:dyDescent="0.3">
      <c r="A109" s="776" t="s">
        <v>1745</v>
      </c>
      <c r="B109" s="785"/>
      <c r="C109" s="768"/>
      <c r="D109" s="725"/>
      <c r="E109" s="725"/>
      <c r="F109" s="725"/>
      <c r="G109" s="725"/>
      <c r="H109" s="725"/>
      <c r="I109" s="725"/>
      <c r="J109" s="725"/>
      <c r="K109" s="725"/>
      <c r="L109" s="725"/>
      <c r="M109" s="725"/>
      <c r="N109" s="725"/>
      <c r="O109" s="725"/>
      <c r="P109" s="725"/>
      <c r="Q109" s="725"/>
      <c r="R109" s="725"/>
      <c r="S109" s="725"/>
      <c r="T109" s="725"/>
      <c r="U109" s="725"/>
      <c r="V109" s="725"/>
      <c r="W109" s="725"/>
      <c r="X109" s="725"/>
      <c r="Y109" s="725"/>
      <c r="Z109" s="725"/>
      <c r="AA109" s="725"/>
      <c r="AB109" s="725"/>
      <c r="AC109" s="725"/>
      <c r="AD109" s="725"/>
      <c r="AE109" s="725"/>
      <c r="AF109" s="725"/>
      <c r="AG109" s="725"/>
      <c r="AH109" s="725"/>
      <c r="AI109" s="725"/>
      <c r="AJ109" s="725"/>
      <c r="AK109" s="725"/>
      <c r="AL109" s="725"/>
      <c r="AM109" s="725"/>
      <c r="AN109" s="725"/>
      <c r="AO109" s="725"/>
      <c r="AP109" s="725"/>
      <c r="AQ109" s="725"/>
      <c r="AR109" s="725"/>
      <c r="AS109" s="725"/>
      <c r="AT109" s="725"/>
      <c r="AU109" s="725"/>
      <c r="AV109" s="725"/>
      <c r="AW109" s="725"/>
      <c r="AX109" s="725"/>
      <c r="AY109" s="725"/>
      <c r="AZ109" s="725"/>
      <c r="BA109" s="725"/>
      <c r="BB109" s="725"/>
      <c r="BC109" s="725"/>
      <c r="BD109" s="725"/>
      <c r="BE109" s="725"/>
      <c r="BF109" s="725"/>
      <c r="BG109" s="725"/>
      <c r="BH109" s="725"/>
      <c r="BI109" s="725"/>
      <c r="BJ109" s="725"/>
      <c r="BK109" s="725"/>
      <c r="BL109" s="725"/>
      <c r="BM109" s="725"/>
      <c r="BN109" s="725"/>
      <c r="BO109" s="725"/>
      <c r="BP109" s="725"/>
      <c r="BQ109" s="725"/>
      <c r="BR109" s="725"/>
      <c r="BS109" s="725"/>
      <c r="BT109" s="725"/>
      <c r="BU109" s="725"/>
      <c r="BV109" s="725"/>
      <c r="BW109" s="725"/>
      <c r="BX109" s="725"/>
      <c r="BY109" s="725"/>
      <c r="BZ109" s="725"/>
      <c r="CA109" s="725"/>
      <c r="CB109" s="725"/>
      <c r="CC109" s="725"/>
      <c r="CD109" s="725"/>
      <c r="CE109" s="725"/>
      <c r="CF109" s="725"/>
      <c r="CG109" s="725"/>
      <c r="CH109" s="725"/>
      <c r="CI109" s="725"/>
      <c r="CJ109" s="725"/>
      <c r="CK109" s="725"/>
      <c r="CL109" s="725"/>
      <c r="CM109" s="725"/>
      <c r="CN109" s="725"/>
      <c r="CO109" s="725"/>
      <c r="CP109" s="725"/>
      <c r="CQ109" s="725"/>
      <c r="CR109" s="725"/>
      <c r="CS109" s="725"/>
      <c r="CT109" s="725"/>
      <c r="CU109" s="725"/>
      <c r="CV109" s="725"/>
      <c r="CW109" s="725"/>
      <c r="CX109" s="725"/>
      <c r="CY109" s="725"/>
      <c r="CZ109" s="725"/>
      <c r="DA109" s="725"/>
      <c r="DB109" s="725"/>
      <c r="DC109" s="725"/>
      <c r="DD109" s="725"/>
      <c r="DE109" s="725"/>
      <c r="DF109" s="725"/>
      <c r="DG109" s="725"/>
      <c r="DH109" s="725"/>
      <c r="DI109" s="725"/>
      <c r="DJ109" s="725"/>
      <c r="DK109" s="725"/>
      <c r="DL109" s="725"/>
      <c r="DM109" s="725"/>
      <c r="DN109" s="725"/>
      <c r="DO109" s="725"/>
      <c r="DP109" s="725"/>
      <c r="DQ109" s="725"/>
      <c r="DR109" s="725"/>
      <c r="DS109" s="725"/>
      <c r="DT109" s="715"/>
    </row>
    <row r="110" spans="1:124" ht="15" customHeight="1" x14ac:dyDescent="0.25">
      <c r="A110" s="821"/>
      <c r="B110" s="716"/>
      <c r="C110" s="716"/>
      <c r="D110" s="716"/>
      <c r="DT110" s="727"/>
    </row>
    <row r="111" spans="1:124" ht="15" customHeight="1" x14ac:dyDescent="0.25">
      <c r="A111" s="821"/>
      <c r="B111" s="949" t="s">
        <v>792</v>
      </c>
      <c r="C111" s="1514" t="s">
        <v>791</v>
      </c>
      <c r="D111" s="1514" t="s">
        <v>1490</v>
      </c>
      <c r="E111" s="1514" t="str">
        <f>"T+" &amp; (COLUMN(E111)-COLUMN($D111))</f>
        <v>T+1</v>
      </c>
      <c r="F111" s="1514" t="str">
        <f t="shared" ref="F111:BQ111" si="8">"T+" &amp; (COLUMN(F111)-COLUMN($D111))</f>
        <v>T+2</v>
      </c>
      <c r="G111" s="1514" t="str">
        <f t="shared" si="8"/>
        <v>T+3</v>
      </c>
      <c r="H111" s="1514" t="str">
        <f t="shared" si="8"/>
        <v>T+4</v>
      </c>
      <c r="I111" s="1514" t="str">
        <f t="shared" si="8"/>
        <v>T+5</v>
      </c>
      <c r="J111" s="1514" t="str">
        <f t="shared" si="8"/>
        <v>T+6</v>
      </c>
      <c r="K111" s="1514" t="str">
        <f t="shared" si="8"/>
        <v>T+7</v>
      </c>
      <c r="L111" s="1514" t="str">
        <f t="shared" si="8"/>
        <v>T+8</v>
      </c>
      <c r="M111" s="1514" t="str">
        <f t="shared" si="8"/>
        <v>T+9</v>
      </c>
      <c r="N111" s="1514" t="str">
        <f t="shared" si="8"/>
        <v>T+10</v>
      </c>
      <c r="O111" s="1514" t="str">
        <f t="shared" si="8"/>
        <v>T+11</v>
      </c>
      <c r="P111" s="1514" t="str">
        <f t="shared" si="8"/>
        <v>T+12</v>
      </c>
      <c r="Q111" s="1514" t="str">
        <f t="shared" si="8"/>
        <v>T+13</v>
      </c>
      <c r="R111" s="1514" t="str">
        <f t="shared" si="8"/>
        <v>T+14</v>
      </c>
      <c r="S111" s="1514" t="str">
        <f t="shared" si="8"/>
        <v>T+15</v>
      </c>
      <c r="T111" s="1514" t="str">
        <f t="shared" si="8"/>
        <v>T+16</v>
      </c>
      <c r="U111" s="1514" t="str">
        <f t="shared" si="8"/>
        <v>T+17</v>
      </c>
      <c r="V111" s="1514" t="str">
        <f t="shared" si="8"/>
        <v>T+18</v>
      </c>
      <c r="W111" s="1514" t="str">
        <f t="shared" si="8"/>
        <v>T+19</v>
      </c>
      <c r="X111" s="1514" t="str">
        <f t="shared" si="8"/>
        <v>T+20</v>
      </c>
      <c r="Y111" s="1514" t="str">
        <f t="shared" si="8"/>
        <v>T+21</v>
      </c>
      <c r="Z111" s="1514" t="str">
        <f t="shared" si="8"/>
        <v>T+22</v>
      </c>
      <c r="AA111" s="1514" t="str">
        <f t="shared" si="8"/>
        <v>T+23</v>
      </c>
      <c r="AB111" s="1514" t="str">
        <f t="shared" si="8"/>
        <v>T+24</v>
      </c>
      <c r="AC111" s="1514" t="str">
        <f t="shared" si="8"/>
        <v>T+25</v>
      </c>
      <c r="AD111" s="1514" t="str">
        <f t="shared" si="8"/>
        <v>T+26</v>
      </c>
      <c r="AE111" s="1514" t="str">
        <f t="shared" si="8"/>
        <v>T+27</v>
      </c>
      <c r="AF111" s="1514" t="str">
        <f t="shared" si="8"/>
        <v>T+28</v>
      </c>
      <c r="AG111" s="1514" t="str">
        <f t="shared" si="8"/>
        <v>T+29</v>
      </c>
      <c r="AH111" s="1514" t="str">
        <f t="shared" si="8"/>
        <v>T+30</v>
      </c>
      <c r="AI111" s="1514" t="str">
        <f t="shared" si="8"/>
        <v>T+31</v>
      </c>
      <c r="AJ111" s="1514" t="str">
        <f t="shared" si="8"/>
        <v>T+32</v>
      </c>
      <c r="AK111" s="1514" t="str">
        <f t="shared" si="8"/>
        <v>T+33</v>
      </c>
      <c r="AL111" s="1514" t="str">
        <f t="shared" si="8"/>
        <v>T+34</v>
      </c>
      <c r="AM111" s="1514" t="str">
        <f t="shared" si="8"/>
        <v>T+35</v>
      </c>
      <c r="AN111" s="1514" t="str">
        <f t="shared" si="8"/>
        <v>T+36</v>
      </c>
      <c r="AO111" s="1514" t="str">
        <f t="shared" si="8"/>
        <v>T+37</v>
      </c>
      <c r="AP111" s="1514" t="str">
        <f t="shared" si="8"/>
        <v>T+38</v>
      </c>
      <c r="AQ111" s="1514" t="str">
        <f t="shared" si="8"/>
        <v>T+39</v>
      </c>
      <c r="AR111" s="1514" t="str">
        <f t="shared" si="8"/>
        <v>T+40</v>
      </c>
      <c r="AS111" s="1514" t="str">
        <f t="shared" si="8"/>
        <v>T+41</v>
      </c>
      <c r="AT111" s="1514" t="str">
        <f t="shared" si="8"/>
        <v>T+42</v>
      </c>
      <c r="AU111" s="1514" t="str">
        <f t="shared" si="8"/>
        <v>T+43</v>
      </c>
      <c r="AV111" s="1514" t="str">
        <f t="shared" si="8"/>
        <v>T+44</v>
      </c>
      <c r="AW111" s="1514" t="str">
        <f t="shared" si="8"/>
        <v>T+45</v>
      </c>
      <c r="AX111" s="1514" t="str">
        <f t="shared" si="8"/>
        <v>T+46</v>
      </c>
      <c r="AY111" s="1514" t="str">
        <f t="shared" si="8"/>
        <v>T+47</v>
      </c>
      <c r="AZ111" s="1514" t="str">
        <f t="shared" si="8"/>
        <v>T+48</v>
      </c>
      <c r="BA111" s="1514" t="str">
        <f t="shared" si="8"/>
        <v>T+49</v>
      </c>
      <c r="BB111" s="1514" t="str">
        <f t="shared" si="8"/>
        <v>T+50</v>
      </c>
      <c r="BC111" s="1514" t="str">
        <f t="shared" si="8"/>
        <v>T+51</v>
      </c>
      <c r="BD111" s="1514" t="str">
        <f t="shared" si="8"/>
        <v>T+52</v>
      </c>
      <c r="BE111" s="1514" t="str">
        <f t="shared" si="8"/>
        <v>T+53</v>
      </c>
      <c r="BF111" s="1514" t="str">
        <f t="shared" si="8"/>
        <v>T+54</v>
      </c>
      <c r="BG111" s="1514" t="str">
        <f t="shared" si="8"/>
        <v>T+55</v>
      </c>
      <c r="BH111" s="1514" t="str">
        <f t="shared" si="8"/>
        <v>T+56</v>
      </c>
      <c r="BI111" s="1514" t="str">
        <f t="shared" si="8"/>
        <v>T+57</v>
      </c>
      <c r="BJ111" s="1514" t="str">
        <f t="shared" si="8"/>
        <v>T+58</v>
      </c>
      <c r="BK111" s="1514" t="str">
        <f t="shared" si="8"/>
        <v>T+59</v>
      </c>
      <c r="BL111" s="1514" t="str">
        <f t="shared" si="8"/>
        <v>T+60</v>
      </c>
      <c r="BM111" s="1514" t="str">
        <f t="shared" si="8"/>
        <v>T+61</v>
      </c>
      <c r="BN111" s="1514" t="str">
        <f t="shared" si="8"/>
        <v>T+62</v>
      </c>
      <c r="BO111" s="1514" t="str">
        <f t="shared" si="8"/>
        <v>T+63</v>
      </c>
      <c r="BP111" s="1514" t="str">
        <f t="shared" si="8"/>
        <v>T+64</v>
      </c>
      <c r="BQ111" s="1514" t="str">
        <f t="shared" si="8"/>
        <v>T+65</v>
      </c>
      <c r="BR111" s="1514" t="str">
        <f t="shared" ref="BR111:DS111" si="9">"T+" &amp; (COLUMN(BR111)-COLUMN($D111))</f>
        <v>T+66</v>
      </c>
      <c r="BS111" s="1514" t="str">
        <f t="shared" si="9"/>
        <v>T+67</v>
      </c>
      <c r="BT111" s="1514" t="str">
        <f t="shared" si="9"/>
        <v>T+68</v>
      </c>
      <c r="BU111" s="1514" t="str">
        <f t="shared" si="9"/>
        <v>T+69</v>
      </c>
      <c r="BV111" s="1514" t="str">
        <f t="shared" si="9"/>
        <v>T+70</v>
      </c>
      <c r="BW111" s="1514" t="str">
        <f t="shared" si="9"/>
        <v>T+71</v>
      </c>
      <c r="BX111" s="1514" t="str">
        <f t="shared" si="9"/>
        <v>T+72</v>
      </c>
      <c r="BY111" s="1514" t="str">
        <f t="shared" si="9"/>
        <v>T+73</v>
      </c>
      <c r="BZ111" s="1514" t="str">
        <f t="shared" si="9"/>
        <v>T+74</v>
      </c>
      <c r="CA111" s="1514" t="str">
        <f t="shared" si="9"/>
        <v>T+75</v>
      </c>
      <c r="CB111" s="1514" t="str">
        <f t="shared" si="9"/>
        <v>T+76</v>
      </c>
      <c r="CC111" s="1514" t="str">
        <f t="shared" si="9"/>
        <v>T+77</v>
      </c>
      <c r="CD111" s="1514" t="str">
        <f t="shared" si="9"/>
        <v>T+78</v>
      </c>
      <c r="CE111" s="1514" t="str">
        <f t="shared" si="9"/>
        <v>T+79</v>
      </c>
      <c r="CF111" s="1514" t="str">
        <f t="shared" si="9"/>
        <v>T+80</v>
      </c>
      <c r="CG111" s="1514" t="str">
        <f t="shared" si="9"/>
        <v>T+81</v>
      </c>
      <c r="CH111" s="1514" t="str">
        <f t="shared" si="9"/>
        <v>T+82</v>
      </c>
      <c r="CI111" s="1514" t="str">
        <f t="shared" si="9"/>
        <v>T+83</v>
      </c>
      <c r="CJ111" s="1514" t="str">
        <f t="shared" si="9"/>
        <v>T+84</v>
      </c>
      <c r="CK111" s="1514" t="str">
        <f t="shared" si="9"/>
        <v>T+85</v>
      </c>
      <c r="CL111" s="1514" t="str">
        <f t="shared" si="9"/>
        <v>T+86</v>
      </c>
      <c r="CM111" s="1514" t="str">
        <f t="shared" si="9"/>
        <v>T+87</v>
      </c>
      <c r="CN111" s="1514" t="str">
        <f t="shared" si="9"/>
        <v>T+88</v>
      </c>
      <c r="CO111" s="1514" t="str">
        <f t="shared" si="9"/>
        <v>T+89</v>
      </c>
      <c r="CP111" s="1514" t="str">
        <f t="shared" si="9"/>
        <v>T+90</v>
      </c>
      <c r="CQ111" s="1514" t="str">
        <f t="shared" si="9"/>
        <v>T+91</v>
      </c>
      <c r="CR111" s="1514" t="str">
        <f t="shared" si="9"/>
        <v>T+92</v>
      </c>
      <c r="CS111" s="1514" t="str">
        <f t="shared" si="9"/>
        <v>T+93</v>
      </c>
      <c r="CT111" s="1514" t="str">
        <f t="shared" si="9"/>
        <v>T+94</v>
      </c>
      <c r="CU111" s="1514" t="str">
        <f t="shared" si="9"/>
        <v>T+95</v>
      </c>
      <c r="CV111" s="1514" t="str">
        <f t="shared" si="9"/>
        <v>T+96</v>
      </c>
      <c r="CW111" s="1514" t="str">
        <f t="shared" si="9"/>
        <v>T+97</v>
      </c>
      <c r="CX111" s="1514" t="str">
        <f t="shared" si="9"/>
        <v>T+98</v>
      </c>
      <c r="CY111" s="1514" t="str">
        <f t="shared" si="9"/>
        <v>T+99</v>
      </c>
      <c r="CZ111" s="1514" t="str">
        <f t="shared" si="9"/>
        <v>T+100</v>
      </c>
      <c r="DA111" s="1514" t="str">
        <f t="shared" si="9"/>
        <v>T+101</v>
      </c>
      <c r="DB111" s="1514" t="str">
        <f t="shared" si="9"/>
        <v>T+102</v>
      </c>
      <c r="DC111" s="1514" t="str">
        <f t="shared" si="9"/>
        <v>T+103</v>
      </c>
      <c r="DD111" s="1514" t="str">
        <f t="shared" si="9"/>
        <v>T+104</v>
      </c>
      <c r="DE111" s="1514" t="str">
        <f t="shared" si="9"/>
        <v>T+105</v>
      </c>
      <c r="DF111" s="1514" t="str">
        <f t="shared" si="9"/>
        <v>T+106</v>
      </c>
      <c r="DG111" s="1514" t="str">
        <f t="shared" si="9"/>
        <v>T+107</v>
      </c>
      <c r="DH111" s="1514" t="str">
        <f t="shared" si="9"/>
        <v>T+108</v>
      </c>
      <c r="DI111" s="1514" t="str">
        <f t="shared" si="9"/>
        <v>T+109</v>
      </c>
      <c r="DJ111" s="1514" t="str">
        <f t="shared" si="9"/>
        <v>T+110</v>
      </c>
      <c r="DK111" s="1514" t="str">
        <f t="shared" si="9"/>
        <v>T+111</v>
      </c>
      <c r="DL111" s="1514" t="str">
        <f t="shared" si="9"/>
        <v>T+112</v>
      </c>
      <c r="DM111" s="1514" t="str">
        <f t="shared" si="9"/>
        <v>T+113</v>
      </c>
      <c r="DN111" s="1514" t="str">
        <f t="shared" si="9"/>
        <v>T+114</v>
      </c>
      <c r="DO111" s="1514" t="str">
        <f t="shared" si="9"/>
        <v>T+115</v>
      </c>
      <c r="DP111" s="1514" t="str">
        <f t="shared" si="9"/>
        <v>T+116</v>
      </c>
      <c r="DQ111" s="1514" t="str">
        <f t="shared" si="9"/>
        <v>T+117</v>
      </c>
      <c r="DR111" s="1514" t="str">
        <f t="shared" si="9"/>
        <v>T+118</v>
      </c>
      <c r="DS111" s="1514" t="str">
        <f t="shared" si="9"/>
        <v>T+119</v>
      </c>
      <c r="DT111" s="727"/>
    </row>
    <row r="112" spans="1:124" ht="15" customHeight="1" x14ac:dyDescent="0.25">
      <c r="A112" s="821"/>
      <c r="B112" s="971" t="str">
        <f>"Desk " &amp; (ROW(B112)-ROW(B$111))</f>
        <v>Desk 1</v>
      </c>
      <c r="C112" s="1219" t="str">
        <f>IF('TB IMA'!C5&lt;&gt;"",'TB IMA'!C5,"")</f>
        <v/>
      </c>
      <c r="D112" s="431"/>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2"/>
      <c r="AZ112" s="432"/>
      <c r="BA112" s="432"/>
      <c r="BB112" s="432"/>
      <c r="BC112" s="432"/>
      <c r="BD112" s="432"/>
      <c r="BE112" s="432"/>
      <c r="BF112" s="432"/>
      <c r="BG112" s="432"/>
      <c r="BH112" s="432"/>
      <c r="BI112" s="432"/>
      <c r="BJ112" s="432"/>
      <c r="BK112" s="432"/>
      <c r="BL112" s="432"/>
      <c r="BM112" s="432"/>
      <c r="BN112" s="432"/>
      <c r="BO112" s="432"/>
      <c r="BP112" s="432"/>
      <c r="BQ112" s="432"/>
      <c r="BR112" s="432"/>
      <c r="BS112" s="432"/>
      <c r="BT112" s="432"/>
      <c r="BU112" s="432"/>
      <c r="BV112" s="432"/>
      <c r="BW112" s="432"/>
      <c r="BX112" s="432"/>
      <c r="BY112" s="432"/>
      <c r="BZ112" s="432"/>
      <c r="CA112" s="432"/>
      <c r="CB112" s="432"/>
      <c r="CC112" s="432"/>
      <c r="CD112" s="432"/>
      <c r="CE112" s="432"/>
      <c r="CF112" s="432"/>
      <c r="CG112" s="432"/>
      <c r="CH112" s="432"/>
      <c r="CI112" s="432"/>
      <c r="CJ112" s="432"/>
      <c r="CK112" s="432"/>
      <c r="CL112" s="432"/>
      <c r="CM112" s="432"/>
      <c r="CN112" s="432"/>
      <c r="CO112" s="432"/>
      <c r="CP112" s="432"/>
      <c r="CQ112" s="432"/>
      <c r="CR112" s="432"/>
      <c r="CS112" s="432"/>
      <c r="CT112" s="432"/>
      <c r="CU112" s="432"/>
      <c r="CV112" s="432"/>
      <c r="CW112" s="432"/>
      <c r="CX112" s="432"/>
      <c r="CY112" s="432"/>
      <c r="CZ112" s="432"/>
      <c r="DA112" s="432"/>
      <c r="DB112" s="432"/>
      <c r="DC112" s="432"/>
      <c r="DD112" s="432"/>
      <c r="DE112" s="432"/>
      <c r="DF112" s="432"/>
      <c r="DG112" s="432"/>
      <c r="DH112" s="432"/>
      <c r="DI112" s="432"/>
      <c r="DJ112" s="432"/>
      <c r="DK112" s="432"/>
      <c r="DL112" s="432"/>
      <c r="DM112" s="432"/>
      <c r="DN112" s="432"/>
      <c r="DO112" s="432"/>
      <c r="DP112" s="432"/>
      <c r="DQ112" s="432"/>
      <c r="DR112" s="432"/>
      <c r="DS112" s="432"/>
      <c r="DT112" s="727"/>
    </row>
    <row r="113" spans="1:124" ht="15" customHeight="1" x14ac:dyDescent="0.25">
      <c r="A113" s="821"/>
      <c r="B113" s="953" t="str">
        <f t="shared" ref="B113:B176" si="10">"Desk " &amp; (ROW(B113)-ROW(B$111))</f>
        <v>Desk 2</v>
      </c>
      <c r="C113" s="1220" t="str">
        <f>IF('TB IMA'!C6&lt;&gt;"",'TB IMA'!C6,"")</f>
        <v/>
      </c>
      <c r="D113" s="60"/>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727"/>
    </row>
    <row r="114" spans="1:124" ht="15" customHeight="1" x14ac:dyDescent="0.25">
      <c r="A114" s="821"/>
      <c r="B114" s="953" t="str">
        <f t="shared" si="10"/>
        <v>Desk 3</v>
      </c>
      <c r="C114" s="1220" t="str">
        <f>IF('TB IMA'!C7&lt;&gt;"",'TB IMA'!C7,"")</f>
        <v/>
      </c>
      <c r="D114" s="60"/>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727"/>
    </row>
    <row r="115" spans="1:124" ht="15" customHeight="1" x14ac:dyDescent="0.25">
      <c r="A115" s="821"/>
      <c r="B115" s="953" t="str">
        <f t="shared" si="10"/>
        <v>Desk 4</v>
      </c>
      <c r="C115" s="1220" t="str">
        <f>IF('TB IMA'!C8&lt;&gt;"",'TB IMA'!C8,"")</f>
        <v/>
      </c>
      <c r="D115" s="60"/>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c r="DQ115" s="107"/>
      <c r="DR115" s="107"/>
      <c r="DS115" s="107"/>
      <c r="DT115" s="727"/>
    </row>
    <row r="116" spans="1:124" ht="15" customHeight="1" x14ac:dyDescent="0.25">
      <c r="A116" s="821"/>
      <c r="B116" s="953" t="str">
        <f t="shared" si="10"/>
        <v>Desk 5</v>
      </c>
      <c r="C116" s="1220" t="str">
        <f>IF('TB IMA'!C9&lt;&gt;"",'TB IMA'!C9,"")</f>
        <v/>
      </c>
      <c r="D116" s="60"/>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727"/>
    </row>
    <row r="117" spans="1:124" ht="15" customHeight="1" x14ac:dyDescent="0.25">
      <c r="A117" s="821"/>
      <c r="B117" s="953" t="str">
        <f t="shared" si="10"/>
        <v>Desk 6</v>
      </c>
      <c r="C117" s="1220" t="str">
        <f>IF('TB IMA'!C10&lt;&gt;"",'TB IMA'!C10,"")</f>
        <v/>
      </c>
      <c r="D117" s="60"/>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c r="CQ117" s="107"/>
      <c r="CR117" s="107"/>
      <c r="CS117" s="107"/>
      <c r="CT117" s="107"/>
      <c r="CU117" s="107"/>
      <c r="CV117" s="107"/>
      <c r="CW117" s="107"/>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727"/>
    </row>
    <row r="118" spans="1:124" ht="15" customHeight="1" x14ac:dyDescent="0.25">
      <c r="A118" s="821"/>
      <c r="B118" s="953" t="str">
        <f t="shared" si="10"/>
        <v>Desk 7</v>
      </c>
      <c r="C118" s="1220" t="str">
        <f>IF('TB IMA'!C11&lt;&gt;"",'TB IMA'!C11,"")</f>
        <v/>
      </c>
      <c r="D118" s="60"/>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727"/>
    </row>
    <row r="119" spans="1:124" ht="15" customHeight="1" x14ac:dyDescent="0.25">
      <c r="A119" s="821"/>
      <c r="B119" s="953" t="str">
        <f t="shared" si="10"/>
        <v>Desk 8</v>
      </c>
      <c r="C119" s="1220" t="str">
        <f>IF('TB IMA'!C12&lt;&gt;"",'TB IMA'!C12,"")</f>
        <v/>
      </c>
      <c r="D119" s="60"/>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7"/>
      <c r="DB119" s="107"/>
      <c r="DC119" s="107"/>
      <c r="DD119" s="107"/>
      <c r="DE119" s="107"/>
      <c r="DF119" s="107"/>
      <c r="DG119" s="107"/>
      <c r="DH119" s="107"/>
      <c r="DI119" s="107"/>
      <c r="DJ119" s="107"/>
      <c r="DK119" s="107"/>
      <c r="DL119" s="107"/>
      <c r="DM119" s="107"/>
      <c r="DN119" s="107"/>
      <c r="DO119" s="107"/>
      <c r="DP119" s="107"/>
      <c r="DQ119" s="107"/>
      <c r="DR119" s="107"/>
      <c r="DS119" s="107"/>
      <c r="DT119" s="727"/>
    </row>
    <row r="120" spans="1:124" ht="15" customHeight="1" x14ac:dyDescent="0.25">
      <c r="A120" s="821"/>
      <c r="B120" s="953" t="str">
        <f t="shared" si="10"/>
        <v>Desk 9</v>
      </c>
      <c r="C120" s="1220" t="str">
        <f>IF('TB IMA'!C13&lt;&gt;"",'TB IMA'!C13,"")</f>
        <v/>
      </c>
      <c r="D120" s="60"/>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727"/>
    </row>
    <row r="121" spans="1:124" ht="15" customHeight="1" x14ac:dyDescent="0.25">
      <c r="A121" s="821"/>
      <c r="B121" s="953" t="str">
        <f t="shared" si="10"/>
        <v>Desk 10</v>
      </c>
      <c r="C121" s="1220" t="str">
        <f>IF('TB IMA'!C14&lt;&gt;"",'TB IMA'!C14,"")</f>
        <v/>
      </c>
      <c r="D121" s="60"/>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c r="CQ121" s="107"/>
      <c r="CR121" s="107"/>
      <c r="CS121" s="107"/>
      <c r="CT121" s="107"/>
      <c r="CU121" s="107"/>
      <c r="CV121" s="107"/>
      <c r="CW121" s="107"/>
      <c r="CX121" s="107"/>
      <c r="CY121" s="107"/>
      <c r="CZ121" s="107"/>
      <c r="DA121" s="107"/>
      <c r="DB121" s="107"/>
      <c r="DC121" s="107"/>
      <c r="DD121" s="107"/>
      <c r="DE121" s="107"/>
      <c r="DF121" s="107"/>
      <c r="DG121" s="107"/>
      <c r="DH121" s="107"/>
      <c r="DI121" s="107"/>
      <c r="DJ121" s="107"/>
      <c r="DK121" s="107"/>
      <c r="DL121" s="107"/>
      <c r="DM121" s="107"/>
      <c r="DN121" s="107"/>
      <c r="DO121" s="107"/>
      <c r="DP121" s="107"/>
      <c r="DQ121" s="107"/>
      <c r="DR121" s="107"/>
      <c r="DS121" s="107"/>
      <c r="DT121" s="727"/>
    </row>
    <row r="122" spans="1:124" ht="15" customHeight="1" x14ac:dyDescent="0.25">
      <c r="A122" s="821"/>
      <c r="B122" s="953" t="str">
        <f t="shared" si="10"/>
        <v>Desk 11</v>
      </c>
      <c r="C122" s="1220" t="str">
        <f>IF('TB IMA'!C15&lt;&gt;"",'TB IMA'!C15,"")</f>
        <v/>
      </c>
      <c r="D122" s="60"/>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107"/>
      <c r="DQ122" s="107"/>
      <c r="DR122" s="107"/>
      <c r="DS122" s="107"/>
      <c r="DT122" s="727"/>
    </row>
    <row r="123" spans="1:124" ht="15" customHeight="1" x14ac:dyDescent="0.25">
      <c r="A123" s="821"/>
      <c r="B123" s="953" t="str">
        <f t="shared" si="10"/>
        <v>Desk 12</v>
      </c>
      <c r="C123" s="1220" t="str">
        <f>IF('TB IMA'!C16&lt;&gt;"",'TB IMA'!C16,"")</f>
        <v/>
      </c>
      <c r="D123" s="60"/>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7"/>
      <c r="DJ123" s="107"/>
      <c r="DK123" s="107"/>
      <c r="DL123" s="107"/>
      <c r="DM123" s="107"/>
      <c r="DN123" s="107"/>
      <c r="DO123" s="107"/>
      <c r="DP123" s="107"/>
      <c r="DQ123" s="107"/>
      <c r="DR123" s="107"/>
      <c r="DS123" s="107"/>
      <c r="DT123" s="727"/>
    </row>
    <row r="124" spans="1:124" ht="15" customHeight="1" x14ac:dyDescent="0.25">
      <c r="A124" s="821"/>
      <c r="B124" s="953" t="str">
        <f t="shared" si="10"/>
        <v>Desk 13</v>
      </c>
      <c r="C124" s="1220" t="str">
        <f>IF('TB IMA'!C17&lt;&gt;"",'TB IMA'!C17,"")</f>
        <v/>
      </c>
      <c r="D124" s="60"/>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107"/>
      <c r="DQ124" s="107"/>
      <c r="DR124" s="107"/>
      <c r="DS124" s="107"/>
      <c r="DT124" s="727"/>
    </row>
    <row r="125" spans="1:124" ht="15" customHeight="1" x14ac:dyDescent="0.25">
      <c r="A125" s="821"/>
      <c r="B125" s="953" t="str">
        <f t="shared" si="10"/>
        <v>Desk 14</v>
      </c>
      <c r="C125" s="1220" t="str">
        <f>IF('TB IMA'!C18&lt;&gt;"",'TB IMA'!C18,"")</f>
        <v/>
      </c>
      <c r="D125" s="60"/>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c r="CJ125" s="107"/>
      <c r="CK125" s="107"/>
      <c r="CL125" s="107"/>
      <c r="CM125" s="107"/>
      <c r="CN125" s="107"/>
      <c r="CO125" s="107"/>
      <c r="CP125" s="107"/>
      <c r="CQ125" s="107"/>
      <c r="CR125" s="107"/>
      <c r="CS125" s="107"/>
      <c r="CT125" s="107"/>
      <c r="CU125" s="107"/>
      <c r="CV125" s="107"/>
      <c r="CW125" s="107"/>
      <c r="CX125" s="107"/>
      <c r="CY125" s="107"/>
      <c r="CZ125" s="107"/>
      <c r="DA125" s="107"/>
      <c r="DB125" s="107"/>
      <c r="DC125" s="107"/>
      <c r="DD125" s="107"/>
      <c r="DE125" s="107"/>
      <c r="DF125" s="107"/>
      <c r="DG125" s="107"/>
      <c r="DH125" s="107"/>
      <c r="DI125" s="107"/>
      <c r="DJ125" s="107"/>
      <c r="DK125" s="107"/>
      <c r="DL125" s="107"/>
      <c r="DM125" s="107"/>
      <c r="DN125" s="107"/>
      <c r="DO125" s="107"/>
      <c r="DP125" s="107"/>
      <c r="DQ125" s="107"/>
      <c r="DR125" s="107"/>
      <c r="DS125" s="107"/>
      <c r="DT125" s="727"/>
    </row>
    <row r="126" spans="1:124" ht="15" customHeight="1" x14ac:dyDescent="0.25">
      <c r="A126" s="821"/>
      <c r="B126" s="953" t="str">
        <f t="shared" si="10"/>
        <v>Desk 15</v>
      </c>
      <c r="C126" s="1220" t="str">
        <f>IF('TB IMA'!C19&lt;&gt;"",'TB IMA'!C19,"")</f>
        <v/>
      </c>
      <c r="D126" s="60"/>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727"/>
    </row>
    <row r="127" spans="1:124" ht="15" customHeight="1" x14ac:dyDescent="0.25">
      <c r="A127" s="821"/>
      <c r="B127" s="953" t="str">
        <f t="shared" si="10"/>
        <v>Desk 16</v>
      </c>
      <c r="C127" s="1220" t="str">
        <f>IF('TB IMA'!C20&lt;&gt;"",'TB IMA'!C20,"")</f>
        <v/>
      </c>
      <c r="D127" s="60"/>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727"/>
    </row>
    <row r="128" spans="1:124" ht="15" customHeight="1" x14ac:dyDescent="0.25">
      <c r="A128" s="821"/>
      <c r="B128" s="953" t="str">
        <f t="shared" si="10"/>
        <v>Desk 17</v>
      </c>
      <c r="C128" s="1220" t="str">
        <f>IF('TB IMA'!C21&lt;&gt;"",'TB IMA'!C21,"")</f>
        <v/>
      </c>
      <c r="D128" s="60"/>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727"/>
    </row>
    <row r="129" spans="1:124" ht="15" customHeight="1" x14ac:dyDescent="0.25">
      <c r="A129" s="821"/>
      <c r="B129" s="953" t="str">
        <f t="shared" si="10"/>
        <v>Desk 18</v>
      </c>
      <c r="C129" s="1220" t="str">
        <f>IF('TB IMA'!C22&lt;&gt;"",'TB IMA'!C22,"")</f>
        <v/>
      </c>
      <c r="D129" s="60"/>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c r="CJ129" s="107"/>
      <c r="CK129" s="107"/>
      <c r="CL129" s="107"/>
      <c r="CM129" s="107"/>
      <c r="CN129" s="107"/>
      <c r="CO129" s="107"/>
      <c r="CP129" s="107"/>
      <c r="CQ129" s="107"/>
      <c r="CR129" s="107"/>
      <c r="CS129" s="107"/>
      <c r="CT129" s="107"/>
      <c r="CU129" s="107"/>
      <c r="CV129" s="107"/>
      <c r="CW129" s="107"/>
      <c r="CX129" s="107"/>
      <c r="CY129" s="107"/>
      <c r="CZ129" s="107"/>
      <c r="DA129" s="107"/>
      <c r="DB129" s="107"/>
      <c r="DC129" s="107"/>
      <c r="DD129" s="107"/>
      <c r="DE129" s="107"/>
      <c r="DF129" s="107"/>
      <c r="DG129" s="107"/>
      <c r="DH129" s="107"/>
      <c r="DI129" s="107"/>
      <c r="DJ129" s="107"/>
      <c r="DK129" s="107"/>
      <c r="DL129" s="107"/>
      <c r="DM129" s="107"/>
      <c r="DN129" s="107"/>
      <c r="DO129" s="107"/>
      <c r="DP129" s="107"/>
      <c r="DQ129" s="107"/>
      <c r="DR129" s="107"/>
      <c r="DS129" s="107"/>
      <c r="DT129" s="727"/>
    </row>
    <row r="130" spans="1:124" ht="15" customHeight="1" x14ac:dyDescent="0.25">
      <c r="A130" s="821"/>
      <c r="B130" s="953" t="str">
        <f t="shared" si="10"/>
        <v>Desk 19</v>
      </c>
      <c r="C130" s="1220" t="str">
        <f>IF('TB IMA'!C23&lt;&gt;"",'TB IMA'!C23,"")</f>
        <v/>
      </c>
      <c r="D130" s="60"/>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c r="CJ130" s="107"/>
      <c r="CK130" s="107"/>
      <c r="CL130" s="107"/>
      <c r="CM130" s="107"/>
      <c r="CN130" s="107"/>
      <c r="CO130" s="107"/>
      <c r="CP130" s="107"/>
      <c r="CQ130" s="107"/>
      <c r="CR130" s="107"/>
      <c r="CS130" s="107"/>
      <c r="CT130" s="107"/>
      <c r="CU130" s="107"/>
      <c r="CV130" s="107"/>
      <c r="CW130" s="107"/>
      <c r="CX130" s="107"/>
      <c r="CY130" s="107"/>
      <c r="CZ130" s="107"/>
      <c r="DA130" s="107"/>
      <c r="DB130" s="107"/>
      <c r="DC130" s="107"/>
      <c r="DD130" s="107"/>
      <c r="DE130" s="107"/>
      <c r="DF130" s="107"/>
      <c r="DG130" s="107"/>
      <c r="DH130" s="107"/>
      <c r="DI130" s="107"/>
      <c r="DJ130" s="107"/>
      <c r="DK130" s="107"/>
      <c r="DL130" s="107"/>
      <c r="DM130" s="107"/>
      <c r="DN130" s="107"/>
      <c r="DO130" s="107"/>
      <c r="DP130" s="107"/>
      <c r="DQ130" s="107"/>
      <c r="DR130" s="107"/>
      <c r="DS130" s="107"/>
      <c r="DT130" s="727"/>
    </row>
    <row r="131" spans="1:124" ht="15" customHeight="1" x14ac:dyDescent="0.25">
      <c r="A131" s="821"/>
      <c r="B131" s="953" t="str">
        <f t="shared" si="10"/>
        <v>Desk 20</v>
      </c>
      <c r="C131" s="1220" t="str">
        <f>IF('TB IMA'!C24&lt;&gt;"",'TB IMA'!C24,"")</f>
        <v/>
      </c>
      <c r="D131" s="60"/>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c r="DQ131" s="107"/>
      <c r="DR131" s="107"/>
      <c r="DS131" s="107"/>
      <c r="DT131" s="727"/>
    </row>
    <row r="132" spans="1:124" ht="15" customHeight="1" x14ac:dyDescent="0.25">
      <c r="A132" s="821"/>
      <c r="B132" s="953" t="str">
        <f t="shared" si="10"/>
        <v>Desk 21</v>
      </c>
      <c r="C132" s="1220" t="str">
        <f>IF('TB IMA'!C25&lt;&gt;"",'TB IMA'!C25,"")</f>
        <v/>
      </c>
      <c r="D132" s="60"/>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727"/>
    </row>
    <row r="133" spans="1:124" ht="15" customHeight="1" x14ac:dyDescent="0.25">
      <c r="A133" s="821"/>
      <c r="B133" s="953" t="str">
        <f t="shared" si="10"/>
        <v>Desk 22</v>
      </c>
      <c r="C133" s="1220" t="str">
        <f>IF('TB IMA'!C26&lt;&gt;"",'TB IMA'!C26,"")</f>
        <v/>
      </c>
      <c r="D133" s="60"/>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107"/>
      <c r="CL133" s="107"/>
      <c r="CM133" s="107"/>
      <c r="CN133" s="107"/>
      <c r="CO133" s="107"/>
      <c r="CP133" s="107"/>
      <c r="CQ133" s="107"/>
      <c r="CR133" s="107"/>
      <c r="CS133" s="107"/>
      <c r="CT133" s="107"/>
      <c r="CU133" s="107"/>
      <c r="CV133" s="107"/>
      <c r="CW133" s="107"/>
      <c r="CX133" s="107"/>
      <c r="CY133" s="107"/>
      <c r="CZ133" s="107"/>
      <c r="DA133" s="107"/>
      <c r="DB133" s="107"/>
      <c r="DC133" s="107"/>
      <c r="DD133" s="107"/>
      <c r="DE133" s="107"/>
      <c r="DF133" s="107"/>
      <c r="DG133" s="107"/>
      <c r="DH133" s="107"/>
      <c r="DI133" s="107"/>
      <c r="DJ133" s="107"/>
      <c r="DK133" s="107"/>
      <c r="DL133" s="107"/>
      <c r="DM133" s="107"/>
      <c r="DN133" s="107"/>
      <c r="DO133" s="107"/>
      <c r="DP133" s="107"/>
      <c r="DQ133" s="107"/>
      <c r="DR133" s="107"/>
      <c r="DS133" s="107"/>
      <c r="DT133" s="727"/>
    </row>
    <row r="134" spans="1:124" ht="15" customHeight="1" x14ac:dyDescent="0.25">
      <c r="A134" s="821"/>
      <c r="B134" s="953" t="str">
        <f t="shared" si="10"/>
        <v>Desk 23</v>
      </c>
      <c r="C134" s="1220" t="str">
        <f>IF('TB IMA'!C27&lt;&gt;"",'TB IMA'!C27,"")</f>
        <v/>
      </c>
      <c r="D134" s="60"/>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c r="CQ134" s="107"/>
      <c r="CR134" s="107"/>
      <c r="CS134" s="107"/>
      <c r="CT134" s="107"/>
      <c r="CU134" s="107"/>
      <c r="CV134" s="107"/>
      <c r="CW134" s="107"/>
      <c r="CX134" s="107"/>
      <c r="CY134" s="107"/>
      <c r="CZ134" s="107"/>
      <c r="DA134" s="107"/>
      <c r="DB134" s="107"/>
      <c r="DC134" s="107"/>
      <c r="DD134" s="107"/>
      <c r="DE134" s="107"/>
      <c r="DF134" s="107"/>
      <c r="DG134" s="107"/>
      <c r="DH134" s="107"/>
      <c r="DI134" s="107"/>
      <c r="DJ134" s="107"/>
      <c r="DK134" s="107"/>
      <c r="DL134" s="107"/>
      <c r="DM134" s="107"/>
      <c r="DN134" s="107"/>
      <c r="DO134" s="107"/>
      <c r="DP134" s="107"/>
      <c r="DQ134" s="107"/>
      <c r="DR134" s="107"/>
      <c r="DS134" s="107"/>
      <c r="DT134" s="727"/>
    </row>
    <row r="135" spans="1:124" ht="15" customHeight="1" x14ac:dyDescent="0.25">
      <c r="A135" s="821"/>
      <c r="B135" s="953" t="str">
        <f t="shared" si="10"/>
        <v>Desk 24</v>
      </c>
      <c r="C135" s="1220" t="str">
        <f>IF('TB IMA'!C28&lt;&gt;"",'TB IMA'!C28,"")</f>
        <v/>
      </c>
      <c r="D135" s="60"/>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c r="CQ135" s="107"/>
      <c r="CR135" s="107"/>
      <c r="CS135" s="107"/>
      <c r="CT135" s="107"/>
      <c r="CU135" s="107"/>
      <c r="CV135" s="107"/>
      <c r="CW135" s="107"/>
      <c r="CX135" s="107"/>
      <c r="CY135" s="107"/>
      <c r="CZ135" s="107"/>
      <c r="DA135" s="107"/>
      <c r="DB135" s="107"/>
      <c r="DC135" s="107"/>
      <c r="DD135" s="107"/>
      <c r="DE135" s="107"/>
      <c r="DF135" s="107"/>
      <c r="DG135" s="107"/>
      <c r="DH135" s="107"/>
      <c r="DI135" s="107"/>
      <c r="DJ135" s="107"/>
      <c r="DK135" s="107"/>
      <c r="DL135" s="107"/>
      <c r="DM135" s="107"/>
      <c r="DN135" s="107"/>
      <c r="DO135" s="107"/>
      <c r="DP135" s="107"/>
      <c r="DQ135" s="107"/>
      <c r="DR135" s="107"/>
      <c r="DS135" s="107"/>
      <c r="DT135" s="727"/>
    </row>
    <row r="136" spans="1:124" ht="15" customHeight="1" x14ac:dyDescent="0.25">
      <c r="A136" s="821"/>
      <c r="B136" s="953" t="str">
        <f t="shared" si="10"/>
        <v>Desk 25</v>
      </c>
      <c r="C136" s="1220" t="str">
        <f>IF('TB IMA'!C29&lt;&gt;"",'TB IMA'!C29,"")</f>
        <v/>
      </c>
      <c r="D136" s="60"/>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107"/>
      <c r="DQ136" s="107"/>
      <c r="DR136" s="107"/>
      <c r="DS136" s="107"/>
      <c r="DT136" s="727"/>
    </row>
    <row r="137" spans="1:124" ht="15" customHeight="1" x14ac:dyDescent="0.25">
      <c r="A137" s="821"/>
      <c r="B137" s="953" t="str">
        <f t="shared" si="10"/>
        <v>Desk 26</v>
      </c>
      <c r="C137" s="1220" t="str">
        <f>IF('TB IMA'!C30&lt;&gt;"",'TB IMA'!C30,"")</f>
        <v/>
      </c>
      <c r="D137" s="60"/>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107"/>
      <c r="DQ137" s="107"/>
      <c r="DR137" s="107"/>
      <c r="DS137" s="107"/>
      <c r="DT137" s="727"/>
    </row>
    <row r="138" spans="1:124" ht="15" customHeight="1" x14ac:dyDescent="0.25">
      <c r="A138" s="821"/>
      <c r="B138" s="953" t="str">
        <f t="shared" si="10"/>
        <v>Desk 27</v>
      </c>
      <c r="C138" s="1220" t="str">
        <f>IF('TB IMA'!C31&lt;&gt;"",'TB IMA'!C31,"")</f>
        <v/>
      </c>
      <c r="D138" s="60"/>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727"/>
    </row>
    <row r="139" spans="1:124" ht="15" customHeight="1" x14ac:dyDescent="0.25">
      <c r="A139" s="821"/>
      <c r="B139" s="953" t="str">
        <f t="shared" si="10"/>
        <v>Desk 28</v>
      </c>
      <c r="C139" s="1220" t="str">
        <f>IF('TB IMA'!C32&lt;&gt;"",'TB IMA'!C32,"")</f>
        <v/>
      </c>
      <c r="D139" s="60"/>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107"/>
      <c r="DQ139" s="107"/>
      <c r="DR139" s="107"/>
      <c r="DS139" s="107"/>
      <c r="DT139" s="727"/>
    </row>
    <row r="140" spans="1:124" ht="15" customHeight="1" x14ac:dyDescent="0.25">
      <c r="A140" s="821"/>
      <c r="B140" s="953" t="str">
        <f t="shared" si="10"/>
        <v>Desk 29</v>
      </c>
      <c r="C140" s="1220" t="str">
        <f>IF('TB IMA'!C33&lt;&gt;"",'TB IMA'!C33,"")</f>
        <v/>
      </c>
      <c r="D140" s="60"/>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727"/>
    </row>
    <row r="141" spans="1:124" ht="15" customHeight="1" x14ac:dyDescent="0.25">
      <c r="A141" s="821"/>
      <c r="B141" s="953" t="str">
        <f t="shared" si="10"/>
        <v>Desk 30</v>
      </c>
      <c r="C141" s="1220" t="str">
        <f>IF('TB IMA'!C34&lt;&gt;"",'TB IMA'!C34,"")</f>
        <v/>
      </c>
      <c r="D141" s="60"/>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CM141" s="107"/>
      <c r="CN141" s="107"/>
      <c r="CO141" s="107"/>
      <c r="CP141" s="107"/>
      <c r="CQ141" s="107"/>
      <c r="CR141" s="107"/>
      <c r="CS141" s="107"/>
      <c r="CT141" s="107"/>
      <c r="CU141" s="107"/>
      <c r="CV141" s="107"/>
      <c r="CW141" s="107"/>
      <c r="CX141" s="107"/>
      <c r="CY141" s="107"/>
      <c r="CZ141" s="107"/>
      <c r="DA141" s="107"/>
      <c r="DB141" s="107"/>
      <c r="DC141" s="107"/>
      <c r="DD141" s="107"/>
      <c r="DE141" s="107"/>
      <c r="DF141" s="107"/>
      <c r="DG141" s="107"/>
      <c r="DH141" s="107"/>
      <c r="DI141" s="107"/>
      <c r="DJ141" s="107"/>
      <c r="DK141" s="107"/>
      <c r="DL141" s="107"/>
      <c r="DM141" s="107"/>
      <c r="DN141" s="107"/>
      <c r="DO141" s="107"/>
      <c r="DP141" s="107"/>
      <c r="DQ141" s="107"/>
      <c r="DR141" s="107"/>
      <c r="DS141" s="107"/>
      <c r="DT141" s="727"/>
    </row>
    <row r="142" spans="1:124" ht="15" customHeight="1" x14ac:dyDescent="0.25">
      <c r="A142" s="821"/>
      <c r="B142" s="953" t="str">
        <f t="shared" si="10"/>
        <v>Desk 31</v>
      </c>
      <c r="C142" s="1220" t="str">
        <f>IF('TB IMA'!C35&lt;&gt;"",'TB IMA'!C35,"")</f>
        <v/>
      </c>
      <c r="D142" s="60"/>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c r="CQ142" s="107"/>
      <c r="CR142" s="107"/>
      <c r="CS142" s="107"/>
      <c r="CT142" s="107"/>
      <c r="CU142" s="107"/>
      <c r="CV142" s="107"/>
      <c r="CW142" s="107"/>
      <c r="CX142" s="107"/>
      <c r="CY142" s="107"/>
      <c r="CZ142" s="107"/>
      <c r="DA142" s="107"/>
      <c r="DB142" s="107"/>
      <c r="DC142" s="107"/>
      <c r="DD142" s="107"/>
      <c r="DE142" s="107"/>
      <c r="DF142" s="107"/>
      <c r="DG142" s="107"/>
      <c r="DH142" s="107"/>
      <c r="DI142" s="107"/>
      <c r="DJ142" s="107"/>
      <c r="DK142" s="107"/>
      <c r="DL142" s="107"/>
      <c r="DM142" s="107"/>
      <c r="DN142" s="107"/>
      <c r="DO142" s="107"/>
      <c r="DP142" s="107"/>
      <c r="DQ142" s="107"/>
      <c r="DR142" s="107"/>
      <c r="DS142" s="107"/>
      <c r="DT142" s="727"/>
    </row>
    <row r="143" spans="1:124" ht="15" customHeight="1" x14ac:dyDescent="0.25">
      <c r="A143" s="821"/>
      <c r="B143" s="953" t="str">
        <f t="shared" si="10"/>
        <v>Desk 32</v>
      </c>
      <c r="C143" s="1220" t="str">
        <f>IF('TB IMA'!C36&lt;&gt;"",'TB IMA'!C36,"")</f>
        <v/>
      </c>
      <c r="D143" s="60"/>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c r="CJ143" s="107"/>
      <c r="CK143" s="107"/>
      <c r="CL143" s="107"/>
      <c r="CM143" s="107"/>
      <c r="CN143" s="107"/>
      <c r="CO143" s="107"/>
      <c r="CP143" s="107"/>
      <c r="CQ143" s="107"/>
      <c r="CR143" s="107"/>
      <c r="CS143" s="107"/>
      <c r="CT143" s="107"/>
      <c r="CU143" s="107"/>
      <c r="CV143" s="107"/>
      <c r="CW143" s="107"/>
      <c r="CX143" s="107"/>
      <c r="CY143" s="107"/>
      <c r="CZ143" s="107"/>
      <c r="DA143" s="107"/>
      <c r="DB143" s="107"/>
      <c r="DC143" s="107"/>
      <c r="DD143" s="107"/>
      <c r="DE143" s="107"/>
      <c r="DF143" s="107"/>
      <c r="DG143" s="107"/>
      <c r="DH143" s="107"/>
      <c r="DI143" s="107"/>
      <c r="DJ143" s="107"/>
      <c r="DK143" s="107"/>
      <c r="DL143" s="107"/>
      <c r="DM143" s="107"/>
      <c r="DN143" s="107"/>
      <c r="DO143" s="107"/>
      <c r="DP143" s="107"/>
      <c r="DQ143" s="107"/>
      <c r="DR143" s="107"/>
      <c r="DS143" s="107"/>
      <c r="DT143" s="727"/>
    </row>
    <row r="144" spans="1:124" ht="15" customHeight="1" x14ac:dyDescent="0.25">
      <c r="A144" s="821"/>
      <c r="B144" s="953" t="str">
        <f t="shared" si="10"/>
        <v>Desk 33</v>
      </c>
      <c r="C144" s="1220" t="str">
        <f>IF('TB IMA'!C37&lt;&gt;"",'TB IMA'!C37,"")</f>
        <v/>
      </c>
      <c r="D144" s="60"/>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CM144" s="107"/>
      <c r="CN144" s="107"/>
      <c r="CO144" s="107"/>
      <c r="CP144" s="107"/>
      <c r="CQ144" s="107"/>
      <c r="CR144" s="107"/>
      <c r="CS144" s="107"/>
      <c r="CT144" s="107"/>
      <c r="CU144" s="107"/>
      <c r="CV144" s="107"/>
      <c r="CW144" s="107"/>
      <c r="CX144" s="107"/>
      <c r="CY144" s="107"/>
      <c r="CZ144" s="107"/>
      <c r="DA144" s="107"/>
      <c r="DB144" s="107"/>
      <c r="DC144" s="107"/>
      <c r="DD144" s="107"/>
      <c r="DE144" s="107"/>
      <c r="DF144" s="107"/>
      <c r="DG144" s="107"/>
      <c r="DH144" s="107"/>
      <c r="DI144" s="107"/>
      <c r="DJ144" s="107"/>
      <c r="DK144" s="107"/>
      <c r="DL144" s="107"/>
      <c r="DM144" s="107"/>
      <c r="DN144" s="107"/>
      <c r="DO144" s="107"/>
      <c r="DP144" s="107"/>
      <c r="DQ144" s="107"/>
      <c r="DR144" s="107"/>
      <c r="DS144" s="107"/>
      <c r="DT144" s="727"/>
    </row>
    <row r="145" spans="1:124" ht="15" customHeight="1" x14ac:dyDescent="0.25">
      <c r="A145" s="821"/>
      <c r="B145" s="953" t="str">
        <f t="shared" si="10"/>
        <v>Desk 34</v>
      </c>
      <c r="C145" s="1220" t="str">
        <f>IF('TB IMA'!C38&lt;&gt;"",'TB IMA'!C38,"")</f>
        <v/>
      </c>
      <c r="D145" s="60"/>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c r="CC145" s="107"/>
      <c r="CD145" s="107"/>
      <c r="CE145" s="107"/>
      <c r="CF145" s="107"/>
      <c r="CG145" s="107"/>
      <c r="CH145" s="107"/>
      <c r="CI145" s="107"/>
      <c r="CJ145" s="107"/>
      <c r="CK145" s="107"/>
      <c r="CL145" s="107"/>
      <c r="CM145" s="107"/>
      <c r="CN145" s="107"/>
      <c r="CO145" s="107"/>
      <c r="CP145" s="107"/>
      <c r="CQ145" s="107"/>
      <c r="CR145" s="107"/>
      <c r="CS145" s="107"/>
      <c r="CT145" s="107"/>
      <c r="CU145" s="107"/>
      <c r="CV145" s="107"/>
      <c r="CW145" s="107"/>
      <c r="CX145" s="107"/>
      <c r="CY145" s="107"/>
      <c r="CZ145" s="107"/>
      <c r="DA145" s="107"/>
      <c r="DB145" s="107"/>
      <c r="DC145" s="107"/>
      <c r="DD145" s="107"/>
      <c r="DE145" s="107"/>
      <c r="DF145" s="107"/>
      <c r="DG145" s="107"/>
      <c r="DH145" s="107"/>
      <c r="DI145" s="107"/>
      <c r="DJ145" s="107"/>
      <c r="DK145" s="107"/>
      <c r="DL145" s="107"/>
      <c r="DM145" s="107"/>
      <c r="DN145" s="107"/>
      <c r="DO145" s="107"/>
      <c r="DP145" s="107"/>
      <c r="DQ145" s="107"/>
      <c r="DR145" s="107"/>
      <c r="DS145" s="107"/>
      <c r="DT145" s="727"/>
    </row>
    <row r="146" spans="1:124" ht="15" customHeight="1" x14ac:dyDescent="0.25">
      <c r="A146" s="821"/>
      <c r="B146" s="953" t="str">
        <f t="shared" si="10"/>
        <v>Desk 35</v>
      </c>
      <c r="C146" s="1220" t="str">
        <f>IF('TB IMA'!C39&lt;&gt;"",'TB IMA'!C39,"")</f>
        <v/>
      </c>
      <c r="D146" s="60"/>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727"/>
    </row>
    <row r="147" spans="1:124" ht="15" customHeight="1" x14ac:dyDescent="0.25">
      <c r="A147" s="821"/>
      <c r="B147" s="953" t="str">
        <f t="shared" si="10"/>
        <v>Desk 36</v>
      </c>
      <c r="C147" s="1220" t="str">
        <f>IF('TB IMA'!C40&lt;&gt;"",'TB IMA'!C40,"")</f>
        <v/>
      </c>
      <c r="D147" s="60"/>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c r="DQ147" s="107"/>
      <c r="DR147" s="107"/>
      <c r="DS147" s="107"/>
      <c r="DT147" s="727"/>
    </row>
    <row r="148" spans="1:124" ht="15" customHeight="1" x14ac:dyDescent="0.25">
      <c r="A148" s="821"/>
      <c r="B148" s="953" t="str">
        <f t="shared" si="10"/>
        <v>Desk 37</v>
      </c>
      <c r="C148" s="1220" t="str">
        <f>IF('TB IMA'!C41&lt;&gt;"",'TB IMA'!C41,"")</f>
        <v/>
      </c>
      <c r="D148" s="60"/>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727"/>
    </row>
    <row r="149" spans="1:124" ht="15" customHeight="1" x14ac:dyDescent="0.25">
      <c r="A149" s="821"/>
      <c r="B149" s="953" t="str">
        <f t="shared" si="10"/>
        <v>Desk 38</v>
      </c>
      <c r="C149" s="1220" t="str">
        <f>IF('TB IMA'!C42&lt;&gt;"",'TB IMA'!C42,"")</f>
        <v/>
      </c>
      <c r="D149" s="60"/>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07"/>
      <c r="CN149" s="107"/>
      <c r="CO149" s="107"/>
      <c r="CP149" s="107"/>
      <c r="CQ149" s="107"/>
      <c r="CR149" s="107"/>
      <c r="CS149" s="107"/>
      <c r="CT149" s="107"/>
      <c r="CU149" s="107"/>
      <c r="CV149" s="107"/>
      <c r="CW149" s="107"/>
      <c r="CX149" s="107"/>
      <c r="CY149" s="107"/>
      <c r="CZ149" s="107"/>
      <c r="DA149" s="107"/>
      <c r="DB149" s="107"/>
      <c r="DC149" s="107"/>
      <c r="DD149" s="107"/>
      <c r="DE149" s="107"/>
      <c r="DF149" s="107"/>
      <c r="DG149" s="107"/>
      <c r="DH149" s="107"/>
      <c r="DI149" s="107"/>
      <c r="DJ149" s="107"/>
      <c r="DK149" s="107"/>
      <c r="DL149" s="107"/>
      <c r="DM149" s="107"/>
      <c r="DN149" s="107"/>
      <c r="DO149" s="107"/>
      <c r="DP149" s="107"/>
      <c r="DQ149" s="107"/>
      <c r="DR149" s="107"/>
      <c r="DS149" s="107"/>
      <c r="DT149" s="727"/>
    </row>
    <row r="150" spans="1:124" ht="15" customHeight="1" x14ac:dyDescent="0.25">
      <c r="A150" s="821"/>
      <c r="B150" s="953" t="str">
        <f t="shared" si="10"/>
        <v>Desk 39</v>
      </c>
      <c r="C150" s="1220" t="str">
        <f>IF('TB IMA'!C43&lt;&gt;"",'TB IMA'!C43,"")</f>
        <v/>
      </c>
      <c r="D150" s="60"/>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c r="CJ150" s="107"/>
      <c r="CK150" s="107"/>
      <c r="CL150" s="107"/>
      <c r="CM150" s="107"/>
      <c r="CN150" s="107"/>
      <c r="CO150" s="107"/>
      <c r="CP150" s="107"/>
      <c r="CQ150" s="107"/>
      <c r="CR150" s="107"/>
      <c r="CS150" s="107"/>
      <c r="CT150" s="107"/>
      <c r="CU150" s="107"/>
      <c r="CV150" s="107"/>
      <c r="CW150" s="107"/>
      <c r="CX150" s="107"/>
      <c r="CY150" s="107"/>
      <c r="CZ150" s="107"/>
      <c r="DA150" s="107"/>
      <c r="DB150" s="107"/>
      <c r="DC150" s="107"/>
      <c r="DD150" s="107"/>
      <c r="DE150" s="107"/>
      <c r="DF150" s="107"/>
      <c r="DG150" s="107"/>
      <c r="DH150" s="107"/>
      <c r="DI150" s="107"/>
      <c r="DJ150" s="107"/>
      <c r="DK150" s="107"/>
      <c r="DL150" s="107"/>
      <c r="DM150" s="107"/>
      <c r="DN150" s="107"/>
      <c r="DO150" s="107"/>
      <c r="DP150" s="107"/>
      <c r="DQ150" s="107"/>
      <c r="DR150" s="107"/>
      <c r="DS150" s="107"/>
      <c r="DT150" s="727"/>
    </row>
    <row r="151" spans="1:124" ht="15" customHeight="1" x14ac:dyDescent="0.25">
      <c r="A151" s="821"/>
      <c r="B151" s="953" t="str">
        <f t="shared" si="10"/>
        <v>Desk 40</v>
      </c>
      <c r="C151" s="1220" t="str">
        <f>IF('TB IMA'!C44&lt;&gt;"",'TB IMA'!C44,"")</f>
        <v/>
      </c>
      <c r="D151" s="60"/>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c r="CQ151" s="107"/>
      <c r="CR151" s="107"/>
      <c r="CS151" s="107"/>
      <c r="CT151" s="107"/>
      <c r="CU151" s="107"/>
      <c r="CV151" s="107"/>
      <c r="CW151" s="107"/>
      <c r="CX151" s="107"/>
      <c r="CY151" s="107"/>
      <c r="CZ151" s="107"/>
      <c r="DA151" s="107"/>
      <c r="DB151" s="107"/>
      <c r="DC151" s="107"/>
      <c r="DD151" s="107"/>
      <c r="DE151" s="107"/>
      <c r="DF151" s="107"/>
      <c r="DG151" s="107"/>
      <c r="DH151" s="107"/>
      <c r="DI151" s="107"/>
      <c r="DJ151" s="107"/>
      <c r="DK151" s="107"/>
      <c r="DL151" s="107"/>
      <c r="DM151" s="107"/>
      <c r="DN151" s="107"/>
      <c r="DO151" s="107"/>
      <c r="DP151" s="107"/>
      <c r="DQ151" s="107"/>
      <c r="DR151" s="107"/>
      <c r="DS151" s="107"/>
      <c r="DT151" s="727"/>
    </row>
    <row r="152" spans="1:124" ht="15" customHeight="1" x14ac:dyDescent="0.25">
      <c r="A152" s="821"/>
      <c r="B152" s="953" t="str">
        <f t="shared" si="10"/>
        <v>Desk 41</v>
      </c>
      <c r="C152" s="1220" t="str">
        <f>IF('TB IMA'!C45&lt;&gt;"",'TB IMA'!C45,"")</f>
        <v/>
      </c>
      <c r="D152" s="60"/>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c r="CQ152" s="107"/>
      <c r="CR152" s="107"/>
      <c r="CS152" s="107"/>
      <c r="CT152" s="107"/>
      <c r="CU152" s="107"/>
      <c r="CV152" s="107"/>
      <c r="CW152" s="107"/>
      <c r="CX152" s="107"/>
      <c r="CY152" s="107"/>
      <c r="CZ152" s="107"/>
      <c r="DA152" s="107"/>
      <c r="DB152" s="107"/>
      <c r="DC152" s="107"/>
      <c r="DD152" s="107"/>
      <c r="DE152" s="107"/>
      <c r="DF152" s="107"/>
      <c r="DG152" s="107"/>
      <c r="DH152" s="107"/>
      <c r="DI152" s="107"/>
      <c r="DJ152" s="107"/>
      <c r="DK152" s="107"/>
      <c r="DL152" s="107"/>
      <c r="DM152" s="107"/>
      <c r="DN152" s="107"/>
      <c r="DO152" s="107"/>
      <c r="DP152" s="107"/>
      <c r="DQ152" s="107"/>
      <c r="DR152" s="107"/>
      <c r="DS152" s="107"/>
      <c r="DT152" s="727"/>
    </row>
    <row r="153" spans="1:124" ht="15" customHeight="1" x14ac:dyDescent="0.25">
      <c r="A153" s="821"/>
      <c r="B153" s="953" t="str">
        <f t="shared" si="10"/>
        <v>Desk 42</v>
      </c>
      <c r="C153" s="1220" t="str">
        <f>IF('TB IMA'!C46&lt;&gt;"",'TB IMA'!C46,"")</f>
        <v/>
      </c>
      <c r="D153" s="60"/>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c r="CC153" s="107"/>
      <c r="CD153" s="107"/>
      <c r="CE153" s="107"/>
      <c r="CF153" s="107"/>
      <c r="CG153" s="107"/>
      <c r="CH153" s="107"/>
      <c r="CI153" s="107"/>
      <c r="CJ153" s="107"/>
      <c r="CK153" s="107"/>
      <c r="CL153" s="107"/>
      <c r="CM153" s="107"/>
      <c r="CN153" s="107"/>
      <c r="CO153" s="107"/>
      <c r="CP153" s="107"/>
      <c r="CQ153" s="107"/>
      <c r="CR153" s="107"/>
      <c r="CS153" s="107"/>
      <c r="CT153" s="107"/>
      <c r="CU153" s="107"/>
      <c r="CV153" s="107"/>
      <c r="CW153" s="107"/>
      <c r="CX153" s="107"/>
      <c r="CY153" s="107"/>
      <c r="CZ153" s="107"/>
      <c r="DA153" s="107"/>
      <c r="DB153" s="107"/>
      <c r="DC153" s="107"/>
      <c r="DD153" s="107"/>
      <c r="DE153" s="107"/>
      <c r="DF153" s="107"/>
      <c r="DG153" s="107"/>
      <c r="DH153" s="107"/>
      <c r="DI153" s="107"/>
      <c r="DJ153" s="107"/>
      <c r="DK153" s="107"/>
      <c r="DL153" s="107"/>
      <c r="DM153" s="107"/>
      <c r="DN153" s="107"/>
      <c r="DO153" s="107"/>
      <c r="DP153" s="107"/>
      <c r="DQ153" s="107"/>
      <c r="DR153" s="107"/>
      <c r="DS153" s="107"/>
      <c r="DT153" s="727"/>
    </row>
    <row r="154" spans="1:124" ht="15" customHeight="1" x14ac:dyDescent="0.25">
      <c r="A154" s="821"/>
      <c r="B154" s="953" t="str">
        <f t="shared" si="10"/>
        <v>Desk 43</v>
      </c>
      <c r="C154" s="1220" t="str">
        <f>IF('TB IMA'!C47&lt;&gt;"",'TB IMA'!C47,"")</f>
        <v/>
      </c>
      <c r="D154" s="60"/>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c r="CP154" s="107"/>
      <c r="CQ154" s="107"/>
      <c r="CR154" s="107"/>
      <c r="CS154" s="107"/>
      <c r="CT154" s="107"/>
      <c r="CU154" s="107"/>
      <c r="CV154" s="107"/>
      <c r="CW154" s="107"/>
      <c r="CX154" s="107"/>
      <c r="CY154" s="107"/>
      <c r="CZ154" s="107"/>
      <c r="DA154" s="107"/>
      <c r="DB154" s="107"/>
      <c r="DC154" s="107"/>
      <c r="DD154" s="107"/>
      <c r="DE154" s="107"/>
      <c r="DF154" s="107"/>
      <c r="DG154" s="107"/>
      <c r="DH154" s="107"/>
      <c r="DI154" s="107"/>
      <c r="DJ154" s="107"/>
      <c r="DK154" s="107"/>
      <c r="DL154" s="107"/>
      <c r="DM154" s="107"/>
      <c r="DN154" s="107"/>
      <c r="DO154" s="107"/>
      <c r="DP154" s="107"/>
      <c r="DQ154" s="107"/>
      <c r="DR154" s="107"/>
      <c r="DS154" s="107"/>
      <c r="DT154" s="727"/>
    </row>
    <row r="155" spans="1:124" ht="15" customHeight="1" x14ac:dyDescent="0.25">
      <c r="A155" s="821"/>
      <c r="B155" s="953" t="str">
        <f t="shared" si="10"/>
        <v>Desk 44</v>
      </c>
      <c r="C155" s="1220" t="str">
        <f>IF('TB IMA'!C48&lt;&gt;"",'TB IMA'!C48,"")</f>
        <v/>
      </c>
      <c r="D155" s="60"/>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c r="CC155" s="107"/>
      <c r="CD155" s="107"/>
      <c r="CE155" s="107"/>
      <c r="CF155" s="107"/>
      <c r="CG155" s="107"/>
      <c r="CH155" s="107"/>
      <c r="CI155" s="107"/>
      <c r="CJ155" s="107"/>
      <c r="CK155" s="107"/>
      <c r="CL155" s="107"/>
      <c r="CM155" s="107"/>
      <c r="CN155" s="107"/>
      <c r="CO155" s="107"/>
      <c r="CP155" s="107"/>
      <c r="CQ155" s="107"/>
      <c r="CR155" s="107"/>
      <c r="CS155" s="107"/>
      <c r="CT155" s="107"/>
      <c r="CU155" s="107"/>
      <c r="CV155" s="107"/>
      <c r="CW155" s="107"/>
      <c r="CX155" s="107"/>
      <c r="CY155" s="107"/>
      <c r="CZ155" s="107"/>
      <c r="DA155" s="107"/>
      <c r="DB155" s="107"/>
      <c r="DC155" s="107"/>
      <c r="DD155" s="107"/>
      <c r="DE155" s="107"/>
      <c r="DF155" s="107"/>
      <c r="DG155" s="107"/>
      <c r="DH155" s="107"/>
      <c r="DI155" s="107"/>
      <c r="DJ155" s="107"/>
      <c r="DK155" s="107"/>
      <c r="DL155" s="107"/>
      <c r="DM155" s="107"/>
      <c r="DN155" s="107"/>
      <c r="DO155" s="107"/>
      <c r="DP155" s="107"/>
      <c r="DQ155" s="107"/>
      <c r="DR155" s="107"/>
      <c r="DS155" s="107"/>
      <c r="DT155" s="727"/>
    </row>
    <row r="156" spans="1:124" ht="15" customHeight="1" x14ac:dyDescent="0.25">
      <c r="A156" s="821"/>
      <c r="B156" s="953" t="str">
        <f t="shared" si="10"/>
        <v>Desk 45</v>
      </c>
      <c r="C156" s="1220" t="str">
        <f>IF('TB IMA'!C49&lt;&gt;"",'TB IMA'!C49,"")</f>
        <v/>
      </c>
      <c r="D156" s="60"/>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c r="CC156" s="107"/>
      <c r="CD156" s="107"/>
      <c r="CE156" s="107"/>
      <c r="CF156" s="107"/>
      <c r="CG156" s="107"/>
      <c r="CH156" s="107"/>
      <c r="CI156" s="107"/>
      <c r="CJ156" s="107"/>
      <c r="CK156" s="107"/>
      <c r="CL156" s="107"/>
      <c r="CM156" s="107"/>
      <c r="CN156" s="107"/>
      <c r="CO156" s="107"/>
      <c r="CP156" s="107"/>
      <c r="CQ156" s="107"/>
      <c r="CR156" s="107"/>
      <c r="CS156" s="107"/>
      <c r="CT156" s="107"/>
      <c r="CU156" s="107"/>
      <c r="CV156" s="107"/>
      <c r="CW156" s="107"/>
      <c r="CX156" s="107"/>
      <c r="CY156" s="107"/>
      <c r="CZ156" s="107"/>
      <c r="DA156" s="107"/>
      <c r="DB156" s="107"/>
      <c r="DC156" s="107"/>
      <c r="DD156" s="107"/>
      <c r="DE156" s="107"/>
      <c r="DF156" s="107"/>
      <c r="DG156" s="107"/>
      <c r="DH156" s="107"/>
      <c r="DI156" s="107"/>
      <c r="DJ156" s="107"/>
      <c r="DK156" s="107"/>
      <c r="DL156" s="107"/>
      <c r="DM156" s="107"/>
      <c r="DN156" s="107"/>
      <c r="DO156" s="107"/>
      <c r="DP156" s="107"/>
      <c r="DQ156" s="107"/>
      <c r="DR156" s="107"/>
      <c r="DS156" s="107"/>
      <c r="DT156" s="727"/>
    </row>
    <row r="157" spans="1:124" ht="15" customHeight="1" x14ac:dyDescent="0.25">
      <c r="A157" s="821"/>
      <c r="B157" s="953" t="str">
        <f t="shared" si="10"/>
        <v>Desk 46</v>
      </c>
      <c r="C157" s="1220" t="str">
        <f>IF('TB IMA'!C50&lt;&gt;"",'TB IMA'!C50,"")</f>
        <v/>
      </c>
      <c r="D157" s="60"/>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c r="CC157" s="107"/>
      <c r="CD157" s="107"/>
      <c r="CE157" s="107"/>
      <c r="CF157" s="107"/>
      <c r="CG157" s="107"/>
      <c r="CH157" s="107"/>
      <c r="CI157" s="107"/>
      <c r="CJ157" s="107"/>
      <c r="CK157" s="107"/>
      <c r="CL157" s="107"/>
      <c r="CM157" s="107"/>
      <c r="CN157" s="107"/>
      <c r="CO157" s="107"/>
      <c r="CP157" s="107"/>
      <c r="CQ157" s="107"/>
      <c r="CR157" s="107"/>
      <c r="CS157" s="107"/>
      <c r="CT157" s="107"/>
      <c r="CU157" s="107"/>
      <c r="CV157" s="107"/>
      <c r="CW157" s="107"/>
      <c r="CX157" s="107"/>
      <c r="CY157" s="107"/>
      <c r="CZ157" s="107"/>
      <c r="DA157" s="107"/>
      <c r="DB157" s="107"/>
      <c r="DC157" s="107"/>
      <c r="DD157" s="107"/>
      <c r="DE157" s="107"/>
      <c r="DF157" s="107"/>
      <c r="DG157" s="107"/>
      <c r="DH157" s="107"/>
      <c r="DI157" s="107"/>
      <c r="DJ157" s="107"/>
      <c r="DK157" s="107"/>
      <c r="DL157" s="107"/>
      <c r="DM157" s="107"/>
      <c r="DN157" s="107"/>
      <c r="DO157" s="107"/>
      <c r="DP157" s="107"/>
      <c r="DQ157" s="107"/>
      <c r="DR157" s="107"/>
      <c r="DS157" s="107"/>
      <c r="DT157" s="727"/>
    </row>
    <row r="158" spans="1:124" ht="15" customHeight="1" x14ac:dyDescent="0.25">
      <c r="A158" s="821"/>
      <c r="B158" s="953" t="str">
        <f t="shared" si="10"/>
        <v>Desk 47</v>
      </c>
      <c r="C158" s="1220" t="str">
        <f>IF('TB IMA'!C51&lt;&gt;"",'TB IMA'!C51,"")</f>
        <v/>
      </c>
      <c r="D158" s="60"/>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K158" s="107"/>
      <c r="CL158" s="107"/>
      <c r="CM158" s="107"/>
      <c r="CN158" s="107"/>
      <c r="CO158" s="107"/>
      <c r="CP158" s="107"/>
      <c r="CQ158" s="107"/>
      <c r="CR158" s="107"/>
      <c r="CS158" s="107"/>
      <c r="CT158" s="107"/>
      <c r="CU158" s="107"/>
      <c r="CV158" s="107"/>
      <c r="CW158" s="107"/>
      <c r="CX158" s="107"/>
      <c r="CY158" s="107"/>
      <c r="CZ158" s="107"/>
      <c r="DA158" s="107"/>
      <c r="DB158" s="107"/>
      <c r="DC158" s="107"/>
      <c r="DD158" s="107"/>
      <c r="DE158" s="107"/>
      <c r="DF158" s="107"/>
      <c r="DG158" s="107"/>
      <c r="DH158" s="107"/>
      <c r="DI158" s="107"/>
      <c r="DJ158" s="107"/>
      <c r="DK158" s="107"/>
      <c r="DL158" s="107"/>
      <c r="DM158" s="107"/>
      <c r="DN158" s="107"/>
      <c r="DO158" s="107"/>
      <c r="DP158" s="107"/>
      <c r="DQ158" s="107"/>
      <c r="DR158" s="107"/>
      <c r="DS158" s="107"/>
      <c r="DT158" s="727"/>
    </row>
    <row r="159" spans="1:124" ht="15" customHeight="1" x14ac:dyDescent="0.25">
      <c r="A159" s="821"/>
      <c r="B159" s="953" t="str">
        <f t="shared" si="10"/>
        <v>Desk 48</v>
      </c>
      <c r="C159" s="1220" t="str">
        <f>IF('TB IMA'!C52&lt;&gt;"",'TB IMA'!C52,"")</f>
        <v/>
      </c>
      <c r="D159" s="60"/>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c r="CC159" s="107"/>
      <c r="CD159" s="107"/>
      <c r="CE159" s="107"/>
      <c r="CF159" s="107"/>
      <c r="CG159" s="107"/>
      <c r="CH159" s="107"/>
      <c r="CI159" s="107"/>
      <c r="CJ159" s="107"/>
      <c r="CK159" s="107"/>
      <c r="CL159" s="107"/>
      <c r="CM159" s="107"/>
      <c r="CN159" s="107"/>
      <c r="CO159" s="107"/>
      <c r="CP159" s="107"/>
      <c r="CQ159" s="107"/>
      <c r="CR159" s="107"/>
      <c r="CS159" s="107"/>
      <c r="CT159" s="107"/>
      <c r="CU159" s="107"/>
      <c r="CV159" s="107"/>
      <c r="CW159" s="107"/>
      <c r="CX159" s="107"/>
      <c r="CY159" s="107"/>
      <c r="CZ159" s="107"/>
      <c r="DA159" s="107"/>
      <c r="DB159" s="107"/>
      <c r="DC159" s="107"/>
      <c r="DD159" s="107"/>
      <c r="DE159" s="107"/>
      <c r="DF159" s="107"/>
      <c r="DG159" s="107"/>
      <c r="DH159" s="107"/>
      <c r="DI159" s="107"/>
      <c r="DJ159" s="107"/>
      <c r="DK159" s="107"/>
      <c r="DL159" s="107"/>
      <c r="DM159" s="107"/>
      <c r="DN159" s="107"/>
      <c r="DO159" s="107"/>
      <c r="DP159" s="107"/>
      <c r="DQ159" s="107"/>
      <c r="DR159" s="107"/>
      <c r="DS159" s="107"/>
      <c r="DT159" s="727"/>
    </row>
    <row r="160" spans="1:124" ht="15" customHeight="1" x14ac:dyDescent="0.25">
      <c r="A160" s="821"/>
      <c r="B160" s="953" t="str">
        <f t="shared" si="10"/>
        <v>Desk 49</v>
      </c>
      <c r="C160" s="1220" t="str">
        <f>IF('TB IMA'!C53&lt;&gt;"",'TB IMA'!C53,"")</f>
        <v/>
      </c>
      <c r="D160" s="60"/>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c r="CC160" s="107"/>
      <c r="CD160" s="107"/>
      <c r="CE160" s="107"/>
      <c r="CF160" s="107"/>
      <c r="CG160" s="107"/>
      <c r="CH160" s="107"/>
      <c r="CI160" s="107"/>
      <c r="CJ160" s="107"/>
      <c r="CK160" s="107"/>
      <c r="CL160" s="107"/>
      <c r="CM160" s="107"/>
      <c r="CN160" s="107"/>
      <c r="CO160" s="107"/>
      <c r="CP160" s="107"/>
      <c r="CQ160" s="107"/>
      <c r="CR160" s="107"/>
      <c r="CS160" s="107"/>
      <c r="CT160" s="107"/>
      <c r="CU160" s="107"/>
      <c r="CV160" s="107"/>
      <c r="CW160" s="107"/>
      <c r="CX160" s="107"/>
      <c r="CY160" s="107"/>
      <c r="CZ160" s="107"/>
      <c r="DA160" s="107"/>
      <c r="DB160" s="107"/>
      <c r="DC160" s="107"/>
      <c r="DD160" s="107"/>
      <c r="DE160" s="107"/>
      <c r="DF160" s="107"/>
      <c r="DG160" s="107"/>
      <c r="DH160" s="107"/>
      <c r="DI160" s="107"/>
      <c r="DJ160" s="107"/>
      <c r="DK160" s="107"/>
      <c r="DL160" s="107"/>
      <c r="DM160" s="107"/>
      <c r="DN160" s="107"/>
      <c r="DO160" s="107"/>
      <c r="DP160" s="107"/>
      <c r="DQ160" s="107"/>
      <c r="DR160" s="107"/>
      <c r="DS160" s="107"/>
      <c r="DT160" s="727"/>
    </row>
    <row r="161" spans="1:124" ht="15" customHeight="1" x14ac:dyDescent="0.25">
      <c r="A161" s="821"/>
      <c r="B161" s="953" t="str">
        <f t="shared" si="10"/>
        <v>Desk 50</v>
      </c>
      <c r="C161" s="1220" t="str">
        <f>IF('TB IMA'!C54&lt;&gt;"",'TB IMA'!C54,"")</f>
        <v/>
      </c>
      <c r="D161" s="60"/>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c r="CC161" s="107"/>
      <c r="CD161" s="107"/>
      <c r="CE161" s="107"/>
      <c r="CF161" s="107"/>
      <c r="CG161" s="107"/>
      <c r="CH161" s="107"/>
      <c r="CI161" s="107"/>
      <c r="CJ161" s="107"/>
      <c r="CK161" s="107"/>
      <c r="CL161" s="107"/>
      <c r="CM161" s="107"/>
      <c r="CN161" s="107"/>
      <c r="CO161" s="107"/>
      <c r="CP161" s="107"/>
      <c r="CQ161" s="107"/>
      <c r="CR161" s="107"/>
      <c r="CS161" s="107"/>
      <c r="CT161" s="107"/>
      <c r="CU161" s="107"/>
      <c r="CV161" s="107"/>
      <c r="CW161" s="107"/>
      <c r="CX161" s="107"/>
      <c r="CY161" s="107"/>
      <c r="CZ161" s="107"/>
      <c r="DA161" s="107"/>
      <c r="DB161" s="107"/>
      <c r="DC161" s="107"/>
      <c r="DD161" s="107"/>
      <c r="DE161" s="107"/>
      <c r="DF161" s="107"/>
      <c r="DG161" s="107"/>
      <c r="DH161" s="107"/>
      <c r="DI161" s="107"/>
      <c r="DJ161" s="107"/>
      <c r="DK161" s="107"/>
      <c r="DL161" s="107"/>
      <c r="DM161" s="107"/>
      <c r="DN161" s="107"/>
      <c r="DO161" s="107"/>
      <c r="DP161" s="107"/>
      <c r="DQ161" s="107"/>
      <c r="DR161" s="107"/>
      <c r="DS161" s="107"/>
      <c r="DT161" s="727"/>
    </row>
    <row r="162" spans="1:124" ht="15" customHeight="1" x14ac:dyDescent="0.25">
      <c r="A162" s="821"/>
      <c r="B162" s="953" t="str">
        <f t="shared" si="10"/>
        <v>Desk 51</v>
      </c>
      <c r="C162" s="1220" t="str">
        <f>IF('TB IMA'!C55&lt;&gt;"",'TB IMA'!C55,"")</f>
        <v/>
      </c>
      <c r="D162" s="60"/>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c r="CC162" s="107"/>
      <c r="CD162" s="107"/>
      <c r="CE162" s="107"/>
      <c r="CF162" s="107"/>
      <c r="CG162" s="107"/>
      <c r="CH162" s="107"/>
      <c r="CI162" s="107"/>
      <c r="CJ162" s="107"/>
      <c r="CK162" s="107"/>
      <c r="CL162" s="107"/>
      <c r="CM162" s="107"/>
      <c r="CN162" s="107"/>
      <c r="CO162" s="107"/>
      <c r="CP162" s="107"/>
      <c r="CQ162" s="107"/>
      <c r="CR162" s="107"/>
      <c r="CS162" s="107"/>
      <c r="CT162" s="107"/>
      <c r="CU162" s="107"/>
      <c r="CV162" s="107"/>
      <c r="CW162" s="107"/>
      <c r="CX162" s="107"/>
      <c r="CY162" s="107"/>
      <c r="CZ162" s="107"/>
      <c r="DA162" s="107"/>
      <c r="DB162" s="107"/>
      <c r="DC162" s="107"/>
      <c r="DD162" s="107"/>
      <c r="DE162" s="107"/>
      <c r="DF162" s="107"/>
      <c r="DG162" s="107"/>
      <c r="DH162" s="107"/>
      <c r="DI162" s="107"/>
      <c r="DJ162" s="107"/>
      <c r="DK162" s="107"/>
      <c r="DL162" s="107"/>
      <c r="DM162" s="107"/>
      <c r="DN162" s="107"/>
      <c r="DO162" s="107"/>
      <c r="DP162" s="107"/>
      <c r="DQ162" s="107"/>
      <c r="DR162" s="107"/>
      <c r="DS162" s="107"/>
      <c r="DT162" s="727"/>
    </row>
    <row r="163" spans="1:124" ht="15" customHeight="1" x14ac:dyDescent="0.25">
      <c r="A163" s="821"/>
      <c r="B163" s="953" t="str">
        <f t="shared" si="10"/>
        <v>Desk 52</v>
      </c>
      <c r="C163" s="1220" t="str">
        <f>IF('TB IMA'!C56&lt;&gt;"",'TB IMA'!C56,"")</f>
        <v/>
      </c>
      <c r="D163" s="60"/>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107"/>
      <c r="DQ163" s="107"/>
      <c r="DR163" s="107"/>
      <c r="DS163" s="107"/>
      <c r="DT163" s="727"/>
    </row>
    <row r="164" spans="1:124" ht="15" customHeight="1" x14ac:dyDescent="0.25">
      <c r="A164" s="821"/>
      <c r="B164" s="953" t="str">
        <f t="shared" si="10"/>
        <v>Desk 53</v>
      </c>
      <c r="C164" s="1220" t="str">
        <f>IF('TB IMA'!C57&lt;&gt;"",'TB IMA'!C57,"")</f>
        <v/>
      </c>
      <c r="D164" s="60"/>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c r="CC164" s="107"/>
      <c r="CD164" s="107"/>
      <c r="CE164" s="107"/>
      <c r="CF164" s="107"/>
      <c r="CG164" s="107"/>
      <c r="CH164" s="107"/>
      <c r="CI164" s="107"/>
      <c r="CJ164" s="107"/>
      <c r="CK164" s="107"/>
      <c r="CL164" s="107"/>
      <c r="CM164" s="107"/>
      <c r="CN164" s="107"/>
      <c r="CO164" s="107"/>
      <c r="CP164" s="107"/>
      <c r="CQ164" s="107"/>
      <c r="CR164" s="107"/>
      <c r="CS164" s="107"/>
      <c r="CT164" s="107"/>
      <c r="CU164" s="107"/>
      <c r="CV164" s="107"/>
      <c r="CW164" s="107"/>
      <c r="CX164" s="107"/>
      <c r="CY164" s="107"/>
      <c r="CZ164" s="107"/>
      <c r="DA164" s="107"/>
      <c r="DB164" s="107"/>
      <c r="DC164" s="107"/>
      <c r="DD164" s="107"/>
      <c r="DE164" s="107"/>
      <c r="DF164" s="107"/>
      <c r="DG164" s="107"/>
      <c r="DH164" s="107"/>
      <c r="DI164" s="107"/>
      <c r="DJ164" s="107"/>
      <c r="DK164" s="107"/>
      <c r="DL164" s="107"/>
      <c r="DM164" s="107"/>
      <c r="DN164" s="107"/>
      <c r="DO164" s="107"/>
      <c r="DP164" s="107"/>
      <c r="DQ164" s="107"/>
      <c r="DR164" s="107"/>
      <c r="DS164" s="107"/>
      <c r="DT164" s="727"/>
    </row>
    <row r="165" spans="1:124" ht="15" customHeight="1" x14ac:dyDescent="0.25">
      <c r="A165" s="821"/>
      <c r="B165" s="953" t="str">
        <f t="shared" si="10"/>
        <v>Desk 54</v>
      </c>
      <c r="C165" s="1220" t="str">
        <f>IF('TB IMA'!C58&lt;&gt;"",'TB IMA'!C58,"")</f>
        <v/>
      </c>
      <c r="D165" s="60"/>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c r="CC165" s="107"/>
      <c r="CD165" s="107"/>
      <c r="CE165" s="107"/>
      <c r="CF165" s="107"/>
      <c r="CG165" s="107"/>
      <c r="CH165" s="107"/>
      <c r="CI165" s="107"/>
      <c r="CJ165" s="107"/>
      <c r="CK165" s="107"/>
      <c r="CL165" s="107"/>
      <c r="CM165" s="107"/>
      <c r="CN165" s="107"/>
      <c r="CO165" s="107"/>
      <c r="CP165" s="107"/>
      <c r="CQ165" s="107"/>
      <c r="CR165" s="107"/>
      <c r="CS165" s="107"/>
      <c r="CT165" s="107"/>
      <c r="CU165" s="107"/>
      <c r="CV165" s="107"/>
      <c r="CW165" s="107"/>
      <c r="CX165" s="107"/>
      <c r="CY165" s="107"/>
      <c r="CZ165" s="107"/>
      <c r="DA165" s="107"/>
      <c r="DB165" s="107"/>
      <c r="DC165" s="107"/>
      <c r="DD165" s="107"/>
      <c r="DE165" s="107"/>
      <c r="DF165" s="107"/>
      <c r="DG165" s="107"/>
      <c r="DH165" s="107"/>
      <c r="DI165" s="107"/>
      <c r="DJ165" s="107"/>
      <c r="DK165" s="107"/>
      <c r="DL165" s="107"/>
      <c r="DM165" s="107"/>
      <c r="DN165" s="107"/>
      <c r="DO165" s="107"/>
      <c r="DP165" s="107"/>
      <c r="DQ165" s="107"/>
      <c r="DR165" s="107"/>
      <c r="DS165" s="107"/>
      <c r="DT165" s="727"/>
    </row>
    <row r="166" spans="1:124" ht="15" customHeight="1" x14ac:dyDescent="0.25">
      <c r="A166" s="821"/>
      <c r="B166" s="953" t="str">
        <f t="shared" si="10"/>
        <v>Desk 55</v>
      </c>
      <c r="C166" s="1220" t="str">
        <f>IF('TB IMA'!C59&lt;&gt;"",'TB IMA'!C59,"")</f>
        <v/>
      </c>
      <c r="D166" s="60"/>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c r="CC166" s="107"/>
      <c r="CD166" s="107"/>
      <c r="CE166" s="107"/>
      <c r="CF166" s="107"/>
      <c r="CG166" s="107"/>
      <c r="CH166" s="107"/>
      <c r="CI166" s="107"/>
      <c r="CJ166" s="107"/>
      <c r="CK166" s="107"/>
      <c r="CL166" s="107"/>
      <c r="CM166" s="107"/>
      <c r="CN166" s="107"/>
      <c r="CO166" s="107"/>
      <c r="CP166" s="107"/>
      <c r="CQ166" s="107"/>
      <c r="CR166" s="107"/>
      <c r="CS166" s="107"/>
      <c r="CT166" s="107"/>
      <c r="CU166" s="107"/>
      <c r="CV166" s="107"/>
      <c r="CW166" s="107"/>
      <c r="CX166" s="107"/>
      <c r="CY166" s="107"/>
      <c r="CZ166" s="107"/>
      <c r="DA166" s="107"/>
      <c r="DB166" s="107"/>
      <c r="DC166" s="107"/>
      <c r="DD166" s="107"/>
      <c r="DE166" s="107"/>
      <c r="DF166" s="107"/>
      <c r="DG166" s="107"/>
      <c r="DH166" s="107"/>
      <c r="DI166" s="107"/>
      <c r="DJ166" s="107"/>
      <c r="DK166" s="107"/>
      <c r="DL166" s="107"/>
      <c r="DM166" s="107"/>
      <c r="DN166" s="107"/>
      <c r="DO166" s="107"/>
      <c r="DP166" s="107"/>
      <c r="DQ166" s="107"/>
      <c r="DR166" s="107"/>
      <c r="DS166" s="107"/>
      <c r="DT166" s="727"/>
    </row>
    <row r="167" spans="1:124" ht="15" customHeight="1" x14ac:dyDescent="0.25">
      <c r="A167" s="821"/>
      <c r="B167" s="953" t="str">
        <f t="shared" si="10"/>
        <v>Desk 56</v>
      </c>
      <c r="C167" s="1220" t="str">
        <f>IF('TB IMA'!C60&lt;&gt;"",'TB IMA'!C60,"")</f>
        <v/>
      </c>
      <c r="D167" s="60"/>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c r="CC167" s="107"/>
      <c r="CD167" s="107"/>
      <c r="CE167" s="107"/>
      <c r="CF167" s="107"/>
      <c r="CG167" s="107"/>
      <c r="CH167" s="107"/>
      <c r="CI167" s="107"/>
      <c r="CJ167" s="107"/>
      <c r="CK167" s="107"/>
      <c r="CL167" s="107"/>
      <c r="CM167" s="107"/>
      <c r="CN167" s="107"/>
      <c r="CO167" s="107"/>
      <c r="CP167" s="107"/>
      <c r="CQ167" s="107"/>
      <c r="CR167" s="107"/>
      <c r="CS167" s="107"/>
      <c r="CT167" s="107"/>
      <c r="CU167" s="107"/>
      <c r="CV167" s="107"/>
      <c r="CW167" s="107"/>
      <c r="CX167" s="107"/>
      <c r="CY167" s="107"/>
      <c r="CZ167" s="107"/>
      <c r="DA167" s="107"/>
      <c r="DB167" s="107"/>
      <c r="DC167" s="107"/>
      <c r="DD167" s="107"/>
      <c r="DE167" s="107"/>
      <c r="DF167" s="107"/>
      <c r="DG167" s="107"/>
      <c r="DH167" s="107"/>
      <c r="DI167" s="107"/>
      <c r="DJ167" s="107"/>
      <c r="DK167" s="107"/>
      <c r="DL167" s="107"/>
      <c r="DM167" s="107"/>
      <c r="DN167" s="107"/>
      <c r="DO167" s="107"/>
      <c r="DP167" s="107"/>
      <c r="DQ167" s="107"/>
      <c r="DR167" s="107"/>
      <c r="DS167" s="107"/>
      <c r="DT167" s="727"/>
    </row>
    <row r="168" spans="1:124" ht="15" customHeight="1" x14ac:dyDescent="0.25">
      <c r="A168" s="821"/>
      <c r="B168" s="953" t="str">
        <f t="shared" si="10"/>
        <v>Desk 57</v>
      </c>
      <c r="C168" s="1220" t="str">
        <f>IF('TB IMA'!C61&lt;&gt;"",'TB IMA'!C61,"")</f>
        <v/>
      </c>
      <c r="D168" s="60"/>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c r="CC168" s="107"/>
      <c r="CD168" s="107"/>
      <c r="CE168" s="107"/>
      <c r="CF168" s="107"/>
      <c r="CG168" s="107"/>
      <c r="CH168" s="107"/>
      <c r="CI168" s="107"/>
      <c r="CJ168" s="107"/>
      <c r="CK168" s="107"/>
      <c r="CL168" s="107"/>
      <c r="CM168" s="107"/>
      <c r="CN168" s="107"/>
      <c r="CO168" s="107"/>
      <c r="CP168" s="107"/>
      <c r="CQ168" s="107"/>
      <c r="CR168" s="107"/>
      <c r="CS168" s="107"/>
      <c r="CT168" s="107"/>
      <c r="CU168" s="107"/>
      <c r="CV168" s="107"/>
      <c r="CW168" s="107"/>
      <c r="CX168" s="107"/>
      <c r="CY168" s="107"/>
      <c r="CZ168" s="107"/>
      <c r="DA168" s="107"/>
      <c r="DB168" s="107"/>
      <c r="DC168" s="107"/>
      <c r="DD168" s="107"/>
      <c r="DE168" s="107"/>
      <c r="DF168" s="107"/>
      <c r="DG168" s="107"/>
      <c r="DH168" s="107"/>
      <c r="DI168" s="107"/>
      <c r="DJ168" s="107"/>
      <c r="DK168" s="107"/>
      <c r="DL168" s="107"/>
      <c r="DM168" s="107"/>
      <c r="DN168" s="107"/>
      <c r="DO168" s="107"/>
      <c r="DP168" s="107"/>
      <c r="DQ168" s="107"/>
      <c r="DR168" s="107"/>
      <c r="DS168" s="107"/>
      <c r="DT168" s="727"/>
    </row>
    <row r="169" spans="1:124" ht="15" customHeight="1" x14ac:dyDescent="0.25">
      <c r="A169" s="821"/>
      <c r="B169" s="953" t="str">
        <f t="shared" si="10"/>
        <v>Desk 58</v>
      </c>
      <c r="C169" s="1220" t="str">
        <f>IF('TB IMA'!C62&lt;&gt;"",'TB IMA'!C62,"")</f>
        <v/>
      </c>
      <c r="D169" s="60"/>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7"/>
      <c r="BG169" s="107"/>
      <c r="BH169" s="107"/>
      <c r="BI169" s="107"/>
      <c r="BJ169" s="107"/>
      <c r="BK169" s="107"/>
      <c r="BL169" s="107"/>
      <c r="BM169" s="107"/>
      <c r="BN169" s="107"/>
      <c r="BO169" s="107"/>
      <c r="BP169" s="107"/>
      <c r="BQ169" s="107"/>
      <c r="BR169" s="107"/>
      <c r="BS169" s="107"/>
      <c r="BT169" s="107"/>
      <c r="BU169" s="107"/>
      <c r="BV169" s="107"/>
      <c r="BW169" s="107"/>
      <c r="BX169" s="107"/>
      <c r="BY169" s="107"/>
      <c r="BZ169" s="107"/>
      <c r="CA169" s="107"/>
      <c r="CB169" s="107"/>
      <c r="CC169" s="107"/>
      <c r="CD169" s="107"/>
      <c r="CE169" s="107"/>
      <c r="CF169" s="107"/>
      <c r="CG169" s="107"/>
      <c r="CH169" s="107"/>
      <c r="CI169" s="107"/>
      <c r="CJ169" s="107"/>
      <c r="CK169" s="107"/>
      <c r="CL169" s="107"/>
      <c r="CM169" s="107"/>
      <c r="CN169" s="107"/>
      <c r="CO169" s="107"/>
      <c r="CP169" s="107"/>
      <c r="CQ169" s="107"/>
      <c r="CR169" s="107"/>
      <c r="CS169" s="107"/>
      <c r="CT169" s="107"/>
      <c r="CU169" s="107"/>
      <c r="CV169" s="107"/>
      <c r="CW169" s="107"/>
      <c r="CX169" s="107"/>
      <c r="CY169" s="107"/>
      <c r="CZ169" s="107"/>
      <c r="DA169" s="107"/>
      <c r="DB169" s="107"/>
      <c r="DC169" s="107"/>
      <c r="DD169" s="107"/>
      <c r="DE169" s="107"/>
      <c r="DF169" s="107"/>
      <c r="DG169" s="107"/>
      <c r="DH169" s="107"/>
      <c r="DI169" s="107"/>
      <c r="DJ169" s="107"/>
      <c r="DK169" s="107"/>
      <c r="DL169" s="107"/>
      <c r="DM169" s="107"/>
      <c r="DN169" s="107"/>
      <c r="DO169" s="107"/>
      <c r="DP169" s="107"/>
      <c r="DQ169" s="107"/>
      <c r="DR169" s="107"/>
      <c r="DS169" s="107"/>
      <c r="DT169" s="727"/>
    </row>
    <row r="170" spans="1:124" ht="15" customHeight="1" x14ac:dyDescent="0.25">
      <c r="A170" s="821"/>
      <c r="B170" s="953" t="str">
        <f t="shared" si="10"/>
        <v>Desk 59</v>
      </c>
      <c r="C170" s="1220" t="str">
        <f>IF('TB IMA'!C63&lt;&gt;"",'TB IMA'!C63,"")</f>
        <v/>
      </c>
      <c r="D170" s="60"/>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c r="CJ170" s="107"/>
      <c r="CK170" s="107"/>
      <c r="CL170" s="107"/>
      <c r="CM170" s="107"/>
      <c r="CN170" s="107"/>
      <c r="CO170" s="107"/>
      <c r="CP170" s="107"/>
      <c r="CQ170" s="107"/>
      <c r="CR170" s="107"/>
      <c r="CS170" s="107"/>
      <c r="CT170" s="107"/>
      <c r="CU170" s="107"/>
      <c r="CV170" s="107"/>
      <c r="CW170" s="107"/>
      <c r="CX170" s="107"/>
      <c r="CY170" s="107"/>
      <c r="CZ170" s="107"/>
      <c r="DA170" s="107"/>
      <c r="DB170" s="107"/>
      <c r="DC170" s="107"/>
      <c r="DD170" s="107"/>
      <c r="DE170" s="107"/>
      <c r="DF170" s="107"/>
      <c r="DG170" s="107"/>
      <c r="DH170" s="107"/>
      <c r="DI170" s="107"/>
      <c r="DJ170" s="107"/>
      <c r="DK170" s="107"/>
      <c r="DL170" s="107"/>
      <c r="DM170" s="107"/>
      <c r="DN170" s="107"/>
      <c r="DO170" s="107"/>
      <c r="DP170" s="107"/>
      <c r="DQ170" s="107"/>
      <c r="DR170" s="107"/>
      <c r="DS170" s="107"/>
      <c r="DT170" s="727"/>
    </row>
    <row r="171" spans="1:124" ht="15" customHeight="1" x14ac:dyDescent="0.25">
      <c r="A171" s="821"/>
      <c r="B171" s="953" t="str">
        <f t="shared" si="10"/>
        <v>Desk 60</v>
      </c>
      <c r="C171" s="1220" t="str">
        <f>IF('TB IMA'!C64&lt;&gt;"",'TB IMA'!C64,"")</f>
        <v/>
      </c>
      <c r="D171" s="60"/>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c r="CC171" s="107"/>
      <c r="CD171" s="107"/>
      <c r="CE171" s="107"/>
      <c r="CF171" s="107"/>
      <c r="CG171" s="107"/>
      <c r="CH171" s="107"/>
      <c r="CI171" s="107"/>
      <c r="CJ171" s="107"/>
      <c r="CK171" s="107"/>
      <c r="CL171" s="107"/>
      <c r="CM171" s="107"/>
      <c r="CN171" s="107"/>
      <c r="CO171" s="107"/>
      <c r="CP171" s="107"/>
      <c r="CQ171" s="107"/>
      <c r="CR171" s="107"/>
      <c r="CS171" s="107"/>
      <c r="CT171" s="107"/>
      <c r="CU171" s="107"/>
      <c r="CV171" s="107"/>
      <c r="CW171" s="107"/>
      <c r="CX171" s="107"/>
      <c r="CY171" s="107"/>
      <c r="CZ171" s="107"/>
      <c r="DA171" s="107"/>
      <c r="DB171" s="107"/>
      <c r="DC171" s="107"/>
      <c r="DD171" s="107"/>
      <c r="DE171" s="107"/>
      <c r="DF171" s="107"/>
      <c r="DG171" s="107"/>
      <c r="DH171" s="107"/>
      <c r="DI171" s="107"/>
      <c r="DJ171" s="107"/>
      <c r="DK171" s="107"/>
      <c r="DL171" s="107"/>
      <c r="DM171" s="107"/>
      <c r="DN171" s="107"/>
      <c r="DO171" s="107"/>
      <c r="DP171" s="107"/>
      <c r="DQ171" s="107"/>
      <c r="DR171" s="107"/>
      <c r="DS171" s="107"/>
      <c r="DT171" s="727"/>
    </row>
    <row r="172" spans="1:124" ht="15" customHeight="1" x14ac:dyDescent="0.25">
      <c r="A172" s="821"/>
      <c r="B172" s="953" t="str">
        <f t="shared" si="10"/>
        <v>Desk 61</v>
      </c>
      <c r="C172" s="1220" t="str">
        <f>IF('TB IMA'!C65&lt;&gt;"",'TB IMA'!C65,"")</f>
        <v/>
      </c>
      <c r="D172" s="60"/>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c r="CC172" s="107"/>
      <c r="CD172" s="107"/>
      <c r="CE172" s="107"/>
      <c r="CF172" s="107"/>
      <c r="CG172" s="107"/>
      <c r="CH172" s="107"/>
      <c r="CI172" s="107"/>
      <c r="CJ172" s="107"/>
      <c r="CK172" s="107"/>
      <c r="CL172" s="107"/>
      <c r="CM172" s="107"/>
      <c r="CN172" s="107"/>
      <c r="CO172" s="107"/>
      <c r="CP172" s="107"/>
      <c r="CQ172" s="107"/>
      <c r="CR172" s="107"/>
      <c r="CS172" s="107"/>
      <c r="CT172" s="107"/>
      <c r="CU172" s="107"/>
      <c r="CV172" s="107"/>
      <c r="CW172" s="107"/>
      <c r="CX172" s="107"/>
      <c r="CY172" s="107"/>
      <c r="CZ172" s="107"/>
      <c r="DA172" s="107"/>
      <c r="DB172" s="107"/>
      <c r="DC172" s="107"/>
      <c r="DD172" s="107"/>
      <c r="DE172" s="107"/>
      <c r="DF172" s="107"/>
      <c r="DG172" s="107"/>
      <c r="DH172" s="107"/>
      <c r="DI172" s="107"/>
      <c r="DJ172" s="107"/>
      <c r="DK172" s="107"/>
      <c r="DL172" s="107"/>
      <c r="DM172" s="107"/>
      <c r="DN172" s="107"/>
      <c r="DO172" s="107"/>
      <c r="DP172" s="107"/>
      <c r="DQ172" s="107"/>
      <c r="DR172" s="107"/>
      <c r="DS172" s="107"/>
      <c r="DT172" s="727"/>
    </row>
    <row r="173" spans="1:124" ht="15" customHeight="1" x14ac:dyDescent="0.25">
      <c r="A173" s="821"/>
      <c r="B173" s="953" t="str">
        <f t="shared" si="10"/>
        <v>Desk 62</v>
      </c>
      <c r="C173" s="1220" t="str">
        <f>IF('TB IMA'!C66&lt;&gt;"",'TB IMA'!C66,"")</f>
        <v/>
      </c>
      <c r="D173" s="60"/>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07"/>
      <c r="CD173" s="107"/>
      <c r="CE173" s="107"/>
      <c r="CF173" s="107"/>
      <c r="CG173" s="107"/>
      <c r="CH173" s="107"/>
      <c r="CI173" s="107"/>
      <c r="CJ173" s="107"/>
      <c r="CK173" s="107"/>
      <c r="CL173" s="107"/>
      <c r="CM173" s="107"/>
      <c r="CN173" s="107"/>
      <c r="CO173" s="107"/>
      <c r="CP173" s="107"/>
      <c r="CQ173" s="107"/>
      <c r="CR173" s="107"/>
      <c r="CS173" s="107"/>
      <c r="CT173" s="107"/>
      <c r="CU173" s="107"/>
      <c r="CV173" s="107"/>
      <c r="CW173" s="107"/>
      <c r="CX173" s="107"/>
      <c r="CY173" s="107"/>
      <c r="CZ173" s="107"/>
      <c r="DA173" s="107"/>
      <c r="DB173" s="107"/>
      <c r="DC173" s="107"/>
      <c r="DD173" s="107"/>
      <c r="DE173" s="107"/>
      <c r="DF173" s="107"/>
      <c r="DG173" s="107"/>
      <c r="DH173" s="107"/>
      <c r="DI173" s="107"/>
      <c r="DJ173" s="107"/>
      <c r="DK173" s="107"/>
      <c r="DL173" s="107"/>
      <c r="DM173" s="107"/>
      <c r="DN173" s="107"/>
      <c r="DO173" s="107"/>
      <c r="DP173" s="107"/>
      <c r="DQ173" s="107"/>
      <c r="DR173" s="107"/>
      <c r="DS173" s="107"/>
      <c r="DT173" s="727"/>
    </row>
    <row r="174" spans="1:124" ht="15" customHeight="1" x14ac:dyDescent="0.25">
      <c r="A174" s="821"/>
      <c r="B174" s="953" t="str">
        <f t="shared" si="10"/>
        <v>Desk 63</v>
      </c>
      <c r="C174" s="1220" t="str">
        <f>IF('TB IMA'!C67&lt;&gt;"",'TB IMA'!C67,"")</f>
        <v/>
      </c>
      <c r="D174" s="60"/>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c r="CC174" s="107"/>
      <c r="CD174" s="107"/>
      <c r="CE174" s="107"/>
      <c r="CF174" s="107"/>
      <c r="CG174" s="107"/>
      <c r="CH174" s="107"/>
      <c r="CI174" s="107"/>
      <c r="CJ174" s="107"/>
      <c r="CK174" s="107"/>
      <c r="CL174" s="107"/>
      <c r="CM174" s="107"/>
      <c r="CN174" s="107"/>
      <c r="CO174" s="107"/>
      <c r="CP174" s="107"/>
      <c r="CQ174" s="107"/>
      <c r="CR174" s="107"/>
      <c r="CS174" s="107"/>
      <c r="CT174" s="107"/>
      <c r="CU174" s="107"/>
      <c r="CV174" s="107"/>
      <c r="CW174" s="107"/>
      <c r="CX174" s="107"/>
      <c r="CY174" s="107"/>
      <c r="CZ174" s="107"/>
      <c r="DA174" s="107"/>
      <c r="DB174" s="107"/>
      <c r="DC174" s="107"/>
      <c r="DD174" s="107"/>
      <c r="DE174" s="107"/>
      <c r="DF174" s="107"/>
      <c r="DG174" s="107"/>
      <c r="DH174" s="107"/>
      <c r="DI174" s="107"/>
      <c r="DJ174" s="107"/>
      <c r="DK174" s="107"/>
      <c r="DL174" s="107"/>
      <c r="DM174" s="107"/>
      <c r="DN174" s="107"/>
      <c r="DO174" s="107"/>
      <c r="DP174" s="107"/>
      <c r="DQ174" s="107"/>
      <c r="DR174" s="107"/>
      <c r="DS174" s="107"/>
      <c r="DT174" s="727"/>
    </row>
    <row r="175" spans="1:124" ht="15" customHeight="1" x14ac:dyDescent="0.25">
      <c r="A175" s="821"/>
      <c r="B175" s="953" t="str">
        <f t="shared" si="10"/>
        <v>Desk 64</v>
      </c>
      <c r="C175" s="1220" t="str">
        <f>IF('TB IMA'!C68&lt;&gt;"",'TB IMA'!C68,"")</f>
        <v/>
      </c>
      <c r="D175" s="60"/>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c r="CC175" s="107"/>
      <c r="CD175" s="107"/>
      <c r="CE175" s="107"/>
      <c r="CF175" s="107"/>
      <c r="CG175" s="107"/>
      <c r="CH175" s="107"/>
      <c r="CI175" s="107"/>
      <c r="CJ175" s="107"/>
      <c r="CK175" s="107"/>
      <c r="CL175" s="107"/>
      <c r="CM175" s="107"/>
      <c r="CN175" s="107"/>
      <c r="CO175" s="107"/>
      <c r="CP175" s="107"/>
      <c r="CQ175" s="107"/>
      <c r="CR175" s="107"/>
      <c r="CS175" s="107"/>
      <c r="CT175" s="107"/>
      <c r="CU175" s="107"/>
      <c r="CV175" s="107"/>
      <c r="CW175" s="107"/>
      <c r="CX175" s="107"/>
      <c r="CY175" s="107"/>
      <c r="CZ175" s="107"/>
      <c r="DA175" s="107"/>
      <c r="DB175" s="107"/>
      <c r="DC175" s="107"/>
      <c r="DD175" s="107"/>
      <c r="DE175" s="107"/>
      <c r="DF175" s="107"/>
      <c r="DG175" s="107"/>
      <c r="DH175" s="107"/>
      <c r="DI175" s="107"/>
      <c r="DJ175" s="107"/>
      <c r="DK175" s="107"/>
      <c r="DL175" s="107"/>
      <c r="DM175" s="107"/>
      <c r="DN175" s="107"/>
      <c r="DO175" s="107"/>
      <c r="DP175" s="107"/>
      <c r="DQ175" s="107"/>
      <c r="DR175" s="107"/>
      <c r="DS175" s="107"/>
      <c r="DT175" s="727"/>
    </row>
    <row r="176" spans="1:124" ht="15" customHeight="1" x14ac:dyDescent="0.25">
      <c r="A176" s="821"/>
      <c r="B176" s="953" t="str">
        <f t="shared" si="10"/>
        <v>Desk 65</v>
      </c>
      <c r="C176" s="1220" t="str">
        <f>IF('TB IMA'!C69&lt;&gt;"",'TB IMA'!C69,"")</f>
        <v/>
      </c>
      <c r="D176" s="60"/>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c r="CJ176" s="107"/>
      <c r="CK176" s="107"/>
      <c r="CL176" s="107"/>
      <c r="CM176" s="107"/>
      <c r="CN176" s="107"/>
      <c r="CO176" s="107"/>
      <c r="CP176" s="107"/>
      <c r="CQ176" s="107"/>
      <c r="CR176" s="107"/>
      <c r="CS176" s="107"/>
      <c r="CT176" s="107"/>
      <c r="CU176" s="107"/>
      <c r="CV176" s="107"/>
      <c r="CW176" s="107"/>
      <c r="CX176" s="107"/>
      <c r="CY176" s="107"/>
      <c r="CZ176" s="107"/>
      <c r="DA176" s="107"/>
      <c r="DB176" s="107"/>
      <c r="DC176" s="107"/>
      <c r="DD176" s="107"/>
      <c r="DE176" s="107"/>
      <c r="DF176" s="107"/>
      <c r="DG176" s="107"/>
      <c r="DH176" s="107"/>
      <c r="DI176" s="107"/>
      <c r="DJ176" s="107"/>
      <c r="DK176" s="107"/>
      <c r="DL176" s="107"/>
      <c r="DM176" s="107"/>
      <c r="DN176" s="107"/>
      <c r="DO176" s="107"/>
      <c r="DP176" s="107"/>
      <c r="DQ176" s="107"/>
      <c r="DR176" s="107"/>
      <c r="DS176" s="107"/>
      <c r="DT176" s="727"/>
    </row>
    <row r="177" spans="1:124" ht="15" customHeight="1" x14ac:dyDescent="0.25">
      <c r="A177" s="821"/>
      <c r="B177" s="953" t="str">
        <f t="shared" ref="B177:B211" si="11">"Desk " &amp; (ROW(B177)-ROW(B$111))</f>
        <v>Desk 66</v>
      </c>
      <c r="C177" s="1220" t="str">
        <f>IF('TB IMA'!C70&lt;&gt;"",'TB IMA'!C70,"")</f>
        <v/>
      </c>
      <c r="D177" s="60"/>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107"/>
      <c r="BN177" s="107"/>
      <c r="BO177" s="107"/>
      <c r="BP177" s="107"/>
      <c r="BQ177" s="107"/>
      <c r="BR177" s="107"/>
      <c r="BS177" s="107"/>
      <c r="BT177" s="107"/>
      <c r="BU177" s="107"/>
      <c r="BV177" s="107"/>
      <c r="BW177" s="107"/>
      <c r="BX177" s="107"/>
      <c r="BY177" s="107"/>
      <c r="BZ177" s="107"/>
      <c r="CA177" s="107"/>
      <c r="CB177" s="107"/>
      <c r="CC177" s="107"/>
      <c r="CD177" s="107"/>
      <c r="CE177" s="107"/>
      <c r="CF177" s="107"/>
      <c r="CG177" s="107"/>
      <c r="CH177" s="107"/>
      <c r="CI177" s="107"/>
      <c r="CJ177" s="107"/>
      <c r="CK177" s="107"/>
      <c r="CL177" s="107"/>
      <c r="CM177" s="107"/>
      <c r="CN177" s="107"/>
      <c r="CO177" s="107"/>
      <c r="CP177" s="107"/>
      <c r="CQ177" s="107"/>
      <c r="CR177" s="107"/>
      <c r="CS177" s="107"/>
      <c r="CT177" s="107"/>
      <c r="CU177" s="107"/>
      <c r="CV177" s="107"/>
      <c r="CW177" s="107"/>
      <c r="CX177" s="107"/>
      <c r="CY177" s="107"/>
      <c r="CZ177" s="107"/>
      <c r="DA177" s="107"/>
      <c r="DB177" s="107"/>
      <c r="DC177" s="107"/>
      <c r="DD177" s="107"/>
      <c r="DE177" s="107"/>
      <c r="DF177" s="107"/>
      <c r="DG177" s="107"/>
      <c r="DH177" s="107"/>
      <c r="DI177" s="107"/>
      <c r="DJ177" s="107"/>
      <c r="DK177" s="107"/>
      <c r="DL177" s="107"/>
      <c r="DM177" s="107"/>
      <c r="DN177" s="107"/>
      <c r="DO177" s="107"/>
      <c r="DP177" s="107"/>
      <c r="DQ177" s="107"/>
      <c r="DR177" s="107"/>
      <c r="DS177" s="107"/>
      <c r="DT177" s="727"/>
    </row>
    <row r="178" spans="1:124" ht="15" customHeight="1" x14ac:dyDescent="0.25">
      <c r="A178" s="821"/>
      <c r="B178" s="953" t="str">
        <f t="shared" si="11"/>
        <v>Desk 67</v>
      </c>
      <c r="C178" s="1220" t="str">
        <f>IF('TB IMA'!C71&lt;&gt;"",'TB IMA'!C71,"")</f>
        <v/>
      </c>
      <c r="D178" s="60"/>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c r="CC178" s="107"/>
      <c r="CD178" s="107"/>
      <c r="CE178" s="107"/>
      <c r="CF178" s="107"/>
      <c r="CG178" s="107"/>
      <c r="CH178" s="107"/>
      <c r="CI178" s="107"/>
      <c r="CJ178" s="107"/>
      <c r="CK178" s="107"/>
      <c r="CL178" s="107"/>
      <c r="CM178" s="107"/>
      <c r="CN178" s="107"/>
      <c r="CO178" s="107"/>
      <c r="CP178" s="107"/>
      <c r="CQ178" s="107"/>
      <c r="CR178" s="107"/>
      <c r="CS178" s="107"/>
      <c r="CT178" s="107"/>
      <c r="CU178" s="107"/>
      <c r="CV178" s="107"/>
      <c r="CW178" s="107"/>
      <c r="CX178" s="107"/>
      <c r="CY178" s="107"/>
      <c r="CZ178" s="107"/>
      <c r="DA178" s="107"/>
      <c r="DB178" s="107"/>
      <c r="DC178" s="107"/>
      <c r="DD178" s="107"/>
      <c r="DE178" s="107"/>
      <c r="DF178" s="107"/>
      <c r="DG178" s="107"/>
      <c r="DH178" s="107"/>
      <c r="DI178" s="107"/>
      <c r="DJ178" s="107"/>
      <c r="DK178" s="107"/>
      <c r="DL178" s="107"/>
      <c r="DM178" s="107"/>
      <c r="DN178" s="107"/>
      <c r="DO178" s="107"/>
      <c r="DP178" s="107"/>
      <c r="DQ178" s="107"/>
      <c r="DR178" s="107"/>
      <c r="DS178" s="107"/>
      <c r="DT178" s="727"/>
    </row>
    <row r="179" spans="1:124" ht="15" customHeight="1" x14ac:dyDescent="0.25">
      <c r="A179" s="821"/>
      <c r="B179" s="953" t="str">
        <f t="shared" si="11"/>
        <v>Desk 68</v>
      </c>
      <c r="C179" s="1220" t="str">
        <f>IF('TB IMA'!C72&lt;&gt;"",'TB IMA'!C72,"")</f>
        <v/>
      </c>
      <c r="D179" s="60"/>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c r="BE179" s="107"/>
      <c r="BF179" s="107"/>
      <c r="BG179" s="107"/>
      <c r="BH179" s="107"/>
      <c r="BI179" s="107"/>
      <c r="BJ179" s="107"/>
      <c r="BK179" s="107"/>
      <c r="BL179" s="107"/>
      <c r="BM179" s="107"/>
      <c r="BN179" s="107"/>
      <c r="BO179" s="107"/>
      <c r="BP179" s="107"/>
      <c r="BQ179" s="107"/>
      <c r="BR179" s="107"/>
      <c r="BS179" s="107"/>
      <c r="BT179" s="107"/>
      <c r="BU179" s="107"/>
      <c r="BV179" s="107"/>
      <c r="BW179" s="107"/>
      <c r="BX179" s="107"/>
      <c r="BY179" s="107"/>
      <c r="BZ179" s="107"/>
      <c r="CA179" s="107"/>
      <c r="CB179" s="107"/>
      <c r="CC179" s="107"/>
      <c r="CD179" s="107"/>
      <c r="CE179" s="107"/>
      <c r="CF179" s="107"/>
      <c r="CG179" s="107"/>
      <c r="CH179" s="107"/>
      <c r="CI179" s="107"/>
      <c r="CJ179" s="107"/>
      <c r="CK179" s="107"/>
      <c r="CL179" s="107"/>
      <c r="CM179" s="107"/>
      <c r="CN179" s="107"/>
      <c r="CO179" s="107"/>
      <c r="CP179" s="107"/>
      <c r="CQ179" s="107"/>
      <c r="CR179" s="107"/>
      <c r="CS179" s="107"/>
      <c r="CT179" s="107"/>
      <c r="CU179" s="107"/>
      <c r="CV179" s="107"/>
      <c r="CW179" s="107"/>
      <c r="CX179" s="107"/>
      <c r="CY179" s="107"/>
      <c r="CZ179" s="107"/>
      <c r="DA179" s="107"/>
      <c r="DB179" s="107"/>
      <c r="DC179" s="107"/>
      <c r="DD179" s="107"/>
      <c r="DE179" s="107"/>
      <c r="DF179" s="107"/>
      <c r="DG179" s="107"/>
      <c r="DH179" s="107"/>
      <c r="DI179" s="107"/>
      <c r="DJ179" s="107"/>
      <c r="DK179" s="107"/>
      <c r="DL179" s="107"/>
      <c r="DM179" s="107"/>
      <c r="DN179" s="107"/>
      <c r="DO179" s="107"/>
      <c r="DP179" s="107"/>
      <c r="DQ179" s="107"/>
      <c r="DR179" s="107"/>
      <c r="DS179" s="107"/>
      <c r="DT179" s="727"/>
    </row>
    <row r="180" spans="1:124" ht="15" customHeight="1" x14ac:dyDescent="0.25">
      <c r="A180" s="821"/>
      <c r="B180" s="953" t="str">
        <f t="shared" si="11"/>
        <v>Desk 69</v>
      </c>
      <c r="C180" s="1220" t="str">
        <f>IF('TB IMA'!C73&lt;&gt;"",'TB IMA'!C73,"")</f>
        <v/>
      </c>
      <c r="D180" s="60"/>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c r="CC180" s="107"/>
      <c r="CD180" s="107"/>
      <c r="CE180" s="107"/>
      <c r="CF180" s="107"/>
      <c r="CG180" s="107"/>
      <c r="CH180" s="107"/>
      <c r="CI180" s="107"/>
      <c r="CJ180" s="107"/>
      <c r="CK180" s="107"/>
      <c r="CL180" s="107"/>
      <c r="CM180" s="107"/>
      <c r="CN180" s="107"/>
      <c r="CO180" s="107"/>
      <c r="CP180" s="107"/>
      <c r="CQ180" s="107"/>
      <c r="CR180" s="107"/>
      <c r="CS180" s="107"/>
      <c r="CT180" s="107"/>
      <c r="CU180" s="107"/>
      <c r="CV180" s="107"/>
      <c r="CW180" s="107"/>
      <c r="CX180" s="107"/>
      <c r="CY180" s="107"/>
      <c r="CZ180" s="107"/>
      <c r="DA180" s="107"/>
      <c r="DB180" s="107"/>
      <c r="DC180" s="107"/>
      <c r="DD180" s="107"/>
      <c r="DE180" s="107"/>
      <c r="DF180" s="107"/>
      <c r="DG180" s="107"/>
      <c r="DH180" s="107"/>
      <c r="DI180" s="107"/>
      <c r="DJ180" s="107"/>
      <c r="DK180" s="107"/>
      <c r="DL180" s="107"/>
      <c r="DM180" s="107"/>
      <c r="DN180" s="107"/>
      <c r="DO180" s="107"/>
      <c r="DP180" s="107"/>
      <c r="DQ180" s="107"/>
      <c r="DR180" s="107"/>
      <c r="DS180" s="107"/>
      <c r="DT180" s="727"/>
    </row>
    <row r="181" spans="1:124" ht="15" customHeight="1" x14ac:dyDescent="0.25">
      <c r="A181" s="821"/>
      <c r="B181" s="953" t="str">
        <f t="shared" si="11"/>
        <v>Desk 70</v>
      </c>
      <c r="C181" s="1220" t="str">
        <f>IF('TB IMA'!C74&lt;&gt;"",'TB IMA'!C74,"")</f>
        <v/>
      </c>
      <c r="D181" s="60"/>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c r="CC181" s="107"/>
      <c r="CD181" s="107"/>
      <c r="CE181" s="107"/>
      <c r="CF181" s="107"/>
      <c r="CG181" s="107"/>
      <c r="CH181" s="107"/>
      <c r="CI181" s="107"/>
      <c r="CJ181" s="107"/>
      <c r="CK181" s="107"/>
      <c r="CL181" s="107"/>
      <c r="CM181" s="107"/>
      <c r="CN181" s="107"/>
      <c r="CO181" s="107"/>
      <c r="CP181" s="107"/>
      <c r="CQ181" s="107"/>
      <c r="CR181" s="107"/>
      <c r="CS181" s="107"/>
      <c r="CT181" s="107"/>
      <c r="CU181" s="107"/>
      <c r="CV181" s="107"/>
      <c r="CW181" s="107"/>
      <c r="CX181" s="107"/>
      <c r="CY181" s="107"/>
      <c r="CZ181" s="107"/>
      <c r="DA181" s="107"/>
      <c r="DB181" s="107"/>
      <c r="DC181" s="107"/>
      <c r="DD181" s="107"/>
      <c r="DE181" s="107"/>
      <c r="DF181" s="107"/>
      <c r="DG181" s="107"/>
      <c r="DH181" s="107"/>
      <c r="DI181" s="107"/>
      <c r="DJ181" s="107"/>
      <c r="DK181" s="107"/>
      <c r="DL181" s="107"/>
      <c r="DM181" s="107"/>
      <c r="DN181" s="107"/>
      <c r="DO181" s="107"/>
      <c r="DP181" s="107"/>
      <c r="DQ181" s="107"/>
      <c r="DR181" s="107"/>
      <c r="DS181" s="107"/>
      <c r="DT181" s="727"/>
    </row>
    <row r="182" spans="1:124" ht="15" customHeight="1" x14ac:dyDescent="0.25">
      <c r="A182" s="821"/>
      <c r="B182" s="953" t="str">
        <f t="shared" si="11"/>
        <v>Desk 71</v>
      </c>
      <c r="C182" s="1220" t="str">
        <f>IF('TB IMA'!C75&lt;&gt;"",'TB IMA'!C75,"")</f>
        <v/>
      </c>
      <c r="D182" s="60"/>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c r="CC182" s="107"/>
      <c r="CD182" s="107"/>
      <c r="CE182" s="107"/>
      <c r="CF182" s="107"/>
      <c r="CG182" s="107"/>
      <c r="CH182" s="107"/>
      <c r="CI182" s="107"/>
      <c r="CJ182" s="107"/>
      <c r="CK182" s="107"/>
      <c r="CL182" s="107"/>
      <c r="CM182" s="107"/>
      <c r="CN182" s="107"/>
      <c r="CO182" s="107"/>
      <c r="CP182" s="107"/>
      <c r="CQ182" s="107"/>
      <c r="CR182" s="107"/>
      <c r="CS182" s="107"/>
      <c r="CT182" s="107"/>
      <c r="CU182" s="107"/>
      <c r="CV182" s="107"/>
      <c r="CW182" s="107"/>
      <c r="CX182" s="107"/>
      <c r="CY182" s="107"/>
      <c r="CZ182" s="107"/>
      <c r="DA182" s="107"/>
      <c r="DB182" s="107"/>
      <c r="DC182" s="107"/>
      <c r="DD182" s="107"/>
      <c r="DE182" s="107"/>
      <c r="DF182" s="107"/>
      <c r="DG182" s="107"/>
      <c r="DH182" s="107"/>
      <c r="DI182" s="107"/>
      <c r="DJ182" s="107"/>
      <c r="DK182" s="107"/>
      <c r="DL182" s="107"/>
      <c r="DM182" s="107"/>
      <c r="DN182" s="107"/>
      <c r="DO182" s="107"/>
      <c r="DP182" s="107"/>
      <c r="DQ182" s="107"/>
      <c r="DR182" s="107"/>
      <c r="DS182" s="107"/>
      <c r="DT182" s="727"/>
    </row>
    <row r="183" spans="1:124" ht="15" customHeight="1" x14ac:dyDescent="0.25">
      <c r="A183" s="821"/>
      <c r="B183" s="953" t="str">
        <f t="shared" si="11"/>
        <v>Desk 72</v>
      </c>
      <c r="C183" s="1220" t="str">
        <f>IF('TB IMA'!C76&lt;&gt;"",'TB IMA'!C76,"")</f>
        <v/>
      </c>
      <c r="D183" s="60"/>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c r="AU183" s="107"/>
      <c r="AV183" s="107"/>
      <c r="AW183" s="107"/>
      <c r="AX183" s="107"/>
      <c r="AY183" s="107"/>
      <c r="AZ183" s="107"/>
      <c r="BA183" s="107"/>
      <c r="BB183" s="107"/>
      <c r="BC183" s="107"/>
      <c r="BD183" s="107"/>
      <c r="BE183" s="107"/>
      <c r="BF183" s="107"/>
      <c r="BG183" s="107"/>
      <c r="BH183" s="107"/>
      <c r="BI183" s="107"/>
      <c r="BJ183" s="107"/>
      <c r="BK183" s="107"/>
      <c r="BL183" s="107"/>
      <c r="BM183" s="107"/>
      <c r="BN183" s="107"/>
      <c r="BO183" s="107"/>
      <c r="BP183" s="107"/>
      <c r="BQ183" s="107"/>
      <c r="BR183" s="107"/>
      <c r="BS183" s="107"/>
      <c r="BT183" s="107"/>
      <c r="BU183" s="107"/>
      <c r="BV183" s="107"/>
      <c r="BW183" s="107"/>
      <c r="BX183" s="107"/>
      <c r="BY183" s="107"/>
      <c r="BZ183" s="107"/>
      <c r="CA183" s="107"/>
      <c r="CB183" s="107"/>
      <c r="CC183" s="107"/>
      <c r="CD183" s="107"/>
      <c r="CE183" s="107"/>
      <c r="CF183" s="107"/>
      <c r="CG183" s="107"/>
      <c r="CH183" s="107"/>
      <c r="CI183" s="107"/>
      <c r="CJ183" s="107"/>
      <c r="CK183" s="107"/>
      <c r="CL183" s="107"/>
      <c r="CM183" s="107"/>
      <c r="CN183" s="107"/>
      <c r="CO183" s="107"/>
      <c r="CP183" s="107"/>
      <c r="CQ183" s="107"/>
      <c r="CR183" s="107"/>
      <c r="CS183" s="107"/>
      <c r="CT183" s="107"/>
      <c r="CU183" s="107"/>
      <c r="CV183" s="107"/>
      <c r="CW183" s="107"/>
      <c r="CX183" s="107"/>
      <c r="CY183" s="107"/>
      <c r="CZ183" s="107"/>
      <c r="DA183" s="107"/>
      <c r="DB183" s="107"/>
      <c r="DC183" s="107"/>
      <c r="DD183" s="107"/>
      <c r="DE183" s="107"/>
      <c r="DF183" s="107"/>
      <c r="DG183" s="107"/>
      <c r="DH183" s="107"/>
      <c r="DI183" s="107"/>
      <c r="DJ183" s="107"/>
      <c r="DK183" s="107"/>
      <c r="DL183" s="107"/>
      <c r="DM183" s="107"/>
      <c r="DN183" s="107"/>
      <c r="DO183" s="107"/>
      <c r="DP183" s="107"/>
      <c r="DQ183" s="107"/>
      <c r="DR183" s="107"/>
      <c r="DS183" s="107"/>
      <c r="DT183" s="727"/>
    </row>
    <row r="184" spans="1:124" ht="15" customHeight="1" x14ac:dyDescent="0.25">
      <c r="A184" s="821"/>
      <c r="B184" s="953" t="str">
        <f t="shared" si="11"/>
        <v>Desk 73</v>
      </c>
      <c r="C184" s="1220" t="str">
        <f>IF('TB IMA'!C77&lt;&gt;"",'TB IMA'!C77,"")</f>
        <v/>
      </c>
      <c r="D184" s="60"/>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c r="BF184" s="107"/>
      <c r="BG184" s="107"/>
      <c r="BH184" s="107"/>
      <c r="BI184" s="107"/>
      <c r="BJ184" s="107"/>
      <c r="BK184" s="107"/>
      <c r="BL184" s="107"/>
      <c r="BM184" s="107"/>
      <c r="BN184" s="107"/>
      <c r="BO184" s="107"/>
      <c r="BP184" s="107"/>
      <c r="BQ184" s="107"/>
      <c r="BR184" s="107"/>
      <c r="BS184" s="107"/>
      <c r="BT184" s="107"/>
      <c r="BU184" s="107"/>
      <c r="BV184" s="107"/>
      <c r="BW184" s="107"/>
      <c r="BX184" s="107"/>
      <c r="BY184" s="107"/>
      <c r="BZ184" s="107"/>
      <c r="CA184" s="107"/>
      <c r="CB184" s="107"/>
      <c r="CC184" s="107"/>
      <c r="CD184" s="107"/>
      <c r="CE184" s="107"/>
      <c r="CF184" s="107"/>
      <c r="CG184" s="107"/>
      <c r="CH184" s="107"/>
      <c r="CI184" s="107"/>
      <c r="CJ184" s="107"/>
      <c r="CK184" s="107"/>
      <c r="CL184" s="107"/>
      <c r="CM184" s="107"/>
      <c r="CN184" s="107"/>
      <c r="CO184" s="107"/>
      <c r="CP184" s="107"/>
      <c r="CQ184" s="107"/>
      <c r="CR184" s="107"/>
      <c r="CS184" s="107"/>
      <c r="CT184" s="107"/>
      <c r="CU184" s="107"/>
      <c r="CV184" s="107"/>
      <c r="CW184" s="107"/>
      <c r="CX184" s="107"/>
      <c r="CY184" s="107"/>
      <c r="CZ184" s="107"/>
      <c r="DA184" s="107"/>
      <c r="DB184" s="107"/>
      <c r="DC184" s="107"/>
      <c r="DD184" s="107"/>
      <c r="DE184" s="107"/>
      <c r="DF184" s="107"/>
      <c r="DG184" s="107"/>
      <c r="DH184" s="107"/>
      <c r="DI184" s="107"/>
      <c r="DJ184" s="107"/>
      <c r="DK184" s="107"/>
      <c r="DL184" s="107"/>
      <c r="DM184" s="107"/>
      <c r="DN184" s="107"/>
      <c r="DO184" s="107"/>
      <c r="DP184" s="107"/>
      <c r="DQ184" s="107"/>
      <c r="DR184" s="107"/>
      <c r="DS184" s="107"/>
      <c r="DT184" s="727"/>
    </row>
    <row r="185" spans="1:124" ht="15" customHeight="1" x14ac:dyDescent="0.25">
      <c r="A185" s="821"/>
      <c r="B185" s="953" t="str">
        <f t="shared" si="11"/>
        <v>Desk 74</v>
      </c>
      <c r="C185" s="1220" t="str">
        <f>IF('TB IMA'!C78&lt;&gt;"",'TB IMA'!C78,"")</f>
        <v/>
      </c>
      <c r="D185" s="60"/>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07"/>
      <c r="BC185" s="107"/>
      <c r="BD185" s="107"/>
      <c r="BE185" s="107"/>
      <c r="BF185" s="107"/>
      <c r="BG185" s="107"/>
      <c r="BH185" s="107"/>
      <c r="BI185" s="107"/>
      <c r="BJ185" s="107"/>
      <c r="BK185" s="107"/>
      <c r="BL185" s="107"/>
      <c r="BM185" s="107"/>
      <c r="BN185" s="107"/>
      <c r="BO185" s="107"/>
      <c r="BP185" s="107"/>
      <c r="BQ185" s="107"/>
      <c r="BR185" s="107"/>
      <c r="BS185" s="107"/>
      <c r="BT185" s="107"/>
      <c r="BU185" s="107"/>
      <c r="BV185" s="107"/>
      <c r="BW185" s="107"/>
      <c r="BX185" s="107"/>
      <c r="BY185" s="107"/>
      <c r="BZ185" s="107"/>
      <c r="CA185" s="107"/>
      <c r="CB185" s="107"/>
      <c r="CC185" s="107"/>
      <c r="CD185" s="107"/>
      <c r="CE185" s="107"/>
      <c r="CF185" s="107"/>
      <c r="CG185" s="107"/>
      <c r="CH185" s="107"/>
      <c r="CI185" s="107"/>
      <c r="CJ185" s="107"/>
      <c r="CK185" s="107"/>
      <c r="CL185" s="107"/>
      <c r="CM185" s="107"/>
      <c r="CN185" s="107"/>
      <c r="CO185" s="107"/>
      <c r="CP185" s="107"/>
      <c r="CQ185" s="107"/>
      <c r="CR185" s="107"/>
      <c r="CS185" s="107"/>
      <c r="CT185" s="107"/>
      <c r="CU185" s="107"/>
      <c r="CV185" s="107"/>
      <c r="CW185" s="107"/>
      <c r="CX185" s="107"/>
      <c r="CY185" s="107"/>
      <c r="CZ185" s="107"/>
      <c r="DA185" s="107"/>
      <c r="DB185" s="107"/>
      <c r="DC185" s="107"/>
      <c r="DD185" s="107"/>
      <c r="DE185" s="107"/>
      <c r="DF185" s="107"/>
      <c r="DG185" s="107"/>
      <c r="DH185" s="107"/>
      <c r="DI185" s="107"/>
      <c r="DJ185" s="107"/>
      <c r="DK185" s="107"/>
      <c r="DL185" s="107"/>
      <c r="DM185" s="107"/>
      <c r="DN185" s="107"/>
      <c r="DO185" s="107"/>
      <c r="DP185" s="107"/>
      <c r="DQ185" s="107"/>
      <c r="DR185" s="107"/>
      <c r="DS185" s="107"/>
      <c r="DT185" s="727"/>
    </row>
    <row r="186" spans="1:124" ht="15" customHeight="1" x14ac:dyDescent="0.25">
      <c r="A186" s="821"/>
      <c r="B186" s="953" t="str">
        <f t="shared" si="11"/>
        <v>Desk 75</v>
      </c>
      <c r="C186" s="1220" t="str">
        <f>IF('TB IMA'!C79&lt;&gt;"",'TB IMA'!C79,"")</f>
        <v/>
      </c>
      <c r="D186" s="60"/>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c r="CC186" s="107"/>
      <c r="CD186" s="107"/>
      <c r="CE186" s="107"/>
      <c r="CF186" s="107"/>
      <c r="CG186" s="107"/>
      <c r="CH186" s="107"/>
      <c r="CI186" s="107"/>
      <c r="CJ186" s="107"/>
      <c r="CK186" s="107"/>
      <c r="CL186" s="107"/>
      <c r="CM186" s="107"/>
      <c r="CN186" s="107"/>
      <c r="CO186" s="107"/>
      <c r="CP186" s="107"/>
      <c r="CQ186" s="107"/>
      <c r="CR186" s="107"/>
      <c r="CS186" s="107"/>
      <c r="CT186" s="107"/>
      <c r="CU186" s="107"/>
      <c r="CV186" s="107"/>
      <c r="CW186" s="107"/>
      <c r="CX186" s="107"/>
      <c r="CY186" s="107"/>
      <c r="CZ186" s="107"/>
      <c r="DA186" s="107"/>
      <c r="DB186" s="107"/>
      <c r="DC186" s="107"/>
      <c r="DD186" s="107"/>
      <c r="DE186" s="107"/>
      <c r="DF186" s="107"/>
      <c r="DG186" s="107"/>
      <c r="DH186" s="107"/>
      <c r="DI186" s="107"/>
      <c r="DJ186" s="107"/>
      <c r="DK186" s="107"/>
      <c r="DL186" s="107"/>
      <c r="DM186" s="107"/>
      <c r="DN186" s="107"/>
      <c r="DO186" s="107"/>
      <c r="DP186" s="107"/>
      <c r="DQ186" s="107"/>
      <c r="DR186" s="107"/>
      <c r="DS186" s="107"/>
      <c r="DT186" s="727"/>
    </row>
    <row r="187" spans="1:124" ht="15" customHeight="1" x14ac:dyDescent="0.25">
      <c r="A187" s="821"/>
      <c r="B187" s="953" t="str">
        <f t="shared" si="11"/>
        <v>Desk 76</v>
      </c>
      <c r="C187" s="1220" t="str">
        <f>IF('TB IMA'!C80&lt;&gt;"",'TB IMA'!C80,"")</f>
        <v/>
      </c>
      <c r="D187" s="60"/>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c r="AU187" s="107"/>
      <c r="AV187" s="107"/>
      <c r="AW187" s="107"/>
      <c r="AX187" s="107"/>
      <c r="AY187" s="107"/>
      <c r="AZ187" s="107"/>
      <c r="BA187" s="107"/>
      <c r="BB187" s="107"/>
      <c r="BC187" s="107"/>
      <c r="BD187" s="107"/>
      <c r="BE187" s="107"/>
      <c r="BF187" s="107"/>
      <c r="BG187" s="107"/>
      <c r="BH187" s="107"/>
      <c r="BI187" s="107"/>
      <c r="BJ187" s="107"/>
      <c r="BK187" s="107"/>
      <c r="BL187" s="107"/>
      <c r="BM187" s="107"/>
      <c r="BN187" s="107"/>
      <c r="BO187" s="107"/>
      <c r="BP187" s="107"/>
      <c r="BQ187" s="107"/>
      <c r="BR187" s="107"/>
      <c r="BS187" s="107"/>
      <c r="BT187" s="107"/>
      <c r="BU187" s="107"/>
      <c r="BV187" s="107"/>
      <c r="BW187" s="107"/>
      <c r="BX187" s="107"/>
      <c r="BY187" s="107"/>
      <c r="BZ187" s="107"/>
      <c r="CA187" s="107"/>
      <c r="CB187" s="107"/>
      <c r="CC187" s="107"/>
      <c r="CD187" s="107"/>
      <c r="CE187" s="107"/>
      <c r="CF187" s="107"/>
      <c r="CG187" s="107"/>
      <c r="CH187" s="107"/>
      <c r="CI187" s="107"/>
      <c r="CJ187" s="107"/>
      <c r="CK187" s="107"/>
      <c r="CL187" s="107"/>
      <c r="CM187" s="107"/>
      <c r="CN187" s="107"/>
      <c r="CO187" s="107"/>
      <c r="CP187" s="107"/>
      <c r="CQ187" s="107"/>
      <c r="CR187" s="107"/>
      <c r="CS187" s="107"/>
      <c r="CT187" s="107"/>
      <c r="CU187" s="107"/>
      <c r="CV187" s="107"/>
      <c r="CW187" s="107"/>
      <c r="CX187" s="107"/>
      <c r="CY187" s="107"/>
      <c r="CZ187" s="107"/>
      <c r="DA187" s="107"/>
      <c r="DB187" s="107"/>
      <c r="DC187" s="107"/>
      <c r="DD187" s="107"/>
      <c r="DE187" s="107"/>
      <c r="DF187" s="107"/>
      <c r="DG187" s="107"/>
      <c r="DH187" s="107"/>
      <c r="DI187" s="107"/>
      <c r="DJ187" s="107"/>
      <c r="DK187" s="107"/>
      <c r="DL187" s="107"/>
      <c r="DM187" s="107"/>
      <c r="DN187" s="107"/>
      <c r="DO187" s="107"/>
      <c r="DP187" s="107"/>
      <c r="DQ187" s="107"/>
      <c r="DR187" s="107"/>
      <c r="DS187" s="107"/>
      <c r="DT187" s="727"/>
    </row>
    <row r="188" spans="1:124" ht="15" customHeight="1" x14ac:dyDescent="0.25">
      <c r="A188" s="821"/>
      <c r="B188" s="953" t="str">
        <f t="shared" si="11"/>
        <v>Desk 77</v>
      </c>
      <c r="C188" s="1220" t="str">
        <f>IF('TB IMA'!C81&lt;&gt;"",'TB IMA'!C81,"")</f>
        <v/>
      </c>
      <c r="D188" s="60"/>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c r="CC188" s="107"/>
      <c r="CD188" s="107"/>
      <c r="CE188" s="107"/>
      <c r="CF188" s="107"/>
      <c r="CG188" s="107"/>
      <c r="CH188" s="107"/>
      <c r="CI188" s="107"/>
      <c r="CJ188" s="107"/>
      <c r="CK188" s="107"/>
      <c r="CL188" s="107"/>
      <c r="CM188" s="107"/>
      <c r="CN188" s="107"/>
      <c r="CO188" s="107"/>
      <c r="CP188" s="107"/>
      <c r="CQ188" s="107"/>
      <c r="CR188" s="107"/>
      <c r="CS188" s="107"/>
      <c r="CT188" s="107"/>
      <c r="CU188" s="107"/>
      <c r="CV188" s="107"/>
      <c r="CW188" s="107"/>
      <c r="CX188" s="107"/>
      <c r="CY188" s="107"/>
      <c r="CZ188" s="107"/>
      <c r="DA188" s="107"/>
      <c r="DB188" s="107"/>
      <c r="DC188" s="107"/>
      <c r="DD188" s="107"/>
      <c r="DE188" s="107"/>
      <c r="DF188" s="107"/>
      <c r="DG188" s="107"/>
      <c r="DH188" s="107"/>
      <c r="DI188" s="107"/>
      <c r="DJ188" s="107"/>
      <c r="DK188" s="107"/>
      <c r="DL188" s="107"/>
      <c r="DM188" s="107"/>
      <c r="DN188" s="107"/>
      <c r="DO188" s="107"/>
      <c r="DP188" s="107"/>
      <c r="DQ188" s="107"/>
      <c r="DR188" s="107"/>
      <c r="DS188" s="107"/>
      <c r="DT188" s="727"/>
    </row>
    <row r="189" spans="1:124" ht="15" customHeight="1" x14ac:dyDescent="0.25">
      <c r="A189" s="821"/>
      <c r="B189" s="953" t="str">
        <f t="shared" si="11"/>
        <v>Desk 78</v>
      </c>
      <c r="C189" s="1220" t="str">
        <f>IF('TB IMA'!C82&lt;&gt;"",'TB IMA'!C82,"")</f>
        <v/>
      </c>
      <c r="D189" s="60"/>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107"/>
      <c r="AW189" s="107"/>
      <c r="AX189" s="107"/>
      <c r="AY189" s="107"/>
      <c r="AZ189" s="107"/>
      <c r="BA189" s="107"/>
      <c r="BB189" s="107"/>
      <c r="BC189" s="107"/>
      <c r="BD189" s="107"/>
      <c r="BE189" s="107"/>
      <c r="BF189" s="107"/>
      <c r="BG189" s="107"/>
      <c r="BH189" s="107"/>
      <c r="BI189" s="107"/>
      <c r="BJ189" s="107"/>
      <c r="BK189" s="107"/>
      <c r="BL189" s="107"/>
      <c r="BM189" s="107"/>
      <c r="BN189" s="107"/>
      <c r="BO189" s="107"/>
      <c r="BP189" s="107"/>
      <c r="BQ189" s="107"/>
      <c r="BR189" s="107"/>
      <c r="BS189" s="107"/>
      <c r="BT189" s="107"/>
      <c r="BU189" s="107"/>
      <c r="BV189" s="107"/>
      <c r="BW189" s="107"/>
      <c r="BX189" s="107"/>
      <c r="BY189" s="107"/>
      <c r="BZ189" s="107"/>
      <c r="CA189" s="107"/>
      <c r="CB189" s="107"/>
      <c r="CC189" s="107"/>
      <c r="CD189" s="107"/>
      <c r="CE189" s="107"/>
      <c r="CF189" s="107"/>
      <c r="CG189" s="107"/>
      <c r="CH189" s="107"/>
      <c r="CI189" s="107"/>
      <c r="CJ189" s="107"/>
      <c r="CK189" s="107"/>
      <c r="CL189" s="107"/>
      <c r="CM189" s="107"/>
      <c r="CN189" s="107"/>
      <c r="CO189" s="107"/>
      <c r="CP189" s="107"/>
      <c r="CQ189" s="107"/>
      <c r="CR189" s="107"/>
      <c r="CS189" s="107"/>
      <c r="CT189" s="107"/>
      <c r="CU189" s="107"/>
      <c r="CV189" s="107"/>
      <c r="CW189" s="107"/>
      <c r="CX189" s="107"/>
      <c r="CY189" s="107"/>
      <c r="CZ189" s="107"/>
      <c r="DA189" s="107"/>
      <c r="DB189" s="107"/>
      <c r="DC189" s="107"/>
      <c r="DD189" s="107"/>
      <c r="DE189" s="107"/>
      <c r="DF189" s="107"/>
      <c r="DG189" s="107"/>
      <c r="DH189" s="107"/>
      <c r="DI189" s="107"/>
      <c r="DJ189" s="107"/>
      <c r="DK189" s="107"/>
      <c r="DL189" s="107"/>
      <c r="DM189" s="107"/>
      <c r="DN189" s="107"/>
      <c r="DO189" s="107"/>
      <c r="DP189" s="107"/>
      <c r="DQ189" s="107"/>
      <c r="DR189" s="107"/>
      <c r="DS189" s="107"/>
      <c r="DT189" s="727"/>
    </row>
    <row r="190" spans="1:124" ht="15" customHeight="1" x14ac:dyDescent="0.25">
      <c r="A190" s="821"/>
      <c r="B190" s="953" t="str">
        <f t="shared" si="11"/>
        <v>Desk 79</v>
      </c>
      <c r="C190" s="1220" t="str">
        <f>IF('TB IMA'!C83&lt;&gt;"",'TB IMA'!C83,"")</f>
        <v/>
      </c>
      <c r="D190" s="60"/>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c r="AU190" s="107"/>
      <c r="AV190" s="107"/>
      <c r="AW190" s="107"/>
      <c r="AX190" s="107"/>
      <c r="AY190" s="107"/>
      <c r="AZ190" s="107"/>
      <c r="BA190" s="107"/>
      <c r="BB190" s="107"/>
      <c r="BC190" s="107"/>
      <c r="BD190" s="107"/>
      <c r="BE190" s="107"/>
      <c r="BF190" s="107"/>
      <c r="BG190" s="107"/>
      <c r="BH190" s="107"/>
      <c r="BI190" s="107"/>
      <c r="BJ190" s="107"/>
      <c r="BK190" s="107"/>
      <c r="BL190" s="107"/>
      <c r="BM190" s="107"/>
      <c r="BN190" s="107"/>
      <c r="BO190" s="107"/>
      <c r="BP190" s="107"/>
      <c r="BQ190" s="107"/>
      <c r="BR190" s="107"/>
      <c r="BS190" s="107"/>
      <c r="BT190" s="107"/>
      <c r="BU190" s="107"/>
      <c r="BV190" s="107"/>
      <c r="BW190" s="107"/>
      <c r="BX190" s="107"/>
      <c r="BY190" s="107"/>
      <c r="BZ190" s="107"/>
      <c r="CA190" s="107"/>
      <c r="CB190" s="107"/>
      <c r="CC190" s="107"/>
      <c r="CD190" s="107"/>
      <c r="CE190" s="107"/>
      <c r="CF190" s="107"/>
      <c r="CG190" s="107"/>
      <c r="CH190" s="107"/>
      <c r="CI190" s="107"/>
      <c r="CJ190" s="107"/>
      <c r="CK190" s="107"/>
      <c r="CL190" s="107"/>
      <c r="CM190" s="107"/>
      <c r="CN190" s="107"/>
      <c r="CO190" s="107"/>
      <c r="CP190" s="107"/>
      <c r="CQ190" s="107"/>
      <c r="CR190" s="107"/>
      <c r="CS190" s="107"/>
      <c r="CT190" s="107"/>
      <c r="CU190" s="107"/>
      <c r="CV190" s="107"/>
      <c r="CW190" s="107"/>
      <c r="CX190" s="107"/>
      <c r="CY190" s="107"/>
      <c r="CZ190" s="107"/>
      <c r="DA190" s="107"/>
      <c r="DB190" s="107"/>
      <c r="DC190" s="107"/>
      <c r="DD190" s="107"/>
      <c r="DE190" s="107"/>
      <c r="DF190" s="107"/>
      <c r="DG190" s="107"/>
      <c r="DH190" s="107"/>
      <c r="DI190" s="107"/>
      <c r="DJ190" s="107"/>
      <c r="DK190" s="107"/>
      <c r="DL190" s="107"/>
      <c r="DM190" s="107"/>
      <c r="DN190" s="107"/>
      <c r="DO190" s="107"/>
      <c r="DP190" s="107"/>
      <c r="DQ190" s="107"/>
      <c r="DR190" s="107"/>
      <c r="DS190" s="107"/>
      <c r="DT190" s="727"/>
    </row>
    <row r="191" spans="1:124" ht="15" customHeight="1" x14ac:dyDescent="0.25">
      <c r="A191" s="821"/>
      <c r="B191" s="953" t="str">
        <f t="shared" si="11"/>
        <v>Desk 80</v>
      </c>
      <c r="C191" s="1220" t="str">
        <f>IF('TB IMA'!C84&lt;&gt;"",'TB IMA'!C84,"")</f>
        <v/>
      </c>
      <c r="D191" s="60"/>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c r="AT191" s="107"/>
      <c r="AU191" s="107"/>
      <c r="AV191" s="107"/>
      <c r="AW191" s="107"/>
      <c r="AX191" s="107"/>
      <c r="AY191" s="107"/>
      <c r="AZ191" s="107"/>
      <c r="BA191" s="107"/>
      <c r="BB191" s="107"/>
      <c r="BC191" s="107"/>
      <c r="BD191" s="107"/>
      <c r="BE191" s="107"/>
      <c r="BF191" s="107"/>
      <c r="BG191" s="107"/>
      <c r="BH191" s="107"/>
      <c r="BI191" s="107"/>
      <c r="BJ191" s="107"/>
      <c r="BK191" s="107"/>
      <c r="BL191" s="107"/>
      <c r="BM191" s="107"/>
      <c r="BN191" s="107"/>
      <c r="BO191" s="107"/>
      <c r="BP191" s="107"/>
      <c r="BQ191" s="107"/>
      <c r="BR191" s="107"/>
      <c r="BS191" s="107"/>
      <c r="BT191" s="107"/>
      <c r="BU191" s="107"/>
      <c r="BV191" s="107"/>
      <c r="BW191" s="107"/>
      <c r="BX191" s="107"/>
      <c r="BY191" s="107"/>
      <c r="BZ191" s="107"/>
      <c r="CA191" s="107"/>
      <c r="CB191" s="107"/>
      <c r="CC191" s="107"/>
      <c r="CD191" s="107"/>
      <c r="CE191" s="107"/>
      <c r="CF191" s="107"/>
      <c r="CG191" s="107"/>
      <c r="CH191" s="107"/>
      <c r="CI191" s="107"/>
      <c r="CJ191" s="107"/>
      <c r="CK191" s="107"/>
      <c r="CL191" s="107"/>
      <c r="CM191" s="107"/>
      <c r="CN191" s="107"/>
      <c r="CO191" s="107"/>
      <c r="CP191" s="107"/>
      <c r="CQ191" s="107"/>
      <c r="CR191" s="107"/>
      <c r="CS191" s="107"/>
      <c r="CT191" s="107"/>
      <c r="CU191" s="107"/>
      <c r="CV191" s="107"/>
      <c r="CW191" s="107"/>
      <c r="CX191" s="107"/>
      <c r="CY191" s="107"/>
      <c r="CZ191" s="107"/>
      <c r="DA191" s="107"/>
      <c r="DB191" s="107"/>
      <c r="DC191" s="107"/>
      <c r="DD191" s="107"/>
      <c r="DE191" s="107"/>
      <c r="DF191" s="107"/>
      <c r="DG191" s="107"/>
      <c r="DH191" s="107"/>
      <c r="DI191" s="107"/>
      <c r="DJ191" s="107"/>
      <c r="DK191" s="107"/>
      <c r="DL191" s="107"/>
      <c r="DM191" s="107"/>
      <c r="DN191" s="107"/>
      <c r="DO191" s="107"/>
      <c r="DP191" s="107"/>
      <c r="DQ191" s="107"/>
      <c r="DR191" s="107"/>
      <c r="DS191" s="107"/>
      <c r="DT191" s="727"/>
    </row>
    <row r="192" spans="1:124" ht="15" customHeight="1" x14ac:dyDescent="0.25">
      <c r="A192" s="821"/>
      <c r="B192" s="953" t="str">
        <f t="shared" si="11"/>
        <v>Desk 81</v>
      </c>
      <c r="C192" s="1220" t="str">
        <f>IF('TB IMA'!C85&lt;&gt;"",'TB IMA'!C85,"")</f>
        <v/>
      </c>
      <c r="D192" s="60"/>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c r="CC192" s="107"/>
      <c r="CD192" s="107"/>
      <c r="CE192" s="107"/>
      <c r="CF192" s="107"/>
      <c r="CG192" s="107"/>
      <c r="CH192" s="107"/>
      <c r="CI192" s="107"/>
      <c r="CJ192" s="107"/>
      <c r="CK192" s="107"/>
      <c r="CL192" s="107"/>
      <c r="CM192" s="107"/>
      <c r="CN192" s="107"/>
      <c r="CO192" s="107"/>
      <c r="CP192" s="107"/>
      <c r="CQ192" s="107"/>
      <c r="CR192" s="107"/>
      <c r="CS192" s="107"/>
      <c r="CT192" s="107"/>
      <c r="CU192" s="107"/>
      <c r="CV192" s="107"/>
      <c r="CW192" s="107"/>
      <c r="CX192" s="107"/>
      <c r="CY192" s="107"/>
      <c r="CZ192" s="107"/>
      <c r="DA192" s="107"/>
      <c r="DB192" s="107"/>
      <c r="DC192" s="107"/>
      <c r="DD192" s="107"/>
      <c r="DE192" s="107"/>
      <c r="DF192" s="107"/>
      <c r="DG192" s="107"/>
      <c r="DH192" s="107"/>
      <c r="DI192" s="107"/>
      <c r="DJ192" s="107"/>
      <c r="DK192" s="107"/>
      <c r="DL192" s="107"/>
      <c r="DM192" s="107"/>
      <c r="DN192" s="107"/>
      <c r="DO192" s="107"/>
      <c r="DP192" s="107"/>
      <c r="DQ192" s="107"/>
      <c r="DR192" s="107"/>
      <c r="DS192" s="107"/>
      <c r="DT192" s="727"/>
    </row>
    <row r="193" spans="1:124" ht="15" customHeight="1" x14ac:dyDescent="0.25">
      <c r="A193" s="821"/>
      <c r="B193" s="953" t="str">
        <f t="shared" si="11"/>
        <v>Desk 82</v>
      </c>
      <c r="C193" s="1220" t="str">
        <f>IF('TB IMA'!C86&lt;&gt;"",'TB IMA'!C86,"")</f>
        <v/>
      </c>
      <c r="D193" s="60"/>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c r="AU193" s="107"/>
      <c r="AV193" s="107"/>
      <c r="AW193" s="107"/>
      <c r="AX193" s="107"/>
      <c r="AY193" s="107"/>
      <c r="AZ193" s="107"/>
      <c r="BA193" s="107"/>
      <c r="BB193" s="107"/>
      <c r="BC193" s="107"/>
      <c r="BD193" s="107"/>
      <c r="BE193" s="107"/>
      <c r="BF193" s="107"/>
      <c r="BG193" s="107"/>
      <c r="BH193" s="107"/>
      <c r="BI193" s="107"/>
      <c r="BJ193" s="107"/>
      <c r="BK193" s="107"/>
      <c r="BL193" s="107"/>
      <c r="BM193" s="107"/>
      <c r="BN193" s="107"/>
      <c r="BO193" s="107"/>
      <c r="BP193" s="107"/>
      <c r="BQ193" s="107"/>
      <c r="BR193" s="107"/>
      <c r="BS193" s="107"/>
      <c r="BT193" s="107"/>
      <c r="BU193" s="107"/>
      <c r="BV193" s="107"/>
      <c r="BW193" s="107"/>
      <c r="BX193" s="107"/>
      <c r="BY193" s="107"/>
      <c r="BZ193" s="107"/>
      <c r="CA193" s="107"/>
      <c r="CB193" s="107"/>
      <c r="CC193" s="107"/>
      <c r="CD193" s="107"/>
      <c r="CE193" s="107"/>
      <c r="CF193" s="107"/>
      <c r="CG193" s="107"/>
      <c r="CH193" s="107"/>
      <c r="CI193" s="107"/>
      <c r="CJ193" s="107"/>
      <c r="CK193" s="107"/>
      <c r="CL193" s="107"/>
      <c r="CM193" s="107"/>
      <c r="CN193" s="107"/>
      <c r="CO193" s="107"/>
      <c r="CP193" s="107"/>
      <c r="CQ193" s="107"/>
      <c r="CR193" s="107"/>
      <c r="CS193" s="107"/>
      <c r="CT193" s="107"/>
      <c r="CU193" s="107"/>
      <c r="CV193" s="107"/>
      <c r="CW193" s="107"/>
      <c r="CX193" s="107"/>
      <c r="CY193" s="107"/>
      <c r="CZ193" s="107"/>
      <c r="DA193" s="107"/>
      <c r="DB193" s="107"/>
      <c r="DC193" s="107"/>
      <c r="DD193" s="107"/>
      <c r="DE193" s="107"/>
      <c r="DF193" s="107"/>
      <c r="DG193" s="107"/>
      <c r="DH193" s="107"/>
      <c r="DI193" s="107"/>
      <c r="DJ193" s="107"/>
      <c r="DK193" s="107"/>
      <c r="DL193" s="107"/>
      <c r="DM193" s="107"/>
      <c r="DN193" s="107"/>
      <c r="DO193" s="107"/>
      <c r="DP193" s="107"/>
      <c r="DQ193" s="107"/>
      <c r="DR193" s="107"/>
      <c r="DS193" s="107"/>
      <c r="DT193" s="727"/>
    </row>
    <row r="194" spans="1:124" ht="15" customHeight="1" x14ac:dyDescent="0.25">
      <c r="A194" s="821"/>
      <c r="B194" s="953" t="str">
        <f t="shared" si="11"/>
        <v>Desk 83</v>
      </c>
      <c r="C194" s="1220" t="str">
        <f>IF('TB IMA'!C87&lt;&gt;"",'TB IMA'!C87,"")</f>
        <v/>
      </c>
      <c r="D194" s="60"/>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7"/>
      <c r="BN194" s="107"/>
      <c r="BO194" s="107"/>
      <c r="BP194" s="107"/>
      <c r="BQ194" s="107"/>
      <c r="BR194" s="107"/>
      <c r="BS194" s="107"/>
      <c r="BT194" s="107"/>
      <c r="BU194" s="107"/>
      <c r="BV194" s="107"/>
      <c r="BW194" s="107"/>
      <c r="BX194" s="107"/>
      <c r="BY194" s="107"/>
      <c r="BZ194" s="107"/>
      <c r="CA194" s="107"/>
      <c r="CB194" s="107"/>
      <c r="CC194" s="107"/>
      <c r="CD194" s="107"/>
      <c r="CE194" s="107"/>
      <c r="CF194" s="107"/>
      <c r="CG194" s="107"/>
      <c r="CH194" s="107"/>
      <c r="CI194" s="107"/>
      <c r="CJ194" s="107"/>
      <c r="CK194" s="107"/>
      <c r="CL194" s="107"/>
      <c r="CM194" s="107"/>
      <c r="CN194" s="107"/>
      <c r="CO194" s="107"/>
      <c r="CP194" s="107"/>
      <c r="CQ194" s="107"/>
      <c r="CR194" s="107"/>
      <c r="CS194" s="107"/>
      <c r="CT194" s="107"/>
      <c r="CU194" s="107"/>
      <c r="CV194" s="107"/>
      <c r="CW194" s="107"/>
      <c r="CX194" s="107"/>
      <c r="CY194" s="107"/>
      <c r="CZ194" s="107"/>
      <c r="DA194" s="107"/>
      <c r="DB194" s="107"/>
      <c r="DC194" s="107"/>
      <c r="DD194" s="107"/>
      <c r="DE194" s="107"/>
      <c r="DF194" s="107"/>
      <c r="DG194" s="107"/>
      <c r="DH194" s="107"/>
      <c r="DI194" s="107"/>
      <c r="DJ194" s="107"/>
      <c r="DK194" s="107"/>
      <c r="DL194" s="107"/>
      <c r="DM194" s="107"/>
      <c r="DN194" s="107"/>
      <c r="DO194" s="107"/>
      <c r="DP194" s="107"/>
      <c r="DQ194" s="107"/>
      <c r="DR194" s="107"/>
      <c r="DS194" s="107"/>
      <c r="DT194" s="727"/>
    </row>
    <row r="195" spans="1:124" ht="15" customHeight="1" x14ac:dyDescent="0.25">
      <c r="A195" s="821"/>
      <c r="B195" s="953" t="str">
        <f t="shared" si="11"/>
        <v>Desk 84</v>
      </c>
      <c r="C195" s="1220" t="str">
        <f>IF('TB IMA'!C88&lt;&gt;"",'TB IMA'!C88,"")</f>
        <v/>
      </c>
      <c r="D195" s="60"/>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7"/>
      <c r="BQ195" s="107"/>
      <c r="BR195" s="107"/>
      <c r="BS195" s="107"/>
      <c r="BT195" s="107"/>
      <c r="BU195" s="107"/>
      <c r="BV195" s="107"/>
      <c r="BW195" s="107"/>
      <c r="BX195" s="107"/>
      <c r="BY195" s="107"/>
      <c r="BZ195" s="107"/>
      <c r="CA195" s="107"/>
      <c r="CB195" s="107"/>
      <c r="CC195" s="107"/>
      <c r="CD195" s="107"/>
      <c r="CE195" s="107"/>
      <c r="CF195" s="107"/>
      <c r="CG195" s="107"/>
      <c r="CH195" s="107"/>
      <c r="CI195" s="107"/>
      <c r="CJ195" s="107"/>
      <c r="CK195" s="107"/>
      <c r="CL195" s="107"/>
      <c r="CM195" s="107"/>
      <c r="CN195" s="107"/>
      <c r="CO195" s="107"/>
      <c r="CP195" s="107"/>
      <c r="CQ195" s="107"/>
      <c r="CR195" s="107"/>
      <c r="CS195" s="107"/>
      <c r="CT195" s="107"/>
      <c r="CU195" s="107"/>
      <c r="CV195" s="107"/>
      <c r="CW195" s="107"/>
      <c r="CX195" s="107"/>
      <c r="CY195" s="107"/>
      <c r="CZ195" s="107"/>
      <c r="DA195" s="107"/>
      <c r="DB195" s="107"/>
      <c r="DC195" s="107"/>
      <c r="DD195" s="107"/>
      <c r="DE195" s="107"/>
      <c r="DF195" s="107"/>
      <c r="DG195" s="107"/>
      <c r="DH195" s="107"/>
      <c r="DI195" s="107"/>
      <c r="DJ195" s="107"/>
      <c r="DK195" s="107"/>
      <c r="DL195" s="107"/>
      <c r="DM195" s="107"/>
      <c r="DN195" s="107"/>
      <c r="DO195" s="107"/>
      <c r="DP195" s="107"/>
      <c r="DQ195" s="107"/>
      <c r="DR195" s="107"/>
      <c r="DS195" s="107"/>
      <c r="DT195" s="727"/>
    </row>
    <row r="196" spans="1:124" ht="15" customHeight="1" x14ac:dyDescent="0.25">
      <c r="A196" s="821"/>
      <c r="B196" s="953" t="str">
        <f t="shared" si="11"/>
        <v>Desk 85</v>
      </c>
      <c r="C196" s="1220" t="str">
        <f>IF('TB IMA'!C89&lt;&gt;"",'TB IMA'!C89,"")</f>
        <v/>
      </c>
      <c r="D196" s="60"/>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7"/>
      <c r="BN196" s="107"/>
      <c r="BO196" s="107"/>
      <c r="BP196" s="107"/>
      <c r="BQ196" s="107"/>
      <c r="BR196" s="107"/>
      <c r="BS196" s="107"/>
      <c r="BT196" s="107"/>
      <c r="BU196" s="107"/>
      <c r="BV196" s="107"/>
      <c r="BW196" s="107"/>
      <c r="BX196" s="107"/>
      <c r="BY196" s="107"/>
      <c r="BZ196" s="107"/>
      <c r="CA196" s="107"/>
      <c r="CB196" s="107"/>
      <c r="CC196" s="107"/>
      <c r="CD196" s="107"/>
      <c r="CE196" s="107"/>
      <c r="CF196" s="107"/>
      <c r="CG196" s="107"/>
      <c r="CH196" s="107"/>
      <c r="CI196" s="107"/>
      <c r="CJ196" s="107"/>
      <c r="CK196" s="107"/>
      <c r="CL196" s="107"/>
      <c r="CM196" s="107"/>
      <c r="CN196" s="107"/>
      <c r="CO196" s="107"/>
      <c r="CP196" s="107"/>
      <c r="CQ196" s="107"/>
      <c r="CR196" s="107"/>
      <c r="CS196" s="107"/>
      <c r="CT196" s="107"/>
      <c r="CU196" s="107"/>
      <c r="CV196" s="107"/>
      <c r="CW196" s="107"/>
      <c r="CX196" s="107"/>
      <c r="CY196" s="107"/>
      <c r="CZ196" s="107"/>
      <c r="DA196" s="107"/>
      <c r="DB196" s="107"/>
      <c r="DC196" s="107"/>
      <c r="DD196" s="107"/>
      <c r="DE196" s="107"/>
      <c r="DF196" s="107"/>
      <c r="DG196" s="107"/>
      <c r="DH196" s="107"/>
      <c r="DI196" s="107"/>
      <c r="DJ196" s="107"/>
      <c r="DK196" s="107"/>
      <c r="DL196" s="107"/>
      <c r="DM196" s="107"/>
      <c r="DN196" s="107"/>
      <c r="DO196" s="107"/>
      <c r="DP196" s="107"/>
      <c r="DQ196" s="107"/>
      <c r="DR196" s="107"/>
      <c r="DS196" s="107"/>
      <c r="DT196" s="727"/>
    </row>
    <row r="197" spans="1:124" ht="15" customHeight="1" x14ac:dyDescent="0.25">
      <c r="A197" s="821"/>
      <c r="B197" s="953" t="str">
        <f t="shared" si="11"/>
        <v>Desk 86</v>
      </c>
      <c r="C197" s="1220" t="str">
        <f>IF('TB IMA'!C90&lt;&gt;"",'TB IMA'!C90,"")</f>
        <v/>
      </c>
      <c r="D197" s="60"/>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7"/>
      <c r="BN197" s="107"/>
      <c r="BO197" s="107"/>
      <c r="BP197" s="107"/>
      <c r="BQ197" s="107"/>
      <c r="BR197" s="107"/>
      <c r="BS197" s="107"/>
      <c r="BT197" s="107"/>
      <c r="BU197" s="107"/>
      <c r="BV197" s="107"/>
      <c r="BW197" s="107"/>
      <c r="BX197" s="107"/>
      <c r="BY197" s="107"/>
      <c r="BZ197" s="107"/>
      <c r="CA197" s="107"/>
      <c r="CB197" s="107"/>
      <c r="CC197" s="107"/>
      <c r="CD197" s="107"/>
      <c r="CE197" s="107"/>
      <c r="CF197" s="107"/>
      <c r="CG197" s="107"/>
      <c r="CH197" s="107"/>
      <c r="CI197" s="107"/>
      <c r="CJ197" s="107"/>
      <c r="CK197" s="107"/>
      <c r="CL197" s="107"/>
      <c r="CM197" s="107"/>
      <c r="CN197" s="107"/>
      <c r="CO197" s="107"/>
      <c r="CP197" s="107"/>
      <c r="CQ197" s="107"/>
      <c r="CR197" s="107"/>
      <c r="CS197" s="107"/>
      <c r="CT197" s="107"/>
      <c r="CU197" s="107"/>
      <c r="CV197" s="107"/>
      <c r="CW197" s="107"/>
      <c r="CX197" s="107"/>
      <c r="CY197" s="107"/>
      <c r="CZ197" s="107"/>
      <c r="DA197" s="107"/>
      <c r="DB197" s="107"/>
      <c r="DC197" s="107"/>
      <c r="DD197" s="107"/>
      <c r="DE197" s="107"/>
      <c r="DF197" s="107"/>
      <c r="DG197" s="107"/>
      <c r="DH197" s="107"/>
      <c r="DI197" s="107"/>
      <c r="DJ197" s="107"/>
      <c r="DK197" s="107"/>
      <c r="DL197" s="107"/>
      <c r="DM197" s="107"/>
      <c r="DN197" s="107"/>
      <c r="DO197" s="107"/>
      <c r="DP197" s="107"/>
      <c r="DQ197" s="107"/>
      <c r="DR197" s="107"/>
      <c r="DS197" s="107"/>
      <c r="DT197" s="727"/>
    </row>
    <row r="198" spans="1:124" ht="15" customHeight="1" x14ac:dyDescent="0.25">
      <c r="A198" s="821"/>
      <c r="B198" s="953" t="str">
        <f t="shared" si="11"/>
        <v>Desk 87</v>
      </c>
      <c r="C198" s="1220" t="str">
        <f>IF('TB IMA'!C91&lt;&gt;"",'TB IMA'!C91,"")</f>
        <v/>
      </c>
      <c r="D198" s="60"/>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7"/>
      <c r="BN198" s="107"/>
      <c r="BO198" s="107"/>
      <c r="BP198" s="107"/>
      <c r="BQ198" s="107"/>
      <c r="BR198" s="107"/>
      <c r="BS198" s="107"/>
      <c r="BT198" s="107"/>
      <c r="BU198" s="107"/>
      <c r="BV198" s="107"/>
      <c r="BW198" s="107"/>
      <c r="BX198" s="107"/>
      <c r="BY198" s="107"/>
      <c r="BZ198" s="107"/>
      <c r="CA198" s="107"/>
      <c r="CB198" s="107"/>
      <c r="CC198" s="107"/>
      <c r="CD198" s="107"/>
      <c r="CE198" s="107"/>
      <c r="CF198" s="107"/>
      <c r="CG198" s="107"/>
      <c r="CH198" s="107"/>
      <c r="CI198" s="107"/>
      <c r="CJ198" s="107"/>
      <c r="CK198" s="107"/>
      <c r="CL198" s="107"/>
      <c r="CM198" s="107"/>
      <c r="CN198" s="107"/>
      <c r="CO198" s="107"/>
      <c r="CP198" s="107"/>
      <c r="CQ198" s="107"/>
      <c r="CR198" s="107"/>
      <c r="CS198" s="107"/>
      <c r="CT198" s="107"/>
      <c r="CU198" s="107"/>
      <c r="CV198" s="107"/>
      <c r="CW198" s="107"/>
      <c r="CX198" s="107"/>
      <c r="CY198" s="107"/>
      <c r="CZ198" s="107"/>
      <c r="DA198" s="107"/>
      <c r="DB198" s="107"/>
      <c r="DC198" s="107"/>
      <c r="DD198" s="107"/>
      <c r="DE198" s="107"/>
      <c r="DF198" s="107"/>
      <c r="DG198" s="107"/>
      <c r="DH198" s="107"/>
      <c r="DI198" s="107"/>
      <c r="DJ198" s="107"/>
      <c r="DK198" s="107"/>
      <c r="DL198" s="107"/>
      <c r="DM198" s="107"/>
      <c r="DN198" s="107"/>
      <c r="DO198" s="107"/>
      <c r="DP198" s="107"/>
      <c r="DQ198" s="107"/>
      <c r="DR198" s="107"/>
      <c r="DS198" s="107"/>
      <c r="DT198" s="727"/>
    </row>
    <row r="199" spans="1:124" ht="15" customHeight="1" x14ac:dyDescent="0.25">
      <c r="A199" s="821"/>
      <c r="B199" s="953" t="str">
        <f t="shared" si="11"/>
        <v>Desk 88</v>
      </c>
      <c r="C199" s="1220" t="str">
        <f>IF('TB IMA'!C92&lt;&gt;"",'TB IMA'!C92,"")</f>
        <v/>
      </c>
      <c r="D199" s="60"/>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7"/>
      <c r="BN199" s="107"/>
      <c r="BO199" s="107"/>
      <c r="BP199" s="107"/>
      <c r="BQ199" s="107"/>
      <c r="BR199" s="107"/>
      <c r="BS199" s="107"/>
      <c r="BT199" s="107"/>
      <c r="BU199" s="107"/>
      <c r="BV199" s="107"/>
      <c r="BW199" s="107"/>
      <c r="BX199" s="107"/>
      <c r="BY199" s="107"/>
      <c r="BZ199" s="107"/>
      <c r="CA199" s="107"/>
      <c r="CB199" s="107"/>
      <c r="CC199" s="107"/>
      <c r="CD199" s="107"/>
      <c r="CE199" s="107"/>
      <c r="CF199" s="107"/>
      <c r="CG199" s="107"/>
      <c r="CH199" s="107"/>
      <c r="CI199" s="107"/>
      <c r="CJ199" s="107"/>
      <c r="CK199" s="107"/>
      <c r="CL199" s="107"/>
      <c r="CM199" s="107"/>
      <c r="CN199" s="107"/>
      <c r="CO199" s="107"/>
      <c r="CP199" s="107"/>
      <c r="CQ199" s="107"/>
      <c r="CR199" s="107"/>
      <c r="CS199" s="107"/>
      <c r="CT199" s="107"/>
      <c r="CU199" s="107"/>
      <c r="CV199" s="107"/>
      <c r="CW199" s="107"/>
      <c r="CX199" s="107"/>
      <c r="CY199" s="107"/>
      <c r="CZ199" s="107"/>
      <c r="DA199" s="107"/>
      <c r="DB199" s="107"/>
      <c r="DC199" s="107"/>
      <c r="DD199" s="107"/>
      <c r="DE199" s="107"/>
      <c r="DF199" s="107"/>
      <c r="DG199" s="107"/>
      <c r="DH199" s="107"/>
      <c r="DI199" s="107"/>
      <c r="DJ199" s="107"/>
      <c r="DK199" s="107"/>
      <c r="DL199" s="107"/>
      <c r="DM199" s="107"/>
      <c r="DN199" s="107"/>
      <c r="DO199" s="107"/>
      <c r="DP199" s="107"/>
      <c r="DQ199" s="107"/>
      <c r="DR199" s="107"/>
      <c r="DS199" s="107"/>
      <c r="DT199" s="727"/>
    </row>
    <row r="200" spans="1:124" ht="15" customHeight="1" x14ac:dyDescent="0.25">
      <c r="A200" s="821"/>
      <c r="B200" s="953" t="str">
        <f t="shared" si="11"/>
        <v>Desk 89</v>
      </c>
      <c r="C200" s="1220" t="str">
        <f>IF('TB IMA'!C93&lt;&gt;"",'TB IMA'!C93,"")</f>
        <v/>
      </c>
      <c r="D200" s="60"/>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c r="CC200" s="107"/>
      <c r="CD200" s="107"/>
      <c r="CE200" s="107"/>
      <c r="CF200" s="107"/>
      <c r="CG200" s="107"/>
      <c r="CH200" s="107"/>
      <c r="CI200" s="107"/>
      <c r="CJ200" s="107"/>
      <c r="CK200" s="107"/>
      <c r="CL200" s="107"/>
      <c r="CM200" s="107"/>
      <c r="CN200" s="107"/>
      <c r="CO200" s="107"/>
      <c r="CP200" s="107"/>
      <c r="CQ200" s="107"/>
      <c r="CR200" s="107"/>
      <c r="CS200" s="107"/>
      <c r="CT200" s="107"/>
      <c r="CU200" s="107"/>
      <c r="CV200" s="107"/>
      <c r="CW200" s="107"/>
      <c r="CX200" s="107"/>
      <c r="CY200" s="107"/>
      <c r="CZ200" s="107"/>
      <c r="DA200" s="107"/>
      <c r="DB200" s="107"/>
      <c r="DC200" s="107"/>
      <c r="DD200" s="107"/>
      <c r="DE200" s="107"/>
      <c r="DF200" s="107"/>
      <c r="DG200" s="107"/>
      <c r="DH200" s="107"/>
      <c r="DI200" s="107"/>
      <c r="DJ200" s="107"/>
      <c r="DK200" s="107"/>
      <c r="DL200" s="107"/>
      <c r="DM200" s="107"/>
      <c r="DN200" s="107"/>
      <c r="DO200" s="107"/>
      <c r="DP200" s="107"/>
      <c r="DQ200" s="107"/>
      <c r="DR200" s="107"/>
      <c r="DS200" s="107"/>
      <c r="DT200" s="727"/>
    </row>
    <row r="201" spans="1:124" ht="15" customHeight="1" x14ac:dyDescent="0.25">
      <c r="A201" s="821"/>
      <c r="B201" s="953" t="str">
        <f t="shared" si="11"/>
        <v>Desk 90</v>
      </c>
      <c r="C201" s="1220" t="str">
        <f>IF('TB IMA'!C94&lt;&gt;"",'TB IMA'!C94,"")</f>
        <v/>
      </c>
      <c r="D201" s="60"/>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7"/>
      <c r="BN201" s="107"/>
      <c r="BO201" s="107"/>
      <c r="BP201" s="107"/>
      <c r="BQ201" s="107"/>
      <c r="BR201" s="107"/>
      <c r="BS201" s="107"/>
      <c r="BT201" s="107"/>
      <c r="BU201" s="107"/>
      <c r="BV201" s="107"/>
      <c r="BW201" s="107"/>
      <c r="BX201" s="107"/>
      <c r="BY201" s="107"/>
      <c r="BZ201" s="107"/>
      <c r="CA201" s="107"/>
      <c r="CB201" s="107"/>
      <c r="CC201" s="107"/>
      <c r="CD201" s="107"/>
      <c r="CE201" s="107"/>
      <c r="CF201" s="107"/>
      <c r="CG201" s="107"/>
      <c r="CH201" s="107"/>
      <c r="CI201" s="107"/>
      <c r="CJ201" s="107"/>
      <c r="CK201" s="107"/>
      <c r="CL201" s="107"/>
      <c r="CM201" s="107"/>
      <c r="CN201" s="107"/>
      <c r="CO201" s="107"/>
      <c r="CP201" s="107"/>
      <c r="CQ201" s="107"/>
      <c r="CR201" s="107"/>
      <c r="CS201" s="107"/>
      <c r="CT201" s="107"/>
      <c r="CU201" s="107"/>
      <c r="CV201" s="107"/>
      <c r="CW201" s="107"/>
      <c r="CX201" s="107"/>
      <c r="CY201" s="107"/>
      <c r="CZ201" s="107"/>
      <c r="DA201" s="107"/>
      <c r="DB201" s="107"/>
      <c r="DC201" s="107"/>
      <c r="DD201" s="107"/>
      <c r="DE201" s="107"/>
      <c r="DF201" s="107"/>
      <c r="DG201" s="107"/>
      <c r="DH201" s="107"/>
      <c r="DI201" s="107"/>
      <c r="DJ201" s="107"/>
      <c r="DK201" s="107"/>
      <c r="DL201" s="107"/>
      <c r="DM201" s="107"/>
      <c r="DN201" s="107"/>
      <c r="DO201" s="107"/>
      <c r="DP201" s="107"/>
      <c r="DQ201" s="107"/>
      <c r="DR201" s="107"/>
      <c r="DS201" s="107"/>
      <c r="DT201" s="727"/>
    </row>
    <row r="202" spans="1:124" ht="15" customHeight="1" x14ac:dyDescent="0.25">
      <c r="A202" s="821"/>
      <c r="B202" s="953" t="str">
        <f t="shared" si="11"/>
        <v>Desk 91</v>
      </c>
      <c r="C202" s="1220" t="str">
        <f>IF('TB IMA'!C95&lt;&gt;"",'TB IMA'!C95,"")</f>
        <v/>
      </c>
      <c r="D202" s="60"/>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c r="CC202" s="107"/>
      <c r="CD202" s="107"/>
      <c r="CE202" s="107"/>
      <c r="CF202" s="107"/>
      <c r="CG202" s="107"/>
      <c r="CH202" s="107"/>
      <c r="CI202" s="107"/>
      <c r="CJ202" s="107"/>
      <c r="CK202" s="107"/>
      <c r="CL202" s="107"/>
      <c r="CM202" s="107"/>
      <c r="CN202" s="107"/>
      <c r="CO202" s="107"/>
      <c r="CP202" s="107"/>
      <c r="CQ202" s="107"/>
      <c r="CR202" s="107"/>
      <c r="CS202" s="107"/>
      <c r="CT202" s="107"/>
      <c r="CU202" s="107"/>
      <c r="CV202" s="107"/>
      <c r="CW202" s="107"/>
      <c r="CX202" s="107"/>
      <c r="CY202" s="107"/>
      <c r="CZ202" s="107"/>
      <c r="DA202" s="107"/>
      <c r="DB202" s="107"/>
      <c r="DC202" s="107"/>
      <c r="DD202" s="107"/>
      <c r="DE202" s="107"/>
      <c r="DF202" s="107"/>
      <c r="DG202" s="107"/>
      <c r="DH202" s="107"/>
      <c r="DI202" s="107"/>
      <c r="DJ202" s="107"/>
      <c r="DK202" s="107"/>
      <c r="DL202" s="107"/>
      <c r="DM202" s="107"/>
      <c r="DN202" s="107"/>
      <c r="DO202" s="107"/>
      <c r="DP202" s="107"/>
      <c r="DQ202" s="107"/>
      <c r="DR202" s="107"/>
      <c r="DS202" s="107"/>
      <c r="DT202" s="727"/>
    </row>
    <row r="203" spans="1:124" ht="15" customHeight="1" x14ac:dyDescent="0.25">
      <c r="A203" s="821"/>
      <c r="B203" s="953" t="str">
        <f t="shared" si="11"/>
        <v>Desk 92</v>
      </c>
      <c r="C203" s="1220" t="str">
        <f>IF('TB IMA'!C96&lt;&gt;"",'TB IMA'!C96,"")</f>
        <v/>
      </c>
      <c r="D203" s="60"/>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7"/>
      <c r="BN203" s="107"/>
      <c r="BO203" s="107"/>
      <c r="BP203" s="107"/>
      <c r="BQ203" s="107"/>
      <c r="BR203" s="107"/>
      <c r="BS203" s="107"/>
      <c r="BT203" s="107"/>
      <c r="BU203" s="107"/>
      <c r="BV203" s="107"/>
      <c r="BW203" s="107"/>
      <c r="BX203" s="107"/>
      <c r="BY203" s="107"/>
      <c r="BZ203" s="107"/>
      <c r="CA203" s="107"/>
      <c r="CB203" s="107"/>
      <c r="CC203" s="107"/>
      <c r="CD203" s="107"/>
      <c r="CE203" s="107"/>
      <c r="CF203" s="107"/>
      <c r="CG203" s="107"/>
      <c r="CH203" s="107"/>
      <c r="CI203" s="107"/>
      <c r="CJ203" s="107"/>
      <c r="CK203" s="107"/>
      <c r="CL203" s="107"/>
      <c r="CM203" s="107"/>
      <c r="CN203" s="107"/>
      <c r="CO203" s="107"/>
      <c r="CP203" s="107"/>
      <c r="CQ203" s="107"/>
      <c r="CR203" s="107"/>
      <c r="CS203" s="107"/>
      <c r="CT203" s="107"/>
      <c r="CU203" s="107"/>
      <c r="CV203" s="107"/>
      <c r="CW203" s="107"/>
      <c r="CX203" s="107"/>
      <c r="CY203" s="107"/>
      <c r="CZ203" s="107"/>
      <c r="DA203" s="107"/>
      <c r="DB203" s="107"/>
      <c r="DC203" s="107"/>
      <c r="DD203" s="107"/>
      <c r="DE203" s="107"/>
      <c r="DF203" s="107"/>
      <c r="DG203" s="107"/>
      <c r="DH203" s="107"/>
      <c r="DI203" s="107"/>
      <c r="DJ203" s="107"/>
      <c r="DK203" s="107"/>
      <c r="DL203" s="107"/>
      <c r="DM203" s="107"/>
      <c r="DN203" s="107"/>
      <c r="DO203" s="107"/>
      <c r="DP203" s="107"/>
      <c r="DQ203" s="107"/>
      <c r="DR203" s="107"/>
      <c r="DS203" s="107"/>
      <c r="DT203" s="727"/>
    </row>
    <row r="204" spans="1:124" ht="15" customHeight="1" x14ac:dyDescent="0.25">
      <c r="A204" s="821"/>
      <c r="B204" s="953" t="str">
        <f t="shared" si="11"/>
        <v>Desk 93</v>
      </c>
      <c r="C204" s="1220" t="str">
        <f>IF('TB IMA'!C97&lt;&gt;"",'TB IMA'!C97,"")</f>
        <v/>
      </c>
      <c r="D204" s="60"/>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c r="CC204" s="107"/>
      <c r="CD204" s="107"/>
      <c r="CE204" s="107"/>
      <c r="CF204" s="107"/>
      <c r="CG204" s="107"/>
      <c r="CH204" s="107"/>
      <c r="CI204" s="107"/>
      <c r="CJ204" s="107"/>
      <c r="CK204" s="107"/>
      <c r="CL204" s="107"/>
      <c r="CM204" s="107"/>
      <c r="CN204" s="107"/>
      <c r="CO204" s="107"/>
      <c r="CP204" s="107"/>
      <c r="CQ204" s="107"/>
      <c r="CR204" s="107"/>
      <c r="CS204" s="107"/>
      <c r="CT204" s="107"/>
      <c r="CU204" s="107"/>
      <c r="CV204" s="107"/>
      <c r="CW204" s="107"/>
      <c r="CX204" s="107"/>
      <c r="CY204" s="107"/>
      <c r="CZ204" s="107"/>
      <c r="DA204" s="107"/>
      <c r="DB204" s="107"/>
      <c r="DC204" s="107"/>
      <c r="DD204" s="107"/>
      <c r="DE204" s="107"/>
      <c r="DF204" s="107"/>
      <c r="DG204" s="107"/>
      <c r="DH204" s="107"/>
      <c r="DI204" s="107"/>
      <c r="DJ204" s="107"/>
      <c r="DK204" s="107"/>
      <c r="DL204" s="107"/>
      <c r="DM204" s="107"/>
      <c r="DN204" s="107"/>
      <c r="DO204" s="107"/>
      <c r="DP204" s="107"/>
      <c r="DQ204" s="107"/>
      <c r="DR204" s="107"/>
      <c r="DS204" s="107"/>
      <c r="DT204" s="727"/>
    </row>
    <row r="205" spans="1:124" ht="15" customHeight="1" x14ac:dyDescent="0.25">
      <c r="A205" s="821"/>
      <c r="B205" s="953" t="str">
        <f t="shared" si="11"/>
        <v>Desk 94</v>
      </c>
      <c r="C205" s="1220" t="str">
        <f>IF('TB IMA'!C98&lt;&gt;"",'TB IMA'!C98,"")</f>
        <v/>
      </c>
      <c r="D205" s="60"/>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c r="CC205" s="107"/>
      <c r="CD205" s="107"/>
      <c r="CE205" s="107"/>
      <c r="CF205" s="107"/>
      <c r="CG205" s="107"/>
      <c r="CH205" s="107"/>
      <c r="CI205" s="107"/>
      <c r="CJ205" s="107"/>
      <c r="CK205" s="107"/>
      <c r="CL205" s="107"/>
      <c r="CM205" s="107"/>
      <c r="CN205" s="107"/>
      <c r="CO205" s="107"/>
      <c r="CP205" s="107"/>
      <c r="CQ205" s="107"/>
      <c r="CR205" s="107"/>
      <c r="CS205" s="107"/>
      <c r="CT205" s="107"/>
      <c r="CU205" s="107"/>
      <c r="CV205" s="107"/>
      <c r="CW205" s="107"/>
      <c r="CX205" s="107"/>
      <c r="CY205" s="107"/>
      <c r="CZ205" s="107"/>
      <c r="DA205" s="107"/>
      <c r="DB205" s="107"/>
      <c r="DC205" s="107"/>
      <c r="DD205" s="107"/>
      <c r="DE205" s="107"/>
      <c r="DF205" s="107"/>
      <c r="DG205" s="107"/>
      <c r="DH205" s="107"/>
      <c r="DI205" s="107"/>
      <c r="DJ205" s="107"/>
      <c r="DK205" s="107"/>
      <c r="DL205" s="107"/>
      <c r="DM205" s="107"/>
      <c r="DN205" s="107"/>
      <c r="DO205" s="107"/>
      <c r="DP205" s="107"/>
      <c r="DQ205" s="107"/>
      <c r="DR205" s="107"/>
      <c r="DS205" s="107"/>
      <c r="DT205" s="727"/>
    </row>
    <row r="206" spans="1:124" ht="15" customHeight="1" x14ac:dyDescent="0.25">
      <c r="A206" s="821"/>
      <c r="B206" s="953" t="str">
        <f t="shared" si="11"/>
        <v>Desk 95</v>
      </c>
      <c r="C206" s="1220" t="str">
        <f>IF('TB IMA'!C99&lt;&gt;"",'TB IMA'!C99,"")</f>
        <v/>
      </c>
      <c r="D206" s="60"/>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c r="CC206" s="107"/>
      <c r="CD206" s="107"/>
      <c r="CE206" s="107"/>
      <c r="CF206" s="107"/>
      <c r="CG206" s="107"/>
      <c r="CH206" s="107"/>
      <c r="CI206" s="107"/>
      <c r="CJ206" s="107"/>
      <c r="CK206" s="107"/>
      <c r="CL206" s="107"/>
      <c r="CM206" s="107"/>
      <c r="CN206" s="107"/>
      <c r="CO206" s="107"/>
      <c r="CP206" s="107"/>
      <c r="CQ206" s="107"/>
      <c r="CR206" s="107"/>
      <c r="CS206" s="107"/>
      <c r="CT206" s="107"/>
      <c r="CU206" s="107"/>
      <c r="CV206" s="107"/>
      <c r="CW206" s="107"/>
      <c r="CX206" s="107"/>
      <c r="CY206" s="107"/>
      <c r="CZ206" s="107"/>
      <c r="DA206" s="107"/>
      <c r="DB206" s="107"/>
      <c r="DC206" s="107"/>
      <c r="DD206" s="107"/>
      <c r="DE206" s="107"/>
      <c r="DF206" s="107"/>
      <c r="DG206" s="107"/>
      <c r="DH206" s="107"/>
      <c r="DI206" s="107"/>
      <c r="DJ206" s="107"/>
      <c r="DK206" s="107"/>
      <c r="DL206" s="107"/>
      <c r="DM206" s="107"/>
      <c r="DN206" s="107"/>
      <c r="DO206" s="107"/>
      <c r="DP206" s="107"/>
      <c r="DQ206" s="107"/>
      <c r="DR206" s="107"/>
      <c r="DS206" s="107"/>
      <c r="DT206" s="727"/>
    </row>
    <row r="207" spans="1:124" ht="15" customHeight="1" x14ac:dyDescent="0.25">
      <c r="A207" s="821"/>
      <c r="B207" s="953" t="str">
        <f t="shared" si="11"/>
        <v>Desk 96</v>
      </c>
      <c r="C207" s="1220" t="str">
        <f>IF('TB IMA'!C100&lt;&gt;"",'TB IMA'!C100,"")</f>
        <v/>
      </c>
      <c r="D207" s="60"/>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c r="CC207" s="107"/>
      <c r="CD207" s="107"/>
      <c r="CE207" s="107"/>
      <c r="CF207" s="107"/>
      <c r="CG207" s="107"/>
      <c r="CH207" s="107"/>
      <c r="CI207" s="107"/>
      <c r="CJ207" s="107"/>
      <c r="CK207" s="107"/>
      <c r="CL207" s="107"/>
      <c r="CM207" s="107"/>
      <c r="CN207" s="107"/>
      <c r="CO207" s="107"/>
      <c r="CP207" s="107"/>
      <c r="CQ207" s="107"/>
      <c r="CR207" s="107"/>
      <c r="CS207" s="107"/>
      <c r="CT207" s="107"/>
      <c r="CU207" s="107"/>
      <c r="CV207" s="107"/>
      <c r="CW207" s="107"/>
      <c r="CX207" s="107"/>
      <c r="CY207" s="107"/>
      <c r="CZ207" s="107"/>
      <c r="DA207" s="107"/>
      <c r="DB207" s="107"/>
      <c r="DC207" s="107"/>
      <c r="DD207" s="107"/>
      <c r="DE207" s="107"/>
      <c r="DF207" s="107"/>
      <c r="DG207" s="107"/>
      <c r="DH207" s="107"/>
      <c r="DI207" s="107"/>
      <c r="DJ207" s="107"/>
      <c r="DK207" s="107"/>
      <c r="DL207" s="107"/>
      <c r="DM207" s="107"/>
      <c r="DN207" s="107"/>
      <c r="DO207" s="107"/>
      <c r="DP207" s="107"/>
      <c r="DQ207" s="107"/>
      <c r="DR207" s="107"/>
      <c r="DS207" s="107"/>
      <c r="DT207" s="727"/>
    </row>
    <row r="208" spans="1:124" ht="15" customHeight="1" x14ac:dyDescent="0.25">
      <c r="A208" s="821"/>
      <c r="B208" s="953" t="str">
        <f t="shared" si="11"/>
        <v>Desk 97</v>
      </c>
      <c r="C208" s="1220" t="str">
        <f>IF('TB IMA'!C101&lt;&gt;"",'TB IMA'!C101,"")</f>
        <v/>
      </c>
      <c r="D208" s="60"/>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c r="AT208" s="107"/>
      <c r="AU208" s="107"/>
      <c r="AV208" s="107"/>
      <c r="AW208" s="107"/>
      <c r="AX208" s="107"/>
      <c r="AY208" s="107"/>
      <c r="AZ208" s="107"/>
      <c r="BA208" s="107"/>
      <c r="BB208" s="107"/>
      <c r="BC208" s="107"/>
      <c r="BD208" s="107"/>
      <c r="BE208" s="107"/>
      <c r="BF208" s="107"/>
      <c r="BG208" s="107"/>
      <c r="BH208" s="107"/>
      <c r="BI208" s="107"/>
      <c r="BJ208" s="107"/>
      <c r="BK208" s="107"/>
      <c r="BL208" s="107"/>
      <c r="BM208" s="107"/>
      <c r="BN208" s="107"/>
      <c r="BO208" s="107"/>
      <c r="BP208" s="107"/>
      <c r="BQ208" s="107"/>
      <c r="BR208" s="107"/>
      <c r="BS208" s="107"/>
      <c r="BT208" s="107"/>
      <c r="BU208" s="107"/>
      <c r="BV208" s="107"/>
      <c r="BW208" s="107"/>
      <c r="BX208" s="107"/>
      <c r="BY208" s="107"/>
      <c r="BZ208" s="107"/>
      <c r="CA208" s="107"/>
      <c r="CB208" s="107"/>
      <c r="CC208" s="107"/>
      <c r="CD208" s="107"/>
      <c r="CE208" s="107"/>
      <c r="CF208" s="107"/>
      <c r="CG208" s="107"/>
      <c r="CH208" s="107"/>
      <c r="CI208" s="107"/>
      <c r="CJ208" s="107"/>
      <c r="CK208" s="107"/>
      <c r="CL208" s="107"/>
      <c r="CM208" s="107"/>
      <c r="CN208" s="107"/>
      <c r="CO208" s="107"/>
      <c r="CP208" s="107"/>
      <c r="CQ208" s="107"/>
      <c r="CR208" s="107"/>
      <c r="CS208" s="107"/>
      <c r="CT208" s="107"/>
      <c r="CU208" s="107"/>
      <c r="CV208" s="107"/>
      <c r="CW208" s="107"/>
      <c r="CX208" s="107"/>
      <c r="CY208" s="107"/>
      <c r="CZ208" s="107"/>
      <c r="DA208" s="107"/>
      <c r="DB208" s="107"/>
      <c r="DC208" s="107"/>
      <c r="DD208" s="107"/>
      <c r="DE208" s="107"/>
      <c r="DF208" s="107"/>
      <c r="DG208" s="107"/>
      <c r="DH208" s="107"/>
      <c r="DI208" s="107"/>
      <c r="DJ208" s="107"/>
      <c r="DK208" s="107"/>
      <c r="DL208" s="107"/>
      <c r="DM208" s="107"/>
      <c r="DN208" s="107"/>
      <c r="DO208" s="107"/>
      <c r="DP208" s="107"/>
      <c r="DQ208" s="107"/>
      <c r="DR208" s="107"/>
      <c r="DS208" s="107"/>
      <c r="DT208" s="727"/>
    </row>
    <row r="209" spans="1:124" ht="15" customHeight="1" x14ac:dyDescent="0.25">
      <c r="A209" s="821"/>
      <c r="B209" s="953" t="str">
        <f t="shared" si="11"/>
        <v>Desk 98</v>
      </c>
      <c r="C209" s="1220" t="str">
        <f>IF('TB IMA'!C102&lt;&gt;"",'TB IMA'!C102,"")</f>
        <v/>
      </c>
      <c r="D209" s="60"/>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c r="AT209" s="107"/>
      <c r="AU209" s="107"/>
      <c r="AV209" s="107"/>
      <c r="AW209" s="107"/>
      <c r="AX209" s="107"/>
      <c r="AY209" s="107"/>
      <c r="AZ209" s="107"/>
      <c r="BA209" s="107"/>
      <c r="BB209" s="107"/>
      <c r="BC209" s="107"/>
      <c r="BD209" s="107"/>
      <c r="BE209" s="107"/>
      <c r="BF209" s="107"/>
      <c r="BG209" s="107"/>
      <c r="BH209" s="107"/>
      <c r="BI209" s="107"/>
      <c r="BJ209" s="107"/>
      <c r="BK209" s="107"/>
      <c r="BL209" s="107"/>
      <c r="BM209" s="107"/>
      <c r="BN209" s="107"/>
      <c r="BO209" s="107"/>
      <c r="BP209" s="107"/>
      <c r="BQ209" s="107"/>
      <c r="BR209" s="107"/>
      <c r="BS209" s="107"/>
      <c r="BT209" s="107"/>
      <c r="BU209" s="107"/>
      <c r="BV209" s="107"/>
      <c r="BW209" s="107"/>
      <c r="BX209" s="107"/>
      <c r="BY209" s="107"/>
      <c r="BZ209" s="107"/>
      <c r="CA209" s="107"/>
      <c r="CB209" s="107"/>
      <c r="CC209" s="107"/>
      <c r="CD209" s="107"/>
      <c r="CE209" s="107"/>
      <c r="CF209" s="107"/>
      <c r="CG209" s="107"/>
      <c r="CH209" s="107"/>
      <c r="CI209" s="107"/>
      <c r="CJ209" s="107"/>
      <c r="CK209" s="107"/>
      <c r="CL209" s="107"/>
      <c r="CM209" s="107"/>
      <c r="CN209" s="107"/>
      <c r="CO209" s="107"/>
      <c r="CP209" s="107"/>
      <c r="CQ209" s="107"/>
      <c r="CR209" s="107"/>
      <c r="CS209" s="107"/>
      <c r="CT209" s="107"/>
      <c r="CU209" s="107"/>
      <c r="CV209" s="107"/>
      <c r="CW209" s="107"/>
      <c r="CX209" s="107"/>
      <c r="CY209" s="107"/>
      <c r="CZ209" s="107"/>
      <c r="DA209" s="107"/>
      <c r="DB209" s="107"/>
      <c r="DC209" s="107"/>
      <c r="DD209" s="107"/>
      <c r="DE209" s="107"/>
      <c r="DF209" s="107"/>
      <c r="DG209" s="107"/>
      <c r="DH209" s="107"/>
      <c r="DI209" s="107"/>
      <c r="DJ209" s="107"/>
      <c r="DK209" s="107"/>
      <c r="DL209" s="107"/>
      <c r="DM209" s="107"/>
      <c r="DN209" s="107"/>
      <c r="DO209" s="107"/>
      <c r="DP209" s="107"/>
      <c r="DQ209" s="107"/>
      <c r="DR209" s="107"/>
      <c r="DS209" s="107"/>
      <c r="DT209" s="727"/>
    </row>
    <row r="210" spans="1:124" ht="15" customHeight="1" x14ac:dyDescent="0.25">
      <c r="A210" s="821"/>
      <c r="B210" s="953" t="str">
        <f t="shared" si="11"/>
        <v>Desk 99</v>
      </c>
      <c r="C210" s="1220" t="str">
        <f>IF('TB IMA'!C103&lt;&gt;"",'TB IMA'!C103,"")</f>
        <v/>
      </c>
      <c r="D210" s="60"/>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07"/>
      <c r="AU210" s="107"/>
      <c r="AV210" s="107"/>
      <c r="AW210" s="107"/>
      <c r="AX210" s="107"/>
      <c r="AY210" s="107"/>
      <c r="AZ210" s="107"/>
      <c r="BA210" s="107"/>
      <c r="BB210" s="107"/>
      <c r="BC210" s="107"/>
      <c r="BD210" s="107"/>
      <c r="BE210" s="107"/>
      <c r="BF210" s="107"/>
      <c r="BG210" s="107"/>
      <c r="BH210" s="107"/>
      <c r="BI210" s="107"/>
      <c r="BJ210" s="107"/>
      <c r="BK210" s="107"/>
      <c r="BL210" s="107"/>
      <c r="BM210" s="107"/>
      <c r="BN210" s="107"/>
      <c r="BO210" s="107"/>
      <c r="BP210" s="107"/>
      <c r="BQ210" s="107"/>
      <c r="BR210" s="107"/>
      <c r="BS210" s="107"/>
      <c r="BT210" s="107"/>
      <c r="BU210" s="107"/>
      <c r="BV210" s="107"/>
      <c r="BW210" s="107"/>
      <c r="BX210" s="107"/>
      <c r="BY210" s="107"/>
      <c r="BZ210" s="107"/>
      <c r="CA210" s="107"/>
      <c r="CB210" s="107"/>
      <c r="CC210" s="107"/>
      <c r="CD210" s="107"/>
      <c r="CE210" s="107"/>
      <c r="CF210" s="107"/>
      <c r="CG210" s="107"/>
      <c r="CH210" s="107"/>
      <c r="CI210" s="107"/>
      <c r="CJ210" s="107"/>
      <c r="CK210" s="107"/>
      <c r="CL210" s="107"/>
      <c r="CM210" s="107"/>
      <c r="CN210" s="107"/>
      <c r="CO210" s="107"/>
      <c r="CP210" s="107"/>
      <c r="CQ210" s="107"/>
      <c r="CR210" s="107"/>
      <c r="CS210" s="107"/>
      <c r="CT210" s="107"/>
      <c r="CU210" s="107"/>
      <c r="CV210" s="107"/>
      <c r="CW210" s="107"/>
      <c r="CX210" s="107"/>
      <c r="CY210" s="107"/>
      <c r="CZ210" s="107"/>
      <c r="DA210" s="107"/>
      <c r="DB210" s="107"/>
      <c r="DC210" s="107"/>
      <c r="DD210" s="107"/>
      <c r="DE210" s="107"/>
      <c r="DF210" s="107"/>
      <c r="DG210" s="107"/>
      <c r="DH210" s="107"/>
      <c r="DI210" s="107"/>
      <c r="DJ210" s="107"/>
      <c r="DK210" s="107"/>
      <c r="DL210" s="107"/>
      <c r="DM210" s="107"/>
      <c r="DN210" s="107"/>
      <c r="DO210" s="107"/>
      <c r="DP210" s="107"/>
      <c r="DQ210" s="107"/>
      <c r="DR210" s="107"/>
      <c r="DS210" s="107"/>
      <c r="DT210" s="727"/>
    </row>
    <row r="211" spans="1:124" ht="15" customHeight="1" x14ac:dyDescent="0.25">
      <c r="A211" s="821"/>
      <c r="B211" s="954" t="str">
        <f t="shared" si="11"/>
        <v>Desk 100</v>
      </c>
      <c r="C211" s="1221" t="str">
        <f>IF('TB IMA'!C104&lt;&gt;"",'TB IMA'!C104,"")</f>
        <v/>
      </c>
      <c r="D211" s="55"/>
      <c r="E211" s="504"/>
      <c r="F211" s="504"/>
      <c r="G211" s="504"/>
      <c r="H211" s="504"/>
      <c r="I211" s="504"/>
      <c r="J211" s="504"/>
      <c r="K211" s="504"/>
      <c r="L211" s="504"/>
      <c r="M211" s="504"/>
      <c r="N211" s="504"/>
      <c r="O211" s="504"/>
      <c r="P211" s="504"/>
      <c r="Q211" s="504"/>
      <c r="R211" s="504"/>
      <c r="S211" s="504"/>
      <c r="T211" s="504"/>
      <c r="U211" s="504"/>
      <c r="V211" s="504"/>
      <c r="W211" s="504"/>
      <c r="X211" s="504"/>
      <c r="Y211" s="504"/>
      <c r="Z211" s="504"/>
      <c r="AA211" s="504"/>
      <c r="AB211" s="504"/>
      <c r="AC211" s="504"/>
      <c r="AD211" s="504"/>
      <c r="AE211" s="504"/>
      <c r="AF211" s="504"/>
      <c r="AG211" s="504"/>
      <c r="AH211" s="504"/>
      <c r="AI211" s="504"/>
      <c r="AJ211" s="504"/>
      <c r="AK211" s="504"/>
      <c r="AL211" s="504"/>
      <c r="AM211" s="504"/>
      <c r="AN211" s="504"/>
      <c r="AO211" s="504"/>
      <c r="AP211" s="504"/>
      <c r="AQ211" s="504"/>
      <c r="AR211" s="504"/>
      <c r="AS211" s="504"/>
      <c r="AT211" s="504"/>
      <c r="AU211" s="504"/>
      <c r="AV211" s="504"/>
      <c r="AW211" s="504"/>
      <c r="AX211" s="504"/>
      <c r="AY211" s="504"/>
      <c r="AZ211" s="504"/>
      <c r="BA211" s="504"/>
      <c r="BB211" s="504"/>
      <c r="BC211" s="504"/>
      <c r="BD211" s="504"/>
      <c r="BE211" s="504"/>
      <c r="BF211" s="504"/>
      <c r="BG211" s="504"/>
      <c r="BH211" s="504"/>
      <c r="BI211" s="504"/>
      <c r="BJ211" s="504"/>
      <c r="BK211" s="504"/>
      <c r="BL211" s="504"/>
      <c r="BM211" s="504"/>
      <c r="BN211" s="504"/>
      <c r="BO211" s="504"/>
      <c r="BP211" s="504"/>
      <c r="BQ211" s="504"/>
      <c r="BR211" s="504"/>
      <c r="BS211" s="504"/>
      <c r="BT211" s="504"/>
      <c r="BU211" s="504"/>
      <c r="BV211" s="504"/>
      <c r="BW211" s="504"/>
      <c r="BX211" s="504"/>
      <c r="BY211" s="504"/>
      <c r="BZ211" s="504"/>
      <c r="CA211" s="504"/>
      <c r="CB211" s="504"/>
      <c r="CC211" s="504"/>
      <c r="CD211" s="504"/>
      <c r="CE211" s="504"/>
      <c r="CF211" s="504"/>
      <c r="CG211" s="504"/>
      <c r="CH211" s="504"/>
      <c r="CI211" s="504"/>
      <c r="CJ211" s="504"/>
      <c r="CK211" s="504"/>
      <c r="CL211" s="504"/>
      <c r="CM211" s="504"/>
      <c r="CN211" s="504"/>
      <c r="CO211" s="504"/>
      <c r="CP211" s="504"/>
      <c r="CQ211" s="504"/>
      <c r="CR211" s="504"/>
      <c r="CS211" s="504"/>
      <c r="CT211" s="504"/>
      <c r="CU211" s="504"/>
      <c r="CV211" s="504"/>
      <c r="CW211" s="504"/>
      <c r="CX211" s="504"/>
      <c r="CY211" s="504"/>
      <c r="CZ211" s="504"/>
      <c r="DA211" s="504"/>
      <c r="DB211" s="504"/>
      <c r="DC211" s="504"/>
      <c r="DD211" s="504"/>
      <c r="DE211" s="504"/>
      <c r="DF211" s="504"/>
      <c r="DG211" s="504"/>
      <c r="DH211" s="504"/>
      <c r="DI211" s="504"/>
      <c r="DJ211" s="504"/>
      <c r="DK211" s="504"/>
      <c r="DL211" s="504"/>
      <c r="DM211" s="504"/>
      <c r="DN211" s="504"/>
      <c r="DO211" s="504"/>
      <c r="DP211" s="504"/>
      <c r="DQ211" s="504"/>
      <c r="DR211" s="504"/>
      <c r="DS211" s="504"/>
      <c r="DT211" s="727"/>
    </row>
    <row r="212" spans="1:124" ht="15" customHeight="1" x14ac:dyDescent="0.25">
      <c r="A212" s="821"/>
      <c r="B212" s="716"/>
      <c r="C212" s="716"/>
      <c r="D212" s="716"/>
      <c r="DT212" s="727"/>
    </row>
    <row r="213" spans="1:124" ht="30" customHeight="1" x14ac:dyDescent="0.3">
      <c r="A213" s="776" t="s">
        <v>1744</v>
      </c>
      <c r="B213" s="785"/>
      <c r="C213" s="768"/>
      <c r="D213" s="725"/>
      <c r="E213" s="725"/>
      <c r="F213" s="725"/>
      <c r="G213" s="725"/>
      <c r="H213" s="725"/>
      <c r="I213" s="725"/>
      <c r="J213" s="725"/>
      <c r="K213" s="725"/>
      <c r="L213" s="725"/>
      <c r="M213" s="725"/>
      <c r="N213" s="725"/>
      <c r="O213" s="725"/>
      <c r="P213" s="725"/>
      <c r="Q213" s="725"/>
      <c r="R213" s="725"/>
      <c r="S213" s="725"/>
      <c r="T213" s="725"/>
      <c r="U213" s="725"/>
      <c r="V213" s="725"/>
      <c r="W213" s="725"/>
      <c r="X213" s="725"/>
      <c r="Y213" s="725"/>
      <c r="Z213" s="725"/>
      <c r="AA213" s="725"/>
      <c r="AB213" s="725"/>
      <c r="AC213" s="725"/>
      <c r="AD213" s="725"/>
      <c r="AE213" s="725"/>
      <c r="AF213" s="725"/>
      <c r="AG213" s="725"/>
      <c r="AH213" s="725"/>
      <c r="AI213" s="725"/>
      <c r="AJ213" s="725"/>
      <c r="AK213" s="725"/>
      <c r="AL213" s="725"/>
      <c r="AM213" s="725"/>
      <c r="AN213" s="725"/>
      <c r="AO213" s="725"/>
      <c r="AP213" s="725"/>
      <c r="AQ213" s="725"/>
      <c r="AR213" s="725"/>
      <c r="AS213" s="725"/>
      <c r="AT213" s="725"/>
      <c r="AU213" s="725"/>
      <c r="AV213" s="725"/>
      <c r="AW213" s="725"/>
      <c r="AX213" s="725"/>
      <c r="AY213" s="725"/>
      <c r="AZ213" s="725"/>
      <c r="BA213" s="725"/>
      <c r="BB213" s="725"/>
      <c r="BC213" s="725"/>
      <c r="BD213" s="725"/>
      <c r="BE213" s="725"/>
      <c r="BF213" s="725"/>
      <c r="BG213" s="725"/>
      <c r="BH213" s="725"/>
      <c r="BI213" s="725"/>
      <c r="BJ213" s="725"/>
      <c r="BK213" s="725"/>
      <c r="BL213" s="725"/>
      <c r="BM213" s="725"/>
      <c r="BN213" s="725"/>
      <c r="BO213" s="725"/>
      <c r="BP213" s="725"/>
      <c r="BQ213" s="725"/>
      <c r="BR213" s="725"/>
      <c r="BS213" s="725"/>
      <c r="BT213" s="725"/>
      <c r="BU213" s="725"/>
      <c r="BV213" s="725"/>
      <c r="BW213" s="725"/>
      <c r="BX213" s="725"/>
      <c r="BY213" s="725"/>
      <c r="BZ213" s="725"/>
      <c r="CA213" s="725"/>
      <c r="CB213" s="725"/>
      <c r="CC213" s="725"/>
      <c r="CD213" s="725"/>
      <c r="CE213" s="725"/>
      <c r="CF213" s="725"/>
      <c r="CG213" s="725"/>
      <c r="CH213" s="725"/>
      <c r="CI213" s="725"/>
      <c r="CJ213" s="725"/>
      <c r="CK213" s="725"/>
      <c r="CL213" s="725"/>
      <c r="CM213" s="725"/>
      <c r="CN213" s="725"/>
      <c r="CO213" s="725"/>
      <c r="CP213" s="725"/>
      <c r="CQ213" s="725"/>
      <c r="CR213" s="725"/>
      <c r="CS213" s="725"/>
      <c r="CT213" s="725"/>
      <c r="CU213" s="725"/>
      <c r="CV213" s="725"/>
      <c r="CW213" s="725"/>
      <c r="CX213" s="725"/>
      <c r="CY213" s="725"/>
      <c r="CZ213" s="725"/>
      <c r="DA213" s="725"/>
      <c r="DB213" s="725"/>
      <c r="DC213" s="725"/>
      <c r="DD213" s="725"/>
      <c r="DE213" s="725"/>
      <c r="DF213" s="725"/>
      <c r="DG213" s="725"/>
      <c r="DH213" s="725"/>
      <c r="DI213" s="725"/>
      <c r="DJ213" s="725"/>
      <c r="DK213" s="725"/>
      <c r="DL213" s="725"/>
      <c r="DM213" s="725"/>
      <c r="DN213" s="725"/>
      <c r="DO213" s="725"/>
      <c r="DP213" s="725"/>
      <c r="DQ213" s="725"/>
      <c r="DR213" s="725"/>
      <c r="DS213" s="725"/>
      <c r="DT213" s="715"/>
    </row>
    <row r="214" spans="1:124" ht="15" customHeight="1" x14ac:dyDescent="0.25">
      <c r="A214" s="821"/>
      <c r="B214" s="716"/>
      <c r="C214" s="716"/>
      <c r="D214" s="716"/>
      <c r="DT214" s="727"/>
    </row>
    <row r="215" spans="1:124" ht="15" customHeight="1" x14ac:dyDescent="0.25">
      <c r="A215" s="821"/>
      <c r="B215" s="949" t="s">
        <v>792</v>
      </c>
      <c r="C215" s="1208" t="s">
        <v>791</v>
      </c>
      <c r="D215" s="1208" t="s">
        <v>1490</v>
      </c>
      <c r="E215" s="1208" t="str">
        <f>"T+" &amp; (COLUMN(E215)-COLUMN($D215))</f>
        <v>T+1</v>
      </c>
      <c r="F215" s="1208" t="str">
        <f t="shared" ref="F215:BQ215" si="12">"T+" &amp; (COLUMN(F215)-COLUMN($D215))</f>
        <v>T+2</v>
      </c>
      <c r="G215" s="1208" t="str">
        <f t="shared" si="12"/>
        <v>T+3</v>
      </c>
      <c r="H215" s="1208" t="str">
        <f t="shared" si="12"/>
        <v>T+4</v>
      </c>
      <c r="I215" s="1208" t="str">
        <f t="shared" si="12"/>
        <v>T+5</v>
      </c>
      <c r="J215" s="1208" t="str">
        <f t="shared" si="12"/>
        <v>T+6</v>
      </c>
      <c r="K215" s="1208" t="str">
        <f t="shared" si="12"/>
        <v>T+7</v>
      </c>
      <c r="L215" s="1208" t="str">
        <f t="shared" si="12"/>
        <v>T+8</v>
      </c>
      <c r="M215" s="1208" t="str">
        <f t="shared" si="12"/>
        <v>T+9</v>
      </c>
      <c r="N215" s="1208" t="str">
        <f t="shared" si="12"/>
        <v>T+10</v>
      </c>
      <c r="O215" s="1208" t="str">
        <f t="shared" si="12"/>
        <v>T+11</v>
      </c>
      <c r="P215" s="1208" t="str">
        <f t="shared" si="12"/>
        <v>T+12</v>
      </c>
      <c r="Q215" s="1208" t="str">
        <f t="shared" si="12"/>
        <v>T+13</v>
      </c>
      <c r="R215" s="1208" t="str">
        <f t="shared" si="12"/>
        <v>T+14</v>
      </c>
      <c r="S215" s="1208" t="str">
        <f t="shared" si="12"/>
        <v>T+15</v>
      </c>
      <c r="T215" s="1208" t="str">
        <f t="shared" si="12"/>
        <v>T+16</v>
      </c>
      <c r="U215" s="1208" t="str">
        <f t="shared" si="12"/>
        <v>T+17</v>
      </c>
      <c r="V215" s="1208" t="str">
        <f t="shared" si="12"/>
        <v>T+18</v>
      </c>
      <c r="W215" s="1208" t="str">
        <f t="shared" si="12"/>
        <v>T+19</v>
      </c>
      <c r="X215" s="1208" t="str">
        <f t="shared" si="12"/>
        <v>T+20</v>
      </c>
      <c r="Y215" s="1208" t="str">
        <f t="shared" si="12"/>
        <v>T+21</v>
      </c>
      <c r="Z215" s="1208" t="str">
        <f t="shared" si="12"/>
        <v>T+22</v>
      </c>
      <c r="AA215" s="1208" t="str">
        <f t="shared" si="12"/>
        <v>T+23</v>
      </c>
      <c r="AB215" s="1208" t="str">
        <f t="shared" si="12"/>
        <v>T+24</v>
      </c>
      <c r="AC215" s="1208" t="str">
        <f t="shared" si="12"/>
        <v>T+25</v>
      </c>
      <c r="AD215" s="1208" t="str">
        <f t="shared" si="12"/>
        <v>T+26</v>
      </c>
      <c r="AE215" s="1208" t="str">
        <f t="shared" si="12"/>
        <v>T+27</v>
      </c>
      <c r="AF215" s="1208" t="str">
        <f t="shared" si="12"/>
        <v>T+28</v>
      </c>
      <c r="AG215" s="1208" t="str">
        <f t="shared" si="12"/>
        <v>T+29</v>
      </c>
      <c r="AH215" s="1208" t="str">
        <f t="shared" si="12"/>
        <v>T+30</v>
      </c>
      <c r="AI215" s="1208" t="str">
        <f t="shared" si="12"/>
        <v>T+31</v>
      </c>
      <c r="AJ215" s="1208" t="str">
        <f t="shared" si="12"/>
        <v>T+32</v>
      </c>
      <c r="AK215" s="1208" t="str">
        <f t="shared" si="12"/>
        <v>T+33</v>
      </c>
      <c r="AL215" s="1208" t="str">
        <f t="shared" si="12"/>
        <v>T+34</v>
      </c>
      <c r="AM215" s="1208" t="str">
        <f t="shared" si="12"/>
        <v>T+35</v>
      </c>
      <c r="AN215" s="1208" t="str">
        <f t="shared" si="12"/>
        <v>T+36</v>
      </c>
      <c r="AO215" s="1208" t="str">
        <f t="shared" si="12"/>
        <v>T+37</v>
      </c>
      <c r="AP215" s="1208" t="str">
        <f t="shared" si="12"/>
        <v>T+38</v>
      </c>
      <c r="AQ215" s="1208" t="str">
        <f t="shared" si="12"/>
        <v>T+39</v>
      </c>
      <c r="AR215" s="1208" t="str">
        <f t="shared" si="12"/>
        <v>T+40</v>
      </c>
      <c r="AS215" s="1208" t="str">
        <f t="shared" si="12"/>
        <v>T+41</v>
      </c>
      <c r="AT215" s="1208" t="str">
        <f t="shared" si="12"/>
        <v>T+42</v>
      </c>
      <c r="AU215" s="1208" t="str">
        <f t="shared" si="12"/>
        <v>T+43</v>
      </c>
      <c r="AV215" s="1208" t="str">
        <f t="shared" si="12"/>
        <v>T+44</v>
      </c>
      <c r="AW215" s="1208" t="str">
        <f t="shared" si="12"/>
        <v>T+45</v>
      </c>
      <c r="AX215" s="1208" t="str">
        <f t="shared" si="12"/>
        <v>T+46</v>
      </c>
      <c r="AY215" s="1208" t="str">
        <f t="shared" si="12"/>
        <v>T+47</v>
      </c>
      <c r="AZ215" s="1208" t="str">
        <f t="shared" si="12"/>
        <v>T+48</v>
      </c>
      <c r="BA215" s="1208" t="str">
        <f t="shared" si="12"/>
        <v>T+49</v>
      </c>
      <c r="BB215" s="1208" t="str">
        <f t="shared" si="12"/>
        <v>T+50</v>
      </c>
      <c r="BC215" s="1208" t="str">
        <f t="shared" si="12"/>
        <v>T+51</v>
      </c>
      <c r="BD215" s="1208" t="str">
        <f t="shared" si="12"/>
        <v>T+52</v>
      </c>
      <c r="BE215" s="1208" t="str">
        <f t="shared" si="12"/>
        <v>T+53</v>
      </c>
      <c r="BF215" s="1208" t="str">
        <f t="shared" si="12"/>
        <v>T+54</v>
      </c>
      <c r="BG215" s="1208" t="str">
        <f t="shared" si="12"/>
        <v>T+55</v>
      </c>
      <c r="BH215" s="1208" t="str">
        <f t="shared" si="12"/>
        <v>T+56</v>
      </c>
      <c r="BI215" s="1208" t="str">
        <f t="shared" si="12"/>
        <v>T+57</v>
      </c>
      <c r="BJ215" s="1208" t="str">
        <f t="shared" si="12"/>
        <v>T+58</v>
      </c>
      <c r="BK215" s="1208" t="str">
        <f t="shared" si="12"/>
        <v>T+59</v>
      </c>
      <c r="BL215" s="1208" t="str">
        <f t="shared" si="12"/>
        <v>T+60</v>
      </c>
      <c r="BM215" s="1208" t="str">
        <f t="shared" si="12"/>
        <v>T+61</v>
      </c>
      <c r="BN215" s="1208" t="str">
        <f t="shared" si="12"/>
        <v>T+62</v>
      </c>
      <c r="BO215" s="1208" t="str">
        <f t="shared" si="12"/>
        <v>T+63</v>
      </c>
      <c r="BP215" s="1208" t="str">
        <f t="shared" si="12"/>
        <v>T+64</v>
      </c>
      <c r="BQ215" s="1208" t="str">
        <f t="shared" si="12"/>
        <v>T+65</v>
      </c>
      <c r="BR215" s="1208" t="str">
        <f t="shared" ref="BR215:DS215" si="13">"T+" &amp; (COLUMN(BR215)-COLUMN($D215))</f>
        <v>T+66</v>
      </c>
      <c r="BS215" s="1208" t="str">
        <f t="shared" si="13"/>
        <v>T+67</v>
      </c>
      <c r="BT215" s="1208" t="str">
        <f t="shared" si="13"/>
        <v>T+68</v>
      </c>
      <c r="BU215" s="1208" t="str">
        <f t="shared" si="13"/>
        <v>T+69</v>
      </c>
      <c r="BV215" s="1208" t="str">
        <f t="shared" si="13"/>
        <v>T+70</v>
      </c>
      <c r="BW215" s="1208" t="str">
        <f t="shared" si="13"/>
        <v>T+71</v>
      </c>
      <c r="BX215" s="1208" t="str">
        <f t="shared" si="13"/>
        <v>T+72</v>
      </c>
      <c r="BY215" s="1208" t="str">
        <f t="shared" si="13"/>
        <v>T+73</v>
      </c>
      <c r="BZ215" s="1208" t="str">
        <f t="shared" si="13"/>
        <v>T+74</v>
      </c>
      <c r="CA215" s="1208" t="str">
        <f t="shared" si="13"/>
        <v>T+75</v>
      </c>
      <c r="CB215" s="1208" t="str">
        <f t="shared" si="13"/>
        <v>T+76</v>
      </c>
      <c r="CC215" s="1208" t="str">
        <f t="shared" si="13"/>
        <v>T+77</v>
      </c>
      <c r="CD215" s="1208" t="str">
        <f t="shared" si="13"/>
        <v>T+78</v>
      </c>
      <c r="CE215" s="1208" t="str">
        <f t="shared" si="13"/>
        <v>T+79</v>
      </c>
      <c r="CF215" s="1208" t="str">
        <f t="shared" si="13"/>
        <v>T+80</v>
      </c>
      <c r="CG215" s="1208" t="str">
        <f t="shared" si="13"/>
        <v>T+81</v>
      </c>
      <c r="CH215" s="1208" t="str">
        <f t="shared" si="13"/>
        <v>T+82</v>
      </c>
      <c r="CI215" s="1208" t="str">
        <f t="shared" si="13"/>
        <v>T+83</v>
      </c>
      <c r="CJ215" s="1208" t="str">
        <f t="shared" si="13"/>
        <v>T+84</v>
      </c>
      <c r="CK215" s="1208" t="str">
        <f t="shared" si="13"/>
        <v>T+85</v>
      </c>
      <c r="CL215" s="1208" t="str">
        <f t="shared" si="13"/>
        <v>T+86</v>
      </c>
      <c r="CM215" s="1208" t="str">
        <f t="shared" si="13"/>
        <v>T+87</v>
      </c>
      <c r="CN215" s="1208" t="str">
        <f t="shared" si="13"/>
        <v>T+88</v>
      </c>
      <c r="CO215" s="1208" t="str">
        <f t="shared" si="13"/>
        <v>T+89</v>
      </c>
      <c r="CP215" s="1208" t="str">
        <f t="shared" si="13"/>
        <v>T+90</v>
      </c>
      <c r="CQ215" s="1208" t="str">
        <f t="shared" si="13"/>
        <v>T+91</v>
      </c>
      <c r="CR215" s="1208" t="str">
        <f t="shared" si="13"/>
        <v>T+92</v>
      </c>
      <c r="CS215" s="1208" t="str">
        <f t="shared" si="13"/>
        <v>T+93</v>
      </c>
      <c r="CT215" s="1208" t="str">
        <f t="shared" si="13"/>
        <v>T+94</v>
      </c>
      <c r="CU215" s="1208" t="str">
        <f t="shared" si="13"/>
        <v>T+95</v>
      </c>
      <c r="CV215" s="1208" t="str">
        <f t="shared" si="13"/>
        <v>T+96</v>
      </c>
      <c r="CW215" s="1208" t="str">
        <f t="shared" si="13"/>
        <v>T+97</v>
      </c>
      <c r="CX215" s="1208" t="str">
        <f t="shared" si="13"/>
        <v>T+98</v>
      </c>
      <c r="CY215" s="1208" t="str">
        <f t="shared" si="13"/>
        <v>T+99</v>
      </c>
      <c r="CZ215" s="1208" t="str">
        <f t="shared" si="13"/>
        <v>T+100</v>
      </c>
      <c r="DA215" s="1208" t="str">
        <f t="shared" si="13"/>
        <v>T+101</v>
      </c>
      <c r="DB215" s="1208" t="str">
        <f t="shared" si="13"/>
        <v>T+102</v>
      </c>
      <c r="DC215" s="1208" t="str">
        <f t="shared" si="13"/>
        <v>T+103</v>
      </c>
      <c r="DD215" s="1208" t="str">
        <f t="shared" si="13"/>
        <v>T+104</v>
      </c>
      <c r="DE215" s="1208" t="str">
        <f t="shared" si="13"/>
        <v>T+105</v>
      </c>
      <c r="DF215" s="1208" t="str">
        <f t="shared" si="13"/>
        <v>T+106</v>
      </c>
      <c r="DG215" s="1208" t="str">
        <f t="shared" si="13"/>
        <v>T+107</v>
      </c>
      <c r="DH215" s="1208" t="str">
        <f t="shared" si="13"/>
        <v>T+108</v>
      </c>
      <c r="DI215" s="1208" t="str">
        <f t="shared" si="13"/>
        <v>T+109</v>
      </c>
      <c r="DJ215" s="1208" t="str">
        <f t="shared" si="13"/>
        <v>T+110</v>
      </c>
      <c r="DK215" s="1208" t="str">
        <f t="shared" si="13"/>
        <v>T+111</v>
      </c>
      <c r="DL215" s="1208" t="str">
        <f t="shared" si="13"/>
        <v>T+112</v>
      </c>
      <c r="DM215" s="1208" t="str">
        <f t="shared" si="13"/>
        <v>T+113</v>
      </c>
      <c r="DN215" s="1208" t="str">
        <f t="shared" si="13"/>
        <v>T+114</v>
      </c>
      <c r="DO215" s="1208" t="str">
        <f t="shared" si="13"/>
        <v>T+115</v>
      </c>
      <c r="DP215" s="1208" t="str">
        <f t="shared" si="13"/>
        <v>T+116</v>
      </c>
      <c r="DQ215" s="1208" t="str">
        <f t="shared" si="13"/>
        <v>T+117</v>
      </c>
      <c r="DR215" s="1208" t="str">
        <f t="shared" si="13"/>
        <v>T+118</v>
      </c>
      <c r="DS215" s="1208" t="str">
        <f t="shared" si="13"/>
        <v>T+119</v>
      </c>
      <c r="DT215" s="727"/>
    </row>
    <row r="216" spans="1:124" ht="15" customHeight="1" x14ac:dyDescent="0.25">
      <c r="A216" s="821"/>
      <c r="B216" s="971" t="str">
        <f>"Desk " &amp; (ROW(B216)-ROW(B$215))</f>
        <v>Desk 1</v>
      </c>
      <c r="C216" s="1219" t="str">
        <f>IF('TB IMA'!C5&lt;&gt;"",'TB IMA'!C5,"")</f>
        <v/>
      </c>
      <c r="D216" s="431"/>
      <c r="E216" s="432"/>
      <c r="F216" s="432"/>
      <c r="G216" s="432"/>
      <c r="H216" s="432"/>
      <c r="I216" s="432"/>
      <c r="J216" s="432"/>
      <c r="K216" s="432"/>
      <c r="L216" s="432"/>
      <c r="M216" s="432"/>
      <c r="N216" s="432"/>
      <c r="O216" s="432"/>
      <c r="P216" s="432"/>
      <c r="Q216" s="432"/>
      <c r="R216" s="432"/>
      <c r="S216" s="432"/>
      <c r="T216" s="432"/>
      <c r="U216" s="432"/>
      <c r="V216" s="432"/>
      <c r="W216" s="432"/>
      <c r="X216" s="432"/>
      <c r="Y216" s="432"/>
      <c r="Z216" s="432"/>
      <c r="AA216" s="432"/>
      <c r="AB216" s="432"/>
      <c r="AC216" s="432"/>
      <c r="AD216" s="432"/>
      <c r="AE216" s="432"/>
      <c r="AF216" s="432"/>
      <c r="AG216" s="432"/>
      <c r="AH216" s="432"/>
      <c r="AI216" s="432"/>
      <c r="AJ216" s="432"/>
      <c r="AK216" s="432"/>
      <c r="AL216" s="432"/>
      <c r="AM216" s="432"/>
      <c r="AN216" s="432"/>
      <c r="AO216" s="432"/>
      <c r="AP216" s="432"/>
      <c r="AQ216" s="432"/>
      <c r="AR216" s="432"/>
      <c r="AS216" s="432"/>
      <c r="AT216" s="432"/>
      <c r="AU216" s="432"/>
      <c r="AV216" s="432"/>
      <c r="AW216" s="432"/>
      <c r="AX216" s="432"/>
      <c r="AY216" s="432"/>
      <c r="AZ216" s="432"/>
      <c r="BA216" s="432"/>
      <c r="BB216" s="432"/>
      <c r="BC216" s="432"/>
      <c r="BD216" s="432"/>
      <c r="BE216" s="432"/>
      <c r="BF216" s="432"/>
      <c r="BG216" s="432"/>
      <c r="BH216" s="432"/>
      <c r="BI216" s="432"/>
      <c r="BJ216" s="432"/>
      <c r="BK216" s="432"/>
      <c r="BL216" s="432"/>
      <c r="BM216" s="432"/>
      <c r="BN216" s="432"/>
      <c r="BO216" s="432"/>
      <c r="BP216" s="432"/>
      <c r="BQ216" s="432"/>
      <c r="BR216" s="432"/>
      <c r="BS216" s="432"/>
      <c r="BT216" s="432"/>
      <c r="BU216" s="432"/>
      <c r="BV216" s="432"/>
      <c r="BW216" s="432"/>
      <c r="BX216" s="432"/>
      <c r="BY216" s="432"/>
      <c r="BZ216" s="432"/>
      <c r="CA216" s="432"/>
      <c r="CB216" s="432"/>
      <c r="CC216" s="432"/>
      <c r="CD216" s="432"/>
      <c r="CE216" s="432"/>
      <c r="CF216" s="432"/>
      <c r="CG216" s="432"/>
      <c r="CH216" s="432"/>
      <c r="CI216" s="432"/>
      <c r="CJ216" s="432"/>
      <c r="CK216" s="432"/>
      <c r="CL216" s="432"/>
      <c r="CM216" s="432"/>
      <c r="CN216" s="432"/>
      <c r="CO216" s="432"/>
      <c r="CP216" s="432"/>
      <c r="CQ216" s="432"/>
      <c r="CR216" s="432"/>
      <c r="CS216" s="432"/>
      <c r="CT216" s="432"/>
      <c r="CU216" s="432"/>
      <c r="CV216" s="432"/>
      <c r="CW216" s="432"/>
      <c r="CX216" s="432"/>
      <c r="CY216" s="432"/>
      <c r="CZ216" s="432"/>
      <c r="DA216" s="432"/>
      <c r="DB216" s="432"/>
      <c r="DC216" s="432"/>
      <c r="DD216" s="432"/>
      <c r="DE216" s="432"/>
      <c r="DF216" s="432"/>
      <c r="DG216" s="432"/>
      <c r="DH216" s="432"/>
      <c r="DI216" s="432"/>
      <c r="DJ216" s="432"/>
      <c r="DK216" s="432"/>
      <c r="DL216" s="432"/>
      <c r="DM216" s="432"/>
      <c r="DN216" s="432"/>
      <c r="DO216" s="432"/>
      <c r="DP216" s="432"/>
      <c r="DQ216" s="432"/>
      <c r="DR216" s="432"/>
      <c r="DS216" s="432"/>
      <c r="DT216" s="727"/>
    </row>
    <row r="217" spans="1:124" ht="15" customHeight="1" x14ac:dyDescent="0.25">
      <c r="A217" s="821"/>
      <c r="B217" s="953" t="str">
        <f t="shared" ref="B217:B280" si="14">"Desk " &amp; (ROW(B217)-ROW(B$215))</f>
        <v>Desk 2</v>
      </c>
      <c r="C217" s="1220" t="str">
        <f>IF('TB IMA'!C6&lt;&gt;"",'TB IMA'!C6,"")</f>
        <v/>
      </c>
      <c r="D217" s="60"/>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c r="AT217" s="107"/>
      <c r="AU217" s="107"/>
      <c r="AV217" s="107"/>
      <c r="AW217" s="107"/>
      <c r="AX217" s="107"/>
      <c r="AY217" s="107"/>
      <c r="AZ217" s="107"/>
      <c r="BA217" s="107"/>
      <c r="BB217" s="107"/>
      <c r="BC217" s="107"/>
      <c r="BD217" s="107"/>
      <c r="BE217" s="107"/>
      <c r="BF217" s="107"/>
      <c r="BG217" s="107"/>
      <c r="BH217" s="107"/>
      <c r="BI217" s="107"/>
      <c r="BJ217" s="107"/>
      <c r="BK217" s="107"/>
      <c r="BL217" s="107"/>
      <c r="BM217" s="107"/>
      <c r="BN217" s="107"/>
      <c r="BO217" s="107"/>
      <c r="BP217" s="107"/>
      <c r="BQ217" s="107"/>
      <c r="BR217" s="107"/>
      <c r="BS217" s="107"/>
      <c r="BT217" s="107"/>
      <c r="BU217" s="107"/>
      <c r="BV217" s="107"/>
      <c r="BW217" s="107"/>
      <c r="BX217" s="107"/>
      <c r="BY217" s="107"/>
      <c r="BZ217" s="107"/>
      <c r="CA217" s="107"/>
      <c r="CB217" s="107"/>
      <c r="CC217" s="107"/>
      <c r="CD217" s="107"/>
      <c r="CE217" s="107"/>
      <c r="CF217" s="107"/>
      <c r="CG217" s="107"/>
      <c r="CH217" s="107"/>
      <c r="CI217" s="107"/>
      <c r="CJ217" s="107"/>
      <c r="CK217" s="107"/>
      <c r="CL217" s="107"/>
      <c r="CM217" s="107"/>
      <c r="CN217" s="107"/>
      <c r="CO217" s="107"/>
      <c r="CP217" s="107"/>
      <c r="CQ217" s="107"/>
      <c r="CR217" s="107"/>
      <c r="CS217" s="107"/>
      <c r="CT217" s="107"/>
      <c r="CU217" s="107"/>
      <c r="CV217" s="107"/>
      <c r="CW217" s="107"/>
      <c r="CX217" s="107"/>
      <c r="CY217" s="107"/>
      <c r="CZ217" s="107"/>
      <c r="DA217" s="107"/>
      <c r="DB217" s="107"/>
      <c r="DC217" s="107"/>
      <c r="DD217" s="107"/>
      <c r="DE217" s="107"/>
      <c r="DF217" s="107"/>
      <c r="DG217" s="107"/>
      <c r="DH217" s="107"/>
      <c r="DI217" s="107"/>
      <c r="DJ217" s="107"/>
      <c r="DK217" s="107"/>
      <c r="DL217" s="107"/>
      <c r="DM217" s="107"/>
      <c r="DN217" s="107"/>
      <c r="DO217" s="107"/>
      <c r="DP217" s="107"/>
      <c r="DQ217" s="107"/>
      <c r="DR217" s="107"/>
      <c r="DS217" s="107"/>
      <c r="DT217" s="727"/>
    </row>
    <row r="218" spans="1:124" ht="15" customHeight="1" x14ac:dyDescent="0.25">
      <c r="A218" s="821"/>
      <c r="B218" s="953" t="str">
        <f t="shared" si="14"/>
        <v>Desk 3</v>
      </c>
      <c r="C218" s="1220" t="str">
        <f>IF('TB IMA'!C7&lt;&gt;"",'TB IMA'!C7,"")</f>
        <v/>
      </c>
      <c r="D218" s="60"/>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c r="AT218" s="107"/>
      <c r="AU218" s="107"/>
      <c r="AV218" s="107"/>
      <c r="AW218" s="107"/>
      <c r="AX218" s="107"/>
      <c r="AY218" s="107"/>
      <c r="AZ218" s="107"/>
      <c r="BA218" s="107"/>
      <c r="BB218" s="107"/>
      <c r="BC218" s="107"/>
      <c r="BD218" s="107"/>
      <c r="BE218" s="107"/>
      <c r="BF218" s="107"/>
      <c r="BG218" s="107"/>
      <c r="BH218" s="107"/>
      <c r="BI218" s="107"/>
      <c r="BJ218" s="107"/>
      <c r="BK218" s="107"/>
      <c r="BL218" s="107"/>
      <c r="BM218" s="107"/>
      <c r="BN218" s="107"/>
      <c r="BO218" s="107"/>
      <c r="BP218" s="107"/>
      <c r="BQ218" s="107"/>
      <c r="BR218" s="107"/>
      <c r="BS218" s="107"/>
      <c r="BT218" s="107"/>
      <c r="BU218" s="107"/>
      <c r="BV218" s="107"/>
      <c r="BW218" s="107"/>
      <c r="BX218" s="107"/>
      <c r="BY218" s="107"/>
      <c r="BZ218" s="107"/>
      <c r="CA218" s="107"/>
      <c r="CB218" s="107"/>
      <c r="CC218" s="107"/>
      <c r="CD218" s="107"/>
      <c r="CE218" s="107"/>
      <c r="CF218" s="107"/>
      <c r="CG218" s="107"/>
      <c r="CH218" s="107"/>
      <c r="CI218" s="107"/>
      <c r="CJ218" s="107"/>
      <c r="CK218" s="107"/>
      <c r="CL218" s="107"/>
      <c r="CM218" s="107"/>
      <c r="CN218" s="107"/>
      <c r="CO218" s="107"/>
      <c r="CP218" s="107"/>
      <c r="CQ218" s="107"/>
      <c r="CR218" s="107"/>
      <c r="CS218" s="107"/>
      <c r="CT218" s="107"/>
      <c r="CU218" s="107"/>
      <c r="CV218" s="107"/>
      <c r="CW218" s="107"/>
      <c r="CX218" s="107"/>
      <c r="CY218" s="107"/>
      <c r="CZ218" s="107"/>
      <c r="DA218" s="107"/>
      <c r="DB218" s="107"/>
      <c r="DC218" s="107"/>
      <c r="DD218" s="107"/>
      <c r="DE218" s="107"/>
      <c r="DF218" s="107"/>
      <c r="DG218" s="107"/>
      <c r="DH218" s="107"/>
      <c r="DI218" s="107"/>
      <c r="DJ218" s="107"/>
      <c r="DK218" s="107"/>
      <c r="DL218" s="107"/>
      <c r="DM218" s="107"/>
      <c r="DN218" s="107"/>
      <c r="DO218" s="107"/>
      <c r="DP218" s="107"/>
      <c r="DQ218" s="107"/>
      <c r="DR218" s="107"/>
      <c r="DS218" s="107"/>
      <c r="DT218" s="727"/>
    </row>
    <row r="219" spans="1:124" ht="15" customHeight="1" x14ac:dyDescent="0.25">
      <c r="A219" s="821"/>
      <c r="B219" s="953" t="str">
        <f t="shared" si="14"/>
        <v>Desk 4</v>
      </c>
      <c r="C219" s="1220" t="str">
        <f>IF('TB IMA'!C8&lt;&gt;"",'TB IMA'!C8,"")</f>
        <v/>
      </c>
      <c r="D219" s="60"/>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c r="CC219" s="107"/>
      <c r="CD219" s="107"/>
      <c r="CE219" s="107"/>
      <c r="CF219" s="107"/>
      <c r="CG219" s="107"/>
      <c r="CH219" s="107"/>
      <c r="CI219" s="107"/>
      <c r="CJ219" s="107"/>
      <c r="CK219" s="107"/>
      <c r="CL219" s="107"/>
      <c r="CM219" s="107"/>
      <c r="CN219" s="107"/>
      <c r="CO219" s="107"/>
      <c r="CP219" s="107"/>
      <c r="CQ219" s="107"/>
      <c r="CR219" s="107"/>
      <c r="CS219" s="107"/>
      <c r="CT219" s="107"/>
      <c r="CU219" s="107"/>
      <c r="CV219" s="107"/>
      <c r="CW219" s="107"/>
      <c r="CX219" s="107"/>
      <c r="CY219" s="107"/>
      <c r="CZ219" s="107"/>
      <c r="DA219" s="107"/>
      <c r="DB219" s="107"/>
      <c r="DC219" s="107"/>
      <c r="DD219" s="107"/>
      <c r="DE219" s="107"/>
      <c r="DF219" s="107"/>
      <c r="DG219" s="107"/>
      <c r="DH219" s="107"/>
      <c r="DI219" s="107"/>
      <c r="DJ219" s="107"/>
      <c r="DK219" s="107"/>
      <c r="DL219" s="107"/>
      <c r="DM219" s="107"/>
      <c r="DN219" s="107"/>
      <c r="DO219" s="107"/>
      <c r="DP219" s="107"/>
      <c r="DQ219" s="107"/>
      <c r="DR219" s="107"/>
      <c r="DS219" s="107"/>
      <c r="DT219" s="727"/>
    </row>
    <row r="220" spans="1:124" ht="15" customHeight="1" x14ac:dyDescent="0.25">
      <c r="A220" s="821"/>
      <c r="B220" s="953" t="str">
        <f t="shared" si="14"/>
        <v>Desk 5</v>
      </c>
      <c r="C220" s="1220" t="str">
        <f>IF('TB IMA'!C9&lt;&gt;"",'TB IMA'!C9,"")</f>
        <v/>
      </c>
      <c r="D220" s="60"/>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c r="CC220" s="107"/>
      <c r="CD220" s="107"/>
      <c r="CE220" s="107"/>
      <c r="CF220" s="107"/>
      <c r="CG220" s="107"/>
      <c r="CH220" s="107"/>
      <c r="CI220" s="107"/>
      <c r="CJ220" s="107"/>
      <c r="CK220" s="107"/>
      <c r="CL220" s="107"/>
      <c r="CM220" s="107"/>
      <c r="CN220" s="107"/>
      <c r="CO220" s="107"/>
      <c r="CP220" s="107"/>
      <c r="CQ220" s="107"/>
      <c r="CR220" s="107"/>
      <c r="CS220" s="107"/>
      <c r="CT220" s="107"/>
      <c r="CU220" s="107"/>
      <c r="CV220" s="107"/>
      <c r="CW220" s="107"/>
      <c r="CX220" s="107"/>
      <c r="CY220" s="107"/>
      <c r="CZ220" s="107"/>
      <c r="DA220" s="107"/>
      <c r="DB220" s="107"/>
      <c r="DC220" s="107"/>
      <c r="DD220" s="107"/>
      <c r="DE220" s="107"/>
      <c r="DF220" s="107"/>
      <c r="DG220" s="107"/>
      <c r="DH220" s="107"/>
      <c r="DI220" s="107"/>
      <c r="DJ220" s="107"/>
      <c r="DK220" s="107"/>
      <c r="DL220" s="107"/>
      <c r="DM220" s="107"/>
      <c r="DN220" s="107"/>
      <c r="DO220" s="107"/>
      <c r="DP220" s="107"/>
      <c r="DQ220" s="107"/>
      <c r="DR220" s="107"/>
      <c r="DS220" s="107"/>
      <c r="DT220" s="727"/>
    </row>
    <row r="221" spans="1:124" ht="15" customHeight="1" x14ac:dyDescent="0.25">
      <c r="A221" s="821"/>
      <c r="B221" s="953" t="str">
        <f t="shared" si="14"/>
        <v>Desk 6</v>
      </c>
      <c r="C221" s="1220" t="str">
        <f>IF('TB IMA'!C10&lt;&gt;"",'TB IMA'!C10,"")</f>
        <v/>
      </c>
      <c r="D221" s="60"/>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c r="CC221" s="107"/>
      <c r="CD221" s="107"/>
      <c r="CE221" s="107"/>
      <c r="CF221" s="107"/>
      <c r="CG221" s="107"/>
      <c r="CH221" s="107"/>
      <c r="CI221" s="107"/>
      <c r="CJ221" s="107"/>
      <c r="CK221" s="107"/>
      <c r="CL221" s="107"/>
      <c r="CM221" s="107"/>
      <c r="CN221" s="107"/>
      <c r="CO221" s="107"/>
      <c r="CP221" s="107"/>
      <c r="CQ221" s="107"/>
      <c r="CR221" s="107"/>
      <c r="CS221" s="107"/>
      <c r="CT221" s="107"/>
      <c r="CU221" s="107"/>
      <c r="CV221" s="107"/>
      <c r="CW221" s="107"/>
      <c r="CX221" s="107"/>
      <c r="CY221" s="107"/>
      <c r="CZ221" s="107"/>
      <c r="DA221" s="107"/>
      <c r="DB221" s="107"/>
      <c r="DC221" s="107"/>
      <c r="DD221" s="107"/>
      <c r="DE221" s="107"/>
      <c r="DF221" s="107"/>
      <c r="DG221" s="107"/>
      <c r="DH221" s="107"/>
      <c r="DI221" s="107"/>
      <c r="DJ221" s="107"/>
      <c r="DK221" s="107"/>
      <c r="DL221" s="107"/>
      <c r="DM221" s="107"/>
      <c r="DN221" s="107"/>
      <c r="DO221" s="107"/>
      <c r="DP221" s="107"/>
      <c r="DQ221" s="107"/>
      <c r="DR221" s="107"/>
      <c r="DS221" s="107"/>
      <c r="DT221" s="727"/>
    </row>
    <row r="222" spans="1:124" ht="15" customHeight="1" x14ac:dyDescent="0.25">
      <c r="A222" s="821"/>
      <c r="B222" s="953" t="str">
        <f t="shared" si="14"/>
        <v>Desk 7</v>
      </c>
      <c r="C222" s="1220" t="str">
        <f>IF('TB IMA'!C11&lt;&gt;"",'TB IMA'!C11,"")</f>
        <v/>
      </c>
      <c r="D222" s="60"/>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c r="CJ222" s="107"/>
      <c r="CK222" s="107"/>
      <c r="CL222" s="107"/>
      <c r="CM222" s="107"/>
      <c r="CN222" s="107"/>
      <c r="CO222" s="107"/>
      <c r="CP222" s="107"/>
      <c r="CQ222" s="107"/>
      <c r="CR222" s="107"/>
      <c r="CS222" s="107"/>
      <c r="CT222" s="107"/>
      <c r="CU222" s="107"/>
      <c r="CV222" s="107"/>
      <c r="CW222" s="107"/>
      <c r="CX222" s="107"/>
      <c r="CY222" s="107"/>
      <c r="CZ222" s="107"/>
      <c r="DA222" s="107"/>
      <c r="DB222" s="107"/>
      <c r="DC222" s="107"/>
      <c r="DD222" s="107"/>
      <c r="DE222" s="107"/>
      <c r="DF222" s="107"/>
      <c r="DG222" s="107"/>
      <c r="DH222" s="107"/>
      <c r="DI222" s="107"/>
      <c r="DJ222" s="107"/>
      <c r="DK222" s="107"/>
      <c r="DL222" s="107"/>
      <c r="DM222" s="107"/>
      <c r="DN222" s="107"/>
      <c r="DO222" s="107"/>
      <c r="DP222" s="107"/>
      <c r="DQ222" s="107"/>
      <c r="DR222" s="107"/>
      <c r="DS222" s="107"/>
      <c r="DT222" s="727"/>
    </row>
    <row r="223" spans="1:124" ht="15" customHeight="1" x14ac:dyDescent="0.25">
      <c r="A223" s="821"/>
      <c r="B223" s="953" t="str">
        <f t="shared" si="14"/>
        <v>Desk 8</v>
      </c>
      <c r="C223" s="1220" t="str">
        <f>IF('TB IMA'!C12&lt;&gt;"",'TB IMA'!C12,"")</f>
        <v/>
      </c>
      <c r="D223" s="60"/>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7"/>
      <c r="AR223" s="107"/>
      <c r="AS223" s="107"/>
      <c r="AT223" s="107"/>
      <c r="AU223" s="107"/>
      <c r="AV223" s="107"/>
      <c r="AW223" s="107"/>
      <c r="AX223" s="107"/>
      <c r="AY223" s="107"/>
      <c r="AZ223" s="107"/>
      <c r="BA223" s="107"/>
      <c r="BB223" s="107"/>
      <c r="BC223" s="107"/>
      <c r="BD223" s="107"/>
      <c r="BE223" s="107"/>
      <c r="BF223" s="107"/>
      <c r="BG223" s="107"/>
      <c r="BH223" s="107"/>
      <c r="BI223" s="107"/>
      <c r="BJ223" s="107"/>
      <c r="BK223" s="107"/>
      <c r="BL223" s="107"/>
      <c r="BM223" s="107"/>
      <c r="BN223" s="107"/>
      <c r="BO223" s="107"/>
      <c r="BP223" s="107"/>
      <c r="BQ223" s="107"/>
      <c r="BR223" s="107"/>
      <c r="BS223" s="107"/>
      <c r="BT223" s="107"/>
      <c r="BU223" s="107"/>
      <c r="BV223" s="107"/>
      <c r="BW223" s="107"/>
      <c r="BX223" s="107"/>
      <c r="BY223" s="107"/>
      <c r="BZ223" s="107"/>
      <c r="CA223" s="107"/>
      <c r="CB223" s="107"/>
      <c r="CC223" s="107"/>
      <c r="CD223" s="107"/>
      <c r="CE223" s="107"/>
      <c r="CF223" s="107"/>
      <c r="CG223" s="107"/>
      <c r="CH223" s="107"/>
      <c r="CI223" s="107"/>
      <c r="CJ223" s="107"/>
      <c r="CK223" s="107"/>
      <c r="CL223" s="107"/>
      <c r="CM223" s="107"/>
      <c r="CN223" s="107"/>
      <c r="CO223" s="107"/>
      <c r="CP223" s="107"/>
      <c r="CQ223" s="107"/>
      <c r="CR223" s="107"/>
      <c r="CS223" s="107"/>
      <c r="CT223" s="107"/>
      <c r="CU223" s="107"/>
      <c r="CV223" s="107"/>
      <c r="CW223" s="107"/>
      <c r="CX223" s="107"/>
      <c r="CY223" s="107"/>
      <c r="CZ223" s="107"/>
      <c r="DA223" s="107"/>
      <c r="DB223" s="107"/>
      <c r="DC223" s="107"/>
      <c r="DD223" s="107"/>
      <c r="DE223" s="107"/>
      <c r="DF223" s="107"/>
      <c r="DG223" s="107"/>
      <c r="DH223" s="107"/>
      <c r="DI223" s="107"/>
      <c r="DJ223" s="107"/>
      <c r="DK223" s="107"/>
      <c r="DL223" s="107"/>
      <c r="DM223" s="107"/>
      <c r="DN223" s="107"/>
      <c r="DO223" s="107"/>
      <c r="DP223" s="107"/>
      <c r="DQ223" s="107"/>
      <c r="DR223" s="107"/>
      <c r="DS223" s="107"/>
      <c r="DT223" s="727"/>
    </row>
    <row r="224" spans="1:124" ht="15" customHeight="1" x14ac:dyDescent="0.25">
      <c r="A224" s="821"/>
      <c r="B224" s="953" t="str">
        <f t="shared" si="14"/>
        <v>Desk 9</v>
      </c>
      <c r="C224" s="1220" t="str">
        <f>IF('TB IMA'!C13&lt;&gt;"",'TB IMA'!C13,"")</f>
        <v/>
      </c>
      <c r="D224" s="60"/>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c r="CC224" s="107"/>
      <c r="CD224" s="107"/>
      <c r="CE224" s="107"/>
      <c r="CF224" s="107"/>
      <c r="CG224" s="107"/>
      <c r="CH224" s="107"/>
      <c r="CI224" s="107"/>
      <c r="CJ224" s="107"/>
      <c r="CK224" s="107"/>
      <c r="CL224" s="107"/>
      <c r="CM224" s="107"/>
      <c r="CN224" s="107"/>
      <c r="CO224" s="107"/>
      <c r="CP224" s="107"/>
      <c r="CQ224" s="107"/>
      <c r="CR224" s="107"/>
      <c r="CS224" s="107"/>
      <c r="CT224" s="107"/>
      <c r="CU224" s="107"/>
      <c r="CV224" s="107"/>
      <c r="CW224" s="107"/>
      <c r="CX224" s="107"/>
      <c r="CY224" s="107"/>
      <c r="CZ224" s="107"/>
      <c r="DA224" s="107"/>
      <c r="DB224" s="107"/>
      <c r="DC224" s="107"/>
      <c r="DD224" s="107"/>
      <c r="DE224" s="107"/>
      <c r="DF224" s="107"/>
      <c r="DG224" s="107"/>
      <c r="DH224" s="107"/>
      <c r="DI224" s="107"/>
      <c r="DJ224" s="107"/>
      <c r="DK224" s="107"/>
      <c r="DL224" s="107"/>
      <c r="DM224" s="107"/>
      <c r="DN224" s="107"/>
      <c r="DO224" s="107"/>
      <c r="DP224" s="107"/>
      <c r="DQ224" s="107"/>
      <c r="DR224" s="107"/>
      <c r="DS224" s="107"/>
      <c r="DT224" s="727"/>
    </row>
    <row r="225" spans="1:124" ht="15" customHeight="1" x14ac:dyDescent="0.25">
      <c r="A225" s="821"/>
      <c r="B225" s="953" t="str">
        <f t="shared" si="14"/>
        <v>Desk 10</v>
      </c>
      <c r="C225" s="1220" t="str">
        <f>IF('TB IMA'!C14&lt;&gt;"",'TB IMA'!C14,"")</f>
        <v/>
      </c>
      <c r="D225" s="60"/>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107"/>
      <c r="BU225" s="107"/>
      <c r="BV225" s="107"/>
      <c r="BW225" s="107"/>
      <c r="BX225" s="107"/>
      <c r="BY225" s="107"/>
      <c r="BZ225" s="107"/>
      <c r="CA225" s="107"/>
      <c r="CB225" s="107"/>
      <c r="CC225" s="107"/>
      <c r="CD225" s="107"/>
      <c r="CE225" s="107"/>
      <c r="CF225" s="107"/>
      <c r="CG225" s="107"/>
      <c r="CH225" s="107"/>
      <c r="CI225" s="107"/>
      <c r="CJ225" s="107"/>
      <c r="CK225" s="107"/>
      <c r="CL225" s="107"/>
      <c r="CM225" s="107"/>
      <c r="CN225" s="107"/>
      <c r="CO225" s="107"/>
      <c r="CP225" s="107"/>
      <c r="CQ225" s="107"/>
      <c r="CR225" s="107"/>
      <c r="CS225" s="107"/>
      <c r="CT225" s="107"/>
      <c r="CU225" s="107"/>
      <c r="CV225" s="107"/>
      <c r="CW225" s="107"/>
      <c r="CX225" s="107"/>
      <c r="CY225" s="107"/>
      <c r="CZ225" s="107"/>
      <c r="DA225" s="107"/>
      <c r="DB225" s="107"/>
      <c r="DC225" s="107"/>
      <c r="DD225" s="107"/>
      <c r="DE225" s="107"/>
      <c r="DF225" s="107"/>
      <c r="DG225" s="107"/>
      <c r="DH225" s="107"/>
      <c r="DI225" s="107"/>
      <c r="DJ225" s="107"/>
      <c r="DK225" s="107"/>
      <c r="DL225" s="107"/>
      <c r="DM225" s="107"/>
      <c r="DN225" s="107"/>
      <c r="DO225" s="107"/>
      <c r="DP225" s="107"/>
      <c r="DQ225" s="107"/>
      <c r="DR225" s="107"/>
      <c r="DS225" s="107"/>
      <c r="DT225" s="727"/>
    </row>
    <row r="226" spans="1:124" ht="15" customHeight="1" x14ac:dyDescent="0.25">
      <c r="A226" s="821"/>
      <c r="B226" s="953" t="str">
        <f t="shared" si="14"/>
        <v>Desk 11</v>
      </c>
      <c r="C226" s="1220" t="str">
        <f>IF('TB IMA'!C15&lt;&gt;"",'TB IMA'!C15,"")</f>
        <v/>
      </c>
      <c r="D226" s="60"/>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107"/>
      <c r="BU226" s="107"/>
      <c r="BV226" s="107"/>
      <c r="BW226" s="107"/>
      <c r="BX226" s="107"/>
      <c r="BY226" s="107"/>
      <c r="BZ226" s="107"/>
      <c r="CA226" s="107"/>
      <c r="CB226" s="107"/>
      <c r="CC226" s="107"/>
      <c r="CD226" s="107"/>
      <c r="CE226" s="107"/>
      <c r="CF226" s="107"/>
      <c r="CG226" s="107"/>
      <c r="CH226" s="107"/>
      <c r="CI226" s="107"/>
      <c r="CJ226" s="107"/>
      <c r="CK226" s="107"/>
      <c r="CL226" s="107"/>
      <c r="CM226" s="107"/>
      <c r="CN226" s="107"/>
      <c r="CO226" s="107"/>
      <c r="CP226" s="107"/>
      <c r="CQ226" s="107"/>
      <c r="CR226" s="107"/>
      <c r="CS226" s="107"/>
      <c r="CT226" s="107"/>
      <c r="CU226" s="107"/>
      <c r="CV226" s="107"/>
      <c r="CW226" s="107"/>
      <c r="CX226" s="107"/>
      <c r="CY226" s="107"/>
      <c r="CZ226" s="107"/>
      <c r="DA226" s="107"/>
      <c r="DB226" s="107"/>
      <c r="DC226" s="107"/>
      <c r="DD226" s="107"/>
      <c r="DE226" s="107"/>
      <c r="DF226" s="107"/>
      <c r="DG226" s="107"/>
      <c r="DH226" s="107"/>
      <c r="DI226" s="107"/>
      <c r="DJ226" s="107"/>
      <c r="DK226" s="107"/>
      <c r="DL226" s="107"/>
      <c r="DM226" s="107"/>
      <c r="DN226" s="107"/>
      <c r="DO226" s="107"/>
      <c r="DP226" s="107"/>
      <c r="DQ226" s="107"/>
      <c r="DR226" s="107"/>
      <c r="DS226" s="107"/>
      <c r="DT226" s="727"/>
    </row>
    <row r="227" spans="1:124" ht="15" customHeight="1" x14ac:dyDescent="0.25">
      <c r="A227" s="821"/>
      <c r="B227" s="953" t="str">
        <f t="shared" si="14"/>
        <v>Desk 12</v>
      </c>
      <c r="C227" s="1220" t="str">
        <f>IF('TB IMA'!C16&lt;&gt;"",'TB IMA'!C16,"")</f>
        <v/>
      </c>
      <c r="D227" s="60"/>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7"/>
      <c r="BU227" s="107"/>
      <c r="BV227" s="107"/>
      <c r="BW227" s="107"/>
      <c r="BX227" s="107"/>
      <c r="BY227" s="107"/>
      <c r="BZ227" s="107"/>
      <c r="CA227" s="107"/>
      <c r="CB227" s="107"/>
      <c r="CC227" s="107"/>
      <c r="CD227" s="107"/>
      <c r="CE227" s="107"/>
      <c r="CF227" s="107"/>
      <c r="CG227" s="107"/>
      <c r="CH227" s="107"/>
      <c r="CI227" s="107"/>
      <c r="CJ227" s="107"/>
      <c r="CK227" s="107"/>
      <c r="CL227" s="107"/>
      <c r="CM227" s="107"/>
      <c r="CN227" s="107"/>
      <c r="CO227" s="107"/>
      <c r="CP227" s="107"/>
      <c r="CQ227" s="107"/>
      <c r="CR227" s="107"/>
      <c r="CS227" s="107"/>
      <c r="CT227" s="107"/>
      <c r="CU227" s="107"/>
      <c r="CV227" s="107"/>
      <c r="CW227" s="107"/>
      <c r="CX227" s="107"/>
      <c r="CY227" s="107"/>
      <c r="CZ227" s="107"/>
      <c r="DA227" s="107"/>
      <c r="DB227" s="107"/>
      <c r="DC227" s="107"/>
      <c r="DD227" s="107"/>
      <c r="DE227" s="107"/>
      <c r="DF227" s="107"/>
      <c r="DG227" s="107"/>
      <c r="DH227" s="107"/>
      <c r="DI227" s="107"/>
      <c r="DJ227" s="107"/>
      <c r="DK227" s="107"/>
      <c r="DL227" s="107"/>
      <c r="DM227" s="107"/>
      <c r="DN227" s="107"/>
      <c r="DO227" s="107"/>
      <c r="DP227" s="107"/>
      <c r="DQ227" s="107"/>
      <c r="DR227" s="107"/>
      <c r="DS227" s="107"/>
      <c r="DT227" s="727"/>
    </row>
    <row r="228" spans="1:124" ht="15" customHeight="1" x14ac:dyDescent="0.25">
      <c r="A228" s="821"/>
      <c r="B228" s="953" t="str">
        <f t="shared" si="14"/>
        <v>Desk 13</v>
      </c>
      <c r="C228" s="1220" t="str">
        <f>IF('TB IMA'!C17&lt;&gt;"",'TB IMA'!C17,"")</f>
        <v/>
      </c>
      <c r="D228" s="60"/>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c r="CC228" s="107"/>
      <c r="CD228" s="107"/>
      <c r="CE228" s="107"/>
      <c r="CF228" s="107"/>
      <c r="CG228" s="107"/>
      <c r="CH228" s="107"/>
      <c r="CI228" s="107"/>
      <c r="CJ228" s="107"/>
      <c r="CK228" s="107"/>
      <c r="CL228" s="107"/>
      <c r="CM228" s="107"/>
      <c r="CN228" s="107"/>
      <c r="CO228" s="107"/>
      <c r="CP228" s="107"/>
      <c r="CQ228" s="107"/>
      <c r="CR228" s="107"/>
      <c r="CS228" s="107"/>
      <c r="CT228" s="107"/>
      <c r="CU228" s="107"/>
      <c r="CV228" s="107"/>
      <c r="CW228" s="107"/>
      <c r="CX228" s="107"/>
      <c r="CY228" s="107"/>
      <c r="CZ228" s="107"/>
      <c r="DA228" s="107"/>
      <c r="DB228" s="107"/>
      <c r="DC228" s="107"/>
      <c r="DD228" s="107"/>
      <c r="DE228" s="107"/>
      <c r="DF228" s="107"/>
      <c r="DG228" s="107"/>
      <c r="DH228" s="107"/>
      <c r="DI228" s="107"/>
      <c r="DJ228" s="107"/>
      <c r="DK228" s="107"/>
      <c r="DL228" s="107"/>
      <c r="DM228" s="107"/>
      <c r="DN228" s="107"/>
      <c r="DO228" s="107"/>
      <c r="DP228" s="107"/>
      <c r="DQ228" s="107"/>
      <c r="DR228" s="107"/>
      <c r="DS228" s="107"/>
      <c r="DT228" s="727"/>
    </row>
    <row r="229" spans="1:124" ht="15" customHeight="1" x14ac:dyDescent="0.25">
      <c r="A229" s="821"/>
      <c r="B229" s="953" t="str">
        <f t="shared" si="14"/>
        <v>Desk 14</v>
      </c>
      <c r="C229" s="1220" t="str">
        <f>IF('TB IMA'!C18&lt;&gt;"",'TB IMA'!C18,"")</f>
        <v/>
      </c>
      <c r="D229" s="60"/>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7"/>
      <c r="AY229" s="107"/>
      <c r="AZ229" s="107"/>
      <c r="BA229" s="107"/>
      <c r="BB229" s="107"/>
      <c r="BC229" s="107"/>
      <c r="BD229" s="107"/>
      <c r="BE229" s="107"/>
      <c r="BF229" s="107"/>
      <c r="BG229" s="107"/>
      <c r="BH229" s="107"/>
      <c r="BI229" s="107"/>
      <c r="BJ229" s="107"/>
      <c r="BK229" s="107"/>
      <c r="BL229" s="107"/>
      <c r="BM229" s="107"/>
      <c r="BN229" s="107"/>
      <c r="BO229" s="107"/>
      <c r="BP229" s="107"/>
      <c r="BQ229" s="107"/>
      <c r="BR229" s="107"/>
      <c r="BS229" s="107"/>
      <c r="BT229" s="107"/>
      <c r="BU229" s="107"/>
      <c r="BV229" s="107"/>
      <c r="BW229" s="107"/>
      <c r="BX229" s="107"/>
      <c r="BY229" s="107"/>
      <c r="BZ229" s="107"/>
      <c r="CA229" s="107"/>
      <c r="CB229" s="107"/>
      <c r="CC229" s="107"/>
      <c r="CD229" s="107"/>
      <c r="CE229" s="107"/>
      <c r="CF229" s="107"/>
      <c r="CG229" s="107"/>
      <c r="CH229" s="107"/>
      <c r="CI229" s="107"/>
      <c r="CJ229" s="107"/>
      <c r="CK229" s="107"/>
      <c r="CL229" s="107"/>
      <c r="CM229" s="107"/>
      <c r="CN229" s="107"/>
      <c r="CO229" s="107"/>
      <c r="CP229" s="107"/>
      <c r="CQ229" s="107"/>
      <c r="CR229" s="107"/>
      <c r="CS229" s="107"/>
      <c r="CT229" s="107"/>
      <c r="CU229" s="107"/>
      <c r="CV229" s="107"/>
      <c r="CW229" s="107"/>
      <c r="CX229" s="107"/>
      <c r="CY229" s="107"/>
      <c r="CZ229" s="107"/>
      <c r="DA229" s="107"/>
      <c r="DB229" s="107"/>
      <c r="DC229" s="107"/>
      <c r="DD229" s="107"/>
      <c r="DE229" s="107"/>
      <c r="DF229" s="107"/>
      <c r="DG229" s="107"/>
      <c r="DH229" s="107"/>
      <c r="DI229" s="107"/>
      <c r="DJ229" s="107"/>
      <c r="DK229" s="107"/>
      <c r="DL229" s="107"/>
      <c r="DM229" s="107"/>
      <c r="DN229" s="107"/>
      <c r="DO229" s="107"/>
      <c r="DP229" s="107"/>
      <c r="DQ229" s="107"/>
      <c r="DR229" s="107"/>
      <c r="DS229" s="107"/>
      <c r="DT229" s="727"/>
    </row>
    <row r="230" spans="1:124" ht="15" customHeight="1" x14ac:dyDescent="0.25">
      <c r="A230" s="821"/>
      <c r="B230" s="953" t="str">
        <f t="shared" si="14"/>
        <v>Desk 15</v>
      </c>
      <c r="C230" s="1220" t="str">
        <f>IF('TB IMA'!C19&lt;&gt;"",'TB IMA'!C19,"")</f>
        <v/>
      </c>
      <c r="D230" s="60"/>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c r="AT230" s="107"/>
      <c r="AU230" s="107"/>
      <c r="AV230" s="107"/>
      <c r="AW230" s="107"/>
      <c r="AX230" s="107"/>
      <c r="AY230" s="107"/>
      <c r="AZ230" s="107"/>
      <c r="BA230" s="107"/>
      <c r="BB230" s="107"/>
      <c r="BC230" s="107"/>
      <c r="BD230" s="107"/>
      <c r="BE230" s="107"/>
      <c r="BF230" s="107"/>
      <c r="BG230" s="107"/>
      <c r="BH230" s="107"/>
      <c r="BI230" s="107"/>
      <c r="BJ230" s="107"/>
      <c r="BK230" s="107"/>
      <c r="BL230" s="107"/>
      <c r="BM230" s="107"/>
      <c r="BN230" s="107"/>
      <c r="BO230" s="107"/>
      <c r="BP230" s="107"/>
      <c r="BQ230" s="107"/>
      <c r="BR230" s="107"/>
      <c r="BS230" s="107"/>
      <c r="BT230" s="107"/>
      <c r="BU230" s="107"/>
      <c r="BV230" s="107"/>
      <c r="BW230" s="107"/>
      <c r="BX230" s="107"/>
      <c r="BY230" s="107"/>
      <c r="BZ230" s="107"/>
      <c r="CA230" s="107"/>
      <c r="CB230" s="107"/>
      <c r="CC230" s="107"/>
      <c r="CD230" s="107"/>
      <c r="CE230" s="107"/>
      <c r="CF230" s="107"/>
      <c r="CG230" s="107"/>
      <c r="CH230" s="107"/>
      <c r="CI230" s="107"/>
      <c r="CJ230" s="107"/>
      <c r="CK230" s="107"/>
      <c r="CL230" s="107"/>
      <c r="CM230" s="107"/>
      <c r="CN230" s="107"/>
      <c r="CO230" s="107"/>
      <c r="CP230" s="107"/>
      <c r="CQ230" s="107"/>
      <c r="CR230" s="107"/>
      <c r="CS230" s="107"/>
      <c r="CT230" s="107"/>
      <c r="CU230" s="107"/>
      <c r="CV230" s="107"/>
      <c r="CW230" s="107"/>
      <c r="CX230" s="107"/>
      <c r="CY230" s="107"/>
      <c r="CZ230" s="107"/>
      <c r="DA230" s="107"/>
      <c r="DB230" s="107"/>
      <c r="DC230" s="107"/>
      <c r="DD230" s="107"/>
      <c r="DE230" s="107"/>
      <c r="DF230" s="107"/>
      <c r="DG230" s="107"/>
      <c r="DH230" s="107"/>
      <c r="DI230" s="107"/>
      <c r="DJ230" s="107"/>
      <c r="DK230" s="107"/>
      <c r="DL230" s="107"/>
      <c r="DM230" s="107"/>
      <c r="DN230" s="107"/>
      <c r="DO230" s="107"/>
      <c r="DP230" s="107"/>
      <c r="DQ230" s="107"/>
      <c r="DR230" s="107"/>
      <c r="DS230" s="107"/>
      <c r="DT230" s="727"/>
    </row>
    <row r="231" spans="1:124" ht="15" customHeight="1" x14ac:dyDescent="0.25">
      <c r="A231" s="821"/>
      <c r="B231" s="953" t="str">
        <f t="shared" si="14"/>
        <v>Desk 16</v>
      </c>
      <c r="C231" s="1220" t="str">
        <f>IF('TB IMA'!C20&lt;&gt;"",'TB IMA'!C20,"")</f>
        <v/>
      </c>
      <c r="D231" s="60"/>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107"/>
      <c r="AW231" s="107"/>
      <c r="AX231" s="107"/>
      <c r="AY231" s="107"/>
      <c r="AZ231" s="107"/>
      <c r="BA231" s="107"/>
      <c r="BB231" s="107"/>
      <c r="BC231" s="107"/>
      <c r="BD231" s="107"/>
      <c r="BE231" s="107"/>
      <c r="BF231" s="107"/>
      <c r="BG231" s="107"/>
      <c r="BH231" s="107"/>
      <c r="BI231" s="107"/>
      <c r="BJ231" s="107"/>
      <c r="BK231" s="107"/>
      <c r="BL231" s="107"/>
      <c r="BM231" s="107"/>
      <c r="BN231" s="107"/>
      <c r="BO231" s="107"/>
      <c r="BP231" s="107"/>
      <c r="BQ231" s="107"/>
      <c r="BR231" s="107"/>
      <c r="BS231" s="107"/>
      <c r="BT231" s="107"/>
      <c r="BU231" s="107"/>
      <c r="BV231" s="107"/>
      <c r="BW231" s="107"/>
      <c r="BX231" s="107"/>
      <c r="BY231" s="107"/>
      <c r="BZ231" s="107"/>
      <c r="CA231" s="107"/>
      <c r="CB231" s="107"/>
      <c r="CC231" s="107"/>
      <c r="CD231" s="107"/>
      <c r="CE231" s="107"/>
      <c r="CF231" s="107"/>
      <c r="CG231" s="107"/>
      <c r="CH231" s="107"/>
      <c r="CI231" s="107"/>
      <c r="CJ231" s="107"/>
      <c r="CK231" s="107"/>
      <c r="CL231" s="107"/>
      <c r="CM231" s="107"/>
      <c r="CN231" s="107"/>
      <c r="CO231" s="107"/>
      <c r="CP231" s="107"/>
      <c r="CQ231" s="107"/>
      <c r="CR231" s="107"/>
      <c r="CS231" s="107"/>
      <c r="CT231" s="107"/>
      <c r="CU231" s="107"/>
      <c r="CV231" s="107"/>
      <c r="CW231" s="107"/>
      <c r="CX231" s="107"/>
      <c r="CY231" s="107"/>
      <c r="CZ231" s="107"/>
      <c r="DA231" s="107"/>
      <c r="DB231" s="107"/>
      <c r="DC231" s="107"/>
      <c r="DD231" s="107"/>
      <c r="DE231" s="107"/>
      <c r="DF231" s="107"/>
      <c r="DG231" s="107"/>
      <c r="DH231" s="107"/>
      <c r="DI231" s="107"/>
      <c r="DJ231" s="107"/>
      <c r="DK231" s="107"/>
      <c r="DL231" s="107"/>
      <c r="DM231" s="107"/>
      <c r="DN231" s="107"/>
      <c r="DO231" s="107"/>
      <c r="DP231" s="107"/>
      <c r="DQ231" s="107"/>
      <c r="DR231" s="107"/>
      <c r="DS231" s="107"/>
      <c r="DT231" s="727"/>
    </row>
    <row r="232" spans="1:124" ht="15" customHeight="1" x14ac:dyDescent="0.25">
      <c r="A232" s="821"/>
      <c r="B232" s="953" t="str">
        <f t="shared" si="14"/>
        <v>Desk 17</v>
      </c>
      <c r="C232" s="1220" t="str">
        <f>IF('TB IMA'!C21&lt;&gt;"",'TB IMA'!C21,"")</f>
        <v/>
      </c>
      <c r="D232" s="60"/>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7"/>
      <c r="AR232" s="107"/>
      <c r="AS232" s="107"/>
      <c r="AT232" s="107"/>
      <c r="AU232" s="107"/>
      <c r="AV232" s="107"/>
      <c r="AW232" s="107"/>
      <c r="AX232" s="107"/>
      <c r="AY232" s="107"/>
      <c r="AZ232" s="107"/>
      <c r="BA232" s="107"/>
      <c r="BB232" s="107"/>
      <c r="BC232" s="107"/>
      <c r="BD232" s="107"/>
      <c r="BE232" s="107"/>
      <c r="BF232" s="107"/>
      <c r="BG232" s="107"/>
      <c r="BH232" s="107"/>
      <c r="BI232" s="107"/>
      <c r="BJ232" s="107"/>
      <c r="BK232" s="107"/>
      <c r="BL232" s="107"/>
      <c r="BM232" s="107"/>
      <c r="BN232" s="107"/>
      <c r="BO232" s="107"/>
      <c r="BP232" s="107"/>
      <c r="BQ232" s="107"/>
      <c r="BR232" s="107"/>
      <c r="BS232" s="107"/>
      <c r="BT232" s="107"/>
      <c r="BU232" s="107"/>
      <c r="BV232" s="107"/>
      <c r="BW232" s="107"/>
      <c r="BX232" s="107"/>
      <c r="BY232" s="107"/>
      <c r="BZ232" s="107"/>
      <c r="CA232" s="107"/>
      <c r="CB232" s="107"/>
      <c r="CC232" s="107"/>
      <c r="CD232" s="107"/>
      <c r="CE232" s="107"/>
      <c r="CF232" s="107"/>
      <c r="CG232" s="107"/>
      <c r="CH232" s="107"/>
      <c r="CI232" s="107"/>
      <c r="CJ232" s="107"/>
      <c r="CK232" s="107"/>
      <c r="CL232" s="107"/>
      <c r="CM232" s="107"/>
      <c r="CN232" s="107"/>
      <c r="CO232" s="107"/>
      <c r="CP232" s="107"/>
      <c r="CQ232" s="107"/>
      <c r="CR232" s="107"/>
      <c r="CS232" s="107"/>
      <c r="CT232" s="107"/>
      <c r="CU232" s="107"/>
      <c r="CV232" s="107"/>
      <c r="CW232" s="107"/>
      <c r="CX232" s="107"/>
      <c r="CY232" s="107"/>
      <c r="CZ232" s="107"/>
      <c r="DA232" s="107"/>
      <c r="DB232" s="107"/>
      <c r="DC232" s="107"/>
      <c r="DD232" s="107"/>
      <c r="DE232" s="107"/>
      <c r="DF232" s="107"/>
      <c r="DG232" s="107"/>
      <c r="DH232" s="107"/>
      <c r="DI232" s="107"/>
      <c r="DJ232" s="107"/>
      <c r="DK232" s="107"/>
      <c r="DL232" s="107"/>
      <c r="DM232" s="107"/>
      <c r="DN232" s="107"/>
      <c r="DO232" s="107"/>
      <c r="DP232" s="107"/>
      <c r="DQ232" s="107"/>
      <c r="DR232" s="107"/>
      <c r="DS232" s="107"/>
      <c r="DT232" s="727"/>
    </row>
    <row r="233" spans="1:124" ht="15" customHeight="1" x14ac:dyDescent="0.25">
      <c r="A233" s="821"/>
      <c r="B233" s="953" t="str">
        <f t="shared" si="14"/>
        <v>Desk 18</v>
      </c>
      <c r="C233" s="1220" t="str">
        <f>IF('TB IMA'!C22&lt;&gt;"",'TB IMA'!C22,"")</f>
        <v/>
      </c>
      <c r="D233" s="60"/>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07"/>
      <c r="AT233" s="107"/>
      <c r="AU233" s="107"/>
      <c r="AV233" s="107"/>
      <c r="AW233" s="107"/>
      <c r="AX233" s="107"/>
      <c r="AY233" s="107"/>
      <c r="AZ233" s="107"/>
      <c r="BA233" s="107"/>
      <c r="BB233" s="107"/>
      <c r="BC233" s="107"/>
      <c r="BD233" s="107"/>
      <c r="BE233" s="107"/>
      <c r="BF233" s="107"/>
      <c r="BG233" s="107"/>
      <c r="BH233" s="107"/>
      <c r="BI233" s="107"/>
      <c r="BJ233" s="107"/>
      <c r="BK233" s="107"/>
      <c r="BL233" s="107"/>
      <c r="BM233" s="107"/>
      <c r="BN233" s="107"/>
      <c r="BO233" s="107"/>
      <c r="BP233" s="107"/>
      <c r="BQ233" s="107"/>
      <c r="BR233" s="107"/>
      <c r="BS233" s="107"/>
      <c r="BT233" s="107"/>
      <c r="BU233" s="107"/>
      <c r="BV233" s="107"/>
      <c r="BW233" s="107"/>
      <c r="BX233" s="107"/>
      <c r="BY233" s="107"/>
      <c r="BZ233" s="107"/>
      <c r="CA233" s="107"/>
      <c r="CB233" s="107"/>
      <c r="CC233" s="107"/>
      <c r="CD233" s="107"/>
      <c r="CE233" s="107"/>
      <c r="CF233" s="107"/>
      <c r="CG233" s="107"/>
      <c r="CH233" s="107"/>
      <c r="CI233" s="107"/>
      <c r="CJ233" s="107"/>
      <c r="CK233" s="107"/>
      <c r="CL233" s="107"/>
      <c r="CM233" s="107"/>
      <c r="CN233" s="107"/>
      <c r="CO233" s="107"/>
      <c r="CP233" s="107"/>
      <c r="CQ233" s="107"/>
      <c r="CR233" s="107"/>
      <c r="CS233" s="107"/>
      <c r="CT233" s="107"/>
      <c r="CU233" s="107"/>
      <c r="CV233" s="107"/>
      <c r="CW233" s="107"/>
      <c r="CX233" s="107"/>
      <c r="CY233" s="107"/>
      <c r="CZ233" s="107"/>
      <c r="DA233" s="107"/>
      <c r="DB233" s="107"/>
      <c r="DC233" s="107"/>
      <c r="DD233" s="107"/>
      <c r="DE233" s="107"/>
      <c r="DF233" s="107"/>
      <c r="DG233" s="107"/>
      <c r="DH233" s="107"/>
      <c r="DI233" s="107"/>
      <c r="DJ233" s="107"/>
      <c r="DK233" s="107"/>
      <c r="DL233" s="107"/>
      <c r="DM233" s="107"/>
      <c r="DN233" s="107"/>
      <c r="DO233" s="107"/>
      <c r="DP233" s="107"/>
      <c r="DQ233" s="107"/>
      <c r="DR233" s="107"/>
      <c r="DS233" s="107"/>
      <c r="DT233" s="727"/>
    </row>
    <row r="234" spans="1:124" ht="15" customHeight="1" x14ac:dyDescent="0.25">
      <c r="A234" s="821"/>
      <c r="B234" s="953" t="str">
        <f t="shared" si="14"/>
        <v>Desk 19</v>
      </c>
      <c r="C234" s="1220" t="str">
        <f>IF('TB IMA'!C23&lt;&gt;"",'TB IMA'!C23,"")</f>
        <v/>
      </c>
      <c r="D234" s="60"/>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c r="AT234" s="107"/>
      <c r="AU234" s="107"/>
      <c r="AV234" s="107"/>
      <c r="AW234" s="107"/>
      <c r="AX234" s="107"/>
      <c r="AY234" s="107"/>
      <c r="AZ234" s="107"/>
      <c r="BA234" s="107"/>
      <c r="BB234" s="107"/>
      <c r="BC234" s="107"/>
      <c r="BD234" s="107"/>
      <c r="BE234" s="107"/>
      <c r="BF234" s="107"/>
      <c r="BG234" s="107"/>
      <c r="BH234" s="107"/>
      <c r="BI234" s="107"/>
      <c r="BJ234" s="107"/>
      <c r="BK234" s="107"/>
      <c r="BL234" s="107"/>
      <c r="BM234" s="107"/>
      <c r="BN234" s="107"/>
      <c r="BO234" s="107"/>
      <c r="BP234" s="107"/>
      <c r="BQ234" s="107"/>
      <c r="BR234" s="107"/>
      <c r="BS234" s="107"/>
      <c r="BT234" s="107"/>
      <c r="BU234" s="107"/>
      <c r="BV234" s="107"/>
      <c r="BW234" s="107"/>
      <c r="BX234" s="107"/>
      <c r="BY234" s="107"/>
      <c r="BZ234" s="107"/>
      <c r="CA234" s="107"/>
      <c r="CB234" s="107"/>
      <c r="CC234" s="107"/>
      <c r="CD234" s="107"/>
      <c r="CE234" s="107"/>
      <c r="CF234" s="107"/>
      <c r="CG234" s="107"/>
      <c r="CH234" s="107"/>
      <c r="CI234" s="107"/>
      <c r="CJ234" s="107"/>
      <c r="CK234" s="107"/>
      <c r="CL234" s="107"/>
      <c r="CM234" s="107"/>
      <c r="CN234" s="107"/>
      <c r="CO234" s="107"/>
      <c r="CP234" s="107"/>
      <c r="CQ234" s="107"/>
      <c r="CR234" s="107"/>
      <c r="CS234" s="107"/>
      <c r="CT234" s="107"/>
      <c r="CU234" s="107"/>
      <c r="CV234" s="107"/>
      <c r="CW234" s="107"/>
      <c r="CX234" s="107"/>
      <c r="CY234" s="107"/>
      <c r="CZ234" s="107"/>
      <c r="DA234" s="107"/>
      <c r="DB234" s="107"/>
      <c r="DC234" s="107"/>
      <c r="DD234" s="107"/>
      <c r="DE234" s="107"/>
      <c r="DF234" s="107"/>
      <c r="DG234" s="107"/>
      <c r="DH234" s="107"/>
      <c r="DI234" s="107"/>
      <c r="DJ234" s="107"/>
      <c r="DK234" s="107"/>
      <c r="DL234" s="107"/>
      <c r="DM234" s="107"/>
      <c r="DN234" s="107"/>
      <c r="DO234" s="107"/>
      <c r="DP234" s="107"/>
      <c r="DQ234" s="107"/>
      <c r="DR234" s="107"/>
      <c r="DS234" s="107"/>
      <c r="DT234" s="727"/>
    </row>
    <row r="235" spans="1:124" ht="15" customHeight="1" x14ac:dyDescent="0.25">
      <c r="A235" s="821"/>
      <c r="B235" s="953" t="str">
        <f t="shared" si="14"/>
        <v>Desk 20</v>
      </c>
      <c r="C235" s="1220" t="str">
        <f>IF('TB IMA'!C24&lt;&gt;"",'TB IMA'!C24,"")</f>
        <v/>
      </c>
      <c r="D235" s="60"/>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7"/>
      <c r="BU235" s="107"/>
      <c r="BV235" s="107"/>
      <c r="BW235" s="107"/>
      <c r="BX235" s="107"/>
      <c r="BY235" s="107"/>
      <c r="BZ235" s="107"/>
      <c r="CA235" s="107"/>
      <c r="CB235" s="107"/>
      <c r="CC235" s="107"/>
      <c r="CD235" s="107"/>
      <c r="CE235" s="107"/>
      <c r="CF235" s="107"/>
      <c r="CG235" s="107"/>
      <c r="CH235" s="107"/>
      <c r="CI235" s="107"/>
      <c r="CJ235" s="107"/>
      <c r="CK235" s="107"/>
      <c r="CL235" s="107"/>
      <c r="CM235" s="107"/>
      <c r="CN235" s="107"/>
      <c r="CO235" s="107"/>
      <c r="CP235" s="107"/>
      <c r="CQ235" s="107"/>
      <c r="CR235" s="107"/>
      <c r="CS235" s="107"/>
      <c r="CT235" s="107"/>
      <c r="CU235" s="107"/>
      <c r="CV235" s="107"/>
      <c r="CW235" s="107"/>
      <c r="CX235" s="107"/>
      <c r="CY235" s="107"/>
      <c r="CZ235" s="107"/>
      <c r="DA235" s="107"/>
      <c r="DB235" s="107"/>
      <c r="DC235" s="107"/>
      <c r="DD235" s="107"/>
      <c r="DE235" s="107"/>
      <c r="DF235" s="107"/>
      <c r="DG235" s="107"/>
      <c r="DH235" s="107"/>
      <c r="DI235" s="107"/>
      <c r="DJ235" s="107"/>
      <c r="DK235" s="107"/>
      <c r="DL235" s="107"/>
      <c r="DM235" s="107"/>
      <c r="DN235" s="107"/>
      <c r="DO235" s="107"/>
      <c r="DP235" s="107"/>
      <c r="DQ235" s="107"/>
      <c r="DR235" s="107"/>
      <c r="DS235" s="107"/>
      <c r="DT235" s="727"/>
    </row>
    <row r="236" spans="1:124" ht="15" customHeight="1" x14ac:dyDescent="0.25">
      <c r="A236" s="821"/>
      <c r="B236" s="953" t="str">
        <f t="shared" si="14"/>
        <v>Desk 21</v>
      </c>
      <c r="C236" s="1220" t="str">
        <f>IF('TB IMA'!C25&lt;&gt;"",'TB IMA'!C25,"")</f>
        <v/>
      </c>
      <c r="D236" s="60"/>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7"/>
      <c r="BC236" s="107"/>
      <c r="BD236" s="107"/>
      <c r="BE236" s="107"/>
      <c r="BF236" s="107"/>
      <c r="BG236" s="107"/>
      <c r="BH236" s="107"/>
      <c r="BI236" s="107"/>
      <c r="BJ236" s="107"/>
      <c r="BK236" s="107"/>
      <c r="BL236" s="107"/>
      <c r="BM236" s="107"/>
      <c r="BN236" s="107"/>
      <c r="BO236" s="107"/>
      <c r="BP236" s="107"/>
      <c r="BQ236" s="107"/>
      <c r="BR236" s="107"/>
      <c r="BS236" s="107"/>
      <c r="BT236" s="107"/>
      <c r="BU236" s="107"/>
      <c r="BV236" s="107"/>
      <c r="BW236" s="107"/>
      <c r="BX236" s="107"/>
      <c r="BY236" s="107"/>
      <c r="BZ236" s="107"/>
      <c r="CA236" s="107"/>
      <c r="CB236" s="107"/>
      <c r="CC236" s="107"/>
      <c r="CD236" s="107"/>
      <c r="CE236" s="107"/>
      <c r="CF236" s="107"/>
      <c r="CG236" s="107"/>
      <c r="CH236" s="107"/>
      <c r="CI236" s="107"/>
      <c r="CJ236" s="107"/>
      <c r="CK236" s="107"/>
      <c r="CL236" s="107"/>
      <c r="CM236" s="107"/>
      <c r="CN236" s="107"/>
      <c r="CO236" s="107"/>
      <c r="CP236" s="107"/>
      <c r="CQ236" s="107"/>
      <c r="CR236" s="107"/>
      <c r="CS236" s="107"/>
      <c r="CT236" s="107"/>
      <c r="CU236" s="107"/>
      <c r="CV236" s="107"/>
      <c r="CW236" s="107"/>
      <c r="CX236" s="107"/>
      <c r="CY236" s="107"/>
      <c r="CZ236" s="107"/>
      <c r="DA236" s="107"/>
      <c r="DB236" s="107"/>
      <c r="DC236" s="107"/>
      <c r="DD236" s="107"/>
      <c r="DE236" s="107"/>
      <c r="DF236" s="107"/>
      <c r="DG236" s="107"/>
      <c r="DH236" s="107"/>
      <c r="DI236" s="107"/>
      <c r="DJ236" s="107"/>
      <c r="DK236" s="107"/>
      <c r="DL236" s="107"/>
      <c r="DM236" s="107"/>
      <c r="DN236" s="107"/>
      <c r="DO236" s="107"/>
      <c r="DP236" s="107"/>
      <c r="DQ236" s="107"/>
      <c r="DR236" s="107"/>
      <c r="DS236" s="107"/>
      <c r="DT236" s="727"/>
    </row>
    <row r="237" spans="1:124" ht="15" customHeight="1" x14ac:dyDescent="0.25">
      <c r="A237" s="821"/>
      <c r="B237" s="953" t="str">
        <f t="shared" si="14"/>
        <v>Desk 22</v>
      </c>
      <c r="C237" s="1220" t="str">
        <f>IF('TB IMA'!C26&lt;&gt;"",'TB IMA'!C26,"")</f>
        <v/>
      </c>
      <c r="D237" s="60"/>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c r="CP237" s="107"/>
      <c r="CQ237" s="107"/>
      <c r="CR237" s="107"/>
      <c r="CS237" s="107"/>
      <c r="CT237" s="107"/>
      <c r="CU237" s="107"/>
      <c r="CV237" s="107"/>
      <c r="CW237" s="107"/>
      <c r="CX237" s="107"/>
      <c r="CY237" s="107"/>
      <c r="CZ237" s="107"/>
      <c r="DA237" s="107"/>
      <c r="DB237" s="107"/>
      <c r="DC237" s="107"/>
      <c r="DD237" s="107"/>
      <c r="DE237" s="107"/>
      <c r="DF237" s="107"/>
      <c r="DG237" s="107"/>
      <c r="DH237" s="107"/>
      <c r="DI237" s="107"/>
      <c r="DJ237" s="107"/>
      <c r="DK237" s="107"/>
      <c r="DL237" s="107"/>
      <c r="DM237" s="107"/>
      <c r="DN237" s="107"/>
      <c r="DO237" s="107"/>
      <c r="DP237" s="107"/>
      <c r="DQ237" s="107"/>
      <c r="DR237" s="107"/>
      <c r="DS237" s="107"/>
      <c r="DT237" s="727"/>
    </row>
    <row r="238" spans="1:124" ht="15" customHeight="1" x14ac:dyDescent="0.25">
      <c r="A238" s="821"/>
      <c r="B238" s="953" t="str">
        <f t="shared" si="14"/>
        <v>Desk 23</v>
      </c>
      <c r="C238" s="1220" t="str">
        <f>IF('TB IMA'!C27&lt;&gt;"",'TB IMA'!C27,"")</f>
        <v/>
      </c>
      <c r="D238" s="60"/>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107"/>
      <c r="AW238" s="107"/>
      <c r="AX238" s="107"/>
      <c r="AY238" s="107"/>
      <c r="AZ238" s="107"/>
      <c r="BA238" s="107"/>
      <c r="BB238" s="107"/>
      <c r="BC238" s="107"/>
      <c r="BD238" s="107"/>
      <c r="BE238" s="107"/>
      <c r="BF238" s="107"/>
      <c r="BG238" s="107"/>
      <c r="BH238" s="107"/>
      <c r="BI238" s="107"/>
      <c r="BJ238" s="107"/>
      <c r="BK238" s="107"/>
      <c r="BL238" s="107"/>
      <c r="BM238" s="107"/>
      <c r="BN238" s="107"/>
      <c r="BO238" s="107"/>
      <c r="BP238" s="107"/>
      <c r="BQ238" s="107"/>
      <c r="BR238" s="107"/>
      <c r="BS238" s="107"/>
      <c r="BT238" s="107"/>
      <c r="BU238" s="107"/>
      <c r="BV238" s="107"/>
      <c r="BW238" s="107"/>
      <c r="BX238" s="107"/>
      <c r="BY238" s="107"/>
      <c r="BZ238" s="107"/>
      <c r="CA238" s="107"/>
      <c r="CB238" s="107"/>
      <c r="CC238" s="107"/>
      <c r="CD238" s="107"/>
      <c r="CE238" s="107"/>
      <c r="CF238" s="107"/>
      <c r="CG238" s="107"/>
      <c r="CH238" s="107"/>
      <c r="CI238" s="107"/>
      <c r="CJ238" s="107"/>
      <c r="CK238" s="107"/>
      <c r="CL238" s="107"/>
      <c r="CM238" s="107"/>
      <c r="CN238" s="107"/>
      <c r="CO238" s="107"/>
      <c r="CP238" s="107"/>
      <c r="CQ238" s="107"/>
      <c r="CR238" s="107"/>
      <c r="CS238" s="107"/>
      <c r="CT238" s="107"/>
      <c r="CU238" s="107"/>
      <c r="CV238" s="107"/>
      <c r="CW238" s="107"/>
      <c r="CX238" s="107"/>
      <c r="CY238" s="107"/>
      <c r="CZ238" s="107"/>
      <c r="DA238" s="107"/>
      <c r="DB238" s="107"/>
      <c r="DC238" s="107"/>
      <c r="DD238" s="107"/>
      <c r="DE238" s="107"/>
      <c r="DF238" s="107"/>
      <c r="DG238" s="107"/>
      <c r="DH238" s="107"/>
      <c r="DI238" s="107"/>
      <c r="DJ238" s="107"/>
      <c r="DK238" s="107"/>
      <c r="DL238" s="107"/>
      <c r="DM238" s="107"/>
      <c r="DN238" s="107"/>
      <c r="DO238" s="107"/>
      <c r="DP238" s="107"/>
      <c r="DQ238" s="107"/>
      <c r="DR238" s="107"/>
      <c r="DS238" s="107"/>
      <c r="DT238" s="727"/>
    </row>
    <row r="239" spans="1:124" ht="15" customHeight="1" x14ac:dyDescent="0.25">
      <c r="A239" s="821"/>
      <c r="B239" s="953" t="str">
        <f t="shared" si="14"/>
        <v>Desk 24</v>
      </c>
      <c r="C239" s="1220" t="str">
        <f>IF('TB IMA'!C28&lt;&gt;"",'TB IMA'!C28,"")</f>
        <v/>
      </c>
      <c r="D239" s="60"/>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c r="AT239" s="107"/>
      <c r="AU239" s="107"/>
      <c r="AV239" s="107"/>
      <c r="AW239" s="107"/>
      <c r="AX239" s="107"/>
      <c r="AY239" s="107"/>
      <c r="AZ239" s="107"/>
      <c r="BA239" s="107"/>
      <c r="BB239" s="107"/>
      <c r="BC239" s="107"/>
      <c r="BD239" s="107"/>
      <c r="BE239" s="107"/>
      <c r="BF239" s="107"/>
      <c r="BG239" s="107"/>
      <c r="BH239" s="107"/>
      <c r="BI239" s="107"/>
      <c r="BJ239" s="107"/>
      <c r="BK239" s="107"/>
      <c r="BL239" s="107"/>
      <c r="BM239" s="107"/>
      <c r="BN239" s="107"/>
      <c r="BO239" s="107"/>
      <c r="BP239" s="107"/>
      <c r="BQ239" s="107"/>
      <c r="BR239" s="107"/>
      <c r="BS239" s="107"/>
      <c r="BT239" s="107"/>
      <c r="BU239" s="107"/>
      <c r="BV239" s="107"/>
      <c r="BW239" s="107"/>
      <c r="BX239" s="107"/>
      <c r="BY239" s="107"/>
      <c r="BZ239" s="107"/>
      <c r="CA239" s="107"/>
      <c r="CB239" s="107"/>
      <c r="CC239" s="107"/>
      <c r="CD239" s="107"/>
      <c r="CE239" s="107"/>
      <c r="CF239" s="107"/>
      <c r="CG239" s="107"/>
      <c r="CH239" s="107"/>
      <c r="CI239" s="107"/>
      <c r="CJ239" s="107"/>
      <c r="CK239" s="107"/>
      <c r="CL239" s="107"/>
      <c r="CM239" s="107"/>
      <c r="CN239" s="107"/>
      <c r="CO239" s="107"/>
      <c r="CP239" s="107"/>
      <c r="CQ239" s="107"/>
      <c r="CR239" s="107"/>
      <c r="CS239" s="107"/>
      <c r="CT239" s="107"/>
      <c r="CU239" s="107"/>
      <c r="CV239" s="107"/>
      <c r="CW239" s="107"/>
      <c r="CX239" s="107"/>
      <c r="CY239" s="107"/>
      <c r="CZ239" s="107"/>
      <c r="DA239" s="107"/>
      <c r="DB239" s="107"/>
      <c r="DC239" s="107"/>
      <c r="DD239" s="107"/>
      <c r="DE239" s="107"/>
      <c r="DF239" s="107"/>
      <c r="DG239" s="107"/>
      <c r="DH239" s="107"/>
      <c r="DI239" s="107"/>
      <c r="DJ239" s="107"/>
      <c r="DK239" s="107"/>
      <c r="DL239" s="107"/>
      <c r="DM239" s="107"/>
      <c r="DN239" s="107"/>
      <c r="DO239" s="107"/>
      <c r="DP239" s="107"/>
      <c r="DQ239" s="107"/>
      <c r="DR239" s="107"/>
      <c r="DS239" s="107"/>
      <c r="DT239" s="727"/>
    </row>
    <row r="240" spans="1:124" ht="15" customHeight="1" x14ac:dyDescent="0.25">
      <c r="A240" s="821"/>
      <c r="B240" s="953" t="str">
        <f t="shared" si="14"/>
        <v>Desk 25</v>
      </c>
      <c r="C240" s="1220" t="str">
        <f>IF('TB IMA'!C29&lt;&gt;"",'TB IMA'!C29,"")</f>
        <v/>
      </c>
      <c r="D240" s="60"/>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c r="AT240" s="107"/>
      <c r="AU240" s="107"/>
      <c r="AV240" s="107"/>
      <c r="AW240" s="107"/>
      <c r="AX240" s="107"/>
      <c r="AY240" s="107"/>
      <c r="AZ240" s="107"/>
      <c r="BA240" s="107"/>
      <c r="BB240" s="107"/>
      <c r="BC240" s="107"/>
      <c r="BD240" s="107"/>
      <c r="BE240" s="107"/>
      <c r="BF240" s="107"/>
      <c r="BG240" s="107"/>
      <c r="BH240" s="107"/>
      <c r="BI240" s="107"/>
      <c r="BJ240" s="107"/>
      <c r="BK240" s="107"/>
      <c r="BL240" s="107"/>
      <c r="BM240" s="107"/>
      <c r="BN240" s="107"/>
      <c r="BO240" s="107"/>
      <c r="BP240" s="107"/>
      <c r="BQ240" s="107"/>
      <c r="BR240" s="107"/>
      <c r="BS240" s="107"/>
      <c r="BT240" s="107"/>
      <c r="BU240" s="107"/>
      <c r="BV240" s="107"/>
      <c r="BW240" s="107"/>
      <c r="BX240" s="107"/>
      <c r="BY240" s="107"/>
      <c r="BZ240" s="107"/>
      <c r="CA240" s="107"/>
      <c r="CB240" s="107"/>
      <c r="CC240" s="107"/>
      <c r="CD240" s="107"/>
      <c r="CE240" s="107"/>
      <c r="CF240" s="107"/>
      <c r="CG240" s="107"/>
      <c r="CH240" s="107"/>
      <c r="CI240" s="107"/>
      <c r="CJ240" s="107"/>
      <c r="CK240" s="107"/>
      <c r="CL240" s="107"/>
      <c r="CM240" s="107"/>
      <c r="CN240" s="107"/>
      <c r="CO240" s="107"/>
      <c r="CP240" s="107"/>
      <c r="CQ240" s="107"/>
      <c r="CR240" s="107"/>
      <c r="CS240" s="107"/>
      <c r="CT240" s="107"/>
      <c r="CU240" s="107"/>
      <c r="CV240" s="107"/>
      <c r="CW240" s="107"/>
      <c r="CX240" s="107"/>
      <c r="CY240" s="107"/>
      <c r="CZ240" s="107"/>
      <c r="DA240" s="107"/>
      <c r="DB240" s="107"/>
      <c r="DC240" s="107"/>
      <c r="DD240" s="107"/>
      <c r="DE240" s="107"/>
      <c r="DF240" s="107"/>
      <c r="DG240" s="107"/>
      <c r="DH240" s="107"/>
      <c r="DI240" s="107"/>
      <c r="DJ240" s="107"/>
      <c r="DK240" s="107"/>
      <c r="DL240" s="107"/>
      <c r="DM240" s="107"/>
      <c r="DN240" s="107"/>
      <c r="DO240" s="107"/>
      <c r="DP240" s="107"/>
      <c r="DQ240" s="107"/>
      <c r="DR240" s="107"/>
      <c r="DS240" s="107"/>
      <c r="DT240" s="727"/>
    </row>
    <row r="241" spans="1:124" ht="15" customHeight="1" x14ac:dyDescent="0.25">
      <c r="A241" s="821"/>
      <c r="B241" s="953" t="str">
        <f t="shared" si="14"/>
        <v>Desk 26</v>
      </c>
      <c r="C241" s="1220" t="str">
        <f>IF('TB IMA'!C30&lt;&gt;"",'TB IMA'!C30,"")</f>
        <v/>
      </c>
      <c r="D241" s="60"/>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c r="AT241" s="107"/>
      <c r="AU241" s="107"/>
      <c r="AV241" s="107"/>
      <c r="AW241" s="107"/>
      <c r="AX241" s="107"/>
      <c r="AY241" s="107"/>
      <c r="AZ241" s="107"/>
      <c r="BA241" s="107"/>
      <c r="BB241" s="107"/>
      <c r="BC241" s="107"/>
      <c r="BD241" s="107"/>
      <c r="BE241" s="107"/>
      <c r="BF241" s="107"/>
      <c r="BG241" s="107"/>
      <c r="BH241" s="107"/>
      <c r="BI241" s="107"/>
      <c r="BJ241" s="107"/>
      <c r="BK241" s="107"/>
      <c r="BL241" s="107"/>
      <c r="BM241" s="107"/>
      <c r="BN241" s="107"/>
      <c r="BO241" s="107"/>
      <c r="BP241" s="107"/>
      <c r="BQ241" s="107"/>
      <c r="BR241" s="107"/>
      <c r="BS241" s="107"/>
      <c r="BT241" s="107"/>
      <c r="BU241" s="107"/>
      <c r="BV241" s="107"/>
      <c r="BW241" s="107"/>
      <c r="BX241" s="107"/>
      <c r="BY241" s="107"/>
      <c r="BZ241" s="107"/>
      <c r="CA241" s="107"/>
      <c r="CB241" s="107"/>
      <c r="CC241" s="107"/>
      <c r="CD241" s="107"/>
      <c r="CE241" s="107"/>
      <c r="CF241" s="107"/>
      <c r="CG241" s="107"/>
      <c r="CH241" s="107"/>
      <c r="CI241" s="107"/>
      <c r="CJ241" s="107"/>
      <c r="CK241" s="107"/>
      <c r="CL241" s="107"/>
      <c r="CM241" s="107"/>
      <c r="CN241" s="107"/>
      <c r="CO241" s="107"/>
      <c r="CP241" s="107"/>
      <c r="CQ241" s="107"/>
      <c r="CR241" s="107"/>
      <c r="CS241" s="107"/>
      <c r="CT241" s="107"/>
      <c r="CU241" s="107"/>
      <c r="CV241" s="107"/>
      <c r="CW241" s="107"/>
      <c r="CX241" s="107"/>
      <c r="CY241" s="107"/>
      <c r="CZ241" s="107"/>
      <c r="DA241" s="107"/>
      <c r="DB241" s="107"/>
      <c r="DC241" s="107"/>
      <c r="DD241" s="107"/>
      <c r="DE241" s="107"/>
      <c r="DF241" s="107"/>
      <c r="DG241" s="107"/>
      <c r="DH241" s="107"/>
      <c r="DI241" s="107"/>
      <c r="DJ241" s="107"/>
      <c r="DK241" s="107"/>
      <c r="DL241" s="107"/>
      <c r="DM241" s="107"/>
      <c r="DN241" s="107"/>
      <c r="DO241" s="107"/>
      <c r="DP241" s="107"/>
      <c r="DQ241" s="107"/>
      <c r="DR241" s="107"/>
      <c r="DS241" s="107"/>
      <c r="DT241" s="727"/>
    </row>
    <row r="242" spans="1:124" ht="15" customHeight="1" x14ac:dyDescent="0.25">
      <c r="A242" s="821"/>
      <c r="B242" s="953" t="str">
        <f t="shared" si="14"/>
        <v>Desk 27</v>
      </c>
      <c r="C242" s="1220" t="str">
        <f>IF('TB IMA'!C31&lt;&gt;"",'TB IMA'!C31,"")</f>
        <v/>
      </c>
      <c r="D242" s="60"/>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c r="AT242" s="107"/>
      <c r="AU242" s="107"/>
      <c r="AV242" s="107"/>
      <c r="AW242" s="107"/>
      <c r="AX242" s="107"/>
      <c r="AY242" s="107"/>
      <c r="AZ242" s="107"/>
      <c r="BA242" s="107"/>
      <c r="BB242" s="107"/>
      <c r="BC242" s="107"/>
      <c r="BD242" s="107"/>
      <c r="BE242" s="107"/>
      <c r="BF242" s="107"/>
      <c r="BG242" s="107"/>
      <c r="BH242" s="107"/>
      <c r="BI242" s="107"/>
      <c r="BJ242" s="107"/>
      <c r="BK242" s="107"/>
      <c r="BL242" s="107"/>
      <c r="BM242" s="107"/>
      <c r="BN242" s="107"/>
      <c r="BO242" s="107"/>
      <c r="BP242" s="107"/>
      <c r="BQ242" s="107"/>
      <c r="BR242" s="107"/>
      <c r="BS242" s="107"/>
      <c r="BT242" s="107"/>
      <c r="BU242" s="107"/>
      <c r="BV242" s="107"/>
      <c r="BW242" s="107"/>
      <c r="BX242" s="107"/>
      <c r="BY242" s="107"/>
      <c r="BZ242" s="107"/>
      <c r="CA242" s="107"/>
      <c r="CB242" s="107"/>
      <c r="CC242" s="107"/>
      <c r="CD242" s="107"/>
      <c r="CE242" s="107"/>
      <c r="CF242" s="107"/>
      <c r="CG242" s="107"/>
      <c r="CH242" s="107"/>
      <c r="CI242" s="107"/>
      <c r="CJ242" s="107"/>
      <c r="CK242" s="107"/>
      <c r="CL242" s="107"/>
      <c r="CM242" s="107"/>
      <c r="CN242" s="107"/>
      <c r="CO242" s="107"/>
      <c r="CP242" s="107"/>
      <c r="CQ242" s="107"/>
      <c r="CR242" s="107"/>
      <c r="CS242" s="107"/>
      <c r="CT242" s="107"/>
      <c r="CU242" s="107"/>
      <c r="CV242" s="107"/>
      <c r="CW242" s="107"/>
      <c r="CX242" s="107"/>
      <c r="CY242" s="107"/>
      <c r="CZ242" s="107"/>
      <c r="DA242" s="107"/>
      <c r="DB242" s="107"/>
      <c r="DC242" s="107"/>
      <c r="DD242" s="107"/>
      <c r="DE242" s="107"/>
      <c r="DF242" s="107"/>
      <c r="DG242" s="107"/>
      <c r="DH242" s="107"/>
      <c r="DI242" s="107"/>
      <c r="DJ242" s="107"/>
      <c r="DK242" s="107"/>
      <c r="DL242" s="107"/>
      <c r="DM242" s="107"/>
      <c r="DN242" s="107"/>
      <c r="DO242" s="107"/>
      <c r="DP242" s="107"/>
      <c r="DQ242" s="107"/>
      <c r="DR242" s="107"/>
      <c r="DS242" s="107"/>
      <c r="DT242" s="727"/>
    </row>
    <row r="243" spans="1:124" ht="15" customHeight="1" x14ac:dyDescent="0.25">
      <c r="A243" s="821"/>
      <c r="B243" s="953" t="str">
        <f t="shared" si="14"/>
        <v>Desk 28</v>
      </c>
      <c r="C243" s="1220" t="str">
        <f>IF('TB IMA'!C32&lt;&gt;"",'TB IMA'!C32,"")</f>
        <v/>
      </c>
      <c r="D243" s="60"/>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7"/>
      <c r="BU243" s="107"/>
      <c r="BV243" s="107"/>
      <c r="BW243" s="107"/>
      <c r="BX243" s="107"/>
      <c r="BY243" s="107"/>
      <c r="BZ243" s="107"/>
      <c r="CA243" s="107"/>
      <c r="CB243" s="107"/>
      <c r="CC243" s="107"/>
      <c r="CD243" s="107"/>
      <c r="CE243" s="107"/>
      <c r="CF243" s="107"/>
      <c r="CG243" s="107"/>
      <c r="CH243" s="107"/>
      <c r="CI243" s="107"/>
      <c r="CJ243" s="107"/>
      <c r="CK243" s="107"/>
      <c r="CL243" s="107"/>
      <c r="CM243" s="107"/>
      <c r="CN243" s="107"/>
      <c r="CO243" s="107"/>
      <c r="CP243" s="107"/>
      <c r="CQ243" s="107"/>
      <c r="CR243" s="107"/>
      <c r="CS243" s="107"/>
      <c r="CT243" s="107"/>
      <c r="CU243" s="107"/>
      <c r="CV243" s="107"/>
      <c r="CW243" s="107"/>
      <c r="CX243" s="107"/>
      <c r="CY243" s="107"/>
      <c r="CZ243" s="107"/>
      <c r="DA243" s="107"/>
      <c r="DB243" s="107"/>
      <c r="DC243" s="107"/>
      <c r="DD243" s="107"/>
      <c r="DE243" s="107"/>
      <c r="DF243" s="107"/>
      <c r="DG243" s="107"/>
      <c r="DH243" s="107"/>
      <c r="DI243" s="107"/>
      <c r="DJ243" s="107"/>
      <c r="DK243" s="107"/>
      <c r="DL243" s="107"/>
      <c r="DM243" s="107"/>
      <c r="DN243" s="107"/>
      <c r="DO243" s="107"/>
      <c r="DP243" s="107"/>
      <c r="DQ243" s="107"/>
      <c r="DR243" s="107"/>
      <c r="DS243" s="107"/>
      <c r="DT243" s="727"/>
    </row>
    <row r="244" spans="1:124" ht="15" customHeight="1" x14ac:dyDescent="0.25">
      <c r="A244" s="821"/>
      <c r="B244" s="953" t="str">
        <f t="shared" si="14"/>
        <v>Desk 29</v>
      </c>
      <c r="C244" s="1220" t="str">
        <f>IF('TB IMA'!C33&lt;&gt;"",'TB IMA'!C33,"")</f>
        <v/>
      </c>
      <c r="D244" s="60"/>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c r="BL244" s="107"/>
      <c r="BM244" s="107"/>
      <c r="BN244" s="107"/>
      <c r="BO244" s="107"/>
      <c r="BP244" s="107"/>
      <c r="BQ244" s="107"/>
      <c r="BR244" s="107"/>
      <c r="BS244" s="107"/>
      <c r="BT244" s="107"/>
      <c r="BU244" s="107"/>
      <c r="BV244" s="107"/>
      <c r="BW244" s="107"/>
      <c r="BX244" s="107"/>
      <c r="BY244" s="107"/>
      <c r="BZ244" s="107"/>
      <c r="CA244" s="107"/>
      <c r="CB244" s="107"/>
      <c r="CC244" s="107"/>
      <c r="CD244" s="107"/>
      <c r="CE244" s="107"/>
      <c r="CF244" s="107"/>
      <c r="CG244" s="107"/>
      <c r="CH244" s="107"/>
      <c r="CI244" s="107"/>
      <c r="CJ244" s="107"/>
      <c r="CK244" s="107"/>
      <c r="CL244" s="107"/>
      <c r="CM244" s="107"/>
      <c r="CN244" s="107"/>
      <c r="CO244" s="107"/>
      <c r="CP244" s="107"/>
      <c r="CQ244" s="107"/>
      <c r="CR244" s="107"/>
      <c r="CS244" s="107"/>
      <c r="CT244" s="107"/>
      <c r="CU244" s="107"/>
      <c r="CV244" s="107"/>
      <c r="CW244" s="107"/>
      <c r="CX244" s="107"/>
      <c r="CY244" s="107"/>
      <c r="CZ244" s="107"/>
      <c r="DA244" s="107"/>
      <c r="DB244" s="107"/>
      <c r="DC244" s="107"/>
      <c r="DD244" s="107"/>
      <c r="DE244" s="107"/>
      <c r="DF244" s="107"/>
      <c r="DG244" s="107"/>
      <c r="DH244" s="107"/>
      <c r="DI244" s="107"/>
      <c r="DJ244" s="107"/>
      <c r="DK244" s="107"/>
      <c r="DL244" s="107"/>
      <c r="DM244" s="107"/>
      <c r="DN244" s="107"/>
      <c r="DO244" s="107"/>
      <c r="DP244" s="107"/>
      <c r="DQ244" s="107"/>
      <c r="DR244" s="107"/>
      <c r="DS244" s="107"/>
      <c r="DT244" s="727"/>
    </row>
    <row r="245" spans="1:124" ht="15" customHeight="1" x14ac:dyDescent="0.25">
      <c r="A245" s="821"/>
      <c r="B245" s="953" t="str">
        <f t="shared" si="14"/>
        <v>Desk 30</v>
      </c>
      <c r="C245" s="1220" t="str">
        <f>IF('TB IMA'!C34&lt;&gt;"",'TB IMA'!C34,"")</f>
        <v/>
      </c>
      <c r="D245" s="60"/>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c r="BX245" s="107"/>
      <c r="BY245" s="107"/>
      <c r="BZ245" s="107"/>
      <c r="CA245" s="107"/>
      <c r="CB245" s="107"/>
      <c r="CC245" s="107"/>
      <c r="CD245" s="107"/>
      <c r="CE245" s="107"/>
      <c r="CF245" s="107"/>
      <c r="CG245" s="107"/>
      <c r="CH245" s="107"/>
      <c r="CI245" s="107"/>
      <c r="CJ245" s="107"/>
      <c r="CK245" s="107"/>
      <c r="CL245" s="107"/>
      <c r="CM245" s="107"/>
      <c r="CN245" s="107"/>
      <c r="CO245" s="107"/>
      <c r="CP245" s="107"/>
      <c r="CQ245" s="107"/>
      <c r="CR245" s="107"/>
      <c r="CS245" s="107"/>
      <c r="CT245" s="107"/>
      <c r="CU245" s="107"/>
      <c r="CV245" s="107"/>
      <c r="CW245" s="107"/>
      <c r="CX245" s="107"/>
      <c r="CY245" s="107"/>
      <c r="CZ245" s="107"/>
      <c r="DA245" s="107"/>
      <c r="DB245" s="107"/>
      <c r="DC245" s="107"/>
      <c r="DD245" s="107"/>
      <c r="DE245" s="107"/>
      <c r="DF245" s="107"/>
      <c r="DG245" s="107"/>
      <c r="DH245" s="107"/>
      <c r="DI245" s="107"/>
      <c r="DJ245" s="107"/>
      <c r="DK245" s="107"/>
      <c r="DL245" s="107"/>
      <c r="DM245" s="107"/>
      <c r="DN245" s="107"/>
      <c r="DO245" s="107"/>
      <c r="DP245" s="107"/>
      <c r="DQ245" s="107"/>
      <c r="DR245" s="107"/>
      <c r="DS245" s="107"/>
      <c r="DT245" s="727"/>
    </row>
    <row r="246" spans="1:124" ht="15" customHeight="1" x14ac:dyDescent="0.25">
      <c r="A246" s="821"/>
      <c r="B246" s="953" t="str">
        <f t="shared" si="14"/>
        <v>Desk 31</v>
      </c>
      <c r="C246" s="1220" t="str">
        <f>IF('TB IMA'!C35&lt;&gt;"",'TB IMA'!C35,"")</f>
        <v/>
      </c>
      <c r="D246" s="60"/>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c r="BL246" s="107"/>
      <c r="BM246" s="107"/>
      <c r="BN246" s="107"/>
      <c r="BO246" s="107"/>
      <c r="BP246" s="107"/>
      <c r="BQ246" s="107"/>
      <c r="BR246" s="107"/>
      <c r="BS246" s="107"/>
      <c r="BT246" s="107"/>
      <c r="BU246" s="107"/>
      <c r="BV246" s="107"/>
      <c r="BW246" s="107"/>
      <c r="BX246" s="107"/>
      <c r="BY246" s="107"/>
      <c r="BZ246" s="107"/>
      <c r="CA246" s="107"/>
      <c r="CB246" s="107"/>
      <c r="CC246" s="107"/>
      <c r="CD246" s="107"/>
      <c r="CE246" s="107"/>
      <c r="CF246" s="107"/>
      <c r="CG246" s="107"/>
      <c r="CH246" s="107"/>
      <c r="CI246" s="107"/>
      <c r="CJ246" s="107"/>
      <c r="CK246" s="107"/>
      <c r="CL246" s="107"/>
      <c r="CM246" s="107"/>
      <c r="CN246" s="107"/>
      <c r="CO246" s="107"/>
      <c r="CP246" s="107"/>
      <c r="CQ246" s="107"/>
      <c r="CR246" s="107"/>
      <c r="CS246" s="107"/>
      <c r="CT246" s="107"/>
      <c r="CU246" s="107"/>
      <c r="CV246" s="107"/>
      <c r="CW246" s="107"/>
      <c r="CX246" s="107"/>
      <c r="CY246" s="107"/>
      <c r="CZ246" s="107"/>
      <c r="DA246" s="107"/>
      <c r="DB246" s="107"/>
      <c r="DC246" s="107"/>
      <c r="DD246" s="107"/>
      <c r="DE246" s="107"/>
      <c r="DF246" s="107"/>
      <c r="DG246" s="107"/>
      <c r="DH246" s="107"/>
      <c r="DI246" s="107"/>
      <c r="DJ246" s="107"/>
      <c r="DK246" s="107"/>
      <c r="DL246" s="107"/>
      <c r="DM246" s="107"/>
      <c r="DN246" s="107"/>
      <c r="DO246" s="107"/>
      <c r="DP246" s="107"/>
      <c r="DQ246" s="107"/>
      <c r="DR246" s="107"/>
      <c r="DS246" s="107"/>
      <c r="DT246" s="727"/>
    </row>
    <row r="247" spans="1:124" ht="15" customHeight="1" x14ac:dyDescent="0.25">
      <c r="A247" s="821"/>
      <c r="B247" s="953" t="str">
        <f t="shared" si="14"/>
        <v>Desk 32</v>
      </c>
      <c r="C247" s="1220" t="str">
        <f>IF('TB IMA'!C36&lt;&gt;"",'TB IMA'!C36,"")</f>
        <v/>
      </c>
      <c r="D247" s="60"/>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c r="BL247" s="107"/>
      <c r="BM247" s="107"/>
      <c r="BN247" s="107"/>
      <c r="BO247" s="107"/>
      <c r="BP247" s="107"/>
      <c r="BQ247" s="107"/>
      <c r="BR247" s="107"/>
      <c r="BS247" s="107"/>
      <c r="BT247" s="107"/>
      <c r="BU247" s="107"/>
      <c r="BV247" s="107"/>
      <c r="BW247" s="107"/>
      <c r="BX247" s="107"/>
      <c r="BY247" s="107"/>
      <c r="BZ247" s="107"/>
      <c r="CA247" s="107"/>
      <c r="CB247" s="107"/>
      <c r="CC247" s="107"/>
      <c r="CD247" s="107"/>
      <c r="CE247" s="107"/>
      <c r="CF247" s="107"/>
      <c r="CG247" s="107"/>
      <c r="CH247" s="107"/>
      <c r="CI247" s="107"/>
      <c r="CJ247" s="107"/>
      <c r="CK247" s="107"/>
      <c r="CL247" s="107"/>
      <c r="CM247" s="107"/>
      <c r="CN247" s="107"/>
      <c r="CO247" s="107"/>
      <c r="CP247" s="107"/>
      <c r="CQ247" s="107"/>
      <c r="CR247" s="107"/>
      <c r="CS247" s="107"/>
      <c r="CT247" s="107"/>
      <c r="CU247" s="107"/>
      <c r="CV247" s="107"/>
      <c r="CW247" s="107"/>
      <c r="CX247" s="107"/>
      <c r="CY247" s="107"/>
      <c r="CZ247" s="107"/>
      <c r="DA247" s="107"/>
      <c r="DB247" s="107"/>
      <c r="DC247" s="107"/>
      <c r="DD247" s="107"/>
      <c r="DE247" s="107"/>
      <c r="DF247" s="107"/>
      <c r="DG247" s="107"/>
      <c r="DH247" s="107"/>
      <c r="DI247" s="107"/>
      <c r="DJ247" s="107"/>
      <c r="DK247" s="107"/>
      <c r="DL247" s="107"/>
      <c r="DM247" s="107"/>
      <c r="DN247" s="107"/>
      <c r="DO247" s="107"/>
      <c r="DP247" s="107"/>
      <c r="DQ247" s="107"/>
      <c r="DR247" s="107"/>
      <c r="DS247" s="107"/>
      <c r="DT247" s="727"/>
    </row>
    <row r="248" spans="1:124" ht="15" customHeight="1" x14ac:dyDescent="0.25">
      <c r="A248" s="821"/>
      <c r="B248" s="953" t="str">
        <f t="shared" si="14"/>
        <v>Desk 33</v>
      </c>
      <c r="C248" s="1220" t="str">
        <f>IF('TB IMA'!C37&lt;&gt;"",'TB IMA'!C37,"")</f>
        <v/>
      </c>
      <c r="D248" s="60"/>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7"/>
      <c r="AR248" s="107"/>
      <c r="AS248" s="107"/>
      <c r="AT248" s="107"/>
      <c r="AU248" s="107"/>
      <c r="AV248" s="107"/>
      <c r="AW248" s="107"/>
      <c r="AX248" s="107"/>
      <c r="AY248" s="107"/>
      <c r="AZ248" s="107"/>
      <c r="BA248" s="107"/>
      <c r="BB248" s="107"/>
      <c r="BC248" s="107"/>
      <c r="BD248" s="107"/>
      <c r="BE248" s="107"/>
      <c r="BF248" s="107"/>
      <c r="BG248" s="107"/>
      <c r="BH248" s="107"/>
      <c r="BI248" s="107"/>
      <c r="BJ248" s="107"/>
      <c r="BK248" s="107"/>
      <c r="BL248" s="107"/>
      <c r="BM248" s="107"/>
      <c r="BN248" s="107"/>
      <c r="BO248" s="107"/>
      <c r="BP248" s="107"/>
      <c r="BQ248" s="107"/>
      <c r="BR248" s="107"/>
      <c r="BS248" s="107"/>
      <c r="BT248" s="107"/>
      <c r="BU248" s="107"/>
      <c r="BV248" s="107"/>
      <c r="BW248" s="107"/>
      <c r="BX248" s="107"/>
      <c r="BY248" s="107"/>
      <c r="BZ248" s="107"/>
      <c r="CA248" s="107"/>
      <c r="CB248" s="107"/>
      <c r="CC248" s="107"/>
      <c r="CD248" s="107"/>
      <c r="CE248" s="107"/>
      <c r="CF248" s="107"/>
      <c r="CG248" s="107"/>
      <c r="CH248" s="107"/>
      <c r="CI248" s="107"/>
      <c r="CJ248" s="107"/>
      <c r="CK248" s="107"/>
      <c r="CL248" s="107"/>
      <c r="CM248" s="107"/>
      <c r="CN248" s="107"/>
      <c r="CO248" s="107"/>
      <c r="CP248" s="107"/>
      <c r="CQ248" s="107"/>
      <c r="CR248" s="107"/>
      <c r="CS248" s="107"/>
      <c r="CT248" s="107"/>
      <c r="CU248" s="107"/>
      <c r="CV248" s="107"/>
      <c r="CW248" s="107"/>
      <c r="CX248" s="107"/>
      <c r="CY248" s="107"/>
      <c r="CZ248" s="107"/>
      <c r="DA248" s="107"/>
      <c r="DB248" s="107"/>
      <c r="DC248" s="107"/>
      <c r="DD248" s="107"/>
      <c r="DE248" s="107"/>
      <c r="DF248" s="107"/>
      <c r="DG248" s="107"/>
      <c r="DH248" s="107"/>
      <c r="DI248" s="107"/>
      <c r="DJ248" s="107"/>
      <c r="DK248" s="107"/>
      <c r="DL248" s="107"/>
      <c r="DM248" s="107"/>
      <c r="DN248" s="107"/>
      <c r="DO248" s="107"/>
      <c r="DP248" s="107"/>
      <c r="DQ248" s="107"/>
      <c r="DR248" s="107"/>
      <c r="DS248" s="107"/>
      <c r="DT248" s="727"/>
    </row>
    <row r="249" spans="1:124" ht="15" customHeight="1" x14ac:dyDescent="0.25">
      <c r="A249" s="821"/>
      <c r="B249" s="953" t="str">
        <f t="shared" si="14"/>
        <v>Desk 34</v>
      </c>
      <c r="C249" s="1220" t="str">
        <f>IF('TB IMA'!C38&lt;&gt;"",'TB IMA'!C38,"")</f>
        <v/>
      </c>
      <c r="D249" s="60"/>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07"/>
      <c r="AS249" s="107"/>
      <c r="AT249" s="107"/>
      <c r="AU249" s="107"/>
      <c r="AV249" s="107"/>
      <c r="AW249" s="107"/>
      <c r="AX249" s="107"/>
      <c r="AY249" s="107"/>
      <c r="AZ249" s="107"/>
      <c r="BA249" s="107"/>
      <c r="BB249" s="107"/>
      <c r="BC249" s="107"/>
      <c r="BD249" s="107"/>
      <c r="BE249" s="107"/>
      <c r="BF249" s="107"/>
      <c r="BG249" s="107"/>
      <c r="BH249" s="107"/>
      <c r="BI249" s="107"/>
      <c r="BJ249" s="107"/>
      <c r="BK249" s="107"/>
      <c r="BL249" s="107"/>
      <c r="BM249" s="107"/>
      <c r="BN249" s="107"/>
      <c r="BO249" s="107"/>
      <c r="BP249" s="107"/>
      <c r="BQ249" s="107"/>
      <c r="BR249" s="107"/>
      <c r="BS249" s="107"/>
      <c r="BT249" s="107"/>
      <c r="BU249" s="107"/>
      <c r="BV249" s="107"/>
      <c r="BW249" s="107"/>
      <c r="BX249" s="107"/>
      <c r="BY249" s="107"/>
      <c r="BZ249" s="107"/>
      <c r="CA249" s="107"/>
      <c r="CB249" s="107"/>
      <c r="CC249" s="107"/>
      <c r="CD249" s="107"/>
      <c r="CE249" s="107"/>
      <c r="CF249" s="107"/>
      <c r="CG249" s="107"/>
      <c r="CH249" s="107"/>
      <c r="CI249" s="107"/>
      <c r="CJ249" s="107"/>
      <c r="CK249" s="107"/>
      <c r="CL249" s="107"/>
      <c r="CM249" s="107"/>
      <c r="CN249" s="107"/>
      <c r="CO249" s="107"/>
      <c r="CP249" s="107"/>
      <c r="CQ249" s="107"/>
      <c r="CR249" s="107"/>
      <c r="CS249" s="107"/>
      <c r="CT249" s="107"/>
      <c r="CU249" s="107"/>
      <c r="CV249" s="107"/>
      <c r="CW249" s="107"/>
      <c r="CX249" s="107"/>
      <c r="CY249" s="107"/>
      <c r="CZ249" s="107"/>
      <c r="DA249" s="107"/>
      <c r="DB249" s="107"/>
      <c r="DC249" s="107"/>
      <c r="DD249" s="107"/>
      <c r="DE249" s="107"/>
      <c r="DF249" s="107"/>
      <c r="DG249" s="107"/>
      <c r="DH249" s="107"/>
      <c r="DI249" s="107"/>
      <c r="DJ249" s="107"/>
      <c r="DK249" s="107"/>
      <c r="DL249" s="107"/>
      <c r="DM249" s="107"/>
      <c r="DN249" s="107"/>
      <c r="DO249" s="107"/>
      <c r="DP249" s="107"/>
      <c r="DQ249" s="107"/>
      <c r="DR249" s="107"/>
      <c r="DS249" s="107"/>
      <c r="DT249" s="727"/>
    </row>
    <row r="250" spans="1:124" ht="15" customHeight="1" x14ac:dyDescent="0.25">
      <c r="A250" s="821"/>
      <c r="B250" s="953" t="str">
        <f t="shared" si="14"/>
        <v>Desk 35</v>
      </c>
      <c r="C250" s="1220" t="str">
        <f>IF('TB IMA'!C39&lt;&gt;"",'TB IMA'!C39,"")</f>
        <v/>
      </c>
      <c r="D250" s="60"/>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c r="BL250" s="107"/>
      <c r="BM250" s="107"/>
      <c r="BN250" s="107"/>
      <c r="BO250" s="107"/>
      <c r="BP250" s="107"/>
      <c r="BQ250" s="107"/>
      <c r="BR250" s="107"/>
      <c r="BS250" s="107"/>
      <c r="BT250" s="107"/>
      <c r="BU250" s="107"/>
      <c r="BV250" s="107"/>
      <c r="BW250" s="107"/>
      <c r="BX250" s="107"/>
      <c r="BY250" s="107"/>
      <c r="BZ250" s="107"/>
      <c r="CA250" s="107"/>
      <c r="CB250" s="107"/>
      <c r="CC250" s="107"/>
      <c r="CD250" s="107"/>
      <c r="CE250" s="107"/>
      <c r="CF250" s="107"/>
      <c r="CG250" s="107"/>
      <c r="CH250" s="107"/>
      <c r="CI250" s="107"/>
      <c r="CJ250" s="107"/>
      <c r="CK250" s="107"/>
      <c r="CL250" s="107"/>
      <c r="CM250" s="107"/>
      <c r="CN250" s="107"/>
      <c r="CO250" s="107"/>
      <c r="CP250" s="107"/>
      <c r="CQ250" s="107"/>
      <c r="CR250" s="107"/>
      <c r="CS250" s="107"/>
      <c r="CT250" s="107"/>
      <c r="CU250" s="107"/>
      <c r="CV250" s="107"/>
      <c r="CW250" s="107"/>
      <c r="CX250" s="107"/>
      <c r="CY250" s="107"/>
      <c r="CZ250" s="107"/>
      <c r="DA250" s="107"/>
      <c r="DB250" s="107"/>
      <c r="DC250" s="107"/>
      <c r="DD250" s="107"/>
      <c r="DE250" s="107"/>
      <c r="DF250" s="107"/>
      <c r="DG250" s="107"/>
      <c r="DH250" s="107"/>
      <c r="DI250" s="107"/>
      <c r="DJ250" s="107"/>
      <c r="DK250" s="107"/>
      <c r="DL250" s="107"/>
      <c r="DM250" s="107"/>
      <c r="DN250" s="107"/>
      <c r="DO250" s="107"/>
      <c r="DP250" s="107"/>
      <c r="DQ250" s="107"/>
      <c r="DR250" s="107"/>
      <c r="DS250" s="107"/>
      <c r="DT250" s="727"/>
    </row>
    <row r="251" spans="1:124" ht="15" customHeight="1" x14ac:dyDescent="0.25">
      <c r="A251" s="821"/>
      <c r="B251" s="953" t="str">
        <f t="shared" si="14"/>
        <v>Desk 36</v>
      </c>
      <c r="C251" s="1220" t="str">
        <f>IF('TB IMA'!C40&lt;&gt;"",'TB IMA'!C40,"")</f>
        <v/>
      </c>
      <c r="D251" s="60"/>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7"/>
      <c r="BU251" s="107"/>
      <c r="BV251" s="107"/>
      <c r="BW251" s="107"/>
      <c r="BX251" s="107"/>
      <c r="BY251" s="107"/>
      <c r="BZ251" s="107"/>
      <c r="CA251" s="107"/>
      <c r="CB251" s="107"/>
      <c r="CC251" s="107"/>
      <c r="CD251" s="107"/>
      <c r="CE251" s="107"/>
      <c r="CF251" s="107"/>
      <c r="CG251" s="107"/>
      <c r="CH251" s="107"/>
      <c r="CI251" s="107"/>
      <c r="CJ251" s="107"/>
      <c r="CK251" s="107"/>
      <c r="CL251" s="107"/>
      <c r="CM251" s="107"/>
      <c r="CN251" s="107"/>
      <c r="CO251" s="107"/>
      <c r="CP251" s="107"/>
      <c r="CQ251" s="107"/>
      <c r="CR251" s="107"/>
      <c r="CS251" s="107"/>
      <c r="CT251" s="107"/>
      <c r="CU251" s="107"/>
      <c r="CV251" s="107"/>
      <c r="CW251" s="107"/>
      <c r="CX251" s="107"/>
      <c r="CY251" s="107"/>
      <c r="CZ251" s="107"/>
      <c r="DA251" s="107"/>
      <c r="DB251" s="107"/>
      <c r="DC251" s="107"/>
      <c r="DD251" s="107"/>
      <c r="DE251" s="107"/>
      <c r="DF251" s="107"/>
      <c r="DG251" s="107"/>
      <c r="DH251" s="107"/>
      <c r="DI251" s="107"/>
      <c r="DJ251" s="107"/>
      <c r="DK251" s="107"/>
      <c r="DL251" s="107"/>
      <c r="DM251" s="107"/>
      <c r="DN251" s="107"/>
      <c r="DO251" s="107"/>
      <c r="DP251" s="107"/>
      <c r="DQ251" s="107"/>
      <c r="DR251" s="107"/>
      <c r="DS251" s="107"/>
      <c r="DT251" s="727"/>
    </row>
    <row r="252" spans="1:124" ht="15" customHeight="1" x14ac:dyDescent="0.25">
      <c r="A252" s="821"/>
      <c r="B252" s="953" t="str">
        <f t="shared" si="14"/>
        <v>Desk 37</v>
      </c>
      <c r="C252" s="1220" t="str">
        <f>IF('TB IMA'!C41&lt;&gt;"",'TB IMA'!C41,"")</f>
        <v/>
      </c>
      <c r="D252" s="60"/>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c r="BL252" s="107"/>
      <c r="BM252" s="107"/>
      <c r="BN252" s="107"/>
      <c r="BO252" s="107"/>
      <c r="BP252" s="107"/>
      <c r="BQ252" s="107"/>
      <c r="BR252" s="107"/>
      <c r="BS252" s="107"/>
      <c r="BT252" s="107"/>
      <c r="BU252" s="107"/>
      <c r="BV252" s="107"/>
      <c r="BW252" s="107"/>
      <c r="BX252" s="107"/>
      <c r="BY252" s="107"/>
      <c r="BZ252" s="107"/>
      <c r="CA252" s="107"/>
      <c r="CB252" s="107"/>
      <c r="CC252" s="107"/>
      <c r="CD252" s="107"/>
      <c r="CE252" s="107"/>
      <c r="CF252" s="107"/>
      <c r="CG252" s="107"/>
      <c r="CH252" s="107"/>
      <c r="CI252" s="107"/>
      <c r="CJ252" s="107"/>
      <c r="CK252" s="107"/>
      <c r="CL252" s="107"/>
      <c r="CM252" s="107"/>
      <c r="CN252" s="107"/>
      <c r="CO252" s="107"/>
      <c r="CP252" s="107"/>
      <c r="CQ252" s="107"/>
      <c r="CR252" s="107"/>
      <c r="CS252" s="107"/>
      <c r="CT252" s="107"/>
      <c r="CU252" s="107"/>
      <c r="CV252" s="107"/>
      <c r="CW252" s="107"/>
      <c r="CX252" s="107"/>
      <c r="CY252" s="107"/>
      <c r="CZ252" s="107"/>
      <c r="DA252" s="107"/>
      <c r="DB252" s="107"/>
      <c r="DC252" s="107"/>
      <c r="DD252" s="107"/>
      <c r="DE252" s="107"/>
      <c r="DF252" s="107"/>
      <c r="DG252" s="107"/>
      <c r="DH252" s="107"/>
      <c r="DI252" s="107"/>
      <c r="DJ252" s="107"/>
      <c r="DK252" s="107"/>
      <c r="DL252" s="107"/>
      <c r="DM252" s="107"/>
      <c r="DN252" s="107"/>
      <c r="DO252" s="107"/>
      <c r="DP252" s="107"/>
      <c r="DQ252" s="107"/>
      <c r="DR252" s="107"/>
      <c r="DS252" s="107"/>
      <c r="DT252" s="727"/>
    </row>
    <row r="253" spans="1:124" ht="15" customHeight="1" x14ac:dyDescent="0.25">
      <c r="A253" s="821"/>
      <c r="B253" s="953" t="str">
        <f t="shared" si="14"/>
        <v>Desk 38</v>
      </c>
      <c r="C253" s="1220" t="str">
        <f>IF('TB IMA'!C42&lt;&gt;"",'TB IMA'!C42,"")</f>
        <v/>
      </c>
      <c r="D253" s="60"/>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c r="CC253" s="107"/>
      <c r="CD253" s="107"/>
      <c r="CE253" s="107"/>
      <c r="CF253" s="107"/>
      <c r="CG253" s="107"/>
      <c r="CH253" s="107"/>
      <c r="CI253" s="107"/>
      <c r="CJ253" s="107"/>
      <c r="CK253" s="107"/>
      <c r="CL253" s="107"/>
      <c r="CM253" s="107"/>
      <c r="CN253" s="107"/>
      <c r="CO253" s="107"/>
      <c r="CP253" s="107"/>
      <c r="CQ253" s="107"/>
      <c r="CR253" s="107"/>
      <c r="CS253" s="107"/>
      <c r="CT253" s="107"/>
      <c r="CU253" s="107"/>
      <c r="CV253" s="107"/>
      <c r="CW253" s="107"/>
      <c r="CX253" s="107"/>
      <c r="CY253" s="107"/>
      <c r="CZ253" s="107"/>
      <c r="DA253" s="107"/>
      <c r="DB253" s="107"/>
      <c r="DC253" s="107"/>
      <c r="DD253" s="107"/>
      <c r="DE253" s="107"/>
      <c r="DF253" s="107"/>
      <c r="DG253" s="107"/>
      <c r="DH253" s="107"/>
      <c r="DI253" s="107"/>
      <c r="DJ253" s="107"/>
      <c r="DK253" s="107"/>
      <c r="DL253" s="107"/>
      <c r="DM253" s="107"/>
      <c r="DN253" s="107"/>
      <c r="DO253" s="107"/>
      <c r="DP253" s="107"/>
      <c r="DQ253" s="107"/>
      <c r="DR253" s="107"/>
      <c r="DS253" s="107"/>
      <c r="DT253" s="727"/>
    </row>
    <row r="254" spans="1:124" ht="15" customHeight="1" x14ac:dyDescent="0.25">
      <c r="A254" s="821"/>
      <c r="B254" s="953" t="str">
        <f t="shared" si="14"/>
        <v>Desk 39</v>
      </c>
      <c r="C254" s="1220" t="str">
        <f>IF('TB IMA'!C43&lt;&gt;"",'TB IMA'!C43,"")</f>
        <v/>
      </c>
      <c r="D254" s="60"/>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7"/>
      <c r="AR254" s="107"/>
      <c r="AS254" s="107"/>
      <c r="AT254" s="107"/>
      <c r="AU254" s="107"/>
      <c r="AV254" s="107"/>
      <c r="AW254" s="107"/>
      <c r="AX254" s="107"/>
      <c r="AY254" s="107"/>
      <c r="AZ254" s="107"/>
      <c r="BA254" s="107"/>
      <c r="BB254" s="107"/>
      <c r="BC254" s="107"/>
      <c r="BD254" s="107"/>
      <c r="BE254" s="107"/>
      <c r="BF254" s="107"/>
      <c r="BG254" s="107"/>
      <c r="BH254" s="107"/>
      <c r="BI254" s="107"/>
      <c r="BJ254" s="107"/>
      <c r="BK254" s="107"/>
      <c r="BL254" s="107"/>
      <c r="BM254" s="107"/>
      <c r="BN254" s="107"/>
      <c r="BO254" s="107"/>
      <c r="BP254" s="107"/>
      <c r="BQ254" s="107"/>
      <c r="BR254" s="107"/>
      <c r="BS254" s="107"/>
      <c r="BT254" s="107"/>
      <c r="BU254" s="107"/>
      <c r="BV254" s="107"/>
      <c r="BW254" s="107"/>
      <c r="BX254" s="107"/>
      <c r="BY254" s="107"/>
      <c r="BZ254" s="107"/>
      <c r="CA254" s="107"/>
      <c r="CB254" s="107"/>
      <c r="CC254" s="107"/>
      <c r="CD254" s="107"/>
      <c r="CE254" s="107"/>
      <c r="CF254" s="107"/>
      <c r="CG254" s="107"/>
      <c r="CH254" s="107"/>
      <c r="CI254" s="107"/>
      <c r="CJ254" s="107"/>
      <c r="CK254" s="107"/>
      <c r="CL254" s="107"/>
      <c r="CM254" s="107"/>
      <c r="CN254" s="107"/>
      <c r="CO254" s="107"/>
      <c r="CP254" s="107"/>
      <c r="CQ254" s="107"/>
      <c r="CR254" s="107"/>
      <c r="CS254" s="107"/>
      <c r="CT254" s="107"/>
      <c r="CU254" s="107"/>
      <c r="CV254" s="107"/>
      <c r="CW254" s="107"/>
      <c r="CX254" s="107"/>
      <c r="CY254" s="107"/>
      <c r="CZ254" s="107"/>
      <c r="DA254" s="107"/>
      <c r="DB254" s="107"/>
      <c r="DC254" s="107"/>
      <c r="DD254" s="107"/>
      <c r="DE254" s="107"/>
      <c r="DF254" s="107"/>
      <c r="DG254" s="107"/>
      <c r="DH254" s="107"/>
      <c r="DI254" s="107"/>
      <c r="DJ254" s="107"/>
      <c r="DK254" s="107"/>
      <c r="DL254" s="107"/>
      <c r="DM254" s="107"/>
      <c r="DN254" s="107"/>
      <c r="DO254" s="107"/>
      <c r="DP254" s="107"/>
      <c r="DQ254" s="107"/>
      <c r="DR254" s="107"/>
      <c r="DS254" s="107"/>
      <c r="DT254" s="727"/>
    </row>
    <row r="255" spans="1:124" ht="15" customHeight="1" x14ac:dyDescent="0.25">
      <c r="A255" s="821"/>
      <c r="B255" s="953" t="str">
        <f t="shared" si="14"/>
        <v>Desk 40</v>
      </c>
      <c r="C255" s="1220" t="str">
        <f>IF('TB IMA'!C44&lt;&gt;"",'TB IMA'!C44,"")</f>
        <v/>
      </c>
      <c r="D255" s="60"/>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c r="AT255" s="107"/>
      <c r="AU255" s="107"/>
      <c r="AV255" s="107"/>
      <c r="AW255" s="107"/>
      <c r="AX255" s="107"/>
      <c r="AY255" s="107"/>
      <c r="AZ255" s="107"/>
      <c r="BA255" s="107"/>
      <c r="BB255" s="107"/>
      <c r="BC255" s="107"/>
      <c r="BD255" s="107"/>
      <c r="BE255" s="107"/>
      <c r="BF255" s="107"/>
      <c r="BG255" s="107"/>
      <c r="BH255" s="107"/>
      <c r="BI255" s="107"/>
      <c r="BJ255" s="107"/>
      <c r="BK255" s="107"/>
      <c r="BL255" s="107"/>
      <c r="BM255" s="107"/>
      <c r="BN255" s="107"/>
      <c r="BO255" s="107"/>
      <c r="BP255" s="107"/>
      <c r="BQ255" s="107"/>
      <c r="BR255" s="107"/>
      <c r="BS255" s="107"/>
      <c r="BT255" s="107"/>
      <c r="BU255" s="107"/>
      <c r="BV255" s="107"/>
      <c r="BW255" s="107"/>
      <c r="BX255" s="107"/>
      <c r="BY255" s="107"/>
      <c r="BZ255" s="107"/>
      <c r="CA255" s="107"/>
      <c r="CB255" s="107"/>
      <c r="CC255" s="107"/>
      <c r="CD255" s="107"/>
      <c r="CE255" s="107"/>
      <c r="CF255" s="107"/>
      <c r="CG255" s="107"/>
      <c r="CH255" s="107"/>
      <c r="CI255" s="107"/>
      <c r="CJ255" s="107"/>
      <c r="CK255" s="107"/>
      <c r="CL255" s="107"/>
      <c r="CM255" s="107"/>
      <c r="CN255" s="107"/>
      <c r="CO255" s="107"/>
      <c r="CP255" s="107"/>
      <c r="CQ255" s="107"/>
      <c r="CR255" s="107"/>
      <c r="CS255" s="107"/>
      <c r="CT255" s="107"/>
      <c r="CU255" s="107"/>
      <c r="CV255" s="107"/>
      <c r="CW255" s="107"/>
      <c r="CX255" s="107"/>
      <c r="CY255" s="107"/>
      <c r="CZ255" s="107"/>
      <c r="DA255" s="107"/>
      <c r="DB255" s="107"/>
      <c r="DC255" s="107"/>
      <c r="DD255" s="107"/>
      <c r="DE255" s="107"/>
      <c r="DF255" s="107"/>
      <c r="DG255" s="107"/>
      <c r="DH255" s="107"/>
      <c r="DI255" s="107"/>
      <c r="DJ255" s="107"/>
      <c r="DK255" s="107"/>
      <c r="DL255" s="107"/>
      <c r="DM255" s="107"/>
      <c r="DN255" s="107"/>
      <c r="DO255" s="107"/>
      <c r="DP255" s="107"/>
      <c r="DQ255" s="107"/>
      <c r="DR255" s="107"/>
      <c r="DS255" s="107"/>
      <c r="DT255" s="727"/>
    </row>
    <row r="256" spans="1:124" ht="15" customHeight="1" x14ac:dyDescent="0.25">
      <c r="A256" s="821"/>
      <c r="B256" s="953" t="str">
        <f t="shared" si="14"/>
        <v>Desk 41</v>
      </c>
      <c r="C256" s="1220" t="str">
        <f>IF('TB IMA'!C45&lt;&gt;"",'TB IMA'!C45,"")</f>
        <v/>
      </c>
      <c r="D256" s="60"/>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c r="AT256" s="107"/>
      <c r="AU256" s="107"/>
      <c r="AV256" s="107"/>
      <c r="AW256" s="107"/>
      <c r="AX256" s="107"/>
      <c r="AY256" s="107"/>
      <c r="AZ256" s="107"/>
      <c r="BA256" s="107"/>
      <c r="BB256" s="107"/>
      <c r="BC256" s="107"/>
      <c r="BD256" s="107"/>
      <c r="BE256" s="107"/>
      <c r="BF256" s="107"/>
      <c r="BG256" s="107"/>
      <c r="BH256" s="107"/>
      <c r="BI256" s="107"/>
      <c r="BJ256" s="107"/>
      <c r="BK256" s="107"/>
      <c r="BL256" s="107"/>
      <c r="BM256" s="107"/>
      <c r="BN256" s="107"/>
      <c r="BO256" s="107"/>
      <c r="BP256" s="107"/>
      <c r="BQ256" s="107"/>
      <c r="BR256" s="107"/>
      <c r="BS256" s="107"/>
      <c r="BT256" s="107"/>
      <c r="BU256" s="107"/>
      <c r="BV256" s="107"/>
      <c r="BW256" s="107"/>
      <c r="BX256" s="107"/>
      <c r="BY256" s="107"/>
      <c r="BZ256" s="107"/>
      <c r="CA256" s="107"/>
      <c r="CB256" s="107"/>
      <c r="CC256" s="107"/>
      <c r="CD256" s="107"/>
      <c r="CE256" s="107"/>
      <c r="CF256" s="107"/>
      <c r="CG256" s="107"/>
      <c r="CH256" s="107"/>
      <c r="CI256" s="107"/>
      <c r="CJ256" s="107"/>
      <c r="CK256" s="107"/>
      <c r="CL256" s="107"/>
      <c r="CM256" s="107"/>
      <c r="CN256" s="107"/>
      <c r="CO256" s="107"/>
      <c r="CP256" s="107"/>
      <c r="CQ256" s="107"/>
      <c r="CR256" s="107"/>
      <c r="CS256" s="107"/>
      <c r="CT256" s="107"/>
      <c r="CU256" s="107"/>
      <c r="CV256" s="107"/>
      <c r="CW256" s="107"/>
      <c r="CX256" s="107"/>
      <c r="CY256" s="107"/>
      <c r="CZ256" s="107"/>
      <c r="DA256" s="107"/>
      <c r="DB256" s="107"/>
      <c r="DC256" s="107"/>
      <c r="DD256" s="107"/>
      <c r="DE256" s="107"/>
      <c r="DF256" s="107"/>
      <c r="DG256" s="107"/>
      <c r="DH256" s="107"/>
      <c r="DI256" s="107"/>
      <c r="DJ256" s="107"/>
      <c r="DK256" s="107"/>
      <c r="DL256" s="107"/>
      <c r="DM256" s="107"/>
      <c r="DN256" s="107"/>
      <c r="DO256" s="107"/>
      <c r="DP256" s="107"/>
      <c r="DQ256" s="107"/>
      <c r="DR256" s="107"/>
      <c r="DS256" s="107"/>
      <c r="DT256" s="727"/>
    </row>
    <row r="257" spans="1:124" ht="15" customHeight="1" x14ac:dyDescent="0.25">
      <c r="A257" s="821"/>
      <c r="B257" s="953" t="str">
        <f t="shared" si="14"/>
        <v>Desk 42</v>
      </c>
      <c r="C257" s="1220" t="str">
        <f>IF('TB IMA'!C46&lt;&gt;"",'TB IMA'!C46,"")</f>
        <v/>
      </c>
      <c r="D257" s="60"/>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c r="BL257" s="107"/>
      <c r="BM257" s="107"/>
      <c r="BN257" s="107"/>
      <c r="BO257" s="107"/>
      <c r="BP257" s="107"/>
      <c r="BQ257" s="107"/>
      <c r="BR257" s="107"/>
      <c r="BS257" s="107"/>
      <c r="BT257" s="107"/>
      <c r="BU257" s="107"/>
      <c r="BV257" s="107"/>
      <c r="BW257" s="107"/>
      <c r="BX257" s="107"/>
      <c r="BY257" s="107"/>
      <c r="BZ257" s="107"/>
      <c r="CA257" s="107"/>
      <c r="CB257" s="107"/>
      <c r="CC257" s="107"/>
      <c r="CD257" s="107"/>
      <c r="CE257" s="107"/>
      <c r="CF257" s="107"/>
      <c r="CG257" s="107"/>
      <c r="CH257" s="107"/>
      <c r="CI257" s="107"/>
      <c r="CJ257" s="107"/>
      <c r="CK257" s="107"/>
      <c r="CL257" s="107"/>
      <c r="CM257" s="107"/>
      <c r="CN257" s="107"/>
      <c r="CO257" s="107"/>
      <c r="CP257" s="107"/>
      <c r="CQ257" s="107"/>
      <c r="CR257" s="107"/>
      <c r="CS257" s="107"/>
      <c r="CT257" s="107"/>
      <c r="CU257" s="107"/>
      <c r="CV257" s="107"/>
      <c r="CW257" s="107"/>
      <c r="CX257" s="107"/>
      <c r="CY257" s="107"/>
      <c r="CZ257" s="107"/>
      <c r="DA257" s="107"/>
      <c r="DB257" s="107"/>
      <c r="DC257" s="107"/>
      <c r="DD257" s="107"/>
      <c r="DE257" s="107"/>
      <c r="DF257" s="107"/>
      <c r="DG257" s="107"/>
      <c r="DH257" s="107"/>
      <c r="DI257" s="107"/>
      <c r="DJ257" s="107"/>
      <c r="DK257" s="107"/>
      <c r="DL257" s="107"/>
      <c r="DM257" s="107"/>
      <c r="DN257" s="107"/>
      <c r="DO257" s="107"/>
      <c r="DP257" s="107"/>
      <c r="DQ257" s="107"/>
      <c r="DR257" s="107"/>
      <c r="DS257" s="107"/>
      <c r="DT257" s="727"/>
    </row>
    <row r="258" spans="1:124" ht="15" customHeight="1" x14ac:dyDescent="0.25">
      <c r="A258" s="821"/>
      <c r="B258" s="953" t="str">
        <f t="shared" si="14"/>
        <v>Desk 43</v>
      </c>
      <c r="C258" s="1220" t="str">
        <f>IF('TB IMA'!C47&lt;&gt;"",'TB IMA'!C47,"")</f>
        <v/>
      </c>
      <c r="D258" s="60"/>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c r="BL258" s="107"/>
      <c r="BM258" s="107"/>
      <c r="BN258" s="107"/>
      <c r="BO258" s="107"/>
      <c r="BP258" s="107"/>
      <c r="BQ258" s="107"/>
      <c r="BR258" s="107"/>
      <c r="BS258" s="107"/>
      <c r="BT258" s="107"/>
      <c r="BU258" s="107"/>
      <c r="BV258" s="107"/>
      <c r="BW258" s="107"/>
      <c r="BX258" s="107"/>
      <c r="BY258" s="107"/>
      <c r="BZ258" s="107"/>
      <c r="CA258" s="107"/>
      <c r="CB258" s="107"/>
      <c r="CC258" s="107"/>
      <c r="CD258" s="107"/>
      <c r="CE258" s="107"/>
      <c r="CF258" s="107"/>
      <c r="CG258" s="107"/>
      <c r="CH258" s="107"/>
      <c r="CI258" s="107"/>
      <c r="CJ258" s="107"/>
      <c r="CK258" s="107"/>
      <c r="CL258" s="107"/>
      <c r="CM258" s="107"/>
      <c r="CN258" s="107"/>
      <c r="CO258" s="107"/>
      <c r="CP258" s="107"/>
      <c r="CQ258" s="107"/>
      <c r="CR258" s="107"/>
      <c r="CS258" s="107"/>
      <c r="CT258" s="107"/>
      <c r="CU258" s="107"/>
      <c r="CV258" s="107"/>
      <c r="CW258" s="107"/>
      <c r="CX258" s="107"/>
      <c r="CY258" s="107"/>
      <c r="CZ258" s="107"/>
      <c r="DA258" s="107"/>
      <c r="DB258" s="107"/>
      <c r="DC258" s="107"/>
      <c r="DD258" s="107"/>
      <c r="DE258" s="107"/>
      <c r="DF258" s="107"/>
      <c r="DG258" s="107"/>
      <c r="DH258" s="107"/>
      <c r="DI258" s="107"/>
      <c r="DJ258" s="107"/>
      <c r="DK258" s="107"/>
      <c r="DL258" s="107"/>
      <c r="DM258" s="107"/>
      <c r="DN258" s="107"/>
      <c r="DO258" s="107"/>
      <c r="DP258" s="107"/>
      <c r="DQ258" s="107"/>
      <c r="DR258" s="107"/>
      <c r="DS258" s="107"/>
      <c r="DT258" s="727"/>
    </row>
    <row r="259" spans="1:124" ht="15" customHeight="1" x14ac:dyDescent="0.25">
      <c r="A259" s="821"/>
      <c r="B259" s="953" t="str">
        <f t="shared" si="14"/>
        <v>Desk 44</v>
      </c>
      <c r="C259" s="1220" t="str">
        <f>IF('TB IMA'!C48&lt;&gt;"",'TB IMA'!C48,"")</f>
        <v/>
      </c>
      <c r="D259" s="60"/>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7"/>
      <c r="BU259" s="107"/>
      <c r="BV259" s="107"/>
      <c r="BW259" s="107"/>
      <c r="BX259" s="107"/>
      <c r="BY259" s="107"/>
      <c r="BZ259" s="107"/>
      <c r="CA259" s="107"/>
      <c r="CB259" s="107"/>
      <c r="CC259" s="107"/>
      <c r="CD259" s="107"/>
      <c r="CE259" s="107"/>
      <c r="CF259" s="107"/>
      <c r="CG259" s="107"/>
      <c r="CH259" s="107"/>
      <c r="CI259" s="107"/>
      <c r="CJ259" s="107"/>
      <c r="CK259" s="107"/>
      <c r="CL259" s="107"/>
      <c r="CM259" s="107"/>
      <c r="CN259" s="107"/>
      <c r="CO259" s="107"/>
      <c r="CP259" s="107"/>
      <c r="CQ259" s="107"/>
      <c r="CR259" s="107"/>
      <c r="CS259" s="107"/>
      <c r="CT259" s="107"/>
      <c r="CU259" s="107"/>
      <c r="CV259" s="107"/>
      <c r="CW259" s="107"/>
      <c r="CX259" s="107"/>
      <c r="CY259" s="107"/>
      <c r="CZ259" s="107"/>
      <c r="DA259" s="107"/>
      <c r="DB259" s="107"/>
      <c r="DC259" s="107"/>
      <c r="DD259" s="107"/>
      <c r="DE259" s="107"/>
      <c r="DF259" s="107"/>
      <c r="DG259" s="107"/>
      <c r="DH259" s="107"/>
      <c r="DI259" s="107"/>
      <c r="DJ259" s="107"/>
      <c r="DK259" s="107"/>
      <c r="DL259" s="107"/>
      <c r="DM259" s="107"/>
      <c r="DN259" s="107"/>
      <c r="DO259" s="107"/>
      <c r="DP259" s="107"/>
      <c r="DQ259" s="107"/>
      <c r="DR259" s="107"/>
      <c r="DS259" s="107"/>
      <c r="DT259" s="727"/>
    </row>
    <row r="260" spans="1:124" ht="15" customHeight="1" x14ac:dyDescent="0.25">
      <c r="A260" s="821"/>
      <c r="B260" s="953" t="str">
        <f t="shared" si="14"/>
        <v>Desk 45</v>
      </c>
      <c r="C260" s="1220" t="str">
        <f>IF('TB IMA'!C49&lt;&gt;"",'TB IMA'!C49,"")</f>
        <v/>
      </c>
      <c r="D260" s="60"/>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c r="BL260" s="107"/>
      <c r="BM260" s="107"/>
      <c r="BN260" s="107"/>
      <c r="BO260" s="107"/>
      <c r="BP260" s="107"/>
      <c r="BQ260" s="107"/>
      <c r="BR260" s="107"/>
      <c r="BS260" s="107"/>
      <c r="BT260" s="107"/>
      <c r="BU260" s="107"/>
      <c r="BV260" s="107"/>
      <c r="BW260" s="107"/>
      <c r="BX260" s="107"/>
      <c r="BY260" s="107"/>
      <c r="BZ260" s="107"/>
      <c r="CA260" s="107"/>
      <c r="CB260" s="107"/>
      <c r="CC260" s="107"/>
      <c r="CD260" s="107"/>
      <c r="CE260" s="107"/>
      <c r="CF260" s="107"/>
      <c r="CG260" s="107"/>
      <c r="CH260" s="107"/>
      <c r="CI260" s="107"/>
      <c r="CJ260" s="107"/>
      <c r="CK260" s="107"/>
      <c r="CL260" s="107"/>
      <c r="CM260" s="107"/>
      <c r="CN260" s="107"/>
      <c r="CO260" s="107"/>
      <c r="CP260" s="107"/>
      <c r="CQ260" s="107"/>
      <c r="CR260" s="107"/>
      <c r="CS260" s="107"/>
      <c r="CT260" s="107"/>
      <c r="CU260" s="107"/>
      <c r="CV260" s="107"/>
      <c r="CW260" s="107"/>
      <c r="CX260" s="107"/>
      <c r="CY260" s="107"/>
      <c r="CZ260" s="107"/>
      <c r="DA260" s="107"/>
      <c r="DB260" s="107"/>
      <c r="DC260" s="107"/>
      <c r="DD260" s="107"/>
      <c r="DE260" s="107"/>
      <c r="DF260" s="107"/>
      <c r="DG260" s="107"/>
      <c r="DH260" s="107"/>
      <c r="DI260" s="107"/>
      <c r="DJ260" s="107"/>
      <c r="DK260" s="107"/>
      <c r="DL260" s="107"/>
      <c r="DM260" s="107"/>
      <c r="DN260" s="107"/>
      <c r="DO260" s="107"/>
      <c r="DP260" s="107"/>
      <c r="DQ260" s="107"/>
      <c r="DR260" s="107"/>
      <c r="DS260" s="107"/>
      <c r="DT260" s="727"/>
    </row>
    <row r="261" spans="1:124" ht="15" customHeight="1" x14ac:dyDescent="0.25">
      <c r="A261" s="821"/>
      <c r="B261" s="953" t="str">
        <f t="shared" si="14"/>
        <v>Desk 46</v>
      </c>
      <c r="C261" s="1220" t="str">
        <f>IF('TB IMA'!C50&lt;&gt;"",'TB IMA'!C50,"")</f>
        <v/>
      </c>
      <c r="D261" s="60"/>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c r="BL261" s="107"/>
      <c r="BM261" s="107"/>
      <c r="BN261" s="107"/>
      <c r="BO261" s="107"/>
      <c r="BP261" s="107"/>
      <c r="BQ261" s="107"/>
      <c r="BR261" s="107"/>
      <c r="BS261" s="107"/>
      <c r="BT261" s="107"/>
      <c r="BU261" s="107"/>
      <c r="BV261" s="107"/>
      <c r="BW261" s="107"/>
      <c r="BX261" s="107"/>
      <c r="BY261" s="107"/>
      <c r="BZ261" s="107"/>
      <c r="CA261" s="107"/>
      <c r="CB261" s="107"/>
      <c r="CC261" s="107"/>
      <c r="CD261" s="107"/>
      <c r="CE261" s="107"/>
      <c r="CF261" s="107"/>
      <c r="CG261" s="107"/>
      <c r="CH261" s="107"/>
      <c r="CI261" s="107"/>
      <c r="CJ261" s="107"/>
      <c r="CK261" s="107"/>
      <c r="CL261" s="107"/>
      <c r="CM261" s="107"/>
      <c r="CN261" s="107"/>
      <c r="CO261" s="107"/>
      <c r="CP261" s="107"/>
      <c r="CQ261" s="107"/>
      <c r="CR261" s="107"/>
      <c r="CS261" s="107"/>
      <c r="CT261" s="107"/>
      <c r="CU261" s="107"/>
      <c r="CV261" s="107"/>
      <c r="CW261" s="107"/>
      <c r="CX261" s="107"/>
      <c r="CY261" s="107"/>
      <c r="CZ261" s="107"/>
      <c r="DA261" s="107"/>
      <c r="DB261" s="107"/>
      <c r="DC261" s="107"/>
      <c r="DD261" s="107"/>
      <c r="DE261" s="107"/>
      <c r="DF261" s="107"/>
      <c r="DG261" s="107"/>
      <c r="DH261" s="107"/>
      <c r="DI261" s="107"/>
      <c r="DJ261" s="107"/>
      <c r="DK261" s="107"/>
      <c r="DL261" s="107"/>
      <c r="DM261" s="107"/>
      <c r="DN261" s="107"/>
      <c r="DO261" s="107"/>
      <c r="DP261" s="107"/>
      <c r="DQ261" s="107"/>
      <c r="DR261" s="107"/>
      <c r="DS261" s="107"/>
      <c r="DT261" s="727"/>
    </row>
    <row r="262" spans="1:124" ht="15" customHeight="1" x14ac:dyDescent="0.25">
      <c r="A262" s="821"/>
      <c r="B262" s="953" t="str">
        <f t="shared" si="14"/>
        <v>Desk 47</v>
      </c>
      <c r="C262" s="1220" t="str">
        <f>IF('TB IMA'!C51&lt;&gt;"",'TB IMA'!C51,"")</f>
        <v/>
      </c>
      <c r="D262" s="60"/>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7"/>
      <c r="AW262" s="107"/>
      <c r="AX262" s="107"/>
      <c r="AY262" s="107"/>
      <c r="AZ262" s="107"/>
      <c r="BA262" s="107"/>
      <c r="BB262" s="107"/>
      <c r="BC262" s="107"/>
      <c r="BD262" s="107"/>
      <c r="BE262" s="107"/>
      <c r="BF262" s="107"/>
      <c r="BG262" s="107"/>
      <c r="BH262" s="107"/>
      <c r="BI262" s="107"/>
      <c r="BJ262" s="107"/>
      <c r="BK262" s="107"/>
      <c r="BL262" s="107"/>
      <c r="BM262" s="107"/>
      <c r="BN262" s="107"/>
      <c r="BO262" s="107"/>
      <c r="BP262" s="107"/>
      <c r="BQ262" s="107"/>
      <c r="BR262" s="107"/>
      <c r="BS262" s="107"/>
      <c r="BT262" s="107"/>
      <c r="BU262" s="107"/>
      <c r="BV262" s="107"/>
      <c r="BW262" s="107"/>
      <c r="BX262" s="107"/>
      <c r="BY262" s="107"/>
      <c r="BZ262" s="107"/>
      <c r="CA262" s="107"/>
      <c r="CB262" s="107"/>
      <c r="CC262" s="107"/>
      <c r="CD262" s="107"/>
      <c r="CE262" s="107"/>
      <c r="CF262" s="107"/>
      <c r="CG262" s="107"/>
      <c r="CH262" s="107"/>
      <c r="CI262" s="107"/>
      <c r="CJ262" s="107"/>
      <c r="CK262" s="107"/>
      <c r="CL262" s="107"/>
      <c r="CM262" s="107"/>
      <c r="CN262" s="107"/>
      <c r="CO262" s="107"/>
      <c r="CP262" s="107"/>
      <c r="CQ262" s="107"/>
      <c r="CR262" s="107"/>
      <c r="CS262" s="107"/>
      <c r="CT262" s="107"/>
      <c r="CU262" s="107"/>
      <c r="CV262" s="107"/>
      <c r="CW262" s="107"/>
      <c r="CX262" s="107"/>
      <c r="CY262" s="107"/>
      <c r="CZ262" s="107"/>
      <c r="DA262" s="107"/>
      <c r="DB262" s="107"/>
      <c r="DC262" s="107"/>
      <c r="DD262" s="107"/>
      <c r="DE262" s="107"/>
      <c r="DF262" s="107"/>
      <c r="DG262" s="107"/>
      <c r="DH262" s="107"/>
      <c r="DI262" s="107"/>
      <c r="DJ262" s="107"/>
      <c r="DK262" s="107"/>
      <c r="DL262" s="107"/>
      <c r="DM262" s="107"/>
      <c r="DN262" s="107"/>
      <c r="DO262" s="107"/>
      <c r="DP262" s="107"/>
      <c r="DQ262" s="107"/>
      <c r="DR262" s="107"/>
      <c r="DS262" s="107"/>
      <c r="DT262" s="727"/>
    </row>
    <row r="263" spans="1:124" ht="15" customHeight="1" x14ac:dyDescent="0.25">
      <c r="A263" s="821"/>
      <c r="B263" s="953" t="str">
        <f t="shared" si="14"/>
        <v>Desk 48</v>
      </c>
      <c r="C263" s="1220" t="str">
        <f>IF('TB IMA'!C52&lt;&gt;"",'TB IMA'!C52,"")</f>
        <v/>
      </c>
      <c r="D263" s="60"/>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c r="BB263" s="107"/>
      <c r="BC263" s="107"/>
      <c r="BD263" s="107"/>
      <c r="BE263" s="107"/>
      <c r="BF263" s="107"/>
      <c r="BG263" s="107"/>
      <c r="BH263" s="107"/>
      <c r="BI263" s="107"/>
      <c r="BJ263" s="107"/>
      <c r="BK263" s="107"/>
      <c r="BL263" s="107"/>
      <c r="BM263" s="107"/>
      <c r="BN263" s="107"/>
      <c r="BO263" s="107"/>
      <c r="BP263" s="107"/>
      <c r="BQ263" s="107"/>
      <c r="BR263" s="107"/>
      <c r="BS263" s="107"/>
      <c r="BT263" s="107"/>
      <c r="BU263" s="107"/>
      <c r="BV263" s="107"/>
      <c r="BW263" s="107"/>
      <c r="BX263" s="107"/>
      <c r="BY263" s="107"/>
      <c r="BZ263" s="107"/>
      <c r="CA263" s="107"/>
      <c r="CB263" s="107"/>
      <c r="CC263" s="107"/>
      <c r="CD263" s="107"/>
      <c r="CE263" s="107"/>
      <c r="CF263" s="107"/>
      <c r="CG263" s="107"/>
      <c r="CH263" s="107"/>
      <c r="CI263" s="107"/>
      <c r="CJ263" s="107"/>
      <c r="CK263" s="107"/>
      <c r="CL263" s="107"/>
      <c r="CM263" s="107"/>
      <c r="CN263" s="107"/>
      <c r="CO263" s="107"/>
      <c r="CP263" s="107"/>
      <c r="CQ263" s="107"/>
      <c r="CR263" s="107"/>
      <c r="CS263" s="107"/>
      <c r="CT263" s="107"/>
      <c r="CU263" s="107"/>
      <c r="CV263" s="107"/>
      <c r="CW263" s="107"/>
      <c r="CX263" s="107"/>
      <c r="CY263" s="107"/>
      <c r="CZ263" s="107"/>
      <c r="DA263" s="107"/>
      <c r="DB263" s="107"/>
      <c r="DC263" s="107"/>
      <c r="DD263" s="107"/>
      <c r="DE263" s="107"/>
      <c r="DF263" s="107"/>
      <c r="DG263" s="107"/>
      <c r="DH263" s="107"/>
      <c r="DI263" s="107"/>
      <c r="DJ263" s="107"/>
      <c r="DK263" s="107"/>
      <c r="DL263" s="107"/>
      <c r="DM263" s="107"/>
      <c r="DN263" s="107"/>
      <c r="DO263" s="107"/>
      <c r="DP263" s="107"/>
      <c r="DQ263" s="107"/>
      <c r="DR263" s="107"/>
      <c r="DS263" s="107"/>
      <c r="DT263" s="727"/>
    </row>
    <row r="264" spans="1:124" ht="15" customHeight="1" x14ac:dyDescent="0.25">
      <c r="A264" s="821"/>
      <c r="B264" s="953" t="str">
        <f t="shared" si="14"/>
        <v>Desk 49</v>
      </c>
      <c r="C264" s="1220" t="str">
        <f>IF('TB IMA'!C53&lt;&gt;"",'TB IMA'!C53,"")</f>
        <v/>
      </c>
      <c r="D264" s="60"/>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c r="BB264" s="107"/>
      <c r="BC264" s="107"/>
      <c r="BD264" s="107"/>
      <c r="BE264" s="107"/>
      <c r="BF264" s="107"/>
      <c r="BG264" s="107"/>
      <c r="BH264" s="107"/>
      <c r="BI264" s="107"/>
      <c r="BJ264" s="107"/>
      <c r="BK264" s="107"/>
      <c r="BL264" s="107"/>
      <c r="BM264" s="107"/>
      <c r="BN264" s="107"/>
      <c r="BO264" s="107"/>
      <c r="BP264" s="107"/>
      <c r="BQ264" s="107"/>
      <c r="BR264" s="107"/>
      <c r="BS264" s="107"/>
      <c r="BT264" s="107"/>
      <c r="BU264" s="107"/>
      <c r="BV264" s="107"/>
      <c r="BW264" s="107"/>
      <c r="BX264" s="107"/>
      <c r="BY264" s="107"/>
      <c r="BZ264" s="107"/>
      <c r="CA264" s="107"/>
      <c r="CB264" s="107"/>
      <c r="CC264" s="107"/>
      <c r="CD264" s="107"/>
      <c r="CE264" s="107"/>
      <c r="CF264" s="107"/>
      <c r="CG264" s="107"/>
      <c r="CH264" s="107"/>
      <c r="CI264" s="107"/>
      <c r="CJ264" s="107"/>
      <c r="CK264" s="107"/>
      <c r="CL264" s="107"/>
      <c r="CM264" s="107"/>
      <c r="CN264" s="107"/>
      <c r="CO264" s="107"/>
      <c r="CP264" s="107"/>
      <c r="CQ264" s="107"/>
      <c r="CR264" s="107"/>
      <c r="CS264" s="107"/>
      <c r="CT264" s="107"/>
      <c r="CU264" s="107"/>
      <c r="CV264" s="107"/>
      <c r="CW264" s="107"/>
      <c r="CX264" s="107"/>
      <c r="CY264" s="107"/>
      <c r="CZ264" s="107"/>
      <c r="DA264" s="107"/>
      <c r="DB264" s="107"/>
      <c r="DC264" s="107"/>
      <c r="DD264" s="107"/>
      <c r="DE264" s="107"/>
      <c r="DF264" s="107"/>
      <c r="DG264" s="107"/>
      <c r="DH264" s="107"/>
      <c r="DI264" s="107"/>
      <c r="DJ264" s="107"/>
      <c r="DK264" s="107"/>
      <c r="DL264" s="107"/>
      <c r="DM264" s="107"/>
      <c r="DN264" s="107"/>
      <c r="DO264" s="107"/>
      <c r="DP264" s="107"/>
      <c r="DQ264" s="107"/>
      <c r="DR264" s="107"/>
      <c r="DS264" s="107"/>
      <c r="DT264" s="727"/>
    </row>
    <row r="265" spans="1:124" ht="15" customHeight="1" x14ac:dyDescent="0.25">
      <c r="A265" s="821"/>
      <c r="B265" s="953" t="str">
        <f t="shared" si="14"/>
        <v>Desk 50</v>
      </c>
      <c r="C265" s="1220" t="str">
        <f>IF('TB IMA'!C54&lt;&gt;"",'TB IMA'!C54,"")</f>
        <v/>
      </c>
      <c r="D265" s="60"/>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c r="BL265" s="107"/>
      <c r="BM265" s="107"/>
      <c r="BN265" s="107"/>
      <c r="BO265" s="107"/>
      <c r="BP265" s="107"/>
      <c r="BQ265" s="107"/>
      <c r="BR265" s="107"/>
      <c r="BS265" s="107"/>
      <c r="BT265" s="107"/>
      <c r="BU265" s="107"/>
      <c r="BV265" s="107"/>
      <c r="BW265" s="107"/>
      <c r="BX265" s="107"/>
      <c r="BY265" s="107"/>
      <c r="BZ265" s="107"/>
      <c r="CA265" s="107"/>
      <c r="CB265" s="107"/>
      <c r="CC265" s="107"/>
      <c r="CD265" s="107"/>
      <c r="CE265" s="107"/>
      <c r="CF265" s="107"/>
      <c r="CG265" s="107"/>
      <c r="CH265" s="107"/>
      <c r="CI265" s="107"/>
      <c r="CJ265" s="107"/>
      <c r="CK265" s="107"/>
      <c r="CL265" s="107"/>
      <c r="CM265" s="107"/>
      <c r="CN265" s="107"/>
      <c r="CO265" s="107"/>
      <c r="CP265" s="107"/>
      <c r="CQ265" s="107"/>
      <c r="CR265" s="107"/>
      <c r="CS265" s="107"/>
      <c r="CT265" s="107"/>
      <c r="CU265" s="107"/>
      <c r="CV265" s="107"/>
      <c r="CW265" s="107"/>
      <c r="CX265" s="107"/>
      <c r="CY265" s="107"/>
      <c r="CZ265" s="107"/>
      <c r="DA265" s="107"/>
      <c r="DB265" s="107"/>
      <c r="DC265" s="107"/>
      <c r="DD265" s="107"/>
      <c r="DE265" s="107"/>
      <c r="DF265" s="107"/>
      <c r="DG265" s="107"/>
      <c r="DH265" s="107"/>
      <c r="DI265" s="107"/>
      <c r="DJ265" s="107"/>
      <c r="DK265" s="107"/>
      <c r="DL265" s="107"/>
      <c r="DM265" s="107"/>
      <c r="DN265" s="107"/>
      <c r="DO265" s="107"/>
      <c r="DP265" s="107"/>
      <c r="DQ265" s="107"/>
      <c r="DR265" s="107"/>
      <c r="DS265" s="107"/>
      <c r="DT265" s="727"/>
    </row>
    <row r="266" spans="1:124" ht="15" customHeight="1" x14ac:dyDescent="0.25">
      <c r="A266" s="821"/>
      <c r="B266" s="953" t="str">
        <f t="shared" si="14"/>
        <v>Desk 51</v>
      </c>
      <c r="C266" s="1220" t="str">
        <f>IF('TB IMA'!C55&lt;&gt;"",'TB IMA'!C55,"")</f>
        <v/>
      </c>
      <c r="D266" s="60"/>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c r="CC266" s="107"/>
      <c r="CD266" s="107"/>
      <c r="CE266" s="107"/>
      <c r="CF266" s="107"/>
      <c r="CG266" s="107"/>
      <c r="CH266" s="107"/>
      <c r="CI266" s="107"/>
      <c r="CJ266" s="107"/>
      <c r="CK266" s="107"/>
      <c r="CL266" s="107"/>
      <c r="CM266" s="107"/>
      <c r="CN266" s="107"/>
      <c r="CO266" s="107"/>
      <c r="CP266" s="107"/>
      <c r="CQ266" s="107"/>
      <c r="CR266" s="107"/>
      <c r="CS266" s="107"/>
      <c r="CT266" s="107"/>
      <c r="CU266" s="107"/>
      <c r="CV266" s="107"/>
      <c r="CW266" s="107"/>
      <c r="CX266" s="107"/>
      <c r="CY266" s="107"/>
      <c r="CZ266" s="107"/>
      <c r="DA266" s="107"/>
      <c r="DB266" s="107"/>
      <c r="DC266" s="107"/>
      <c r="DD266" s="107"/>
      <c r="DE266" s="107"/>
      <c r="DF266" s="107"/>
      <c r="DG266" s="107"/>
      <c r="DH266" s="107"/>
      <c r="DI266" s="107"/>
      <c r="DJ266" s="107"/>
      <c r="DK266" s="107"/>
      <c r="DL266" s="107"/>
      <c r="DM266" s="107"/>
      <c r="DN266" s="107"/>
      <c r="DO266" s="107"/>
      <c r="DP266" s="107"/>
      <c r="DQ266" s="107"/>
      <c r="DR266" s="107"/>
      <c r="DS266" s="107"/>
      <c r="DT266" s="727"/>
    </row>
    <row r="267" spans="1:124" ht="15" customHeight="1" x14ac:dyDescent="0.25">
      <c r="A267" s="821"/>
      <c r="B267" s="953" t="str">
        <f t="shared" si="14"/>
        <v>Desk 52</v>
      </c>
      <c r="C267" s="1220" t="str">
        <f>IF('TB IMA'!C56&lt;&gt;"",'TB IMA'!C56,"")</f>
        <v/>
      </c>
      <c r="D267" s="60"/>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c r="CP267" s="107"/>
      <c r="CQ267" s="107"/>
      <c r="CR267" s="107"/>
      <c r="CS267" s="107"/>
      <c r="CT267" s="107"/>
      <c r="CU267" s="107"/>
      <c r="CV267" s="107"/>
      <c r="CW267" s="107"/>
      <c r="CX267" s="107"/>
      <c r="CY267" s="107"/>
      <c r="CZ267" s="107"/>
      <c r="DA267" s="107"/>
      <c r="DB267" s="107"/>
      <c r="DC267" s="107"/>
      <c r="DD267" s="107"/>
      <c r="DE267" s="107"/>
      <c r="DF267" s="107"/>
      <c r="DG267" s="107"/>
      <c r="DH267" s="107"/>
      <c r="DI267" s="107"/>
      <c r="DJ267" s="107"/>
      <c r="DK267" s="107"/>
      <c r="DL267" s="107"/>
      <c r="DM267" s="107"/>
      <c r="DN267" s="107"/>
      <c r="DO267" s="107"/>
      <c r="DP267" s="107"/>
      <c r="DQ267" s="107"/>
      <c r="DR267" s="107"/>
      <c r="DS267" s="107"/>
      <c r="DT267" s="727"/>
    </row>
    <row r="268" spans="1:124" ht="15" customHeight="1" x14ac:dyDescent="0.25">
      <c r="A268" s="821"/>
      <c r="B268" s="953" t="str">
        <f t="shared" si="14"/>
        <v>Desk 53</v>
      </c>
      <c r="C268" s="1220" t="str">
        <f>IF('TB IMA'!C57&lt;&gt;"",'TB IMA'!C57,"")</f>
        <v/>
      </c>
      <c r="D268" s="60"/>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c r="CC268" s="107"/>
      <c r="CD268" s="107"/>
      <c r="CE268" s="107"/>
      <c r="CF268" s="107"/>
      <c r="CG268" s="107"/>
      <c r="CH268" s="107"/>
      <c r="CI268" s="107"/>
      <c r="CJ268" s="107"/>
      <c r="CK268" s="107"/>
      <c r="CL268" s="107"/>
      <c r="CM268" s="107"/>
      <c r="CN268" s="107"/>
      <c r="CO268" s="107"/>
      <c r="CP268" s="107"/>
      <c r="CQ268" s="107"/>
      <c r="CR268" s="107"/>
      <c r="CS268" s="107"/>
      <c r="CT268" s="107"/>
      <c r="CU268" s="107"/>
      <c r="CV268" s="107"/>
      <c r="CW268" s="107"/>
      <c r="CX268" s="107"/>
      <c r="CY268" s="107"/>
      <c r="CZ268" s="107"/>
      <c r="DA268" s="107"/>
      <c r="DB268" s="107"/>
      <c r="DC268" s="107"/>
      <c r="DD268" s="107"/>
      <c r="DE268" s="107"/>
      <c r="DF268" s="107"/>
      <c r="DG268" s="107"/>
      <c r="DH268" s="107"/>
      <c r="DI268" s="107"/>
      <c r="DJ268" s="107"/>
      <c r="DK268" s="107"/>
      <c r="DL268" s="107"/>
      <c r="DM268" s="107"/>
      <c r="DN268" s="107"/>
      <c r="DO268" s="107"/>
      <c r="DP268" s="107"/>
      <c r="DQ268" s="107"/>
      <c r="DR268" s="107"/>
      <c r="DS268" s="107"/>
      <c r="DT268" s="727"/>
    </row>
    <row r="269" spans="1:124" ht="15" customHeight="1" x14ac:dyDescent="0.25">
      <c r="A269" s="821"/>
      <c r="B269" s="953" t="str">
        <f t="shared" si="14"/>
        <v>Desk 54</v>
      </c>
      <c r="C269" s="1220" t="str">
        <f>IF('TB IMA'!C58&lt;&gt;"",'TB IMA'!C58,"")</f>
        <v/>
      </c>
      <c r="D269" s="60"/>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c r="BL269" s="107"/>
      <c r="BM269" s="107"/>
      <c r="BN269" s="107"/>
      <c r="BO269" s="107"/>
      <c r="BP269" s="107"/>
      <c r="BQ269" s="107"/>
      <c r="BR269" s="107"/>
      <c r="BS269" s="107"/>
      <c r="BT269" s="107"/>
      <c r="BU269" s="107"/>
      <c r="BV269" s="107"/>
      <c r="BW269" s="107"/>
      <c r="BX269" s="107"/>
      <c r="BY269" s="107"/>
      <c r="BZ269" s="107"/>
      <c r="CA269" s="107"/>
      <c r="CB269" s="107"/>
      <c r="CC269" s="107"/>
      <c r="CD269" s="107"/>
      <c r="CE269" s="107"/>
      <c r="CF269" s="107"/>
      <c r="CG269" s="107"/>
      <c r="CH269" s="107"/>
      <c r="CI269" s="107"/>
      <c r="CJ269" s="107"/>
      <c r="CK269" s="107"/>
      <c r="CL269" s="107"/>
      <c r="CM269" s="107"/>
      <c r="CN269" s="107"/>
      <c r="CO269" s="107"/>
      <c r="CP269" s="107"/>
      <c r="CQ269" s="107"/>
      <c r="CR269" s="107"/>
      <c r="CS269" s="107"/>
      <c r="CT269" s="107"/>
      <c r="CU269" s="107"/>
      <c r="CV269" s="107"/>
      <c r="CW269" s="107"/>
      <c r="CX269" s="107"/>
      <c r="CY269" s="107"/>
      <c r="CZ269" s="107"/>
      <c r="DA269" s="107"/>
      <c r="DB269" s="107"/>
      <c r="DC269" s="107"/>
      <c r="DD269" s="107"/>
      <c r="DE269" s="107"/>
      <c r="DF269" s="107"/>
      <c r="DG269" s="107"/>
      <c r="DH269" s="107"/>
      <c r="DI269" s="107"/>
      <c r="DJ269" s="107"/>
      <c r="DK269" s="107"/>
      <c r="DL269" s="107"/>
      <c r="DM269" s="107"/>
      <c r="DN269" s="107"/>
      <c r="DO269" s="107"/>
      <c r="DP269" s="107"/>
      <c r="DQ269" s="107"/>
      <c r="DR269" s="107"/>
      <c r="DS269" s="107"/>
      <c r="DT269" s="727"/>
    </row>
    <row r="270" spans="1:124" ht="15" customHeight="1" x14ac:dyDescent="0.25">
      <c r="A270" s="821"/>
      <c r="B270" s="953" t="str">
        <f t="shared" si="14"/>
        <v>Desk 55</v>
      </c>
      <c r="C270" s="1220" t="str">
        <f>IF('TB IMA'!C59&lt;&gt;"",'TB IMA'!C59,"")</f>
        <v/>
      </c>
      <c r="D270" s="60"/>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c r="BL270" s="107"/>
      <c r="BM270" s="107"/>
      <c r="BN270" s="107"/>
      <c r="BO270" s="107"/>
      <c r="BP270" s="107"/>
      <c r="BQ270" s="107"/>
      <c r="BR270" s="107"/>
      <c r="BS270" s="107"/>
      <c r="BT270" s="107"/>
      <c r="BU270" s="107"/>
      <c r="BV270" s="107"/>
      <c r="BW270" s="107"/>
      <c r="BX270" s="107"/>
      <c r="BY270" s="107"/>
      <c r="BZ270" s="107"/>
      <c r="CA270" s="107"/>
      <c r="CB270" s="107"/>
      <c r="CC270" s="107"/>
      <c r="CD270" s="107"/>
      <c r="CE270" s="107"/>
      <c r="CF270" s="107"/>
      <c r="CG270" s="107"/>
      <c r="CH270" s="107"/>
      <c r="CI270" s="107"/>
      <c r="CJ270" s="107"/>
      <c r="CK270" s="107"/>
      <c r="CL270" s="107"/>
      <c r="CM270" s="107"/>
      <c r="CN270" s="107"/>
      <c r="CO270" s="107"/>
      <c r="CP270" s="107"/>
      <c r="CQ270" s="107"/>
      <c r="CR270" s="107"/>
      <c r="CS270" s="107"/>
      <c r="CT270" s="107"/>
      <c r="CU270" s="107"/>
      <c r="CV270" s="107"/>
      <c r="CW270" s="107"/>
      <c r="CX270" s="107"/>
      <c r="CY270" s="107"/>
      <c r="CZ270" s="107"/>
      <c r="DA270" s="107"/>
      <c r="DB270" s="107"/>
      <c r="DC270" s="107"/>
      <c r="DD270" s="107"/>
      <c r="DE270" s="107"/>
      <c r="DF270" s="107"/>
      <c r="DG270" s="107"/>
      <c r="DH270" s="107"/>
      <c r="DI270" s="107"/>
      <c r="DJ270" s="107"/>
      <c r="DK270" s="107"/>
      <c r="DL270" s="107"/>
      <c r="DM270" s="107"/>
      <c r="DN270" s="107"/>
      <c r="DO270" s="107"/>
      <c r="DP270" s="107"/>
      <c r="DQ270" s="107"/>
      <c r="DR270" s="107"/>
      <c r="DS270" s="107"/>
      <c r="DT270" s="727"/>
    </row>
    <row r="271" spans="1:124" ht="15" customHeight="1" x14ac:dyDescent="0.25">
      <c r="A271" s="821"/>
      <c r="B271" s="953" t="str">
        <f t="shared" si="14"/>
        <v>Desk 56</v>
      </c>
      <c r="C271" s="1220" t="str">
        <f>IF('TB IMA'!C60&lt;&gt;"",'TB IMA'!C60,"")</f>
        <v/>
      </c>
      <c r="D271" s="60"/>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c r="BL271" s="107"/>
      <c r="BM271" s="107"/>
      <c r="BN271" s="107"/>
      <c r="BO271" s="107"/>
      <c r="BP271" s="107"/>
      <c r="BQ271" s="107"/>
      <c r="BR271" s="107"/>
      <c r="BS271" s="107"/>
      <c r="BT271" s="107"/>
      <c r="BU271" s="107"/>
      <c r="BV271" s="107"/>
      <c r="BW271" s="107"/>
      <c r="BX271" s="107"/>
      <c r="BY271" s="107"/>
      <c r="BZ271" s="107"/>
      <c r="CA271" s="107"/>
      <c r="CB271" s="107"/>
      <c r="CC271" s="107"/>
      <c r="CD271" s="107"/>
      <c r="CE271" s="107"/>
      <c r="CF271" s="107"/>
      <c r="CG271" s="107"/>
      <c r="CH271" s="107"/>
      <c r="CI271" s="107"/>
      <c r="CJ271" s="107"/>
      <c r="CK271" s="107"/>
      <c r="CL271" s="107"/>
      <c r="CM271" s="107"/>
      <c r="CN271" s="107"/>
      <c r="CO271" s="107"/>
      <c r="CP271" s="107"/>
      <c r="CQ271" s="107"/>
      <c r="CR271" s="107"/>
      <c r="CS271" s="107"/>
      <c r="CT271" s="107"/>
      <c r="CU271" s="107"/>
      <c r="CV271" s="107"/>
      <c r="CW271" s="107"/>
      <c r="CX271" s="107"/>
      <c r="CY271" s="107"/>
      <c r="CZ271" s="107"/>
      <c r="DA271" s="107"/>
      <c r="DB271" s="107"/>
      <c r="DC271" s="107"/>
      <c r="DD271" s="107"/>
      <c r="DE271" s="107"/>
      <c r="DF271" s="107"/>
      <c r="DG271" s="107"/>
      <c r="DH271" s="107"/>
      <c r="DI271" s="107"/>
      <c r="DJ271" s="107"/>
      <c r="DK271" s="107"/>
      <c r="DL271" s="107"/>
      <c r="DM271" s="107"/>
      <c r="DN271" s="107"/>
      <c r="DO271" s="107"/>
      <c r="DP271" s="107"/>
      <c r="DQ271" s="107"/>
      <c r="DR271" s="107"/>
      <c r="DS271" s="107"/>
      <c r="DT271" s="727"/>
    </row>
    <row r="272" spans="1:124" ht="15" customHeight="1" x14ac:dyDescent="0.25">
      <c r="A272" s="821"/>
      <c r="B272" s="953" t="str">
        <f t="shared" si="14"/>
        <v>Desk 57</v>
      </c>
      <c r="C272" s="1220" t="str">
        <f>IF('TB IMA'!C61&lt;&gt;"",'TB IMA'!C61,"")</f>
        <v/>
      </c>
      <c r="D272" s="60"/>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07"/>
      <c r="BC272" s="107"/>
      <c r="BD272" s="107"/>
      <c r="BE272" s="107"/>
      <c r="BF272" s="107"/>
      <c r="BG272" s="107"/>
      <c r="BH272" s="107"/>
      <c r="BI272" s="107"/>
      <c r="BJ272" s="107"/>
      <c r="BK272" s="107"/>
      <c r="BL272" s="107"/>
      <c r="BM272" s="107"/>
      <c r="BN272" s="107"/>
      <c r="BO272" s="107"/>
      <c r="BP272" s="107"/>
      <c r="BQ272" s="107"/>
      <c r="BR272" s="107"/>
      <c r="BS272" s="107"/>
      <c r="BT272" s="107"/>
      <c r="BU272" s="107"/>
      <c r="BV272" s="107"/>
      <c r="BW272" s="107"/>
      <c r="BX272" s="107"/>
      <c r="BY272" s="107"/>
      <c r="BZ272" s="107"/>
      <c r="CA272" s="107"/>
      <c r="CB272" s="107"/>
      <c r="CC272" s="107"/>
      <c r="CD272" s="107"/>
      <c r="CE272" s="107"/>
      <c r="CF272" s="107"/>
      <c r="CG272" s="107"/>
      <c r="CH272" s="107"/>
      <c r="CI272" s="107"/>
      <c r="CJ272" s="107"/>
      <c r="CK272" s="107"/>
      <c r="CL272" s="107"/>
      <c r="CM272" s="107"/>
      <c r="CN272" s="107"/>
      <c r="CO272" s="107"/>
      <c r="CP272" s="107"/>
      <c r="CQ272" s="107"/>
      <c r="CR272" s="107"/>
      <c r="CS272" s="107"/>
      <c r="CT272" s="107"/>
      <c r="CU272" s="107"/>
      <c r="CV272" s="107"/>
      <c r="CW272" s="107"/>
      <c r="CX272" s="107"/>
      <c r="CY272" s="107"/>
      <c r="CZ272" s="107"/>
      <c r="DA272" s="107"/>
      <c r="DB272" s="107"/>
      <c r="DC272" s="107"/>
      <c r="DD272" s="107"/>
      <c r="DE272" s="107"/>
      <c r="DF272" s="107"/>
      <c r="DG272" s="107"/>
      <c r="DH272" s="107"/>
      <c r="DI272" s="107"/>
      <c r="DJ272" s="107"/>
      <c r="DK272" s="107"/>
      <c r="DL272" s="107"/>
      <c r="DM272" s="107"/>
      <c r="DN272" s="107"/>
      <c r="DO272" s="107"/>
      <c r="DP272" s="107"/>
      <c r="DQ272" s="107"/>
      <c r="DR272" s="107"/>
      <c r="DS272" s="107"/>
      <c r="DT272" s="727"/>
    </row>
    <row r="273" spans="1:124" ht="15" customHeight="1" x14ac:dyDescent="0.25">
      <c r="A273" s="821"/>
      <c r="B273" s="953" t="str">
        <f t="shared" si="14"/>
        <v>Desk 58</v>
      </c>
      <c r="C273" s="1220" t="str">
        <f>IF('TB IMA'!C62&lt;&gt;"",'TB IMA'!C62,"")</f>
        <v/>
      </c>
      <c r="D273" s="60"/>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c r="BB273" s="107"/>
      <c r="BC273" s="107"/>
      <c r="BD273" s="107"/>
      <c r="BE273" s="107"/>
      <c r="BF273" s="107"/>
      <c r="BG273" s="107"/>
      <c r="BH273" s="107"/>
      <c r="BI273" s="107"/>
      <c r="BJ273" s="107"/>
      <c r="BK273" s="107"/>
      <c r="BL273" s="107"/>
      <c r="BM273" s="107"/>
      <c r="BN273" s="107"/>
      <c r="BO273" s="107"/>
      <c r="BP273" s="107"/>
      <c r="BQ273" s="107"/>
      <c r="BR273" s="107"/>
      <c r="BS273" s="107"/>
      <c r="BT273" s="107"/>
      <c r="BU273" s="107"/>
      <c r="BV273" s="107"/>
      <c r="BW273" s="107"/>
      <c r="BX273" s="107"/>
      <c r="BY273" s="107"/>
      <c r="BZ273" s="107"/>
      <c r="CA273" s="107"/>
      <c r="CB273" s="107"/>
      <c r="CC273" s="107"/>
      <c r="CD273" s="107"/>
      <c r="CE273" s="107"/>
      <c r="CF273" s="107"/>
      <c r="CG273" s="107"/>
      <c r="CH273" s="107"/>
      <c r="CI273" s="107"/>
      <c r="CJ273" s="107"/>
      <c r="CK273" s="107"/>
      <c r="CL273" s="107"/>
      <c r="CM273" s="107"/>
      <c r="CN273" s="107"/>
      <c r="CO273" s="107"/>
      <c r="CP273" s="107"/>
      <c r="CQ273" s="107"/>
      <c r="CR273" s="107"/>
      <c r="CS273" s="107"/>
      <c r="CT273" s="107"/>
      <c r="CU273" s="107"/>
      <c r="CV273" s="107"/>
      <c r="CW273" s="107"/>
      <c r="CX273" s="107"/>
      <c r="CY273" s="107"/>
      <c r="CZ273" s="107"/>
      <c r="DA273" s="107"/>
      <c r="DB273" s="107"/>
      <c r="DC273" s="107"/>
      <c r="DD273" s="107"/>
      <c r="DE273" s="107"/>
      <c r="DF273" s="107"/>
      <c r="DG273" s="107"/>
      <c r="DH273" s="107"/>
      <c r="DI273" s="107"/>
      <c r="DJ273" s="107"/>
      <c r="DK273" s="107"/>
      <c r="DL273" s="107"/>
      <c r="DM273" s="107"/>
      <c r="DN273" s="107"/>
      <c r="DO273" s="107"/>
      <c r="DP273" s="107"/>
      <c r="DQ273" s="107"/>
      <c r="DR273" s="107"/>
      <c r="DS273" s="107"/>
      <c r="DT273" s="727"/>
    </row>
    <row r="274" spans="1:124" ht="15" customHeight="1" x14ac:dyDescent="0.25">
      <c r="A274" s="821"/>
      <c r="B274" s="953" t="str">
        <f t="shared" si="14"/>
        <v>Desk 59</v>
      </c>
      <c r="C274" s="1220" t="str">
        <f>IF('TB IMA'!C63&lt;&gt;"",'TB IMA'!C63,"")</f>
        <v/>
      </c>
      <c r="D274" s="60"/>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c r="BB274" s="107"/>
      <c r="BC274" s="107"/>
      <c r="BD274" s="107"/>
      <c r="BE274" s="107"/>
      <c r="BF274" s="107"/>
      <c r="BG274" s="107"/>
      <c r="BH274" s="107"/>
      <c r="BI274" s="107"/>
      <c r="BJ274" s="107"/>
      <c r="BK274" s="107"/>
      <c r="BL274" s="107"/>
      <c r="BM274" s="107"/>
      <c r="BN274" s="107"/>
      <c r="BO274" s="107"/>
      <c r="BP274" s="107"/>
      <c r="BQ274" s="107"/>
      <c r="BR274" s="107"/>
      <c r="BS274" s="107"/>
      <c r="BT274" s="107"/>
      <c r="BU274" s="107"/>
      <c r="BV274" s="107"/>
      <c r="BW274" s="107"/>
      <c r="BX274" s="107"/>
      <c r="BY274" s="107"/>
      <c r="BZ274" s="107"/>
      <c r="CA274" s="107"/>
      <c r="CB274" s="107"/>
      <c r="CC274" s="107"/>
      <c r="CD274" s="107"/>
      <c r="CE274" s="107"/>
      <c r="CF274" s="107"/>
      <c r="CG274" s="107"/>
      <c r="CH274" s="107"/>
      <c r="CI274" s="107"/>
      <c r="CJ274" s="107"/>
      <c r="CK274" s="107"/>
      <c r="CL274" s="107"/>
      <c r="CM274" s="107"/>
      <c r="CN274" s="107"/>
      <c r="CO274" s="107"/>
      <c r="CP274" s="107"/>
      <c r="CQ274" s="107"/>
      <c r="CR274" s="107"/>
      <c r="CS274" s="107"/>
      <c r="CT274" s="107"/>
      <c r="CU274" s="107"/>
      <c r="CV274" s="107"/>
      <c r="CW274" s="107"/>
      <c r="CX274" s="107"/>
      <c r="CY274" s="107"/>
      <c r="CZ274" s="107"/>
      <c r="DA274" s="107"/>
      <c r="DB274" s="107"/>
      <c r="DC274" s="107"/>
      <c r="DD274" s="107"/>
      <c r="DE274" s="107"/>
      <c r="DF274" s="107"/>
      <c r="DG274" s="107"/>
      <c r="DH274" s="107"/>
      <c r="DI274" s="107"/>
      <c r="DJ274" s="107"/>
      <c r="DK274" s="107"/>
      <c r="DL274" s="107"/>
      <c r="DM274" s="107"/>
      <c r="DN274" s="107"/>
      <c r="DO274" s="107"/>
      <c r="DP274" s="107"/>
      <c r="DQ274" s="107"/>
      <c r="DR274" s="107"/>
      <c r="DS274" s="107"/>
      <c r="DT274" s="727"/>
    </row>
    <row r="275" spans="1:124" ht="15" customHeight="1" x14ac:dyDescent="0.25">
      <c r="A275" s="821"/>
      <c r="B275" s="953" t="str">
        <f t="shared" si="14"/>
        <v>Desk 60</v>
      </c>
      <c r="C275" s="1220" t="str">
        <f>IF('TB IMA'!C64&lt;&gt;"",'TB IMA'!C64,"")</f>
        <v/>
      </c>
      <c r="D275" s="60"/>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7"/>
      <c r="BU275" s="107"/>
      <c r="BV275" s="107"/>
      <c r="BW275" s="107"/>
      <c r="BX275" s="107"/>
      <c r="BY275" s="107"/>
      <c r="BZ275" s="107"/>
      <c r="CA275" s="107"/>
      <c r="CB275" s="107"/>
      <c r="CC275" s="107"/>
      <c r="CD275" s="107"/>
      <c r="CE275" s="107"/>
      <c r="CF275" s="107"/>
      <c r="CG275" s="107"/>
      <c r="CH275" s="107"/>
      <c r="CI275" s="107"/>
      <c r="CJ275" s="107"/>
      <c r="CK275" s="107"/>
      <c r="CL275" s="107"/>
      <c r="CM275" s="107"/>
      <c r="CN275" s="107"/>
      <c r="CO275" s="107"/>
      <c r="CP275" s="107"/>
      <c r="CQ275" s="107"/>
      <c r="CR275" s="107"/>
      <c r="CS275" s="107"/>
      <c r="CT275" s="107"/>
      <c r="CU275" s="107"/>
      <c r="CV275" s="107"/>
      <c r="CW275" s="107"/>
      <c r="CX275" s="107"/>
      <c r="CY275" s="107"/>
      <c r="CZ275" s="107"/>
      <c r="DA275" s="107"/>
      <c r="DB275" s="107"/>
      <c r="DC275" s="107"/>
      <c r="DD275" s="107"/>
      <c r="DE275" s="107"/>
      <c r="DF275" s="107"/>
      <c r="DG275" s="107"/>
      <c r="DH275" s="107"/>
      <c r="DI275" s="107"/>
      <c r="DJ275" s="107"/>
      <c r="DK275" s="107"/>
      <c r="DL275" s="107"/>
      <c r="DM275" s="107"/>
      <c r="DN275" s="107"/>
      <c r="DO275" s="107"/>
      <c r="DP275" s="107"/>
      <c r="DQ275" s="107"/>
      <c r="DR275" s="107"/>
      <c r="DS275" s="107"/>
      <c r="DT275" s="727"/>
    </row>
    <row r="276" spans="1:124" ht="15" customHeight="1" x14ac:dyDescent="0.25">
      <c r="A276" s="821"/>
      <c r="B276" s="953" t="str">
        <f t="shared" si="14"/>
        <v>Desk 61</v>
      </c>
      <c r="C276" s="1220" t="str">
        <f>IF('TB IMA'!C65&lt;&gt;"",'TB IMA'!C65,"")</f>
        <v/>
      </c>
      <c r="D276" s="60"/>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c r="BB276" s="107"/>
      <c r="BC276" s="107"/>
      <c r="BD276" s="107"/>
      <c r="BE276" s="107"/>
      <c r="BF276" s="107"/>
      <c r="BG276" s="107"/>
      <c r="BH276" s="107"/>
      <c r="BI276" s="107"/>
      <c r="BJ276" s="107"/>
      <c r="BK276" s="107"/>
      <c r="BL276" s="107"/>
      <c r="BM276" s="107"/>
      <c r="BN276" s="107"/>
      <c r="BO276" s="107"/>
      <c r="BP276" s="107"/>
      <c r="BQ276" s="107"/>
      <c r="BR276" s="107"/>
      <c r="BS276" s="107"/>
      <c r="BT276" s="107"/>
      <c r="BU276" s="107"/>
      <c r="BV276" s="107"/>
      <c r="BW276" s="107"/>
      <c r="BX276" s="107"/>
      <c r="BY276" s="107"/>
      <c r="BZ276" s="107"/>
      <c r="CA276" s="107"/>
      <c r="CB276" s="107"/>
      <c r="CC276" s="107"/>
      <c r="CD276" s="107"/>
      <c r="CE276" s="107"/>
      <c r="CF276" s="107"/>
      <c r="CG276" s="107"/>
      <c r="CH276" s="107"/>
      <c r="CI276" s="107"/>
      <c r="CJ276" s="107"/>
      <c r="CK276" s="107"/>
      <c r="CL276" s="107"/>
      <c r="CM276" s="107"/>
      <c r="CN276" s="107"/>
      <c r="CO276" s="107"/>
      <c r="CP276" s="107"/>
      <c r="CQ276" s="107"/>
      <c r="CR276" s="107"/>
      <c r="CS276" s="107"/>
      <c r="CT276" s="107"/>
      <c r="CU276" s="107"/>
      <c r="CV276" s="107"/>
      <c r="CW276" s="107"/>
      <c r="CX276" s="107"/>
      <c r="CY276" s="107"/>
      <c r="CZ276" s="107"/>
      <c r="DA276" s="107"/>
      <c r="DB276" s="107"/>
      <c r="DC276" s="107"/>
      <c r="DD276" s="107"/>
      <c r="DE276" s="107"/>
      <c r="DF276" s="107"/>
      <c r="DG276" s="107"/>
      <c r="DH276" s="107"/>
      <c r="DI276" s="107"/>
      <c r="DJ276" s="107"/>
      <c r="DK276" s="107"/>
      <c r="DL276" s="107"/>
      <c r="DM276" s="107"/>
      <c r="DN276" s="107"/>
      <c r="DO276" s="107"/>
      <c r="DP276" s="107"/>
      <c r="DQ276" s="107"/>
      <c r="DR276" s="107"/>
      <c r="DS276" s="107"/>
      <c r="DT276" s="727"/>
    </row>
    <row r="277" spans="1:124" ht="15" customHeight="1" x14ac:dyDescent="0.25">
      <c r="A277" s="821"/>
      <c r="B277" s="953" t="str">
        <f t="shared" si="14"/>
        <v>Desk 62</v>
      </c>
      <c r="C277" s="1220" t="str">
        <f>IF('TB IMA'!C66&lt;&gt;"",'TB IMA'!C66,"")</f>
        <v/>
      </c>
      <c r="D277" s="60"/>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c r="BL277" s="107"/>
      <c r="BM277" s="107"/>
      <c r="BN277" s="107"/>
      <c r="BO277" s="107"/>
      <c r="BP277" s="107"/>
      <c r="BQ277" s="107"/>
      <c r="BR277" s="107"/>
      <c r="BS277" s="107"/>
      <c r="BT277" s="107"/>
      <c r="BU277" s="107"/>
      <c r="BV277" s="107"/>
      <c r="BW277" s="107"/>
      <c r="BX277" s="107"/>
      <c r="BY277" s="107"/>
      <c r="BZ277" s="107"/>
      <c r="CA277" s="107"/>
      <c r="CB277" s="107"/>
      <c r="CC277" s="107"/>
      <c r="CD277" s="107"/>
      <c r="CE277" s="107"/>
      <c r="CF277" s="107"/>
      <c r="CG277" s="107"/>
      <c r="CH277" s="107"/>
      <c r="CI277" s="107"/>
      <c r="CJ277" s="107"/>
      <c r="CK277" s="107"/>
      <c r="CL277" s="107"/>
      <c r="CM277" s="107"/>
      <c r="CN277" s="107"/>
      <c r="CO277" s="107"/>
      <c r="CP277" s="107"/>
      <c r="CQ277" s="107"/>
      <c r="CR277" s="107"/>
      <c r="CS277" s="107"/>
      <c r="CT277" s="107"/>
      <c r="CU277" s="107"/>
      <c r="CV277" s="107"/>
      <c r="CW277" s="107"/>
      <c r="CX277" s="107"/>
      <c r="CY277" s="107"/>
      <c r="CZ277" s="107"/>
      <c r="DA277" s="107"/>
      <c r="DB277" s="107"/>
      <c r="DC277" s="107"/>
      <c r="DD277" s="107"/>
      <c r="DE277" s="107"/>
      <c r="DF277" s="107"/>
      <c r="DG277" s="107"/>
      <c r="DH277" s="107"/>
      <c r="DI277" s="107"/>
      <c r="DJ277" s="107"/>
      <c r="DK277" s="107"/>
      <c r="DL277" s="107"/>
      <c r="DM277" s="107"/>
      <c r="DN277" s="107"/>
      <c r="DO277" s="107"/>
      <c r="DP277" s="107"/>
      <c r="DQ277" s="107"/>
      <c r="DR277" s="107"/>
      <c r="DS277" s="107"/>
      <c r="DT277" s="727"/>
    </row>
    <row r="278" spans="1:124" ht="15" customHeight="1" x14ac:dyDescent="0.25">
      <c r="A278" s="821"/>
      <c r="B278" s="953" t="str">
        <f t="shared" si="14"/>
        <v>Desk 63</v>
      </c>
      <c r="C278" s="1220" t="str">
        <f>IF('TB IMA'!C67&lt;&gt;"",'TB IMA'!C67,"")</f>
        <v/>
      </c>
      <c r="D278" s="60"/>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c r="BB278" s="107"/>
      <c r="BC278" s="107"/>
      <c r="BD278" s="107"/>
      <c r="BE278" s="107"/>
      <c r="BF278" s="107"/>
      <c r="BG278" s="107"/>
      <c r="BH278" s="107"/>
      <c r="BI278" s="107"/>
      <c r="BJ278" s="107"/>
      <c r="BK278" s="107"/>
      <c r="BL278" s="107"/>
      <c r="BM278" s="107"/>
      <c r="BN278" s="107"/>
      <c r="BO278" s="107"/>
      <c r="BP278" s="107"/>
      <c r="BQ278" s="107"/>
      <c r="BR278" s="107"/>
      <c r="BS278" s="107"/>
      <c r="BT278" s="107"/>
      <c r="BU278" s="107"/>
      <c r="BV278" s="107"/>
      <c r="BW278" s="107"/>
      <c r="BX278" s="107"/>
      <c r="BY278" s="107"/>
      <c r="BZ278" s="107"/>
      <c r="CA278" s="107"/>
      <c r="CB278" s="107"/>
      <c r="CC278" s="107"/>
      <c r="CD278" s="107"/>
      <c r="CE278" s="107"/>
      <c r="CF278" s="107"/>
      <c r="CG278" s="107"/>
      <c r="CH278" s="107"/>
      <c r="CI278" s="107"/>
      <c r="CJ278" s="107"/>
      <c r="CK278" s="107"/>
      <c r="CL278" s="107"/>
      <c r="CM278" s="107"/>
      <c r="CN278" s="107"/>
      <c r="CO278" s="107"/>
      <c r="CP278" s="107"/>
      <c r="CQ278" s="107"/>
      <c r="CR278" s="107"/>
      <c r="CS278" s="107"/>
      <c r="CT278" s="107"/>
      <c r="CU278" s="107"/>
      <c r="CV278" s="107"/>
      <c r="CW278" s="107"/>
      <c r="CX278" s="107"/>
      <c r="CY278" s="107"/>
      <c r="CZ278" s="107"/>
      <c r="DA278" s="107"/>
      <c r="DB278" s="107"/>
      <c r="DC278" s="107"/>
      <c r="DD278" s="107"/>
      <c r="DE278" s="107"/>
      <c r="DF278" s="107"/>
      <c r="DG278" s="107"/>
      <c r="DH278" s="107"/>
      <c r="DI278" s="107"/>
      <c r="DJ278" s="107"/>
      <c r="DK278" s="107"/>
      <c r="DL278" s="107"/>
      <c r="DM278" s="107"/>
      <c r="DN278" s="107"/>
      <c r="DO278" s="107"/>
      <c r="DP278" s="107"/>
      <c r="DQ278" s="107"/>
      <c r="DR278" s="107"/>
      <c r="DS278" s="107"/>
      <c r="DT278" s="727"/>
    </row>
    <row r="279" spans="1:124" ht="15" customHeight="1" x14ac:dyDescent="0.25">
      <c r="A279" s="821"/>
      <c r="B279" s="953" t="str">
        <f t="shared" si="14"/>
        <v>Desk 64</v>
      </c>
      <c r="C279" s="1220" t="str">
        <f>IF('TB IMA'!C68&lt;&gt;"",'TB IMA'!C68,"")</f>
        <v/>
      </c>
      <c r="D279" s="60"/>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c r="BB279" s="107"/>
      <c r="BC279" s="107"/>
      <c r="BD279" s="107"/>
      <c r="BE279" s="107"/>
      <c r="BF279" s="107"/>
      <c r="BG279" s="107"/>
      <c r="BH279" s="107"/>
      <c r="BI279" s="107"/>
      <c r="BJ279" s="107"/>
      <c r="BK279" s="107"/>
      <c r="BL279" s="107"/>
      <c r="BM279" s="107"/>
      <c r="BN279" s="107"/>
      <c r="BO279" s="107"/>
      <c r="BP279" s="107"/>
      <c r="BQ279" s="107"/>
      <c r="BR279" s="107"/>
      <c r="BS279" s="107"/>
      <c r="BT279" s="107"/>
      <c r="BU279" s="107"/>
      <c r="BV279" s="107"/>
      <c r="BW279" s="107"/>
      <c r="BX279" s="107"/>
      <c r="BY279" s="107"/>
      <c r="BZ279" s="107"/>
      <c r="CA279" s="107"/>
      <c r="CB279" s="107"/>
      <c r="CC279" s="107"/>
      <c r="CD279" s="107"/>
      <c r="CE279" s="107"/>
      <c r="CF279" s="107"/>
      <c r="CG279" s="107"/>
      <c r="CH279" s="107"/>
      <c r="CI279" s="107"/>
      <c r="CJ279" s="107"/>
      <c r="CK279" s="107"/>
      <c r="CL279" s="107"/>
      <c r="CM279" s="107"/>
      <c r="CN279" s="107"/>
      <c r="CO279" s="107"/>
      <c r="CP279" s="107"/>
      <c r="CQ279" s="107"/>
      <c r="CR279" s="107"/>
      <c r="CS279" s="107"/>
      <c r="CT279" s="107"/>
      <c r="CU279" s="107"/>
      <c r="CV279" s="107"/>
      <c r="CW279" s="107"/>
      <c r="CX279" s="107"/>
      <c r="CY279" s="107"/>
      <c r="CZ279" s="107"/>
      <c r="DA279" s="107"/>
      <c r="DB279" s="107"/>
      <c r="DC279" s="107"/>
      <c r="DD279" s="107"/>
      <c r="DE279" s="107"/>
      <c r="DF279" s="107"/>
      <c r="DG279" s="107"/>
      <c r="DH279" s="107"/>
      <c r="DI279" s="107"/>
      <c r="DJ279" s="107"/>
      <c r="DK279" s="107"/>
      <c r="DL279" s="107"/>
      <c r="DM279" s="107"/>
      <c r="DN279" s="107"/>
      <c r="DO279" s="107"/>
      <c r="DP279" s="107"/>
      <c r="DQ279" s="107"/>
      <c r="DR279" s="107"/>
      <c r="DS279" s="107"/>
      <c r="DT279" s="727"/>
    </row>
    <row r="280" spans="1:124" ht="15" customHeight="1" x14ac:dyDescent="0.25">
      <c r="A280" s="821"/>
      <c r="B280" s="953" t="str">
        <f t="shared" si="14"/>
        <v>Desk 65</v>
      </c>
      <c r="C280" s="1220" t="str">
        <f>IF('TB IMA'!C69&lt;&gt;"",'TB IMA'!C69,"")</f>
        <v/>
      </c>
      <c r="D280" s="60"/>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c r="BB280" s="107"/>
      <c r="BC280" s="107"/>
      <c r="BD280" s="107"/>
      <c r="BE280" s="107"/>
      <c r="BF280" s="107"/>
      <c r="BG280" s="107"/>
      <c r="BH280" s="107"/>
      <c r="BI280" s="107"/>
      <c r="BJ280" s="107"/>
      <c r="BK280" s="107"/>
      <c r="BL280" s="107"/>
      <c r="BM280" s="107"/>
      <c r="BN280" s="107"/>
      <c r="BO280" s="107"/>
      <c r="BP280" s="107"/>
      <c r="BQ280" s="107"/>
      <c r="BR280" s="107"/>
      <c r="BS280" s="107"/>
      <c r="BT280" s="107"/>
      <c r="BU280" s="107"/>
      <c r="BV280" s="107"/>
      <c r="BW280" s="107"/>
      <c r="BX280" s="107"/>
      <c r="BY280" s="107"/>
      <c r="BZ280" s="107"/>
      <c r="CA280" s="107"/>
      <c r="CB280" s="107"/>
      <c r="CC280" s="107"/>
      <c r="CD280" s="107"/>
      <c r="CE280" s="107"/>
      <c r="CF280" s="107"/>
      <c r="CG280" s="107"/>
      <c r="CH280" s="107"/>
      <c r="CI280" s="107"/>
      <c r="CJ280" s="107"/>
      <c r="CK280" s="107"/>
      <c r="CL280" s="107"/>
      <c r="CM280" s="107"/>
      <c r="CN280" s="107"/>
      <c r="CO280" s="107"/>
      <c r="CP280" s="107"/>
      <c r="CQ280" s="107"/>
      <c r="CR280" s="107"/>
      <c r="CS280" s="107"/>
      <c r="CT280" s="107"/>
      <c r="CU280" s="107"/>
      <c r="CV280" s="107"/>
      <c r="CW280" s="107"/>
      <c r="CX280" s="107"/>
      <c r="CY280" s="107"/>
      <c r="CZ280" s="107"/>
      <c r="DA280" s="107"/>
      <c r="DB280" s="107"/>
      <c r="DC280" s="107"/>
      <c r="DD280" s="107"/>
      <c r="DE280" s="107"/>
      <c r="DF280" s="107"/>
      <c r="DG280" s="107"/>
      <c r="DH280" s="107"/>
      <c r="DI280" s="107"/>
      <c r="DJ280" s="107"/>
      <c r="DK280" s="107"/>
      <c r="DL280" s="107"/>
      <c r="DM280" s="107"/>
      <c r="DN280" s="107"/>
      <c r="DO280" s="107"/>
      <c r="DP280" s="107"/>
      <c r="DQ280" s="107"/>
      <c r="DR280" s="107"/>
      <c r="DS280" s="107"/>
      <c r="DT280" s="727"/>
    </row>
    <row r="281" spans="1:124" ht="15" customHeight="1" x14ac:dyDescent="0.25">
      <c r="A281" s="821"/>
      <c r="B281" s="953" t="str">
        <f t="shared" ref="B281:B315" si="15">"Desk " &amp; (ROW(B281)-ROW(B$215))</f>
        <v>Desk 66</v>
      </c>
      <c r="C281" s="1220" t="str">
        <f>IF('TB IMA'!C70&lt;&gt;"",'TB IMA'!C70,"")</f>
        <v/>
      </c>
      <c r="D281" s="60"/>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c r="BB281" s="107"/>
      <c r="BC281" s="107"/>
      <c r="BD281" s="107"/>
      <c r="BE281" s="107"/>
      <c r="BF281" s="107"/>
      <c r="BG281" s="107"/>
      <c r="BH281" s="107"/>
      <c r="BI281" s="107"/>
      <c r="BJ281" s="107"/>
      <c r="BK281" s="107"/>
      <c r="BL281" s="107"/>
      <c r="BM281" s="107"/>
      <c r="BN281" s="107"/>
      <c r="BO281" s="107"/>
      <c r="BP281" s="107"/>
      <c r="BQ281" s="107"/>
      <c r="BR281" s="107"/>
      <c r="BS281" s="107"/>
      <c r="BT281" s="107"/>
      <c r="BU281" s="107"/>
      <c r="BV281" s="107"/>
      <c r="BW281" s="107"/>
      <c r="BX281" s="107"/>
      <c r="BY281" s="107"/>
      <c r="BZ281" s="107"/>
      <c r="CA281" s="107"/>
      <c r="CB281" s="107"/>
      <c r="CC281" s="107"/>
      <c r="CD281" s="107"/>
      <c r="CE281" s="107"/>
      <c r="CF281" s="107"/>
      <c r="CG281" s="107"/>
      <c r="CH281" s="107"/>
      <c r="CI281" s="107"/>
      <c r="CJ281" s="107"/>
      <c r="CK281" s="107"/>
      <c r="CL281" s="107"/>
      <c r="CM281" s="107"/>
      <c r="CN281" s="107"/>
      <c r="CO281" s="107"/>
      <c r="CP281" s="107"/>
      <c r="CQ281" s="107"/>
      <c r="CR281" s="107"/>
      <c r="CS281" s="107"/>
      <c r="CT281" s="107"/>
      <c r="CU281" s="107"/>
      <c r="CV281" s="107"/>
      <c r="CW281" s="107"/>
      <c r="CX281" s="107"/>
      <c r="CY281" s="107"/>
      <c r="CZ281" s="107"/>
      <c r="DA281" s="107"/>
      <c r="DB281" s="107"/>
      <c r="DC281" s="107"/>
      <c r="DD281" s="107"/>
      <c r="DE281" s="107"/>
      <c r="DF281" s="107"/>
      <c r="DG281" s="107"/>
      <c r="DH281" s="107"/>
      <c r="DI281" s="107"/>
      <c r="DJ281" s="107"/>
      <c r="DK281" s="107"/>
      <c r="DL281" s="107"/>
      <c r="DM281" s="107"/>
      <c r="DN281" s="107"/>
      <c r="DO281" s="107"/>
      <c r="DP281" s="107"/>
      <c r="DQ281" s="107"/>
      <c r="DR281" s="107"/>
      <c r="DS281" s="107"/>
      <c r="DT281" s="727"/>
    </row>
    <row r="282" spans="1:124" ht="15" customHeight="1" x14ac:dyDescent="0.25">
      <c r="A282" s="821"/>
      <c r="B282" s="953" t="str">
        <f t="shared" si="15"/>
        <v>Desk 67</v>
      </c>
      <c r="C282" s="1220" t="str">
        <f>IF('TB IMA'!C71&lt;&gt;"",'TB IMA'!C71,"")</f>
        <v/>
      </c>
      <c r="D282" s="60"/>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c r="BL282" s="107"/>
      <c r="BM282" s="107"/>
      <c r="BN282" s="107"/>
      <c r="BO282" s="107"/>
      <c r="BP282" s="107"/>
      <c r="BQ282" s="107"/>
      <c r="BR282" s="107"/>
      <c r="BS282" s="107"/>
      <c r="BT282" s="107"/>
      <c r="BU282" s="107"/>
      <c r="BV282" s="107"/>
      <c r="BW282" s="107"/>
      <c r="BX282" s="107"/>
      <c r="BY282" s="107"/>
      <c r="BZ282" s="107"/>
      <c r="CA282" s="107"/>
      <c r="CB282" s="107"/>
      <c r="CC282" s="107"/>
      <c r="CD282" s="107"/>
      <c r="CE282" s="107"/>
      <c r="CF282" s="107"/>
      <c r="CG282" s="107"/>
      <c r="CH282" s="107"/>
      <c r="CI282" s="107"/>
      <c r="CJ282" s="107"/>
      <c r="CK282" s="107"/>
      <c r="CL282" s="107"/>
      <c r="CM282" s="107"/>
      <c r="CN282" s="107"/>
      <c r="CO282" s="107"/>
      <c r="CP282" s="107"/>
      <c r="CQ282" s="107"/>
      <c r="CR282" s="107"/>
      <c r="CS282" s="107"/>
      <c r="CT282" s="107"/>
      <c r="CU282" s="107"/>
      <c r="CV282" s="107"/>
      <c r="CW282" s="107"/>
      <c r="CX282" s="107"/>
      <c r="CY282" s="107"/>
      <c r="CZ282" s="107"/>
      <c r="DA282" s="107"/>
      <c r="DB282" s="107"/>
      <c r="DC282" s="107"/>
      <c r="DD282" s="107"/>
      <c r="DE282" s="107"/>
      <c r="DF282" s="107"/>
      <c r="DG282" s="107"/>
      <c r="DH282" s="107"/>
      <c r="DI282" s="107"/>
      <c r="DJ282" s="107"/>
      <c r="DK282" s="107"/>
      <c r="DL282" s="107"/>
      <c r="DM282" s="107"/>
      <c r="DN282" s="107"/>
      <c r="DO282" s="107"/>
      <c r="DP282" s="107"/>
      <c r="DQ282" s="107"/>
      <c r="DR282" s="107"/>
      <c r="DS282" s="107"/>
      <c r="DT282" s="727"/>
    </row>
    <row r="283" spans="1:124" ht="15" customHeight="1" x14ac:dyDescent="0.25">
      <c r="A283" s="821"/>
      <c r="B283" s="953" t="str">
        <f t="shared" si="15"/>
        <v>Desk 68</v>
      </c>
      <c r="C283" s="1220" t="str">
        <f>IF('TB IMA'!C72&lt;&gt;"",'TB IMA'!C72,"")</f>
        <v/>
      </c>
      <c r="D283" s="60"/>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7"/>
      <c r="BU283" s="107"/>
      <c r="BV283" s="107"/>
      <c r="BW283" s="107"/>
      <c r="BX283" s="107"/>
      <c r="BY283" s="107"/>
      <c r="BZ283" s="107"/>
      <c r="CA283" s="107"/>
      <c r="CB283" s="107"/>
      <c r="CC283" s="107"/>
      <c r="CD283" s="107"/>
      <c r="CE283" s="107"/>
      <c r="CF283" s="107"/>
      <c r="CG283" s="107"/>
      <c r="CH283" s="107"/>
      <c r="CI283" s="107"/>
      <c r="CJ283" s="107"/>
      <c r="CK283" s="107"/>
      <c r="CL283" s="107"/>
      <c r="CM283" s="107"/>
      <c r="CN283" s="107"/>
      <c r="CO283" s="107"/>
      <c r="CP283" s="107"/>
      <c r="CQ283" s="107"/>
      <c r="CR283" s="107"/>
      <c r="CS283" s="107"/>
      <c r="CT283" s="107"/>
      <c r="CU283" s="107"/>
      <c r="CV283" s="107"/>
      <c r="CW283" s="107"/>
      <c r="CX283" s="107"/>
      <c r="CY283" s="107"/>
      <c r="CZ283" s="107"/>
      <c r="DA283" s="107"/>
      <c r="DB283" s="107"/>
      <c r="DC283" s="107"/>
      <c r="DD283" s="107"/>
      <c r="DE283" s="107"/>
      <c r="DF283" s="107"/>
      <c r="DG283" s="107"/>
      <c r="DH283" s="107"/>
      <c r="DI283" s="107"/>
      <c r="DJ283" s="107"/>
      <c r="DK283" s="107"/>
      <c r="DL283" s="107"/>
      <c r="DM283" s="107"/>
      <c r="DN283" s="107"/>
      <c r="DO283" s="107"/>
      <c r="DP283" s="107"/>
      <c r="DQ283" s="107"/>
      <c r="DR283" s="107"/>
      <c r="DS283" s="107"/>
      <c r="DT283" s="727"/>
    </row>
    <row r="284" spans="1:124" ht="15" customHeight="1" x14ac:dyDescent="0.25">
      <c r="A284" s="821"/>
      <c r="B284" s="953" t="str">
        <f t="shared" si="15"/>
        <v>Desk 69</v>
      </c>
      <c r="C284" s="1220" t="str">
        <f>IF('TB IMA'!C73&lt;&gt;"",'TB IMA'!C73,"")</f>
        <v/>
      </c>
      <c r="D284" s="60"/>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c r="BB284" s="107"/>
      <c r="BC284" s="107"/>
      <c r="BD284" s="107"/>
      <c r="BE284" s="107"/>
      <c r="BF284" s="107"/>
      <c r="BG284" s="107"/>
      <c r="BH284" s="107"/>
      <c r="BI284" s="107"/>
      <c r="BJ284" s="107"/>
      <c r="BK284" s="107"/>
      <c r="BL284" s="107"/>
      <c r="BM284" s="107"/>
      <c r="BN284" s="107"/>
      <c r="BO284" s="107"/>
      <c r="BP284" s="107"/>
      <c r="BQ284" s="107"/>
      <c r="BR284" s="107"/>
      <c r="BS284" s="107"/>
      <c r="BT284" s="107"/>
      <c r="BU284" s="107"/>
      <c r="BV284" s="107"/>
      <c r="BW284" s="107"/>
      <c r="BX284" s="107"/>
      <c r="BY284" s="107"/>
      <c r="BZ284" s="107"/>
      <c r="CA284" s="107"/>
      <c r="CB284" s="107"/>
      <c r="CC284" s="107"/>
      <c r="CD284" s="107"/>
      <c r="CE284" s="107"/>
      <c r="CF284" s="107"/>
      <c r="CG284" s="107"/>
      <c r="CH284" s="107"/>
      <c r="CI284" s="107"/>
      <c r="CJ284" s="107"/>
      <c r="CK284" s="107"/>
      <c r="CL284" s="107"/>
      <c r="CM284" s="107"/>
      <c r="CN284" s="107"/>
      <c r="CO284" s="107"/>
      <c r="CP284" s="107"/>
      <c r="CQ284" s="107"/>
      <c r="CR284" s="107"/>
      <c r="CS284" s="107"/>
      <c r="CT284" s="107"/>
      <c r="CU284" s="107"/>
      <c r="CV284" s="107"/>
      <c r="CW284" s="107"/>
      <c r="CX284" s="107"/>
      <c r="CY284" s="107"/>
      <c r="CZ284" s="107"/>
      <c r="DA284" s="107"/>
      <c r="DB284" s="107"/>
      <c r="DC284" s="107"/>
      <c r="DD284" s="107"/>
      <c r="DE284" s="107"/>
      <c r="DF284" s="107"/>
      <c r="DG284" s="107"/>
      <c r="DH284" s="107"/>
      <c r="DI284" s="107"/>
      <c r="DJ284" s="107"/>
      <c r="DK284" s="107"/>
      <c r="DL284" s="107"/>
      <c r="DM284" s="107"/>
      <c r="DN284" s="107"/>
      <c r="DO284" s="107"/>
      <c r="DP284" s="107"/>
      <c r="DQ284" s="107"/>
      <c r="DR284" s="107"/>
      <c r="DS284" s="107"/>
      <c r="DT284" s="727"/>
    </row>
    <row r="285" spans="1:124" ht="15" customHeight="1" x14ac:dyDescent="0.25">
      <c r="A285" s="821"/>
      <c r="B285" s="953" t="str">
        <f t="shared" si="15"/>
        <v>Desk 70</v>
      </c>
      <c r="C285" s="1220" t="str">
        <f>IF('TB IMA'!C74&lt;&gt;"",'TB IMA'!C74,"")</f>
        <v/>
      </c>
      <c r="D285" s="60"/>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c r="CC285" s="107"/>
      <c r="CD285" s="107"/>
      <c r="CE285" s="107"/>
      <c r="CF285" s="107"/>
      <c r="CG285" s="107"/>
      <c r="CH285" s="107"/>
      <c r="CI285" s="107"/>
      <c r="CJ285" s="107"/>
      <c r="CK285" s="107"/>
      <c r="CL285" s="107"/>
      <c r="CM285" s="107"/>
      <c r="CN285" s="107"/>
      <c r="CO285" s="107"/>
      <c r="CP285" s="107"/>
      <c r="CQ285" s="107"/>
      <c r="CR285" s="107"/>
      <c r="CS285" s="107"/>
      <c r="CT285" s="107"/>
      <c r="CU285" s="107"/>
      <c r="CV285" s="107"/>
      <c r="CW285" s="107"/>
      <c r="CX285" s="107"/>
      <c r="CY285" s="107"/>
      <c r="CZ285" s="107"/>
      <c r="DA285" s="107"/>
      <c r="DB285" s="107"/>
      <c r="DC285" s="107"/>
      <c r="DD285" s="107"/>
      <c r="DE285" s="107"/>
      <c r="DF285" s="107"/>
      <c r="DG285" s="107"/>
      <c r="DH285" s="107"/>
      <c r="DI285" s="107"/>
      <c r="DJ285" s="107"/>
      <c r="DK285" s="107"/>
      <c r="DL285" s="107"/>
      <c r="DM285" s="107"/>
      <c r="DN285" s="107"/>
      <c r="DO285" s="107"/>
      <c r="DP285" s="107"/>
      <c r="DQ285" s="107"/>
      <c r="DR285" s="107"/>
      <c r="DS285" s="107"/>
      <c r="DT285" s="727"/>
    </row>
    <row r="286" spans="1:124" ht="15" customHeight="1" x14ac:dyDescent="0.25">
      <c r="A286" s="821"/>
      <c r="B286" s="953" t="str">
        <f t="shared" si="15"/>
        <v>Desk 71</v>
      </c>
      <c r="C286" s="1220" t="str">
        <f>IF('TB IMA'!C75&lt;&gt;"",'TB IMA'!C75,"")</f>
        <v/>
      </c>
      <c r="D286" s="60"/>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c r="BL286" s="107"/>
      <c r="BM286" s="107"/>
      <c r="BN286" s="107"/>
      <c r="BO286" s="107"/>
      <c r="BP286" s="107"/>
      <c r="BQ286" s="107"/>
      <c r="BR286" s="107"/>
      <c r="BS286" s="107"/>
      <c r="BT286" s="107"/>
      <c r="BU286" s="107"/>
      <c r="BV286" s="107"/>
      <c r="BW286" s="107"/>
      <c r="BX286" s="107"/>
      <c r="BY286" s="107"/>
      <c r="BZ286" s="107"/>
      <c r="CA286" s="107"/>
      <c r="CB286" s="107"/>
      <c r="CC286" s="107"/>
      <c r="CD286" s="107"/>
      <c r="CE286" s="107"/>
      <c r="CF286" s="107"/>
      <c r="CG286" s="107"/>
      <c r="CH286" s="107"/>
      <c r="CI286" s="107"/>
      <c r="CJ286" s="107"/>
      <c r="CK286" s="107"/>
      <c r="CL286" s="107"/>
      <c r="CM286" s="107"/>
      <c r="CN286" s="107"/>
      <c r="CO286" s="107"/>
      <c r="CP286" s="107"/>
      <c r="CQ286" s="107"/>
      <c r="CR286" s="107"/>
      <c r="CS286" s="107"/>
      <c r="CT286" s="107"/>
      <c r="CU286" s="107"/>
      <c r="CV286" s="107"/>
      <c r="CW286" s="107"/>
      <c r="CX286" s="107"/>
      <c r="CY286" s="107"/>
      <c r="CZ286" s="107"/>
      <c r="DA286" s="107"/>
      <c r="DB286" s="107"/>
      <c r="DC286" s="107"/>
      <c r="DD286" s="107"/>
      <c r="DE286" s="107"/>
      <c r="DF286" s="107"/>
      <c r="DG286" s="107"/>
      <c r="DH286" s="107"/>
      <c r="DI286" s="107"/>
      <c r="DJ286" s="107"/>
      <c r="DK286" s="107"/>
      <c r="DL286" s="107"/>
      <c r="DM286" s="107"/>
      <c r="DN286" s="107"/>
      <c r="DO286" s="107"/>
      <c r="DP286" s="107"/>
      <c r="DQ286" s="107"/>
      <c r="DR286" s="107"/>
      <c r="DS286" s="107"/>
      <c r="DT286" s="727"/>
    </row>
    <row r="287" spans="1:124" ht="15" customHeight="1" x14ac:dyDescent="0.25">
      <c r="A287" s="821"/>
      <c r="B287" s="953" t="str">
        <f t="shared" si="15"/>
        <v>Desk 72</v>
      </c>
      <c r="C287" s="1220" t="str">
        <f>IF('TB IMA'!C76&lt;&gt;"",'TB IMA'!C76,"")</f>
        <v/>
      </c>
      <c r="D287" s="60"/>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c r="CC287" s="107"/>
      <c r="CD287" s="107"/>
      <c r="CE287" s="107"/>
      <c r="CF287" s="107"/>
      <c r="CG287" s="107"/>
      <c r="CH287" s="107"/>
      <c r="CI287" s="107"/>
      <c r="CJ287" s="107"/>
      <c r="CK287" s="107"/>
      <c r="CL287" s="107"/>
      <c r="CM287" s="107"/>
      <c r="CN287" s="107"/>
      <c r="CO287" s="107"/>
      <c r="CP287" s="107"/>
      <c r="CQ287" s="107"/>
      <c r="CR287" s="107"/>
      <c r="CS287" s="107"/>
      <c r="CT287" s="107"/>
      <c r="CU287" s="107"/>
      <c r="CV287" s="107"/>
      <c r="CW287" s="107"/>
      <c r="CX287" s="107"/>
      <c r="CY287" s="107"/>
      <c r="CZ287" s="107"/>
      <c r="DA287" s="107"/>
      <c r="DB287" s="107"/>
      <c r="DC287" s="107"/>
      <c r="DD287" s="107"/>
      <c r="DE287" s="107"/>
      <c r="DF287" s="107"/>
      <c r="DG287" s="107"/>
      <c r="DH287" s="107"/>
      <c r="DI287" s="107"/>
      <c r="DJ287" s="107"/>
      <c r="DK287" s="107"/>
      <c r="DL287" s="107"/>
      <c r="DM287" s="107"/>
      <c r="DN287" s="107"/>
      <c r="DO287" s="107"/>
      <c r="DP287" s="107"/>
      <c r="DQ287" s="107"/>
      <c r="DR287" s="107"/>
      <c r="DS287" s="107"/>
      <c r="DT287" s="727"/>
    </row>
    <row r="288" spans="1:124" ht="15" customHeight="1" x14ac:dyDescent="0.25">
      <c r="A288" s="821"/>
      <c r="B288" s="953" t="str">
        <f t="shared" si="15"/>
        <v>Desk 73</v>
      </c>
      <c r="C288" s="1220" t="str">
        <f>IF('TB IMA'!C77&lt;&gt;"",'TB IMA'!C77,"")</f>
        <v/>
      </c>
      <c r="D288" s="60"/>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c r="BL288" s="107"/>
      <c r="BM288" s="107"/>
      <c r="BN288" s="107"/>
      <c r="BO288" s="107"/>
      <c r="BP288" s="107"/>
      <c r="BQ288" s="107"/>
      <c r="BR288" s="107"/>
      <c r="BS288" s="107"/>
      <c r="BT288" s="107"/>
      <c r="BU288" s="107"/>
      <c r="BV288" s="107"/>
      <c r="BW288" s="107"/>
      <c r="BX288" s="107"/>
      <c r="BY288" s="107"/>
      <c r="BZ288" s="107"/>
      <c r="CA288" s="107"/>
      <c r="CB288" s="107"/>
      <c r="CC288" s="107"/>
      <c r="CD288" s="107"/>
      <c r="CE288" s="107"/>
      <c r="CF288" s="107"/>
      <c r="CG288" s="107"/>
      <c r="CH288" s="107"/>
      <c r="CI288" s="107"/>
      <c r="CJ288" s="107"/>
      <c r="CK288" s="107"/>
      <c r="CL288" s="107"/>
      <c r="CM288" s="107"/>
      <c r="CN288" s="107"/>
      <c r="CO288" s="107"/>
      <c r="CP288" s="107"/>
      <c r="CQ288" s="107"/>
      <c r="CR288" s="107"/>
      <c r="CS288" s="107"/>
      <c r="CT288" s="107"/>
      <c r="CU288" s="107"/>
      <c r="CV288" s="107"/>
      <c r="CW288" s="107"/>
      <c r="CX288" s="107"/>
      <c r="CY288" s="107"/>
      <c r="CZ288" s="107"/>
      <c r="DA288" s="107"/>
      <c r="DB288" s="107"/>
      <c r="DC288" s="107"/>
      <c r="DD288" s="107"/>
      <c r="DE288" s="107"/>
      <c r="DF288" s="107"/>
      <c r="DG288" s="107"/>
      <c r="DH288" s="107"/>
      <c r="DI288" s="107"/>
      <c r="DJ288" s="107"/>
      <c r="DK288" s="107"/>
      <c r="DL288" s="107"/>
      <c r="DM288" s="107"/>
      <c r="DN288" s="107"/>
      <c r="DO288" s="107"/>
      <c r="DP288" s="107"/>
      <c r="DQ288" s="107"/>
      <c r="DR288" s="107"/>
      <c r="DS288" s="107"/>
      <c r="DT288" s="727"/>
    </row>
    <row r="289" spans="1:124" ht="15" customHeight="1" x14ac:dyDescent="0.25">
      <c r="A289" s="821"/>
      <c r="B289" s="953" t="str">
        <f t="shared" si="15"/>
        <v>Desk 74</v>
      </c>
      <c r="C289" s="1220" t="str">
        <f>IF('TB IMA'!C78&lt;&gt;"",'TB IMA'!C78,"")</f>
        <v/>
      </c>
      <c r="D289" s="60"/>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c r="BB289" s="107"/>
      <c r="BC289" s="107"/>
      <c r="BD289" s="107"/>
      <c r="BE289" s="107"/>
      <c r="BF289" s="107"/>
      <c r="BG289" s="107"/>
      <c r="BH289" s="107"/>
      <c r="BI289" s="107"/>
      <c r="BJ289" s="107"/>
      <c r="BK289" s="107"/>
      <c r="BL289" s="107"/>
      <c r="BM289" s="107"/>
      <c r="BN289" s="107"/>
      <c r="BO289" s="107"/>
      <c r="BP289" s="107"/>
      <c r="BQ289" s="107"/>
      <c r="BR289" s="107"/>
      <c r="BS289" s="107"/>
      <c r="BT289" s="107"/>
      <c r="BU289" s="107"/>
      <c r="BV289" s="107"/>
      <c r="BW289" s="107"/>
      <c r="BX289" s="107"/>
      <c r="BY289" s="107"/>
      <c r="BZ289" s="107"/>
      <c r="CA289" s="107"/>
      <c r="CB289" s="107"/>
      <c r="CC289" s="107"/>
      <c r="CD289" s="107"/>
      <c r="CE289" s="107"/>
      <c r="CF289" s="107"/>
      <c r="CG289" s="107"/>
      <c r="CH289" s="107"/>
      <c r="CI289" s="107"/>
      <c r="CJ289" s="107"/>
      <c r="CK289" s="107"/>
      <c r="CL289" s="107"/>
      <c r="CM289" s="107"/>
      <c r="CN289" s="107"/>
      <c r="CO289" s="107"/>
      <c r="CP289" s="107"/>
      <c r="CQ289" s="107"/>
      <c r="CR289" s="107"/>
      <c r="CS289" s="107"/>
      <c r="CT289" s="107"/>
      <c r="CU289" s="107"/>
      <c r="CV289" s="107"/>
      <c r="CW289" s="107"/>
      <c r="CX289" s="107"/>
      <c r="CY289" s="107"/>
      <c r="CZ289" s="107"/>
      <c r="DA289" s="107"/>
      <c r="DB289" s="107"/>
      <c r="DC289" s="107"/>
      <c r="DD289" s="107"/>
      <c r="DE289" s="107"/>
      <c r="DF289" s="107"/>
      <c r="DG289" s="107"/>
      <c r="DH289" s="107"/>
      <c r="DI289" s="107"/>
      <c r="DJ289" s="107"/>
      <c r="DK289" s="107"/>
      <c r="DL289" s="107"/>
      <c r="DM289" s="107"/>
      <c r="DN289" s="107"/>
      <c r="DO289" s="107"/>
      <c r="DP289" s="107"/>
      <c r="DQ289" s="107"/>
      <c r="DR289" s="107"/>
      <c r="DS289" s="107"/>
      <c r="DT289" s="727"/>
    </row>
    <row r="290" spans="1:124" ht="15" customHeight="1" x14ac:dyDescent="0.25">
      <c r="A290" s="821"/>
      <c r="B290" s="953" t="str">
        <f t="shared" si="15"/>
        <v>Desk 75</v>
      </c>
      <c r="C290" s="1220" t="str">
        <f>IF('TB IMA'!C79&lt;&gt;"",'TB IMA'!C79,"")</f>
        <v/>
      </c>
      <c r="D290" s="60"/>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c r="BB290" s="107"/>
      <c r="BC290" s="107"/>
      <c r="BD290" s="107"/>
      <c r="BE290" s="107"/>
      <c r="BF290" s="107"/>
      <c r="BG290" s="107"/>
      <c r="BH290" s="107"/>
      <c r="BI290" s="107"/>
      <c r="BJ290" s="107"/>
      <c r="BK290" s="107"/>
      <c r="BL290" s="107"/>
      <c r="BM290" s="107"/>
      <c r="BN290" s="107"/>
      <c r="BO290" s="107"/>
      <c r="BP290" s="107"/>
      <c r="BQ290" s="107"/>
      <c r="BR290" s="107"/>
      <c r="BS290" s="107"/>
      <c r="BT290" s="107"/>
      <c r="BU290" s="107"/>
      <c r="BV290" s="107"/>
      <c r="BW290" s="107"/>
      <c r="BX290" s="107"/>
      <c r="BY290" s="107"/>
      <c r="BZ290" s="107"/>
      <c r="CA290" s="107"/>
      <c r="CB290" s="107"/>
      <c r="CC290" s="107"/>
      <c r="CD290" s="107"/>
      <c r="CE290" s="107"/>
      <c r="CF290" s="107"/>
      <c r="CG290" s="107"/>
      <c r="CH290" s="107"/>
      <c r="CI290" s="107"/>
      <c r="CJ290" s="107"/>
      <c r="CK290" s="107"/>
      <c r="CL290" s="107"/>
      <c r="CM290" s="107"/>
      <c r="CN290" s="107"/>
      <c r="CO290" s="107"/>
      <c r="CP290" s="107"/>
      <c r="CQ290" s="107"/>
      <c r="CR290" s="107"/>
      <c r="CS290" s="107"/>
      <c r="CT290" s="107"/>
      <c r="CU290" s="107"/>
      <c r="CV290" s="107"/>
      <c r="CW290" s="107"/>
      <c r="CX290" s="107"/>
      <c r="CY290" s="107"/>
      <c r="CZ290" s="107"/>
      <c r="DA290" s="107"/>
      <c r="DB290" s="107"/>
      <c r="DC290" s="107"/>
      <c r="DD290" s="107"/>
      <c r="DE290" s="107"/>
      <c r="DF290" s="107"/>
      <c r="DG290" s="107"/>
      <c r="DH290" s="107"/>
      <c r="DI290" s="107"/>
      <c r="DJ290" s="107"/>
      <c r="DK290" s="107"/>
      <c r="DL290" s="107"/>
      <c r="DM290" s="107"/>
      <c r="DN290" s="107"/>
      <c r="DO290" s="107"/>
      <c r="DP290" s="107"/>
      <c r="DQ290" s="107"/>
      <c r="DR290" s="107"/>
      <c r="DS290" s="107"/>
      <c r="DT290" s="727"/>
    </row>
    <row r="291" spans="1:124" ht="15" customHeight="1" x14ac:dyDescent="0.25">
      <c r="A291" s="821"/>
      <c r="B291" s="953" t="str">
        <f t="shared" si="15"/>
        <v>Desk 76</v>
      </c>
      <c r="C291" s="1220" t="str">
        <f>IF('TB IMA'!C80&lt;&gt;"",'TB IMA'!C80,"")</f>
        <v/>
      </c>
      <c r="D291" s="60"/>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7"/>
      <c r="BU291" s="107"/>
      <c r="BV291" s="107"/>
      <c r="BW291" s="107"/>
      <c r="BX291" s="107"/>
      <c r="BY291" s="107"/>
      <c r="BZ291" s="107"/>
      <c r="CA291" s="107"/>
      <c r="CB291" s="107"/>
      <c r="CC291" s="107"/>
      <c r="CD291" s="107"/>
      <c r="CE291" s="107"/>
      <c r="CF291" s="107"/>
      <c r="CG291" s="107"/>
      <c r="CH291" s="107"/>
      <c r="CI291" s="107"/>
      <c r="CJ291" s="107"/>
      <c r="CK291" s="107"/>
      <c r="CL291" s="107"/>
      <c r="CM291" s="107"/>
      <c r="CN291" s="107"/>
      <c r="CO291" s="107"/>
      <c r="CP291" s="107"/>
      <c r="CQ291" s="107"/>
      <c r="CR291" s="107"/>
      <c r="CS291" s="107"/>
      <c r="CT291" s="107"/>
      <c r="CU291" s="107"/>
      <c r="CV291" s="107"/>
      <c r="CW291" s="107"/>
      <c r="CX291" s="107"/>
      <c r="CY291" s="107"/>
      <c r="CZ291" s="107"/>
      <c r="DA291" s="107"/>
      <c r="DB291" s="107"/>
      <c r="DC291" s="107"/>
      <c r="DD291" s="107"/>
      <c r="DE291" s="107"/>
      <c r="DF291" s="107"/>
      <c r="DG291" s="107"/>
      <c r="DH291" s="107"/>
      <c r="DI291" s="107"/>
      <c r="DJ291" s="107"/>
      <c r="DK291" s="107"/>
      <c r="DL291" s="107"/>
      <c r="DM291" s="107"/>
      <c r="DN291" s="107"/>
      <c r="DO291" s="107"/>
      <c r="DP291" s="107"/>
      <c r="DQ291" s="107"/>
      <c r="DR291" s="107"/>
      <c r="DS291" s="107"/>
      <c r="DT291" s="727"/>
    </row>
    <row r="292" spans="1:124" ht="15" customHeight="1" x14ac:dyDescent="0.25">
      <c r="A292" s="821"/>
      <c r="B292" s="953" t="str">
        <f t="shared" si="15"/>
        <v>Desk 77</v>
      </c>
      <c r="C292" s="1220" t="str">
        <f>IF('TB IMA'!C81&lt;&gt;"",'TB IMA'!C81,"")</f>
        <v/>
      </c>
      <c r="D292" s="60"/>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c r="BB292" s="107"/>
      <c r="BC292" s="107"/>
      <c r="BD292" s="107"/>
      <c r="BE292" s="107"/>
      <c r="BF292" s="107"/>
      <c r="BG292" s="107"/>
      <c r="BH292" s="107"/>
      <c r="BI292" s="107"/>
      <c r="BJ292" s="107"/>
      <c r="BK292" s="107"/>
      <c r="BL292" s="107"/>
      <c r="BM292" s="107"/>
      <c r="BN292" s="107"/>
      <c r="BO292" s="107"/>
      <c r="BP292" s="107"/>
      <c r="BQ292" s="107"/>
      <c r="BR292" s="107"/>
      <c r="BS292" s="107"/>
      <c r="BT292" s="107"/>
      <c r="BU292" s="107"/>
      <c r="BV292" s="107"/>
      <c r="BW292" s="107"/>
      <c r="BX292" s="107"/>
      <c r="BY292" s="107"/>
      <c r="BZ292" s="107"/>
      <c r="CA292" s="107"/>
      <c r="CB292" s="107"/>
      <c r="CC292" s="107"/>
      <c r="CD292" s="107"/>
      <c r="CE292" s="107"/>
      <c r="CF292" s="107"/>
      <c r="CG292" s="107"/>
      <c r="CH292" s="107"/>
      <c r="CI292" s="107"/>
      <c r="CJ292" s="107"/>
      <c r="CK292" s="107"/>
      <c r="CL292" s="107"/>
      <c r="CM292" s="107"/>
      <c r="CN292" s="107"/>
      <c r="CO292" s="107"/>
      <c r="CP292" s="107"/>
      <c r="CQ292" s="107"/>
      <c r="CR292" s="107"/>
      <c r="CS292" s="107"/>
      <c r="CT292" s="107"/>
      <c r="CU292" s="107"/>
      <c r="CV292" s="107"/>
      <c r="CW292" s="107"/>
      <c r="CX292" s="107"/>
      <c r="CY292" s="107"/>
      <c r="CZ292" s="107"/>
      <c r="DA292" s="107"/>
      <c r="DB292" s="107"/>
      <c r="DC292" s="107"/>
      <c r="DD292" s="107"/>
      <c r="DE292" s="107"/>
      <c r="DF292" s="107"/>
      <c r="DG292" s="107"/>
      <c r="DH292" s="107"/>
      <c r="DI292" s="107"/>
      <c r="DJ292" s="107"/>
      <c r="DK292" s="107"/>
      <c r="DL292" s="107"/>
      <c r="DM292" s="107"/>
      <c r="DN292" s="107"/>
      <c r="DO292" s="107"/>
      <c r="DP292" s="107"/>
      <c r="DQ292" s="107"/>
      <c r="DR292" s="107"/>
      <c r="DS292" s="107"/>
      <c r="DT292" s="727"/>
    </row>
    <row r="293" spans="1:124" ht="15" customHeight="1" x14ac:dyDescent="0.25">
      <c r="A293" s="821"/>
      <c r="B293" s="953" t="str">
        <f t="shared" si="15"/>
        <v>Desk 78</v>
      </c>
      <c r="C293" s="1220" t="str">
        <f>IF('TB IMA'!C82&lt;&gt;"",'TB IMA'!C82,"")</f>
        <v/>
      </c>
      <c r="D293" s="60"/>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c r="BB293" s="107"/>
      <c r="BC293" s="107"/>
      <c r="BD293" s="107"/>
      <c r="BE293" s="107"/>
      <c r="BF293" s="107"/>
      <c r="BG293" s="107"/>
      <c r="BH293" s="107"/>
      <c r="BI293" s="107"/>
      <c r="BJ293" s="107"/>
      <c r="BK293" s="107"/>
      <c r="BL293" s="107"/>
      <c r="BM293" s="107"/>
      <c r="BN293" s="107"/>
      <c r="BO293" s="107"/>
      <c r="BP293" s="107"/>
      <c r="BQ293" s="107"/>
      <c r="BR293" s="107"/>
      <c r="BS293" s="107"/>
      <c r="BT293" s="107"/>
      <c r="BU293" s="107"/>
      <c r="BV293" s="107"/>
      <c r="BW293" s="107"/>
      <c r="BX293" s="107"/>
      <c r="BY293" s="107"/>
      <c r="BZ293" s="107"/>
      <c r="CA293" s="107"/>
      <c r="CB293" s="107"/>
      <c r="CC293" s="107"/>
      <c r="CD293" s="107"/>
      <c r="CE293" s="107"/>
      <c r="CF293" s="107"/>
      <c r="CG293" s="107"/>
      <c r="CH293" s="107"/>
      <c r="CI293" s="107"/>
      <c r="CJ293" s="107"/>
      <c r="CK293" s="107"/>
      <c r="CL293" s="107"/>
      <c r="CM293" s="107"/>
      <c r="CN293" s="107"/>
      <c r="CO293" s="107"/>
      <c r="CP293" s="107"/>
      <c r="CQ293" s="107"/>
      <c r="CR293" s="107"/>
      <c r="CS293" s="107"/>
      <c r="CT293" s="107"/>
      <c r="CU293" s="107"/>
      <c r="CV293" s="107"/>
      <c r="CW293" s="107"/>
      <c r="CX293" s="107"/>
      <c r="CY293" s="107"/>
      <c r="CZ293" s="107"/>
      <c r="DA293" s="107"/>
      <c r="DB293" s="107"/>
      <c r="DC293" s="107"/>
      <c r="DD293" s="107"/>
      <c r="DE293" s="107"/>
      <c r="DF293" s="107"/>
      <c r="DG293" s="107"/>
      <c r="DH293" s="107"/>
      <c r="DI293" s="107"/>
      <c r="DJ293" s="107"/>
      <c r="DK293" s="107"/>
      <c r="DL293" s="107"/>
      <c r="DM293" s="107"/>
      <c r="DN293" s="107"/>
      <c r="DO293" s="107"/>
      <c r="DP293" s="107"/>
      <c r="DQ293" s="107"/>
      <c r="DR293" s="107"/>
      <c r="DS293" s="107"/>
      <c r="DT293" s="727"/>
    </row>
    <row r="294" spans="1:124" ht="15" customHeight="1" x14ac:dyDescent="0.25">
      <c r="A294" s="821"/>
      <c r="B294" s="953" t="str">
        <f t="shared" si="15"/>
        <v>Desk 79</v>
      </c>
      <c r="C294" s="1220" t="str">
        <f>IF('TB IMA'!C83&lt;&gt;"",'TB IMA'!C83,"")</f>
        <v/>
      </c>
      <c r="D294" s="60"/>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c r="BB294" s="107"/>
      <c r="BC294" s="107"/>
      <c r="BD294" s="107"/>
      <c r="BE294" s="107"/>
      <c r="BF294" s="107"/>
      <c r="BG294" s="107"/>
      <c r="BH294" s="107"/>
      <c r="BI294" s="107"/>
      <c r="BJ294" s="107"/>
      <c r="BK294" s="107"/>
      <c r="BL294" s="107"/>
      <c r="BM294" s="107"/>
      <c r="BN294" s="107"/>
      <c r="BO294" s="107"/>
      <c r="BP294" s="107"/>
      <c r="BQ294" s="107"/>
      <c r="BR294" s="107"/>
      <c r="BS294" s="107"/>
      <c r="BT294" s="107"/>
      <c r="BU294" s="107"/>
      <c r="BV294" s="107"/>
      <c r="BW294" s="107"/>
      <c r="BX294" s="107"/>
      <c r="BY294" s="107"/>
      <c r="BZ294" s="107"/>
      <c r="CA294" s="107"/>
      <c r="CB294" s="107"/>
      <c r="CC294" s="107"/>
      <c r="CD294" s="107"/>
      <c r="CE294" s="107"/>
      <c r="CF294" s="107"/>
      <c r="CG294" s="107"/>
      <c r="CH294" s="107"/>
      <c r="CI294" s="107"/>
      <c r="CJ294" s="107"/>
      <c r="CK294" s="107"/>
      <c r="CL294" s="107"/>
      <c r="CM294" s="107"/>
      <c r="CN294" s="107"/>
      <c r="CO294" s="107"/>
      <c r="CP294" s="107"/>
      <c r="CQ294" s="107"/>
      <c r="CR294" s="107"/>
      <c r="CS294" s="107"/>
      <c r="CT294" s="107"/>
      <c r="CU294" s="107"/>
      <c r="CV294" s="107"/>
      <c r="CW294" s="107"/>
      <c r="CX294" s="107"/>
      <c r="CY294" s="107"/>
      <c r="CZ294" s="107"/>
      <c r="DA294" s="107"/>
      <c r="DB294" s="107"/>
      <c r="DC294" s="107"/>
      <c r="DD294" s="107"/>
      <c r="DE294" s="107"/>
      <c r="DF294" s="107"/>
      <c r="DG294" s="107"/>
      <c r="DH294" s="107"/>
      <c r="DI294" s="107"/>
      <c r="DJ294" s="107"/>
      <c r="DK294" s="107"/>
      <c r="DL294" s="107"/>
      <c r="DM294" s="107"/>
      <c r="DN294" s="107"/>
      <c r="DO294" s="107"/>
      <c r="DP294" s="107"/>
      <c r="DQ294" s="107"/>
      <c r="DR294" s="107"/>
      <c r="DS294" s="107"/>
      <c r="DT294" s="727"/>
    </row>
    <row r="295" spans="1:124" ht="15" customHeight="1" x14ac:dyDescent="0.25">
      <c r="A295" s="821"/>
      <c r="B295" s="953" t="str">
        <f t="shared" si="15"/>
        <v>Desk 80</v>
      </c>
      <c r="C295" s="1220" t="str">
        <f>IF('TB IMA'!C84&lt;&gt;"",'TB IMA'!C84,"")</f>
        <v/>
      </c>
      <c r="D295" s="60"/>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c r="BB295" s="107"/>
      <c r="BC295" s="107"/>
      <c r="BD295" s="107"/>
      <c r="BE295" s="107"/>
      <c r="BF295" s="107"/>
      <c r="BG295" s="107"/>
      <c r="BH295" s="107"/>
      <c r="BI295" s="107"/>
      <c r="BJ295" s="107"/>
      <c r="BK295" s="107"/>
      <c r="BL295" s="107"/>
      <c r="BM295" s="107"/>
      <c r="BN295" s="107"/>
      <c r="BO295" s="107"/>
      <c r="BP295" s="107"/>
      <c r="BQ295" s="107"/>
      <c r="BR295" s="107"/>
      <c r="BS295" s="107"/>
      <c r="BT295" s="107"/>
      <c r="BU295" s="107"/>
      <c r="BV295" s="107"/>
      <c r="BW295" s="107"/>
      <c r="BX295" s="107"/>
      <c r="BY295" s="107"/>
      <c r="BZ295" s="107"/>
      <c r="CA295" s="107"/>
      <c r="CB295" s="107"/>
      <c r="CC295" s="107"/>
      <c r="CD295" s="107"/>
      <c r="CE295" s="107"/>
      <c r="CF295" s="107"/>
      <c r="CG295" s="107"/>
      <c r="CH295" s="107"/>
      <c r="CI295" s="107"/>
      <c r="CJ295" s="107"/>
      <c r="CK295" s="107"/>
      <c r="CL295" s="107"/>
      <c r="CM295" s="107"/>
      <c r="CN295" s="107"/>
      <c r="CO295" s="107"/>
      <c r="CP295" s="107"/>
      <c r="CQ295" s="107"/>
      <c r="CR295" s="107"/>
      <c r="CS295" s="107"/>
      <c r="CT295" s="107"/>
      <c r="CU295" s="107"/>
      <c r="CV295" s="107"/>
      <c r="CW295" s="107"/>
      <c r="CX295" s="107"/>
      <c r="CY295" s="107"/>
      <c r="CZ295" s="107"/>
      <c r="DA295" s="107"/>
      <c r="DB295" s="107"/>
      <c r="DC295" s="107"/>
      <c r="DD295" s="107"/>
      <c r="DE295" s="107"/>
      <c r="DF295" s="107"/>
      <c r="DG295" s="107"/>
      <c r="DH295" s="107"/>
      <c r="DI295" s="107"/>
      <c r="DJ295" s="107"/>
      <c r="DK295" s="107"/>
      <c r="DL295" s="107"/>
      <c r="DM295" s="107"/>
      <c r="DN295" s="107"/>
      <c r="DO295" s="107"/>
      <c r="DP295" s="107"/>
      <c r="DQ295" s="107"/>
      <c r="DR295" s="107"/>
      <c r="DS295" s="107"/>
      <c r="DT295" s="727"/>
    </row>
    <row r="296" spans="1:124" ht="15" customHeight="1" x14ac:dyDescent="0.25">
      <c r="A296" s="821"/>
      <c r="B296" s="953" t="str">
        <f t="shared" si="15"/>
        <v>Desk 81</v>
      </c>
      <c r="C296" s="1220" t="str">
        <f>IF('TB IMA'!C85&lt;&gt;"",'TB IMA'!C85,"")</f>
        <v/>
      </c>
      <c r="D296" s="60"/>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c r="BB296" s="107"/>
      <c r="BC296" s="107"/>
      <c r="BD296" s="107"/>
      <c r="BE296" s="107"/>
      <c r="BF296" s="107"/>
      <c r="BG296" s="107"/>
      <c r="BH296" s="107"/>
      <c r="BI296" s="107"/>
      <c r="BJ296" s="107"/>
      <c r="BK296" s="107"/>
      <c r="BL296" s="107"/>
      <c r="BM296" s="107"/>
      <c r="BN296" s="107"/>
      <c r="BO296" s="107"/>
      <c r="BP296" s="107"/>
      <c r="BQ296" s="107"/>
      <c r="BR296" s="107"/>
      <c r="BS296" s="107"/>
      <c r="BT296" s="107"/>
      <c r="BU296" s="107"/>
      <c r="BV296" s="107"/>
      <c r="BW296" s="107"/>
      <c r="BX296" s="107"/>
      <c r="BY296" s="107"/>
      <c r="BZ296" s="107"/>
      <c r="CA296" s="107"/>
      <c r="CB296" s="107"/>
      <c r="CC296" s="107"/>
      <c r="CD296" s="107"/>
      <c r="CE296" s="107"/>
      <c r="CF296" s="107"/>
      <c r="CG296" s="107"/>
      <c r="CH296" s="107"/>
      <c r="CI296" s="107"/>
      <c r="CJ296" s="107"/>
      <c r="CK296" s="107"/>
      <c r="CL296" s="107"/>
      <c r="CM296" s="107"/>
      <c r="CN296" s="107"/>
      <c r="CO296" s="107"/>
      <c r="CP296" s="107"/>
      <c r="CQ296" s="107"/>
      <c r="CR296" s="107"/>
      <c r="CS296" s="107"/>
      <c r="CT296" s="107"/>
      <c r="CU296" s="107"/>
      <c r="CV296" s="107"/>
      <c r="CW296" s="107"/>
      <c r="CX296" s="107"/>
      <c r="CY296" s="107"/>
      <c r="CZ296" s="107"/>
      <c r="DA296" s="107"/>
      <c r="DB296" s="107"/>
      <c r="DC296" s="107"/>
      <c r="DD296" s="107"/>
      <c r="DE296" s="107"/>
      <c r="DF296" s="107"/>
      <c r="DG296" s="107"/>
      <c r="DH296" s="107"/>
      <c r="DI296" s="107"/>
      <c r="DJ296" s="107"/>
      <c r="DK296" s="107"/>
      <c r="DL296" s="107"/>
      <c r="DM296" s="107"/>
      <c r="DN296" s="107"/>
      <c r="DO296" s="107"/>
      <c r="DP296" s="107"/>
      <c r="DQ296" s="107"/>
      <c r="DR296" s="107"/>
      <c r="DS296" s="107"/>
      <c r="DT296" s="727"/>
    </row>
    <row r="297" spans="1:124" ht="15" customHeight="1" x14ac:dyDescent="0.25">
      <c r="A297" s="821"/>
      <c r="B297" s="953" t="str">
        <f t="shared" si="15"/>
        <v>Desk 82</v>
      </c>
      <c r="C297" s="1220" t="str">
        <f>IF('TB IMA'!C86&lt;&gt;"",'TB IMA'!C86,"")</f>
        <v/>
      </c>
      <c r="D297" s="60"/>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7"/>
      <c r="BC297" s="107"/>
      <c r="BD297" s="107"/>
      <c r="BE297" s="107"/>
      <c r="BF297" s="107"/>
      <c r="BG297" s="107"/>
      <c r="BH297" s="107"/>
      <c r="BI297" s="107"/>
      <c r="BJ297" s="107"/>
      <c r="BK297" s="107"/>
      <c r="BL297" s="107"/>
      <c r="BM297" s="107"/>
      <c r="BN297" s="107"/>
      <c r="BO297" s="107"/>
      <c r="BP297" s="107"/>
      <c r="BQ297" s="107"/>
      <c r="BR297" s="107"/>
      <c r="BS297" s="107"/>
      <c r="BT297" s="107"/>
      <c r="BU297" s="107"/>
      <c r="BV297" s="107"/>
      <c r="BW297" s="107"/>
      <c r="BX297" s="107"/>
      <c r="BY297" s="107"/>
      <c r="BZ297" s="107"/>
      <c r="CA297" s="107"/>
      <c r="CB297" s="107"/>
      <c r="CC297" s="107"/>
      <c r="CD297" s="107"/>
      <c r="CE297" s="107"/>
      <c r="CF297" s="107"/>
      <c r="CG297" s="107"/>
      <c r="CH297" s="107"/>
      <c r="CI297" s="107"/>
      <c r="CJ297" s="107"/>
      <c r="CK297" s="107"/>
      <c r="CL297" s="107"/>
      <c r="CM297" s="107"/>
      <c r="CN297" s="107"/>
      <c r="CO297" s="107"/>
      <c r="CP297" s="107"/>
      <c r="CQ297" s="107"/>
      <c r="CR297" s="107"/>
      <c r="CS297" s="107"/>
      <c r="CT297" s="107"/>
      <c r="CU297" s="107"/>
      <c r="CV297" s="107"/>
      <c r="CW297" s="107"/>
      <c r="CX297" s="107"/>
      <c r="CY297" s="107"/>
      <c r="CZ297" s="107"/>
      <c r="DA297" s="107"/>
      <c r="DB297" s="107"/>
      <c r="DC297" s="107"/>
      <c r="DD297" s="107"/>
      <c r="DE297" s="107"/>
      <c r="DF297" s="107"/>
      <c r="DG297" s="107"/>
      <c r="DH297" s="107"/>
      <c r="DI297" s="107"/>
      <c r="DJ297" s="107"/>
      <c r="DK297" s="107"/>
      <c r="DL297" s="107"/>
      <c r="DM297" s="107"/>
      <c r="DN297" s="107"/>
      <c r="DO297" s="107"/>
      <c r="DP297" s="107"/>
      <c r="DQ297" s="107"/>
      <c r="DR297" s="107"/>
      <c r="DS297" s="107"/>
      <c r="DT297" s="727"/>
    </row>
    <row r="298" spans="1:124" ht="15" customHeight="1" x14ac:dyDescent="0.25">
      <c r="A298" s="821"/>
      <c r="B298" s="953" t="str">
        <f t="shared" si="15"/>
        <v>Desk 83</v>
      </c>
      <c r="C298" s="1220" t="str">
        <f>IF('TB IMA'!C87&lt;&gt;"",'TB IMA'!C87,"")</f>
        <v/>
      </c>
      <c r="D298" s="60"/>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c r="CC298" s="107"/>
      <c r="CD298" s="107"/>
      <c r="CE298" s="107"/>
      <c r="CF298" s="107"/>
      <c r="CG298" s="107"/>
      <c r="CH298" s="107"/>
      <c r="CI298" s="107"/>
      <c r="CJ298" s="107"/>
      <c r="CK298" s="107"/>
      <c r="CL298" s="107"/>
      <c r="CM298" s="107"/>
      <c r="CN298" s="107"/>
      <c r="CO298" s="107"/>
      <c r="CP298" s="107"/>
      <c r="CQ298" s="107"/>
      <c r="CR298" s="107"/>
      <c r="CS298" s="107"/>
      <c r="CT298" s="107"/>
      <c r="CU298" s="107"/>
      <c r="CV298" s="107"/>
      <c r="CW298" s="107"/>
      <c r="CX298" s="107"/>
      <c r="CY298" s="107"/>
      <c r="CZ298" s="107"/>
      <c r="DA298" s="107"/>
      <c r="DB298" s="107"/>
      <c r="DC298" s="107"/>
      <c r="DD298" s="107"/>
      <c r="DE298" s="107"/>
      <c r="DF298" s="107"/>
      <c r="DG298" s="107"/>
      <c r="DH298" s="107"/>
      <c r="DI298" s="107"/>
      <c r="DJ298" s="107"/>
      <c r="DK298" s="107"/>
      <c r="DL298" s="107"/>
      <c r="DM298" s="107"/>
      <c r="DN298" s="107"/>
      <c r="DO298" s="107"/>
      <c r="DP298" s="107"/>
      <c r="DQ298" s="107"/>
      <c r="DR298" s="107"/>
      <c r="DS298" s="107"/>
      <c r="DT298" s="727"/>
    </row>
    <row r="299" spans="1:124" ht="15" customHeight="1" x14ac:dyDescent="0.25">
      <c r="A299" s="821"/>
      <c r="B299" s="953" t="str">
        <f t="shared" si="15"/>
        <v>Desk 84</v>
      </c>
      <c r="C299" s="1220" t="str">
        <f>IF('TB IMA'!C88&lt;&gt;"",'TB IMA'!C88,"")</f>
        <v/>
      </c>
      <c r="D299" s="60"/>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7"/>
      <c r="BU299" s="107"/>
      <c r="BV299" s="107"/>
      <c r="BW299" s="107"/>
      <c r="BX299" s="107"/>
      <c r="BY299" s="107"/>
      <c r="BZ299" s="107"/>
      <c r="CA299" s="107"/>
      <c r="CB299" s="107"/>
      <c r="CC299" s="107"/>
      <c r="CD299" s="107"/>
      <c r="CE299" s="107"/>
      <c r="CF299" s="107"/>
      <c r="CG299" s="107"/>
      <c r="CH299" s="107"/>
      <c r="CI299" s="107"/>
      <c r="CJ299" s="107"/>
      <c r="CK299" s="107"/>
      <c r="CL299" s="107"/>
      <c r="CM299" s="107"/>
      <c r="CN299" s="107"/>
      <c r="CO299" s="107"/>
      <c r="CP299" s="107"/>
      <c r="CQ299" s="107"/>
      <c r="CR299" s="107"/>
      <c r="CS299" s="107"/>
      <c r="CT299" s="107"/>
      <c r="CU299" s="107"/>
      <c r="CV299" s="107"/>
      <c r="CW299" s="107"/>
      <c r="CX299" s="107"/>
      <c r="CY299" s="107"/>
      <c r="CZ299" s="107"/>
      <c r="DA299" s="107"/>
      <c r="DB299" s="107"/>
      <c r="DC299" s="107"/>
      <c r="DD299" s="107"/>
      <c r="DE299" s="107"/>
      <c r="DF299" s="107"/>
      <c r="DG299" s="107"/>
      <c r="DH299" s="107"/>
      <c r="DI299" s="107"/>
      <c r="DJ299" s="107"/>
      <c r="DK299" s="107"/>
      <c r="DL299" s="107"/>
      <c r="DM299" s="107"/>
      <c r="DN299" s="107"/>
      <c r="DO299" s="107"/>
      <c r="DP299" s="107"/>
      <c r="DQ299" s="107"/>
      <c r="DR299" s="107"/>
      <c r="DS299" s="107"/>
      <c r="DT299" s="727"/>
    </row>
    <row r="300" spans="1:124" ht="15" customHeight="1" x14ac:dyDescent="0.25">
      <c r="A300" s="821"/>
      <c r="B300" s="953" t="str">
        <f t="shared" si="15"/>
        <v>Desk 85</v>
      </c>
      <c r="C300" s="1220" t="str">
        <f>IF('TB IMA'!C89&lt;&gt;"",'TB IMA'!C89,"")</f>
        <v/>
      </c>
      <c r="D300" s="60"/>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7"/>
      <c r="BI300" s="107"/>
      <c r="BJ300" s="107"/>
      <c r="BK300" s="107"/>
      <c r="BL300" s="107"/>
      <c r="BM300" s="107"/>
      <c r="BN300" s="107"/>
      <c r="BO300" s="107"/>
      <c r="BP300" s="107"/>
      <c r="BQ300" s="107"/>
      <c r="BR300" s="107"/>
      <c r="BS300" s="107"/>
      <c r="BT300" s="107"/>
      <c r="BU300" s="107"/>
      <c r="BV300" s="107"/>
      <c r="BW300" s="107"/>
      <c r="BX300" s="107"/>
      <c r="BY300" s="107"/>
      <c r="BZ300" s="107"/>
      <c r="CA300" s="107"/>
      <c r="CB300" s="107"/>
      <c r="CC300" s="107"/>
      <c r="CD300" s="107"/>
      <c r="CE300" s="107"/>
      <c r="CF300" s="107"/>
      <c r="CG300" s="107"/>
      <c r="CH300" s="107"/>
      <c r="CI300" s="107"/>
      <c r="CJ300" s="107"/>
      <c r="CK300" s="107"/>
      <c r="CL300" s="107"/>
      <c r="CM300" s="107"/>
      <c r="CN300" s="107"/>
      <c r="CO300" s="107"/>
      <c r="CP300" s="107"/>
      <c r="CQ300" s="107"/>
      <c r="CR300" s="107"/>
      <c r="CS300" s="107"/>
      <c r="CT300" s="107"/>
      <c r="CU300" s="107"/>
      <c r="CV300" s="107"/>
      <c r="CW300" s="107"/>
      <c r="CX300" s="107"/>
      <c r="CY300" s="107"/>
      <c r="CZ300" s="107"/>
      <c r="DA300" s="107"/>
      <c r="DB300" s="107"/>
      <c r="DC300" s="107"/>
      <c r="DD300" s="107"/>
      <c r="DE300" s="107"/>
      <c r="DF300" s="107"/>
      <c r="DG300" s="107"/>
      <c r="DH300" s="107"/>
      <c r="DI300" s="107"/>
      <c r="DJ300" s="107"/>
      <c r="DK300" s="107"/>
      <c r="DL300" s="107"/>
      <c r="DM300" s="107"/>
      <c r="DN300" s="107"/>
      <c r="DO300" s="107"/>
      <c r="DP300" s="107"/>
      <c r="DQ300" s="107"/>
      <c r="DR300" s="107"/>
      <c r="DS300" s="107"/>
      <c r="DT300" s="727"/>
    </row>
    <row r="301" spans="1:124" ht="15" customHeight="1" x14ac:dyDescent="0.25">
      <c r="A301" s="821"/>
      <c r="B301" s="953" t="str">
        <f t="shared" si="15"/>
        <v>Desk 86</v>
      </c>
      <c r="C301" s="1220" t="str">
        <f>IF('TB IMA'!C90&lt;&gt;"",'TB IMA'!C90,"")</f>
        <v/>
      </c>
      <c r="D301" s="60"/>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07"/>
      <c r="BC301" s="107"/>
      <c r="BD301" s="107"/>
      <c r="BE301" s="107"/>
      <c r="BF301" s="107"/>
      <c r="BG301" s="107"/>
      <c r="BH301" s="107"/>
      <c r="BI301" s="107"/>
      <c r="BJ301" s="107"/>
      <c r="BK301" s="107"/>
      <c r="BL301" s="107"/>
      <c r="BM301" s="107"/>
      <c r="BN301" s="107"/>
      <c r="BO301" s="107"/>
      <c r="BP301" s="107"/>
      <c r="BQ301" s="107"/>
      <c r="BR301" s="107"/>
      <c r="BS301" s="107"/>
      <c r="BT301" s="107"/>
      <c r="BU301" s="107"/>
      <c r="BV301" s="107"/>
      <c r="BW301" s="107"/>
      <c r="BX301" s="107"/>
      <c r="BY301" s="107"/>
      <c r="BZ301" s="107"/>
      <c r="CA301" s="107"/>
      <c r="CB301" s="107"/>
      <c r="CC301" s="107"/>
      <c r="CD301" s="107"/>
      <c r="CE301" s="107"/>
      <c r="CF301" s="107"/>
      <c r="CG301" s="107"/>
      <c r="CH301" s="107"/>
      <c r="CI301" s="107"/>
      <c r="CJ301" s="107"/>
      <c r="CK301" s="107"/>
      <c r="CL301" s="107"/>
      <c r="CM301" s="107"/>
      <c r="CN301" s="107"/>
      <c r="CO301" s="107"/>
      <c r="CP301" s="107"/>
      <c r="CQ301" s="107"/>
      <c r="CR301" s="107"/>
      <c r="CS301" s="107"/>
      <c r="CT301" s="107"/>
      <c r="CU301" s="107"/>
      <c r="CV301" s="107"/>
      <c r="CW301" s="107"/>
      <c r="CX301" s="107"/>
      <c r="CY301" s="107"/>
      <c r="CZ301" s="107"/>
      <c r="DA301" s="107"/>
      <c r="DB301" s="107"/>
      <c r="DC301" s="107"/>
      <c r="DD301" s="107"/>
      <c r="DE301" s="107"/>
      <c r="DF301" s="107"/>
      <c r="DG301" s="107"/>
      <c r="DH301" s="107"/>
      <c r="DI301" s="107"/>
      <c r="DJ301" s="107"/>
      <c r="DK301" s="107"/>
      <c r="DL301" s="107"/>
      <c r="DM301" s="107"/>
      <c r="DN301" s="107"/>
      <c r="DO301" s="107"/>
      <c r="DP301" s="107"/>
      <c r="DQ301" s="107"/>
      <c r="DR301" s="107"/>
      <c r="DS301" s="107"/>
      <c r="DT301" s="727"/>
    </row>
    <row r="302" spans="1:124" ht="15" customHeight="1" x14ac:dyDescent="0.25">
      <c r="A302" s="821"/>
      <c r="B302" s="953" t="str">
        <f t="shared" si="15"/>
        <v>Desk 87</v>
      </c>
      <c r="C302" s="1220" t="str">
        <f>IF('TB IMA'!C91&lt;&gt;"",'TB IMA'!C91,"")</f>
        <v/>
      </c>
      <c r="D302" s="60"/>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c r="BB302" s="107"/>
      <c r="BC302" s="107"/>
      <c r="BD302" s="107"/>
      <c r="BE302" s="107"/>
      <c r="BF302" s="107"/>
      <c r="BG302" s="107"/>
      <c r="BH302" s="107"/>
      <c r="BI302" s="107"/>
      <c r="BJ302" s="107"/>
      <c r="BK302" s="107"/>
      <c r="BL302" s="107"/>
      <c r="BM302" s="107"/>
      <c r="BN302" s="107"/>
      <c r="BO302" s="107"/>
      <c r="BP302" s="107"/>
      <c r="BQ302" s="107"/>
      <c r="BR302" s="107"/>
      <c r="BS302" s="107"/>
      <c r="BT302" s="107"/>
      <c r="BU302" s="107"/>
      <c r="BV302" s="107"/>
      <c r="BW302" s="107"/>
      <c r="BX302" s="107"/>
      <c r="BY302" s="107"/>
      <c r="BZ302" s="107"/>
      <c r="CA302" s="107"/>
      <c r="CB302" s="107"/>
      <c r="CC302" s="107"/>
      <c r="CD302" s="107"/>
      <c r="CE302" s="107"/>
      <c r="CF302" s="107"/>
      <c r="CG302" s="107"/>
      <c r="CH302" s="107"/>
      <c r="CI302" s="107"/>
      <c r="CJ302" s="107"/>
      <c r="CK302" s="107"/>
      <c r="CL302" s="107"/>
      <c r="CM302" s="107"/>
      <c r="CN302" s="107"/>
      <c r="CO302" s="107"/>
      <c r="CP302" s="107"/>
      <c r="CQ302" s="107"/>
      <c r="CR302" s="107"/>
      <c r="CS302" s="107"/>
      <c r="CT302" s="107"/>
      <c r="CU302" s="107"/>
      <c r="CV302" s="107"/>
      <c r="CW302" s="107"/>
      <c r="CX302" s="107"/>
      <c r="CY302" s="107"/>
      <c r="CZ302" s="107"/>
      <c r="DA302" s="107"/>
      <c r="DB302" s="107"/>
      <c r="DC302" s="107"/>
      <c r="DD302" s="107"/>
      <c r="DE302" s="107"/>
      <c r="DF302" s="107"/>
      <c r="DG302" s="107"/>
      <c r="DH302" s="107"/>
      <c r="DI302" s="107"/>
      <c r="DJ302" s="107"/>
      <c r="DK302" s="107"/>
      <c r="DL302" s="107"/>
      <c r="DM302" s="107"/>
      <c r="DN302" s="107"/>
      <c r="DO302" s="107"/>
      <c r="DP302" s="107"/>
      <c r="DQ302" s="107"/>
      <c r="DR302" s="107"/>
      <c r="DS302" s="107"/>
      <c r="DT302" s="727"/>
    </row>
    <row r="303" spans="1:124" ht="15" customHeight="1" x14ac:dyDescent="0.25">
      <c r="A303" s="821"/>
      <c r="B303" s="953" t="str">
        <f t="shared" si="15"/>
        <v>Desk 88</v>
      </c>
      <c r="C303" s="1220" t="str">
        <f>IF('TB IMA'!C92&lt;&gt;"",'TB IMA'!C92,"")</f>
        <v/>
      </c>
      <c r="D303" s="60"/>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c r="BB303" s="107"/>
      <c r="BC303" s="107"/>
      <c r="BD303" s="107"/>
      <c r="BE303" s="107"/>
      <c r="BF303" s="107"/>
      <c r="BG303" s="107"/>
      <c r="BH303" s="107"/>
      <c r="BI303" s="107"/>
      <c r="BJ303" s="107"/>
      <c r="BK303" s="107"/>
      <c r="BL303" s="107"/>
      <c r="BM303" s="107"/>
      <c r="BN303" s="107"/>
      <c r="BO303" s="107"/>
      <c r="BP303" s="107"/>
      <c r="BQ303" s="107"/>
      <c r="BR303" s="107"/>
      <c r="BS303" s="107"/>
      <c r="BT303" s="107"/>
      <c r="BU303" s="107"/>
      <c r="BV303" s="107"/>
      <c r="BW303" s="107"/>
      <c r="BX303" s="107"/>
      <c r="BY303" s="107"/>
      <c r="BZ303" s="107"/>
      <c r="CA303" s="107"/>
      <c r="CB303" s="107"/>
      <c r="CC303" s="107"/>
      <c r="CD303" s="107"/>
      <c r="CE303" s="107"/>
      <c r="CF303" s="107"/>
      <c r="CG303" s="107"/>
      <c r="CH303" s="107"/>
      <c r="CI303" s="107"/>
      <c r="CJ303" s="107"/>
      <c r="CK303" s="107"/>
      <c r="CL303" s="107"/>
      <c r="CM303" s="107"/>
      <c r="CN303" s="107"/>
      <c r="CO303" s="107"/>
      <c r="CP303" s="107"/>
      <c r="CQ303" s="107"/>
      <c r="CR303" s="107"/>
      <c r="CS303" s="107"/>
      <c r="CT303" s="107"/>
      <c r="CU303" s="107"/>
      <c r="CV303" s="107"/>
      <c r="CW303" s="107"/>
      <c r="CX303" s="107"/>
      <c r="CY303" s="107"/>
      <c r="CZ303" s="107"/>
      <c r="DA303" s="107"/>
      <c r="DB303" s="107"/>
      <c r="DC303" s="107"/>
      <c r="DD303" s="107"/>
      <c r="DE303" s="107"/>
      <c r="DF303" s="107"/>
      <c r="DG303" s="107"/>
      <c r="DH303" s="107"/>
      <c r="DI303" s="107"/>
      <c r="DJ303" s="107"/>
      <c r="DK303" s="107"/>
      <c r="DL303" s="107"/>
      <c r="DM303" s="107"/>
      <c r="DN303" s="107"/>
      <c r="DO303" s="107"/>
      <c r="DP303" s="107"/>
      <c r="DQ303" s="107"/>
      <c r="DR303" s="107"/>
      <c r="DS303" s="107"/>
      <c r="DT303" s="727"/>
    </row>
    <row r="304" spans="1:124" ht="15" customHeight="1" x14ac:dyDescent="0.25">
      <c r="A304" s="821"/>
      <c r="B304" s="953" t="str">
        <f t="shared" si="15"/>
        <v>Desk 89</v>
      </c>
      <c r="C304" s="1220" t="str">
        <f>IF('TB IMA'!C93&lt;&gt;"",'TB IMA'!C93,"")</f>
        <v/>
      </c>
      <c r="D304" s="60"/>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7"/>
      <c r="BW304" s="107"/>
      <c r="BX304" s="107"/>
      <c r="BY304" s="107"/>
      <c r="BZ304" s="107"/>
      <c r="CA304" s="107"/>
      <c r="CB304" s="107"/>
      <c r="CC304" s="107"/>
      <c r="CD304" s="107"/>
      <c r="CE304" s="107"/>
      <c r="CF304" s="107"/>
      <c r="CG304" s="107"/>
      <c r="CH304" s="107"/>
      <c r="CI304" s="107"/>
      <c r="CJ304" s="107"/>
      <c r="CK304" s="107"/>
      <c r="CL304" s="107"/>
      <c r="CM304" s="107"/>
      <c r="CN304" s="107"/>
      <c r="CO304" s="107"/>
      <c r="CP304" s="107"/>
      <c r="CQ304" s="107"/>
      <c r="CR304" s="107"/>
      <c r="CS304" s="107"/>
      <c r="CT304" s="107"/>
      <c r="CU304" s="107"/>
      <c r="CV304" s="107"/>
      <c r="CW304" s="107"/>
      <c r="CX304" s="107"/>
      <c r="CY304" s="107"/>
      <c r="CZ304" s="107"/>
      <c r="DA304" s="107"/>
      <c r="DB304" s="107"/>
      <c r="DC304" s="107"/>
      <c r="DD304" s="107"/>
      <c r="DE304" s="107"/>
      <c r="DF304" s="107"/>
      <c r="DG304" s="107"/>
      <c r="DH304" s="107"/>
      <c r="DI304" s="107"/>
      <c r="DJ304" s="107"/>
      <c r="DK304" s="107"/>
      <c r="DL304" s="107"/>
      <c r="DM304" s="107"/>
      <c r="DN304" s="107"/>
      <c r="DO304" s="107"/>
      <c r="DP304" s="107"/>
      <c r="DQ304" s="107"/>
      <c r="DR304" s="107"/>
      <c r="DS304" s="107"/>
      <c r="DT304" s="727"/>
    </row>
    <row r="305" spans="1:124" ht="15" customHeight="1" x14ac:dyDescent="0.25">
      <c r="A305" s="821"/>
      <c r="B305" s="953" t="str">
        <f t="shared" si="15"/>
        <v>Desk 90</v>
      </c>
      <c r="C305" s="1220" t="str">
        <f>IF('TB IMA'!C94&lt;&gt;"",'TB IMA'!C94,"")</f>
        <v/>
      </c>
      <c r="D305" s="60"/>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c r="BB305" s="107"/>
      <c r="BC305" s="107"/>
      <c r="BD305" s="107"/>
      <c r="BE305" s="107"/>
      <c r="BF305" s="107"/>
      <c r="BG305" s="107"/>
      <c r="BH305" s="107"/>
      <c r="BI305" s="107"/>
      <c r="BJ305" s="107"/>
      <c r="BK305" s="107"/>
      <c r="BL305" s="107"/>
      <c r="BM305" s="107"/>
      <c r="BN305" s="107"/>
      <c r="BO305" s="107"/>
      <c r="BP305" s="107"/>
      <c r="BQ305" s="107"/>
      <c r="BR305" s="107"/>
      <c r="BS305" s="107"/>
      <c r="BT305" s="107"/>
      <c r="BU305" s="107"/>
      <c r="BV305" s="107"/>
      <c r="BW305" s="107"/>
      <c r="BX305" s="107"/>
      <c r="BY305" s="107"/>
      <c r="BZ305" s="107"/>
      <c r="CA305" s="107"/>
      <c r="CB305" s="107"/>
      <c r="CC305" s="107"/>
      <c r="CD305" s="107"/>
      <c r="CE305" s="107"/>
      <c r="CF305" s="107"/>
      <c r="CG305" s="107"/>
      <c r="CH305" s="107"/>
      <c r="CI305" s="107"/>
      <c r="CJ305" s="107"/>
      <c r="CK305" s="107"/>
      <c r="CL305" s="107"/>
      <c r="CM305" s="107"/>
      <c r="CN305" s="107"/>
      <c r="CO305" s="107"/>
      <c r="CP305" s="107"/>
      <c r="CQ305" s="107"/>
      <c r="CR305" s="107"/>
      <c r="CS305" s="107"/>
      <c r="CT305" s="107"/>
      <c r="CU305" s="107"/>
      <c r="CV305" s="107"/>
      <c r="CW305" s="107"/>
      <c r="CX305" s="107"/>
      <c r="CY305" s="107"/>
      <c r="CZ305" s="107"/>
      <c r="DA305" s="107"/>
      <c r="DB305" s="107"/>
      <c r="DC305" s="107"/>
      <c r="DD305" s="107"/>
      <c r="DE305" s="107"/>
      <c r="DF305" s="107"/>
      <c r="DG305" s="107"/>
      <c r="DH305" s="107"/>
      <c r="DI305" s="107"/>
      <c r="DJ305" s="107"/>
      <c r="DK305" s="107"/>
      <c r="DL305" s="107"/>
      <c r="DM305" s="107"/>
      <c r="DN305" s="107"/>
      <c r="DO305" s="107"/>
      <c r="DP305" s="107"/>
      <c r="DQ305" s="107"/>
      <c r="DR305" s="107"/>
      <c r="DS305" s="107"/>
      <c r="DT305" s="727"/>
    </row>
    <row r="306" spans="1:124" ht="15" customHeight="1" x14ac:dyDescent="0.25">
      <c r="A306" s="821"/>
      <c r="B306" s="953" t="str">
        <f t="shared" si="15"/>
        <v>Desk 91</v>
      </c>
      <c r="C306" s="1220" t="str">
        <f>IF('TB IMA'!C95&lt;&gt;"",'TB IMA'!C95,"")</f>
        <v/>
      </c>
      <c r="D306" s="60"/>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c r="BB306" s="107"/>
      <c r="BC306" s="107"/>
      <c r="BD306" s="107"/>
      <c r="BE306" s="107"/>
      <c r="BF306" s="107"/>
      <c r="BG306" s="107"/>
      <c r="BH306" s="107"/>
      <c r="BI306" s="107"/>
      <c r="BJ306" s="107"/>
      <c r="BK306" s="107"/>
      <c r="BL306" s="107"/>
      <c r="BM306" s="107"/>
      <c r="BN306" s="107"/>
      <c r="BO306" s="107"/>
      <c r="BP306" s="107"/>
      <c r="BQ306" s="107"/>
      <c r="BR306" s="107"/>
      <c r="BS306" s="107"/>
      <c r="BT306" s="107"/>
      <c r="BU306" s="107"/>
      <c r="BV306" s="107"/>
      <c r="BW306" s="107"/>
      <c r="BX306" s="107"/>
      <c r="BY306" s="107"/>
      <c r="BZ306" s="107"/>
      <c r="CA306" s="107"/>
      <c r="CB306" s="107"/>
      <c r="CC306" s="107"/>
      <c r="CD306" s="107"/>
      <c r="CE306" s="107"/>
      <c r="CF306" s="107"/>
      <c r="CG306" s="107"/>
      <c r="CH306" s="107"/>
      <c r="CI306" s="107"/>
      <c r="CJ306" s="107"/>
      <c r="CK306" s="107"/>
      <c r="CL306" s="107"/>
      <c r="CM306" s="107"/>
      <c r="CN306" s="107"/>
      <c r="CO306" s="107"/>
      <c r="CP306" s="107"/>
      <c r="CQ306" s="107"/>
      <c r="CR306" s="107"/>
      <c r="CS306" s="107"/>
      <c r="CT306" s="107"/>
      <c r="CU306" s="107"/>
      <c r="CV306" s="107"/>
      <c r="CW306" s="107"/>
      <c r="CX306" s="107"/>
      <c r="CY306" s="107"/>
      <c r="CZ306" s="107"/>
      <c r="DA306" s="107"/>
      <c r="DB306" s="107"/>
      <c r="DC306" s="107"/>
      <c r="DD306" s="107"/>
      <c r="DE306" s="107"/>
      <c r="DF306" s="107"/>
      <c r="DG306" s="107"/>
      <c r="DH306" s="107"/>
      <c r="DI306" s="107"/>
      <c r="DJ306" s="107"/>
      <c r="DK306" s="107"/>
      <c r="DL306" s="107"/>
      <c r="DM306" s="107"/>
      <c r="DN306" s="107"/>
      <c r="DO306" s="107"/>
      <c r="DP306" s="107"/>
      <c r="DQ306" s="107"/>
      <c r="DR306" s="107"/>
      <c r="DS306" s="107"/>
      <c r="DT306" s="727"/>
    </row>
    <row r="307" spans="1:124" ht="15" customHeight="1" x14ac:dyDescent="0.25">
      <c r="A307" s="821"/>
      <c r="B307" s="953" t="str">
        <f t="shared" si="15"/>
        <v>Desk 92</v>
      </c>
      <c r="C307" s="1220" t="str">
        <f>IF('TB IMA'!C96&lt;&gt;"",'TB IMA'!C96,"")</f>
        <v/>
      </c>
      <c r="D307" s="60"/>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7"/>
      <c r="BU307" s="107"/>
      <c r="BV307" s="107"/>
      <c r="BW307" s="107"/>
      <c r="BX307" s="107"/>
      <c r="BY307" s="107"/>
      <c r="BZ307" s="107"/>
      <c r="CA307" s="107"/>
      <c r="CB307" s="107"/>
      <c r="CC307" s="107"/>
      <c r="CD307" s="107"/>
      <c r="CE307" s="107"/>
      <c r="CF307" s="107"/>
      <c r="CG307" s="107"/>
      <c r="CH307" s="107"/>
      <c r="CI307" s="107"/>
      <c r="CJ307" s="107"/>
      <c r="CK307" s="107"/>
      <c r="CL307" s="107"/>
      <c r="CM307" s="107"/>
      <c r="CN307" s="107"/>
      <c r="CO307" s="107"/>
      <c r="CP307" s="107"/>
      <c r="CQ307" s="107"/>
      <c r="CR307" s="107"/>
      <c r="CS307" s="107"/>
      <c r="CT307" s="107"/>
      <c r="CU307" s="107"/>
      <c r="CV307" s="107"/>
      <c r="CW307" s="107"/>
      <c r="CX307" s="107"/>
      <c r="CY307" s="107"/>
      <c r="CZ307" s="107"/>
      <c r="DA307" s="107"/>
      <c r="DB307" s="107"/>
      <c r="DC307" s="107"/>
      <c r="DD307" s="107"/>
      <c r="DE307" s="107"/>
      <c r="DF307" s="107"/>
      <c r="DG307" s="107"/>
      <c r="DH307" s="107"/>
      <c r="DI307" s="107"/>
      <c r="DJ307" s="107"/>
      <c r="DK307" s="107"/>
      <c r="DL307" s="107"/>
      <c r="DM307" s="107"/>
      <c r="DN307" s="107"/>
      <c r="DO307" s="107"/>
      <c r="DP307" s="107"/>
      <c r="DQ307" s="107"/>
      <c r="DR307" s="107"/>
      <c r="DS307" s="107"/>
      <c r="DT307" s="727"/>
    </row>
    <row r="308" spans="1:124" ht="15" customHeight="1" x14ac:dyDescent="0.25">
      <c r="A308" s="821"/>
      <c r="B308" s="953" t="str">
        <f t="shared" si="15"/>
        <v>Desk 93</v>
      </c>
      <c r="C308" s="1220" t="str">
        <f>IF('TB IMA'!C97&lt;&gt;"",'TB IMA'!C97,"")</f>
        <v/>
      </c>
      <c r="D308" s="60"/>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c r="BL308" s="107"/>
      <c r="BM308" s="107"/>
      <c r="BN308" s="107"/>
      <c r="BO308" s="107"/>
      <c r="BP308" s="107"/>
      <c r="BQ308" s="107"/>
      <c r="BR308" s="107"/>
      <c r="BS308" s="107"/>
      <c r="BT308" s="107"/>
      <c r="BU308" s="107"/>
      <c r="BV308" s="107"/>
      <c r="BW308" s="107"/>
      <c r="BX308" s="107"/>
      <c r="BY308" s="107"/>
      <c r="BZ308" s="107"/>
      <c r="CA308" s="107"/>
      <c r="CB308" s="107"/>
      <c r="CC308" s="107"/>
      <c r="CD308" s="107"/>
      <c r="CE308" s="107"/>
      <c r="CF308" s="107"/>
      <c r="CG308" s="107"/>
      <c r="CH308" s="107"/>
      <c r="CI308" s="107"/>
      <c r="CJ308" s="107"/>
      <c r="CK308" s="107"/>
      <c r="CL308" s="107"/>
      <c r="CM308" s="107"/>
      <c r="CN308" s="107"/>
      <c r="CO308" s="107"/>
      <c r="CP308" s="107"/>
      <c r="CQ308" s="107"/>
      <c r="CR308" s="107"/>
      <c r="CS308" s="107"/>
      <c r="CT308" s="107"/>
      <c r="CU308" s="107"/>
      <c r="CV308" s="107"/>
      <c r="CW308" s="107"/>
      <c r="CX308" s="107"/>
      <c r="CY308" s="107"/>
      <c r="CZ308" s="107"/>
      <c r="DA308" s="107"/>
      <c r="DB308" s="107"/>
      <c r="DC308" s="107"/>
      <c r="DD308" s="107"/>
      <c r="DE308" s="107"/>
      <c r="DF308" s="107"/>
      <c r="DG308" s="107"/>
      <c r="DH308" s="107"/>
      <c r="DI308" s="107"/>
      <c r="DJ308" s="107"/>
      <c r="DK308" s="107"/>
      <c r="DL308" s="107"/>
      <c r="DM308" s="107"/>
      <c r="DN308" s="107"/>
      <c r="DO308" s="107"/>
      <c r="DP308" s="107"/>
      <c r="DQ308" s="107"/>
      <c r="DR308" s="107"/>
      <c r="DS308" s="107"/>
      <c r="DT308" s="727"/>
    </row>
    <row r="309" spans="1:124" ht="15" customHeight="1" x14ac:dyDescent="0.25">
      <c r="A309" s="821"/>
      <c r="B309" s="953" t="str">
        <f t="shared" si="15"/>
        <v>Desk 94</v>
      </c>
      <c r="C309" s="1220" t="str">
        <f>IF('TB IMA'!C98&lt;&gt;"",'TB IMA'!C98,"")</f>
        <v/>
      </c>
      <c r="D309" s="60"/>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c r="BB309" s="107"/>
      <c r="BC309" s="107"/>
      <c r="BD309" s="107"/>
      <c r="BE309" s="107"/>
      <c r="BF309" s="107"/>
      <c r="BG309" s="107"/>
      <c r="BH309" s="107"/>
      <c r="BI309" s="107"/>
      <c r="BJ309" s="107"/>
      <c r="BK309" s="107"/>
      <c r="BL309" s="107"/>
      <c r="BM309" s="107"/>
      <c r="BN309" s="107"/>
      <c r="BO309" s="107"/>
      <c r="BP309" s="107"/>
      <c r="BQ309" s="107"/>
      <c r="BR309" s="107"/>
      <c r="BS309" s="107"/>
      <c r="BT309" s="107"/>
      <c r="BU309" s="107"/>
      <c r="BV309" s="107"/>
      <c r="BW309" s="107"/>
      <c r="BX309" s="107"/>
      <c r="BY309" s="107"/>
      <c r="BZ309" s="107"/>
      <c r="CA309" s="107"/>
      <c r="CB309" s="107"/>
      <c r="CC309" s="107"/>
      <c r="CD309" s="107"/>
      <c r="CE309" s="107"/>
      <c r="CF309" s="107"/>
      <c r="CG309" s="107"/>
      <c r="CH309" s="107"/>
      <c r="CI309" s="107"/>
      <c r="CJ309" s="107"/>
      <c r="CK309" s="107"/>
      <c r="CL309" s="107"/>
      <c r="CM309" s="107"/>
      <c r="CN309" s="107"/>
      <c r="CO309" s="107"/>
      <c r="CP309" s="107"/>
      <c r="CQ309" s="107"/>
      <c r="CR309" s="107"/>
      <c r="CS309" s="107"/>
      <c r="CT309" s="107"/>
      <c r="CU309" s="107"/>
      <c r="CV309" s="107"/>
      <c r="CW309" s="107"/>
      <c r="CX309" s="107"/>
      <c r="CY309" s="107"/>
      <c r="CZ309" s="107"/>
      <c r="DA309" s="107"/>
      <c r="DB309" s="107"/>
      <c r="DC309" s="107"/>
      <c r="DD309" s="107"/>
      <c r="DE309" s="107"/>
      <c r="DF309" s="107"/>
      <c r="DG309" s="107"/>
      <c r="DH309" s="107"/>
      <c r="DI309" s="107"/>
      <c r="DJ309" s="107"/>
      <c r="DK309" s="107"/>
      <c r="DL309" s="107"/>
      <c r="DM309" s="107"/>
      <c r="DN309" s="107"/>
      <c r="DO309" s="107"/>
      <c r="DP309" s="107"/>
      <c r="DQ309" s="107"/>
      <c r="DR309" s="107"/>
      <c r="DS309" s="107"/>
      <c r="DT309" s="727"/>
    </row>
    <row r="310" spans="1:124" ht="15" customHeight="1" x14ac:dyDescent="0.25">
      <c r="A310" s="821"/>
      <c r="B310" s="953" t="str">
        <f t="shared" si="15"/>
        <v>Desk 95</v>
      </c>
      <c r="C310" s="1220" t="str">
        <f>IF('TB IMA'!C99&lt;&gt;"",'TB IMA'!C99,"")</f>
        <v/>
      </c>
      <c r="D310" s="60"/>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c r="BL310" s="107"/>
      <c r="BM310" s="107"/>
      <c r="BN310" s="107"/>
      <c r="BO310" s="107"/>
      <c r="BP310" s="107"/>
      <c r="BQ310" s="107"/>
      <c r="BR310" s="107"/>
      <c r="BS310" s="107"/>
      <c r="BT310" s="107"/>
      <c r="BU310" s="107"/>
      <c r="BV310" s="107"/>
      <c r="BW310" s="107"/>
      <c r="BX310" s="107"/>
      <c r="BY310" s="107"/>
      <c r="BZ310" s="107"/>
      <c r="CA310" s="107"/>
      <c r="CB310" s="107"/>
      <c r="CC310" s="107"/>
      <c r="CD310" s="107"/>
      <c r="CE310" s="107"/>
      <c r="CF310" s="107"/>
      <c r="CG310" s="107"/>
      <c r="CH310" s="107"/>
      <c r="CI310" s="107"/>
      <c r="CJ310" s="107"/>
      <c r="CK310" s="107"/>
      <c r="CL310" s="107"/>
      <c r="CM310" s="107"/>
      <c r="CN310" s="107"/>
      <c r="CO310" s="107"/>
      <c r="CP310" s="107"/>
      <c r="CQ310" s="107"/>
      <c r="CR310" s="107"/>
      <c r="CS310" s="107"/>
      <c r="CT310" s="107"/>
      <c r="CU310" s="107"/>
      <c r="CV310" s="107"/>
      <c r="CW310" s="107"/>
      <c r="CX310" s="107"/>
      <c r="CY310" s="107"/>
      <c r="CZ310" s="107"/>
      <c r="DA310" s="107"/>
      <c r="DB310" s="107"/>
      <c r="DC310" s="107"/>
      <c r="DD310" s="107"/>
      <c r="DE310" s="107"/>
      <c r="DF310" s="107"/>
      <c r="DG310" s="107"/>
      <c r="DH310" s="107"/>
      <c r="DI310" s="107"/>
      <c r="DJ310" s="107"/>
      <c r="DK310" s="107"/>
      <c r="DL310" s="107"/>
      <c r="DM310" s="107"/>
      <c r="DN310" s="107"/>
      <c r="DO310" s="107"/>
      <c r="DP310" s="107"/>
      <c r="DQ310" s="107"/>
      <c r="DR310" s="107"/>
      <c r="DS310" s="107"/>
      <c r="DT310" s="727"/>
    </row>
    <row r="311" spans="1:124" ht="15" customHeight="1" x14ac:dyDescent="0.25">
      <c r="A311" s="821"/>
      <c r="B311" s="953" t="str">
        <f t="shared" si="15"/>
        <v>Desk 96</v>
      </c>
      <c r="C311" s="1220" t="str">
        <f>IF('TB IMA'!C100&lt;&gt;"",'TB IMA'!C100,"")</f>
        <v/>
      </c>
      <c r="D311" s="60"/>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c r="BB311" s="107"/>
      <c r="BC311" s="107"/>
      <c r="BD311" s="107"/>
      <c r="BE311" s="107"/>
      <c r="BF311" s="107"/>
      <c r="BG311" s="107"/>
      <c r="BH311" s="107"/>
      <c r="BI311" s="107"/>
      <c r="BJ311" s="107"/>
      <c r="BK311" s="107"/>
      <c r="BL311" s="107"/>
      <c r="BM311" s="107"/>
      <c r="BN311" s="107"/>
      <c r="BO311" s="107"/>
      <c r="BP311" s="107"/>
      <c r="BQ311" s="107"/>
      <c r="BR311" s="107"/>
      <c r="BS311" s="107"/>
      <c r="BT311" s="107"/>
      <c r="BU311" s="107"/>
      <c r="BV311" s="107"/>
      <c r="BW311" s="107"/>
      <c r="BX311" s="107"/>
      <c r="BY311" s="107"/>
      <c r="BZ311" s="107"/>
      <c r="CA311" s="107"/>
      <c r="CB311" s="107"/>
      <c r="CC311" s="107"/>
      <c r="CD311" s="107"/>
      <c r="CE311" s="107"/>
      <c r="CF311" s="107"/>
      <c r="CG311" s="107"/>
      <c r="CH311" s="107"/>
      <c r="CI311" s="107"/>
      <c r="CJ311" s="107"/>
      <c r="CK311" s="107"/>
      <c r="CL311" s="107"/>
      <c r="CM311" s="107"/>
      <c r="CN311" s="107"/>
      <c r="CO311" s="107"/>
      <c r="CP311" s="107"/>
      <c r="CQ311" s="107"/>
      <c r="CR311" s="107"/>
      <c r="CS311" s="107"/>
      <c r="CT311" s="107"/>
      <c r="CU311" s="107"/>
      <c r="CV311" s="107"/>
      <c r="CW311" s="107"/>
      <c r="CX311" s="107"/>
      <c r="CY311" s="107"/>
      <c r="CZ311" s="107"/>
      <c r="DA311" s="107"/>
      <c r="DB311" s="107"/>
      <c r="DC311" s="107"/>
      <c r="DD311" s="107"/>
      <c r="DE311" s="107"/>
      <c r="DF311" s="107"/>
      <c r="DG311" s="107"/>
      <c r="DH311" s="107"/>
      <c r="DI311" s="107"/>
      <c r="DJ311" s="107"/>
      <c r="DK311" s="107"/>
      <c r="DL311" s="107"/>
      <c r="DM311" s="107"/>
      <c r="DN311" s="107"/>
      <c r="DO311" s="107"/>
      <c r="DP311" s="107"/>
      <c r="DQ311" s="107"/>
      <c r="DR311" s="107"/>
      <c r="DS311" s="107"/>
      <c r="DT311" s="727"/>
    </row>
    <row r="312" spans="1:124" ht="15" customHeight="1" x14ac:dyDescent="0.25">
      <c r="A312" s="821"/>
      <c r="B312" s="953" t="str">
        <f t="shared" si="15"/>
        <v>Desk 97</v>
      </c>
      <c r="C312" s="1220" t="str">
        <f>IF('TB IMA'!C101&lt;&gt;"",'TB IMA'!C101,"")</f>
        <v/>
      </c>
      <c r="D312" s="60"/>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c r="BB312" s="107"/>
      <c r="BC312" s="107"/>
      <c r="BD312" s="107"/>
      <c r="BE312" s="107"/>
      <c r="BF312" s="107"/>
      <c r="BG312" s="107"/>
      <c r="BH312" s="107"/>
      <c r="BI312" s="107"/>
      <c r="BJ312" s="107"/>
      <c r="BK312" s="107"/>
      <c r="BL312" s="107"/>
      <c r="BM312" s="107"/>
      <c r="BN312" s="107"/>
      <c r="BO312" s="107"/>
      <c r="BP312" s="107"/>
      <c r="BQ312" s="107"/>
      <c r="BR312" s="107"/>
      <c r="BS312" s="107"/>
      <c r="BT312" s="107"/>
      <c r="BU312" s="107"/>
      <c r="BV312" s="107"/>
      <c r="BW312" s="107"/>
      <c r="BX312" s="107"/>
      <c r="BY312" s="107"/>
      <c r="BZ312" s="107"/>
      <c r="CA312" s="107"/>
      <c r="CB312" s="107"/>
      <c r="CC312" s="107"/>
      <c r="CD312" s="107"/>
      <c r="CE312" s="107"/>
      <c r="CF312" s="107"/>
      <c r="CG312" s="107"/>
      <c r="CH312" s="107"/>
      <c r="CI312" s="107"/>
      <c r="CJ312" s="107"/>
      <c r="CK312" s="107"/>
      <c r="CL312" s="107"/>
      <c r="CM312" s="107"/>
      <c r="CN312" s="107"/>
      <c r="CO312" s="107"/>
      <c r="CP312" s="107"/>
      <c r="CQ312" s="107"/>
      <c r="CR312" s="107"/>
      <c r="CS312" s="107"/>
      <c r="CT312" s="107"/>
      <c r="CU312" s="107"/>
      <c r="CV312" s="107"/>
      <c r="CW312" s="107"/>
      <c r="CX312" s="107"/>
      <c r="CY312" s="107"/>
      <c r="CZ312" s="107"/>
      <c r="DA312" s="107"/>
      <c r="DB312" s="107"/>
      <c r="DC312" s="107"/>
      <c r="DD312" s="107"/>
      <c r="DE312" s="107"/>
      <c r="DF312" s="107"/>
      <c r="DG312" s="107"/>
      <c r="DH312" s="107"/>
      <c r="DI312" s="107"/>
      <c r="DJ312" s="107"/>
      <c r="DK312" s="107"/>
      <c r="DL312" s="107"/>
      <c r="DM312" s="107"/>
      <c r="DN312" s="107"/>
      <c r="DO312" s="107"/>
      <c r="DP312" s="107"/>
      <c r="DQ312" s="107"/>
      <c r="DR312" s="107"/>
      <c r="DS312" s="107"/>
      <c r="DT312" s="727"/>
    </row>
    <row r="313" spans="1:124" ht="15" customHeight="1" x14ac:dyDescent="0.25">
      <c r="A313" s="821"/>
      <c r="B313" s="953" t="str">
        <f t="shared" si="15"/>
        <v>Desk 98</v>
      </c>
      <c r="C313" s="1220" t="str">
        <f>IF('TB IMA'!C102&lt;&gt;"",'TB IMA'!C102,"")</f>
        <v/>
      </c>
      <c r="D313" s="60"/>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c r="CC313" s="107"/>
      <c r="CD313" s="107"/>
      <c r="CE313" s="107"/>
      <c r="CF313" s="107"/>
      <c r="CG313" s="107"/>
      <c r="CH313" s="107"/>
      <c r="CI313" s="107"/>
      <c r="CJ313" s="107"/>
      <c r="CK313" s="107"/>
      <c r="CL313" s="107"/>
      <c r="CM313" s="107"/>
      <c r="CN313" s="107"/>
      <c r="CO313" s="107"/>
      <c r="CP313" s="107"/>
      <c r="CQ313" s="107"/>
      <c r="CR313" s="107"/>
      <c r="CS313" s="107"/>
      <c r="CT313" s="107"/>
      <c r="CU313" s="107"/>
      <c r="CV313" s="107"/>
      <c r="CW313" s="107"/>
      <c r="CX313" s="107"/>
      <c r="CY313" s="107"/>
      <c r="CZ313" s="107"/>
      <c r="DA313" s="107"/>
      <c r="DB313" s="107"/>
      <c r="DC313" s="107"/>
      <c r="DD313" s="107"/>
      <c r="DE313" s="107"/>
      <c r="DF313" s="107"/>
      <c r="DG313" s="107"/>
      <c r="DH313" s="107"/>
      <c r="DI313" s="107"/>
      <c r="DJ313" s="107"/>
      <c r="DK313" s="107"/>
      <c r="DL313" s="107"/>
      <c r="DM313" s="107"/>
      <c r="DN313" s="107"/>
      <c r="DO313" s="107"/>
      <c r="DP313" s="107"/>
      <c r="DQ313" s="107"/>
      <c r="DR313" s="107"/>
      <c r="DS313" s="107"/>
      <c r="DT313" s="727"/>
    </row>
    <row r="314" spans="1:124" ht="15" customHeight="1" x14ac:dyDescent="0.25">
      <c r="A314" s="821"/>
      <c r="B314" s="953" t="str">
        <f t="shared" si="15"/>
        <v>Desk 99</v>
      </c>
      <c r="C314" s="1220" t="str">
        <f>IF('TB IMA'!C103&lt;&gt;"",'TB IMA'!C103,"")</f>
        <v/>
      </c>
      <c r="D314" s="60"/>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c r="BB314" s="107"/>
      <c r="BC314" s="107"/>
      <c r="BD314" s="107"/>
      <c r="BE314" s="107"/>
      <c r="BF314" s="107"/>
      <c r="BG314" s="107"/>
      <c r="BH314" s="107"/>
      <c r="BI314" s="107"/>
      <c r="BJ314" s="107"/>
      <c r="BK314" s="107"/>
      <c r="BL314" s="107"/>
      <c r="BM314" s="107"/>
      <c r="BN314" s="107"/>
      <c r="BO314" s="107"/>
      <c r="BP314" s="107"/>
      <c r="BQ314" s="107"/>
      <c r="BR314" s="107"/>
      <c r="BS314" s="107"/>
      <c r="BT314" s="107"/>
      <c r="BU314" s="107"/>
      <c r="BV314" s="107"/>
      <c r="BW314" s="107"/>
      <c r="BX314" s="107"/>
      <c r="BY314" s="107"/>
      <c r="BZ314" s="107"/>
      <c r="CA314" s="107"/>
      <c r="CB314" s="107"/>
      <c r="CC314" s="107"/>
      <c r="CD314" s="107"/>
      <c r="CE314" s="107"/>
      <c r="CF314" s="107"/>
      <c r="CG314" s="107"/>
      <c r="CH314" s="107"/>
      <c r="CI314" s="107"/>
      <c r="CJ314" s="107"/>
      <c r="CK314" s="107"/>
      <c r="CL314" s="107"/>
      <c r="CM314" s="107"/>
      <c r="CN314" s="107"/>
      <c r="CO314" s="107"/>
      <c r="CP314" s="107"/>
      <c r="CQ314" s="107"/>
      <c r="CR314" s="107"/>
      <c r="CS314" s="107"/>
      <c r="CT314" s="107"/>
      <c r="CU314" s="107"/>
      <c r="CV314" s="107"/>
      <c r="CW314" s="107"/>
      <c r="CX314" s="107"/>
      <c r="CY314" s="107"/>
      <c r="CZ314" s="107"/>
      <c r="DA314" s="107"/>
      <c r="DB314" s="107"/>
      <c r="DC314" s="107"/>
      <c r="DD314" s="107"/>
      <c r="DE314" s="107"/>
      <c r="DF314" s="107"/>
      <c r="DG314" s="107"/>
      <c r="DH314" s="107"/>
      <c r="DI314" s="107"/>
      <c r="DJ314" s="107"/>
      <c r="DK314" s="107"/>
      <c r="DL314" s="107"/>
      <c r="DM314" s="107"/>
      <c r="DN314" s="107"/>
      <c r="DO314" s="107"/>
      <c r="DP314" s="107"/>
      <c r="DQ314" s="107"/>
      <c r="DR314" s="107"/>
      <c r="DS314" s="107"/>
      <c r="DT314" s="727"/>
    </row>
    <row r="315" spans="1:124" ht="15" customHeight="1" x14ac:dyDescent="0.25">
      <c r="A315" s="821"/>
      <c r="B315" s="954" t="str">
        <f t="shared" si="15"/>
        <v>Desk 100</v>
      </c>
      <c r="C315" s="1221" t="str">
        <f>IF('TB IMA'!C103&lt;&gt;"",'TB IMA'!C103,"")</f>
        <v/>
      </c>
      <c r="D315" s="55"/>
      <c r="E315" s="504"/>
      <c r="F315" s="504"/>
      <c r="G315" s="504"/>
      <c r="H315" s="504"/>
      <c r="I315" s="504"/>
      <c r="J315" s="504"/>
      <c r="K315" s="504"/>
      <c r="L315" s="504"/>
      <c r="M315" s="504"/>
      <c r="N315" s="504"/>
      <c r="O315" s="504"/>
      <c r="P315" s="504"/>
      <c r="Q315" s="504"/>
      <c r="R315" s="504"/>
      <c r="S315" s="504"/>
      <c r="T315" s="504"/>
      <c r="U315" s="504"/>
      <c r="V315" s="504"/>
      <c r="W315" s="504"/>
      <c r="X315" s="504"/>
      <c r="Y315" s="504"/>
      <c r="Z315" s="504"/>
      <c r="AA315" s="504"/>
      <c r="AB315" s="504"/>
      <c r="AC315" s="504"/>
      <c r="AD315" s="504"/>
      <c r="AE315" s="504"/>
      <c r="AF315" s="504"/>
      <c r="AG315" s="504"/>
      <c r="AH315" s="504"/>
      <c r="AI315" s="504"/>
      <c r="AJ315" s="504"/>
      <c r="AK315" s="504"/>
      <c r="AL315" s="504"/>
      <c r="AM315" s="504"/>
      <c r="AN315" s="504"/>
      <c r="AO315" s="504"/>
      <c r="AP315" s="504"/>
      <c r="AQ315" s="504"/>
      <c r="AR315" s="504"/>
      <c r="AS315" s="504"/>
      <c r="AT315" s="504"/>
      <c r="AU315" s="504"/>
      <c r="AV315" s="504"/>
      <c r="AW315" s="504"/>
      <c r="AX315" s="504"/>
      <c r="AY315" s="504"/>
      <c r="AZ315" s="504"/>
      <c r="BA315" s="504"/>
      <c r="BB315" s="504"/>
      <c r="BC315" s="504"/>
      <c r="BD315" s="504"/>
      <c r="BE315" s="504"/>
      <c r="BF315" s="504"/>
      <c r="BG315" s="504"/>
      <c r="BH315" s="504"/>
      <c r="BI315" s="504"/>
      <c r="BJ315" s="504"/>
      <c r="BK315" s="504"/>
      <c r="BL315" s="504"/>
      <c r="BM315" s="504"/>
      <c r="BN315" s="504"/>
      <c r="BO315" s="504"/>
      <c r="BP315" s="504"/>
      <c r="BQ315" s="504"/>
      <c r="BR315" s="504"/>
      <c r="BS315" s="504"/>
      <c r="BT315" s="504"/>
      <c r="BU315" s="504"/>
      <c r="BV315" s="504"/>
      <c r="BW315" s="504"/>
      <c r="BX315" s="504"/>
      <c r="BY315" s="504"/>
      <c r="BZ315" s="504"/>
      <c r="CA315" s="504"/>
      <c r="CB315" s="504"/>
      <c r="CC315" s="504"/>
      <c r="CD315" s="504"/>
      <c r="CE315" s="504"/>
      <c r="CF315" s="504"/>
      <c r="CG315" s="504"/>
      <c r="CH315" s="504"/>
      <c r="CI315" s="504"/>
      <c r="CJ315" s="504"/>
      <c r="CK315" s="504"/>
      <c r="CL315" s="504"/>
      <c r="CM315" s="504"/>
      <c r="CN315" s="504"/>
      <c r="CO315" s="504"/>
      <c r="CP315" s="504"/>
      <c r="CQ315" s="504"/>
      <c r="CR315" s="504"/>
      <c r="CS315" s="504"/>
      <c r="CT315" s="504"/>
      <c r="CU315" s="504"/>
      <c r="CV315" s="504"/>
      <c r="CW315" s="504"/>
      <c r="CX315" s="504"/>
      <c r="CY315" s="504"/>
      <c r="CZ315" s="504"/>
      <c r="DA315" s="504"/>
      <c r="DB315" s="504"/>
      <c r="DC315" s="504"/>
      <c r="DD315" s="504"/>
      <c r="DE315" s="504"/>
      <c r="DF315" s="504"/>
      <c r="DG315" s="504"/>
      <c r="DH315" s="504"/>
      <c r="DI315" s="504"/>
      <c r="DJ315" s="504"/>
      <c r="DK315" s="504"/>
      <c r="DL315" s="504"/>
      <c r="DM315" s="504"/>
      <c r="DN315" s="504"/>
      <c r="DO315" s="504"/>
      <c r="DP315" s="504"/>
      <c r="DQ315" s="504"/>
      <c r="DR315" s="504"/>
      <c r="DS315" s="504"/>
      <c r="DT315" s="727"/>
    </row>
    <row r="316" spans="1:124" ht="15" customHeight="1" x14ac:dyDescent="0.25">
      <c r="A316" s="748"/>
      <c r="B316" s="749"/>
      <c r="C316" s="749"/>
      <c r="D316" s="749"/>
      <c r="E316" s="749"/>
      <c r="F316" s="749"/>
      <c r="G316" s="749"/>
      <c r="H316" s="749"/>
      <c r="I316" s="749"/>
      <c r="J316" s="749"/>
      <c r="K316" s="749"/>
      <c r="L316" s="749"/>
      <c r="M316" s="749"/>
      <c r="N316" s="749"/>
      <c r="O316" s="749"/>
      <c r="P316" s="749"/>
      <c r="Q316" s="749"/>
      <c r="R316" s="749"/>
      <c r="S316" s="749"/>
      <c r="T316" s="749"/>
      <c r="U316" s="749"/>
      <c r="V316" s="749"/>
      <c r="W316" s="749"/>
      <c r="X316" s="749"/>
      <c r="Y316" s="749"/>
      <c r="Z316" s="749"/>
      <c r="AA316" s="749"/>
      <c r="AB316" s="749"/>
      <c r="AC316" s="749"/>
      <c r="AD316" s="749"/>
      <c r="AE316" s="749"/>
      <c r="AF316" s="749"/>
      <c r="AG316" s="749"/>
      <c r="AH316" s="749"/>
      <c r="AI316" s="749"/>
      <c r="AJ316" s="749"/>
      <c r="AK316" s="749"/>
      <c r="AL316" s="749"/>
      <c r="AM316" s="749"/>
      <c r="AN316" s="749"/>
      <c r="AO316" s="749"/>
      <c r="AP316" s="749"/>
      <c r="AQ316" s="749"/>
      <c r="AR316" s="749"/>
      <c r="AS316" s="749"/>
      <c r="AT316" s="749"/>
      <c r="AU316" s="749"/>
      <c r="AV316" s="749"/>
      <c r="AW316" s="749"/>
      <c r="AX316" s="749"/>
      <c r="AY316" s="749"/>
      <c r="AZ316" s="749"/>
      <c r="BA316" s="749"/>
      <c r="BB316" s="749"/>
      <c r="BC316" s="749"/>
      <c r="BD316" s="749"/>
      <c r="BE316" s="749"/>
      <c r="BF316" s="749"/>
      <c r="BG316" s="749"/>
      <c r="BH316" s="749"/>
      <c r="BI316" s="749"/>
      <c r="BJ316" s="749"/>
      <c r="BK316" s="749"/>
      <c r="BL316" s="749"/>
      <c r="BM316" s="749"/>
      <c r="BN316" s="749"/>
      <c r="BO316" s="749"/>
      <c r="BP316" s="749"/>
      <c r="BQ316" s="749"/>
      <c r="BR316" s="749"/>
      <c r="BS316" s="749"/>
      <c r="BT316" s="749"/>
      <c r="BU316" s="749"/>
      <c r="BV316" s="749"/>
      <c r="BW316" s="749"/>
      <c r="BX316" s="749"/>
      <c r="BY316" s="749"/>
      <c r="BZ316" s="749"/>
      <c r="CA316" s="749"/>
      <c r="CB316" s="749"/>
      <c r="CC316" s="749"/>
      <c r="CD316" s="749"/>
      <c r="CE316" s="749"/>
      <c r="CF316" s="749"/>
      <c r="CG316" s="749"/>
      <c r="CH316" s="749"/>
      <c r="CI316" s="749"/>
      <c r="CJ316" s="749"/>
      <c r="CK316" s="749"/>
      <c r="CL316" s="749"/>
      <c r="CM316" s="749"/>
      <c r="CN316" s="749"/>
      <c r="CO316" s="749"/>
      <c r="CP316" s="749"/>
      <c r="CQ316" s="749"/>
      <c r="CR316" s="749"/>
      <c r="CS316" s="749"/>
      <c r="CT316" s="749"/>
      <c r="CU316" s="749"/>
      <c r="CV316" s="749"/>
      <c r="CW316" s="749"/>
      <c r="CX316" s="749"/>
      <c r="CY316" s="749"/>
      <c r="CZ316" s="749"/>
      <c r="DA316" s="749"/>
      <c r="DB316" s="749"/>
      <c r="DC316" s="749"/>
      <c r="DD316" s="749"/>
      <c r="DE316" s="749"/>
      <c r="DF316" s="749"/>
      <c r="DG316" s="749"/>
      <c r="DH316" s="749"/>
      <c r="DI316" s="749"/>
      <c r="DJ316" s="749"/>
      <c r="DK316" s="749"/>
      <c r="DL316" s="749"/>
      <c r="DM316" s="749"/>
      <c r="DN316" s="749"/>
      <c r="DO316" s="749"/>
      <c r="DP316" s="749"/>
      <c r="DQ316" s="749"/>
      <c r="DR316" s="749"/>
      <c r="DS316" s="749"/>
      <c r="DT316" s="750"/>
    </row>
  </sheetData>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6" manualBreakCount="6">
    <brk id="51" max="123" man="1"/>
    <brk id="105" max="123" man="1"/>
    <brk id="158" max="123" man="1"/>
    <brk id="212" max="123" man="1"/>
    <brk id="262" max="123" man="1"/>
    <brk id="3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sheetPr>
  <dimension ref="A1:K51"/>
  <sheetViews>
    <sheetView zoomScale="75" zoomScaleNormal="75" workbookViewId="0">
      <pane ySplit="1" topLeftCell="A2" activePane="bottomLeft" state="frozen"/>
      <selection pane="bottomLeft"/>
    </sheetView>
  </sheetViews>
  <sheetFormatPr defaultColWidth="0" defaultRowHeight="15" customHeight="1" zeroHeight="1" x14ac:dyDescent="0.25"/>
  <cols>
    <col min="1" max="1" width="1.7109375" style="1369" customWidth="1"/>
    <col min="2" max="2" width="150.7109375" style="1368" customWidth="1"/>
    <col min="3" max="5" width="22.7109375" style="1368" customWidth="1"/>
    <col min="6" max="6" width="1.7109375" style="1373" customWidth="1"/>
    <col min="7" max="11" width="0" style="408" hidden="1" customWidth="1"/>
    <col min="12" max="16384" width="16.7109375" style="408" hidden="1"/>
  </cols>
  <sheetData>
    <row r="1" spans="1:6" ht="30" customHeight="1" x14ac:dyDescent="0.55000000000000004">
      <c r="A1" s="405" t="s">
        <v>1152</v>
      </c>
      <c r="B1" s="406"/>
      <c r="C1" s="1511" t="str">
        <f>CONCATENATE("Reporting unit: ", 'General Info'!$C$50, " ", 'General Info'!$C$49)</f>
        <v xml:space="preserve">Reporting unit: 1 </v>
      </c>
      <c r="D1" s="407"/>
      <c r="E1" s="407"/>
      <c r="F1" s="691"/>
    </row>
    <row r="2" spans="1:6" s="34" customFormat="1" ht="60" customHeight="1" x14ac:dyDescent="0.25">
      <c r="A2" s="187"/>
      <c r="B2" s="1906" t="s">
        <v>1155</v>
      </c>
      <c r="C2" s="1906"/>
      <c r="D2" s="1906"/>
      <c r="E2" s="1906"/>
      <c r="F2" s="1907"/>
    </row>
    <row r="3" spans="1:6" s="3" customFormat="1" ht="45" customHeight="1" x14ac:dyDescent="0.25">
      <c r="A3" s="632" t="s">
        <v>1104</v>
      </c>
      <c r="B3" s="632"/>
      <c r="C3" s="82"/>
      <c r="D3" s="82"/>
      <c r="E3" s="82"/>
      <c r="F3" s="404"/>
    </row>
    <row r="4" spans="1:6" ht="15" customHeight="1" x14ac:dyDescent="0.25">
      <c r="B4" s="1360"/>
      <c r="C4" s="1604" t="s">
        <v>342</v>
      </c>
    </row>
    <row r="5" spans="1:6" ht="15" customHeight="1" x14ac:dyDescent="0.25">
      <c r="B5" s="145" t="s">
        <v>1156</v>
      </c>
      <c r="C5" s="129" t="str">
        <f>IF(ISNUMBER(DefCap!$D$64), DefCap!$D$64, "")</f>
        <v/>
      </c>
    </row>
    <row r="6" spans="1:6" ht="15" customHeight="1" x14ac:dyDescent="0.25">
      <c r="B6" s="131" t="s">
        <v>1157</v>
      </c>
      <c r="C6" s="19" t="str">
        <f>IF(ISNUMBER(DefCap!$D$82), DefCap!$D$82, "")</f>
        <v/>
      </c>
    </row>
    <row r="7" spans="1:6" ht="15" customHeight="1" x14ac:dyDescent="0.25">
      <c r="B7" s="141" t="s">
        <v>1158</v>
      </c>
      <c r="C7" s="109" t="str">
        <f>IF(ISNUMBER(DefCap!$D$101), DefCap!$D$101, "")</f>
        <v/>
      </c>
    </row>
    <row r="8" spans="1:6" ht="15" customHeight="1" x14ac:dyDescent="0.25"/>
    <row r="9" spans="1:6" s="3" customFormat="1" ht="45" customHeight="1" x14ac:dyDescent="0.25">
      <c r="A9" s="632" t="s">
        <v>1159</v>
      </c>
      <c r="B9" s="632"/>
      <c r="C9" s="82"/>
      <c r="D9" s="82"/>
      <c r="E9" s="82"/>
      <c r="F9" s="404"/>
    </row>
    <row r="10" spans="1:6" s="34" customFormat="1" ht="60" customHeight="1" x14ac:dyDescent="0.25">
      <c r="A10" s="1904" t="s">
        <v>1137</v>
      </c>
      <c r="B10" s="1905"/>
      <c r="C10" s="1905"/>
      <c r="D10" s="1905"/>
      <c r="E10" s="1905"/>
      <c r="F10" s="692"/>
    </row>
    <row r="11" spans="1:6" s="34" customFormat="1" ht="15" customHeight="1" x14ac:dyDescent="0.25">
      <c r="A11" s="1581"/>
      <c r="B11" s="588"/>
      <c r="C11" s="1565" t="s">
        <v>342</v>
      </c>
      <c r="D11" s="1565" t="s">
        <v>65</v>
      </c>
      <c r="E11" s="1582"/>
      <c r="F11" s="692"/>
    </row>
    <row r="12" spans="1:6" ht="15" customHeight="1" x14ac:dyDescent="0.25">
      <c r="B12" s="641" t="s">
        <v>1180</v>
      </c>
      <c r="C12" s="432"/>
      <c r="D12" s="359" t="str">
        <f>IF(C12=DefCap!D53+DefCap!D106,"Pass","Fail")</f>
        <v>Pass</v>
      </c>
    </row>
    <row r="13" spans="1:6" ht="15" customHeight="1" x14ac:dyDescent="0.25">
      <c r="B13" s="641" t="s">
        <v>221</v>
      </c>
      <c r="C13" s="415"/>
      <c r="D13" s="359" t="str">
        <f>IF(C13=DefCap!D76+DefCap!D107,"Pass","Fail")</f>
        <v>Pass</v>
      </c>
    </row>
    <row r="14" spans="1:6" ht="15" customHeight="1" x14ac:dyDescent="0.25">
      <c r="B14" s="586" t="s">
        <v>222</v>
      </c>
      <c r="C14" s="504"/>
      <c r="D14" s="401" t="str">
        <f>IF(C14=DefCap!D96+DefCap!D108,"Pass","Fail")</f>
        <v>Pass</v>
      </c>
    </row>
    <row r="15" spans="1:6" ht="15" customHeight="1" x14ac:dyDescent="0.25"/>
    <row r="16" spans="1:6" s="34" customFormat="1" ht="60" customHeight="1" x14ac:dyDescent="0.25">
      <c r="A16" s="1904" t="s">
        <v>1171</v>
      </c>
      <c r="B16" s="1905"/>
      <c r="C16" s="1905"/>
      <c r="D16" s="1905"/>
      <c r="E16" s="1905"/>
      <c r="F16" s="692"/>
    </row>
    <row r="17" spans="2:5" ht="150" customHeight="1" x14ac:dyDescent="0.25">
      <c r="B17" s="143"/>
      <c r="C17" s="706" t="s">
        <v>1143</v>
      </c>
      <c r="D17" s="706" t="s">
        <v>1663</v>
      </c>
      <c r="E17" s="1584" t="s">
        <v>1664</v>
      </c>
    </row>
    <row r="18" spans="2:5" ht="15" customHeight="1" x14ac:dyDescent="0.25">
      <c r="B18" s="695" t="s">
        <v>1160</v>
      </c>
      <c r="C18" s="431"/>
      <c r="D18" s="431"/>
      <c r="E18" s="432"/>
    </row>
    <row r="19" spans="2:5" ht="15" customHeight="1" x14ac:dyDescent="0.25">
      <c r="B19" s="696" t="s">
        <v>191</v>
      </c>
      <c r="C19" s="71"/>
      <c r="D19" s="71"/>
      <c r="E19" s="415"/>
    </row>
    <row r="20" spans="2:5" ht="15" customHeight="1" x14ac:dyDescent="0.25">
      <c r="B20" s="700" t="s">
        <v>1113</v>
      </c>
      <c r="C20" s="85" t="str">
        <f>IF(AND(ISNUMBER(C18), ISNUMBER(C19)), C18-C19, "")</f>
        <v/>
      </c>
      <c r="D20" s="85" t="str">
        <f t="shared" ref="D20:E20" si="0">IF(AND(ISNUMBER(D18), ISNUMBER(D19)), D18-D19, "")</f>
        <v/>
      </c>
      <c r="E20" s="19" t="str">
        <f t="shared" si="0"/>
        <v/>
      </c>
    </row>
    <row r="21" spans="2:5" ht="15" customHeight="1" x14ac:dyDescent="0.25">
      <c r="B21" s="700" t="s">
        <v>318</v>
      </c>
      <c r="C21" s="85" t="str">
        <f>IF(AND(ISNUMBER($C12), ISNUMBER($C13), ISNUMBER($C14), ISNUMBER(C20)), $C12+$C13+$C14+C20, "")</f>
        <v/>
      </c>
      <c r="D21" s="85" t="str">
        <f>IF(AND(ISNUMBER($C12), ISNUMBER($C13), ISNUMBER($C14), ISNUMBER(D20)), $C12+$C13+$C14+D20, "")</f>
        <v/>
      </c>
      <c r="E21" s="19" t="str">
        <f>IF(AND(ISNUMBER($C12), ISNUMBER($C13), ISNUMBER($C14), ISNUMBER(E20)), $C12+$C13+$C14+E20, "")</f>
        <v/>
      </c>
    </row>
    <row r="22" spans="2:5" ht="15" customHeight="1" x14ac:dyDescent="0.25">
      <c r="B22" s="701" t="s">
        <v>209</v>
      </c>
      <c r="C22" s="85" t="str">
        <f>IF(ISNUMBER(DefCap!$D$52), DefCap!$D$52, "")</f>
        <v/>
      </c>
      <c r="D22" s="85" t="str">
        <f>IF(ISNUMBER(DefCap!$D$52), DefCap!$D$52, "")</f>
        <v/>
      </c>
      <c r="E22" s="19" t="str">
        <f>IF(ISNUMBER(DefCap!$D$52), DefCap!$D$52, "")</f>
        <v/>
      </c>
    </row>
    <row r="23" spans="2:5" ht="30" customHeight="1" x14ac:dyDescent="0.25">
      <c r="B23" s="700" t="s">
        <v>1161</v>
      </c>
      <c r="C23" s="85" t="str">
        <f>IF(AND(ISNUMBER(C21), ISNUMBER(C22)), MAX(0,C21-0.1*C22), "")</f>
        <v/>
      </c>
      <c r="D23" s="85" t="str">
        <f>IF(AND(ISNUMBER(D21), ISNUMBER(D22)), MAX(0,D21-0.1*D22), "")</f>
        <v/>
      </c>
      <c r="E23" s="19" t="str">
        <f>IF(AND(ISNUMBER(E21), ISNUMBER(E22)), MAX(0,E21-0.1*E22), "")</f>
        <v/>
      </c>
    </row>
    <row r="24" spans="2:5" ht="15" customHeight="1" x14ac:dyDescent="0.25">
      <c r="B24" s="702" t="s">
        <v>224</v>
      </c>
      <c r="C24" s="85" t="str">
        <f>IF(ISNUMBER(C21),IF(C21&gt;0,IF(AND(ISNUMBER($C12),ISNUMBER(C23)),C23*$C12/C21,""),0),"")</f>
        <v/>
      </c>
      <c r="D24" s="85" t="str">
        <f>IF(ISNUMBER(D21),IF(D21&gt;0,IF(AND(ISNUMBER($C12),ISNUMBER(D23)),D23*$C12/D21,""),0),"")</f>
        <v/>
      </c>
      <c r="E24" s="19" t="str">
        <f>IF(ISNUMBER(E21),IF(E21&gt;0,IF(AND(ISNUMBER($C12),ISNUMBER(E23)),E23*$C12/E21,""),0),"")</f>
        <v/>
      </c>
    </row>
    <row r="25" spans="2:5" ht="15" customHeight="1" x14ac:dyDescent="0.25">
      <c r="B25" s="702" t="s">
        <v>192</v>
      </c>
      <c r="C25" s="85" t="str">
        <f>IF(ISNUMBER(C21),IF(C21&gt;0,IF(AND(ISNUMBER($C13),ISNUMBER(C23)),C23*$C13/C21,""),0),"")</f>
        <v/>
      </c>
      <c r="D25" s="85" t="str">
        <f>IF(ISNUMBER(D21),IF(D21&gt;0,IF(AND(ISNUMBER($C13),ISNUMBER(D23)),D23*$C13/D21,""),0),"")</f>
        <v/>
      </c>
      <c r="E25" s="19" t="str">
        <f>IF(ISNUMBER(E21),IF(E21&gt;0,IF(AND(ISNUMBER($C13),ISNUMBER(E23)),E23*$C13/E21,""),0),"")</f>
        <v/>
      </c>
    </row>
    <row r="26" spans="2:5" ht="15" customHeight="1" x14ac:dyDescent="0.25">
      <c r="B26" s="702" t="s">
        <v>211</v>
      </c>
      <c r="C26" s="85" t="str">
        <f>IF(ISNUMBER(C21),IF(C21&gt;0,IF(AND(ISNUMBER($C14),ISNUMBER(C20),ISNUMBER(C23)),C23*($C14+C20)/C21,""),0),"")</f>
        <v/>
      </c>
      <c r="D26" s="85" t="str">
        <f>IF(ISNUMBER(D21),IF(D21&gt;0,IF(AND(ISNUMBER($C14),ISNUMBER(D20),ISNUMBER(D23)),D23*($C14+D20)/D21,""),0),"")</f>
        <v/>
      </c>
      <c r="E26" s="19" t="str">
        <f>IF(ISNUMBER(E21),IF(E21&gt;0,IF(AND(ISNUMBER($C14),ISNUMBER(E20),ISNUMBER(E23)),E23*($C14+E20)/E21,""),0),"")</f>
        <v/>
      </c>
    </row>
    <row r="27" spans="2:5" ht="30" customHeight="1" x14ac:dyDescent="0.25">
      <c r="B27" s="697" t="s">
        <v>223</v>
      </c>
      <c r="C27" s="703"/>
      <c r="D27" s="703"/>
      <c r="E27" s="59"/>
    </row>
    <row r="28" spans="2:5" ht="15" customHeight="1" x14ac:dyDescent="0.25">
      <c r="B28" s="702" t="s">
        <v>1180</v>
      </c>
      <c r="C28" s="85" t="str">
        <f t="shared" ref="C28:E29" si="1">IF(AND(ISNUMBER($C12),ISNUMBER(C24)),$C12-C24,"")</f>
        <v/>
      </c>
      <c r="D28" s="85" t="str">
        <f t="shared" si="1"/>
        <v/>
      </c>
      <c r="E28" s="19" t="str">
        <f t="shared" si="1"/>
        <v/>
      </c>
    </row>
    <row r="29" spans="2:5" ht="15" customHeight="1" x14ac:dyDescent="0.25">
      <c r="B29" s="702" t="s">
        <v>221</v>
      </c>
      <c r="C29" s="85" t="str">
        <f t="shared" si="1"/>
        <v/>
      </c>
      <c r="D29" s="85" t="str">
        <f t="shared" si="1"/>
        <v/>
      </c>
      <c r="E29" s="19" t="str">
        <f t="shared" si="1"/>
        <v/>
      </c>
    </row>
    <row r="30" spans="2:5" ht="15" customHeight="1" x14ac:dyDescent="0.25">
      <c r="B30" s="702" t="s">
        <v>1121</v>
      </c>
      <c r="C30" s="85" t="str">
        <f>IF(AND(ISNUMBER($C14),ISNUMBER(C20),ISNUMBER(C26)),($C14+C20)-C26,"")</f>
        <v/>
      </c>
      <c r="D30" s="85" t="str">
        <f>IF(AND(ISNUMBER($C14),ISNUMBER(D20),ISNUMBER(D26)),($C14+D20)-D26,"")</f>
        <v/>
      </c>
      <c r="E30" s="19" t="str">
        <f>IF(AND(ISNUMBER($C14),ISNUMBER(E20),ISNUMBER(E26)),($C14+E20)-E26,"")</f>
        <v/>
      </c>
    </row>
    <row r="31" spans="2:5" ht="15" customHeight="1" x14ac:dyDescent="0.25">
      <c r="B31" s="697" t="s">
        <v>1182</v>
      </c>
      <c r="C31" s="43"/>
      <c r="D31" s="43"/>
      <c r="E31" s="44"/>
    </row>
    <row r="32" spans="2:5" ht="15" customHeight="1" x14ac:dyDescent="0.25">
      <c r="B32" s="698" t="s">
        <v>1183</v>
      </c>
      <c r="C32" s="60"/>
      <c r="D32" s="60"/>
      <c r="E32" s="107"/>
    </row>
    <row r="33" spans="1:6" ht="15" customHeight="1" x14ac:dyDescent="0.25">
      <c r="B33" s="698" t="s">
        <v>1184</v>
      </c>
      <c r="C33" s="60"/>
      <c r="D33" s="60"/>
      <c r="E33" s="107"/>
    </row>
    <row r="34" spans="1:6" ht="15" customHeight="1" x14ac:dyDescent="0.25">
      <c r="B34" s="699" t="s">
        <v>1185</v>
      </c>
      <c r="C34" s="55"/>
      <c r="D34" s="55"/>
      <c r="E34" s="504"/>
    </row>
    <row r="35" spans="1:6" ht="15" customHeight="1" x14ac:dyDescent="0.25"/>
    <row r="36" spans="1:6" s="34" customFormat="1" ht="60" customHeight="1" x14ac:dyDescent="0.25">
      <c r="A36" s="1904" t="s">
        <v>1162</v>
      </c>
      <c r="B36" s="1905"/>
      <c r="C36" s="1905"/>
      <c r="D36" s="1905"/>
      <c r="E36" s="1905"/>
      <c r="F36" s="692"/>
    </row>
    <row r="37" spans="1:6" ht="15" customHeight="1" x14ac:dyDescent="0.25">
      <c r="B37" s="143"/>
      <c r="C37" s="595" t="s">
        <v>1163</v>
      </c>
      <c r="D37" s="595" t="s">
        <v>1164</v>
      </c>
      <c r="E37" s="1604" t="s">
        <v>1165</v>
      </c>
    </row>
    <row r="38" spans="1:6" ht="15" customHeight="1" x14ac:dyDescent="0.25">
      <c r="B38" s="502" t="s">
        <v>1166</v>
      </c>
      <c r="C38" s="42"/>
      <c r="D38" s="42"/>
      <c r="E38" s="525"/>
    </row>
    <row r="39" spans="1:6" ht="15" customHeight="1" x14ac:dyDescent="0.25">
      <c r="B39" s="132" t="s">
        <v>191</v>
      </c>
      <c r="C39" s="60"/>
      <c r="D39" s="60"/>
      <c r="E39" s="107"/>
    </row>
    <row r="40" spans="1:6" ht="15" customHeight="1" x14ac:dyDescent="0.25">
      <c r="B40" s="694" t="s">
        <v>1167</v>
      </c>
      <c r="C40" s="1199" t="str">
        <f>IF(AND(ISNUMBER(C38), ISNUMBER(C39)), C38-C39,"")</f>
        <v/>
      </c>
      <c r="D40" s="1199" t="str">
        <f t="shared" ref="D40:E40" si="2">IF(AND(ISNUMBER(D38), ISNUMBER(D39)), D38-D39,"")</f>
        <v/>
      </c>
      <c r="E40" s="109" t="str">
        <f t="shared" si="2"/>
        <v/>
      </c>
    </row>
    <row r="41" spans="1:6" ht="15" customHeight="1" x14ac:dyDescent="0.25"/>
    <row r="42" spans="1:6" s="3" customFormat="1" ht="45" customHeight="1" x14ac:dyDescent="0.25">
      <c r="A42" s="632" t="s">
        <v>1168</v>
      </c>
      <c r="B42" s="632"/>
      <c r="C42" s="82"/>
      <c r="D42" s="82"/>
      <c r="E42" s="82"/>
      <c r="F42" s="404"/>
    </row>
    <row r="43" spans="1:6" ht="15" customHeight="1" x14ac:dyDescent="0.25">
      <c r="B43" s="143"/>
      <c r="C43" s="595" t="s">
        <v>1163</v>
      </c>
      <c r="D43" s="595" t="s">
        <v>1164</v>
      </c>
      <c r="E43" s="1604" t="s">
        <v>1165</v>
      </c>
    </row>
    <row r="44" spans="1:6" ht="15" customHeight="1" x14ac:dyDescent="0.25">
      <c r="B44" s="503" t="s">
        <v>1172</v>
      </c>
      <c r="C44" s="36" t="str">
        <f>IF(ISNUMBER(Requirements!$D$39), Requirements!$D$39, "")</f>
        <v/>
      </c>
      <c r="D44" s="36" t="str">
        <f>IF(ISNUMBER(Requirements!$D$39), Requirements!$D$39, "")</f>
        <v/>
      </c>
      <c r="E44" s="129" t="str">
        <f>IF(ISNUMBER(Requirements!$D$39), Requirements!$D$39, "")</f>
        <v/>
      </c>
    </row>
    <row r="45" spans="1:6" ht="15" customHeight="1" x14ac:dyDescent="0.25">
      <c r="B45" s="142" t="s">
        <v>1186</v>
      </c>
      <c r="C45" s="55"/>
      <c r="D45" s="55"/>
      <c r="E45" s="504"/>
    </row>
    <row r="46" spans="1:6" ht="15" customHeight="1" x14ac:dyDescent="0.25"/>
    <row r="47" spans="1:6" s="3" customFormat="1" ht="45" customHeight="1" x14ac:dyDescent="0.25">
      <c r="A47" s="632" t="s">
        <v>1169</v>
      </c>
      <c r="B47" s="632"/>
      <c r="C47" s="82"/>
      <c r="D47" s="82"/>
      <c r="E47" s="82"/>
      <c r="F47" s="404"/>
    </row>
    <row r="48" spans="1:6" ht="15" customHeight="1" x14ac:dyDescent="0.25">
      <c r="B48" s="143"/>
      <c r="C48" s="595" t="s">
        <v>1163</v>
      </c>
      <c r="D48" s="595" t="s">
        <v>1164</v>
      </c>
      <c r="E48" s="1604" t="s">
        <v>1165</v>
      </c>
    </row>
    <row r="49" spans="1:6" ht="15" customHeight="1" x14ac:dyDescent="0.25">
      <c r="B49" s="693" t="s">
        <v>1170</v>
      </c>
      <c r="C49" s="639" t="str">
        <f>IF(AND(ISNUMBER(C21), ISNUMBER(C40)), C21+C40,"")</f>
        <v/>
      </c>
      <c r="D49" s="639" t="str">
        <f t="shared" ref="D49:E49" si="3">IF(AND(ISNUMBER(D21), ISNUMBER(D40)), D21+D40,"")</f>
        <v/>
      </c>
      <c r="E49" s="640" t="str">
        <f t="shared" si="3"/>
        <v/>
      </c>
    </row>
    <row r="50" spans="1:6" ht="15" customHeight="1" x14ac:dyDescent="0.25">
      <c r="B50" s="1354" t="s">
        <v>1631</v>
      </c>
      <c r="C50" s="55"/>
      <c r="D50" s="55"/>
      <c r="E50" s="504"/>
    </row>
    <row r="51" spans="1:6" ht="15" customHeight="1" x14ac:dyDescent="0.25">
      <c r="A51" s="1399"/>
      <c r="B51" s="1400"/>
      <c r="C51" s="1400"/>
      <c r="D51" s="1400"/>
      <c r="E51" s="1400"/>
      <c r="F51" s="1402"/>
    </row>
  </sheetData>
  <dataConsolidate/>
  <mergeCells count="4">
    <mergeCell ref="A36:E36"/>
    <mergeCell ref="B2:F2"/>
    <mergeCell ref="A16:E16"/>
    <mergeCell ref="A10:E10"/>
  </mergeCells>
  <conditionalFormatting sqref="D12:D14">
    <cfRule type="cellIs" dxfId="54" priority="3" stopIfTrue="1" operator="equal">
      <formula>"Fail"</formula>
    </cfRule>
    <cfRule type="cellIs" dxfId="53" priority="4" stopIfTrue="1" operator="equal">
      <formula>"Pass"</formula>
    </cfRule>
  </conditionalFormatting>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26"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sheetPr>
  <dimension ref="A1:M141"/>
  <sheetViews>
    <sheetView zoomScale="75" zoomScaleNormal="75" workbookViewId="0">
      <pane ySplit="1" topLeftCell="A2" activePane="bottomLeft" state="frozen"/>
      <selection pane="bottomLeft"/>
    </sheetView>
  </sheetViews>
  <sheetFormatPr defaultColWidth="0" defaultRowHeight="15" customHeight="1" zeroHeight="1" x14ac:dyDescent="0.25"/>
  <cols>
    <col min="1" max="1" width="1.7109375" style="34" customWidth="1"/>
    <col min="2" max="2" width="100.7109375" style="34" customWidth="1"/>
    <col min="3" max="3" width="17.7109375" style="34" customWidth="1"/>
    <col min="4" max="11" width="17.7109375" style="408" customWidth="1"/>
    <col min="12" max="12" width="1.7109375" style="408" customWidth="1"/>
    <col min="13" max="13" width="0" style="408" hidden="1" customWidth="1"/>
    <col min="14" max="16384" width="16.7109375" style="408" hidden="1"/>
  </cols>
  <sheetData>
    <row r="1" spans="1:12" ht="30" customHeight="1" x14ac:dyDescent="0.55000000000000004">
      <c r="A1" s="1238" t="s">
        <v>1102</v>
      </c>
      <c r="B1" s="1239"/>
      <c r="C1" s="1240"/>
      <c r="D1" s="1360"/>
      <c r="E1" s="1360"/>
      <c r="F1" s="1511" t="str">
        <f>CONCATENATE("Reporting unit: ", 'General Info'!$C$50, " ", 'General Info'!$C$49)</f>
        <v xml:space="preserve">Reporting unit: 1 </v>
      </c>
      <c r="G1" s="1360"/>
      <c r="H1" s="1360"/>
      <c r="I1" s="1360"/>
      <c r="J1" s="1360"/>
      <c r="K1" s="1360"/>
      <c r="L1" s="1361"/>
    </row>
    <row r="2" spans="1:12" s="34" customFormat="1" ht="60" customHeight="1" x14ac:dyDescent="0.25">
      <c r="A2" s="187"/>
      <c r="B2" s="1912" t="s">
        <v>1173</v>
      </c>
      <c r="C2" s="1912"/>
      <c r="D2" s="1912"/>
      <c r="E2" s="1912"/>
      <c r="F2" s="1912"/>
      <c r="G2" s="1912"/>
      <c r="H2" s="1912"/>
      <c r="I2" s="1912"/>
      <c r="J2" s="1912"/>
      <c r="K2" s="705"/>
      <c r="L2" s="649"/>
    </row>
    <row r="3" spans="1:12" ht="15" customHeight="1" x14ac:dyDescent="0.25">
      <c r="A3" s="187"/>
      <c r="B3" s="1433"/>
      <c r="C3" s="1433"/>
      <c r="D3" s="1368"/>
      <c r="E3" s="1368"/>
      <c r="F3" s="1368"/>
      <c r="G3" s="1368"/>
      <c r="H3" s="1368"/>
      <c r="I3" s="1368"/>
      <c r="J3" s="1368"/>
      <c r="K3" s="1368"/>
      <c r="L3" s="1373"/>
    </row>
    <row r="4" spans="1:12" ht="15" customHeight="1" x14ac:dyDescent="0.25">
      <c r="A4" s="187"/>
      <c r="B4" s="149" t="s">
        <v>1103</v>
      </c>
      <c r="C4" s="637"/>
      <c r="D4" s="1368"/>
      <c r="E4" s="1368"/>
      <c r="F4" s="1368"/>
      <c r="G4" s="1368"/>
      <c r="H4" s="1368"/>
      <c r="I4" s="1368"/>
      <c r="J4" s="1368"/>
      <c r="K4" s="1368"/>
      <c r="L4" s="1373"/>
    </row>
    <row r="5" spans="1:12" ht="15" customHeight="1" x14ac:dyDescent="0.25">
      <c r="A5" s="187"/>
      <c r="B5" s="1433"/>
      <c r="C5" s="1433"/>
      <c r="D5" s="1368"/>
      <c r="E5" s="1368"/>
      <c r="F5" s="1368"/>
      <c r="G5" s="1368"/>
      <c r="H5" s="1368"/>
      <c r="I5" s="1368"/>
      <c r="J5" s="1368"/>
      <c r="K5" s="1368"/>
      <c r="L5" s="1373"/>
    </row>
    <row r="6" spans="1:12" s="3" customFormat="1" ht="45" customHeight="1" x14ac:dyDescent="0.25">
      <c r="A6" s="632" t="s">
        <v>1104</v>
      </c>
      <c r="B6" s="632"/>
      <c r="C6" s="82"/>
      <c r="D6" s="82"/>
      <c r="E6" s="82"/>
      <c r="F6" s="82"/>
      <c r="G6" s="82"/>
      <c r="H6" s="82"/>
      <c r="I6" s="82"/>
      <c r="J6" s="82"/>
      <c r="K6" s="82"/>
      <c r="L6" s="404"/>
    </row>
    <row r="7" spans="1:12" ht="105" customHeight="1" x14ac:dyDescent="0.25">
      <c r="A7" s="187"/>
      <c r="B7" s="588"/>
      <c r="C7" s="712" t="s">
        <v>342</v>
      </c>
      <c r="D7" s="706" t="s">
        <v>1196</v>
      </c>
      <c r="E7" s="706" t="s">
        <v>1105</v>
      </c>
      <c r="F7" s="706" t="s">
        <v>1444</v>
      </c>
      <c r="G7" s="706" t="s">
        <v>1443</v>
      </c>
      <c r="H7" s="1584" t="s">
        <v>1106</v>
      </c>
      <c r="I7" s="1368"/>
      <c r="J7" s="1368"/>
      <c r="K7" s="1368"/>
      <c r="L7" s="1373"/>
    </row>
    <row r="8" spans="1:12" ht="15" customHeight="1" x14ac:dyDescent="0.25">
      <c r="A8" s="187"/>
      <c r="B8" s="1378" t="s">
        <v>1107</v>
      </c>
      <c r="C8" s="129" t="str">
        <f>IF(ISNUMBER(DefCap!$D$64), DefCap!$D$64, "")</f>
        <v/>
      </c>
      <c r="D8" s="37"/>
      <c r="E8" s="431"/>
      <c r="F8" s="37"/>
      <c r="G8" s="38"/>
      <c r="H8" s="432"/>
      <c r="I8" s="1368"/>
      <c r="J8" s="1368"/>
      <c r="K8" s="1368"/>
      <c r="L8" s="1373"/>
    </row>
    <row r="9" spans="1:12" ht="15" customHeight="1" x14ac:dyDescent="0.25">
      <c r="A9" s="187"/>
      <c r="B9" s="361" t="s">
        <v>1124</v>
      </c>
      <c r="C9" s="19" t="str">
        <f>IF(ISNUMBER(DefCap!$D$82), DefCap!$D$82, "")</f>
        <v/>
      </c>
      <c r="D9" s="48"/>
      <c r="E9" s="60"/>
      <c r="F9" s="60"/>
      <c r="G9" s="107"/>
      <c r="H9" s="107"/>
      <c r="I9" s="1368"/>
      <c r="J9" s="1368"/>
      <c r="K9" s="1368"/>
      <c r="L9" s="1373"/>
    </row>
    <row r="10" spans="1:12" ht="41.25" customHeight="1" x14ac:dyDescent="0.25">
      <c r="A10" s="187"/>
      <c r="B10" s="1203" t="s">
        <v>1440</v>
      </c>
      <c r="C10" s="60"/>
      <c r="D10" s="48"/>
      <c r="E10" s="71"/>
      <c r="F10" s="68"/>
      <c r="G10" s="69"/>
      <c r="H10" s="107"/>
      <c r="I10" s="1368"/>
      <c r="J10" s="1368"/>
      <c r="K10" s="1368"/>
      <c r="L10" s="1373"/>
    </row>
    <row r="11" spans="1:12" ht="30" customHeight="1" x14ac:dyDescent="0.25">
      <c r="A11" s="187"/>
      <c r="B11" s="361" t="s">
        <v>1174</v>
      </c>
      <c r="C11" s="60"/>
      <c r="D11" s="107"/>
      <c r="E11" s="48"/>
      <c r="F11" s="85" t="str">
        <f>IF(ISNUMBER($C$11),$C$11,"")</f>
        <v/>
      </c>
      <c r="G11" s="85" t="str">
        <f>IF(ISNUMBER($C$11),$C$11,"")</f>
        <v/>
      </c>
      <c r="H11" s="644"/>
      <c r="I11" s="1368"/>
      <c r="J11" s="1368"/>
      <c r="K11" s="1368"/>
      <c r="L11" s="1373"/>
    </row>
    <row r="12" spans="1:12" ht="30" customHeight="1" x14ac:dyDescent="0.25">
      <c r="A12" s="187"/>
      <c r="B12" s="1203" t="s">
        <v>1193</v>
      </c>
      <c r="C12" s="60"/>
      <c r="D12" s="107"/>
      <c r="E12" s="48"/>
      <c r="F12" s="48"/>
      <c r="G12" s="561"/>
      <c r="H12" s="644"/>
      <c r="I12" s="1368"/>
      <c r="J12" s="1368"/>
      <c r="K12" s="1368"/>
      <c r="L12" s="1373"/>
    </row>
    <row r="13" spans="1:12" ht="30" customHeight="1" x14ac:dyDescent="0.25">
      <c r="A13" s="187"/>
      <c r="B13" s="361" t="s">
        <v>1125</v>
      </c>
      <c r="C13" s="60"/>
      <c r="D13" s="107"/>
      <c r="E13" s="85" t="str">
        <f>IF(ISNUMBER($C$13),$C$13,"")</f>
        <v/>
      </c>
      <c r="F13" s="85" t="str">
        <f>IF(ISNUMBER($C$13),$C$13,"")</f>
        <v/>
      </c>
      <c r="G13" s="85" t="str">
        <f>IF(ISNUMBER($C$13),$C$13,"")</f>
        <v/>
      </c>
      <c r="H13" s="644"/>
      <c r="I13" s="1368"/>
      <c r="J13" s="1368"/>
      <c r="K13" s="1368"/>
      <c r="L13" s="1373"/>
    </row>
    <row r="14" spans="1:12" ht="15" customHeight="1" x14ac:dyDescent="0.25">
      <c r="A14" s="187"/>
      <c r="B14" s="642" t="s">
        <v>1194</v>
      </c>
      <c r="C14" s="55"/>
      <c r="D14" s="55"/>
      <c r="E14" s="526"/>
      <c r="F14" s="1209" t="str">
        <f>IF(ISNUMBER($C$14),$C$14,"")</f>
        <v/>
      </c>
      <c r="G14" s="1209" t="str">
        <f>IF(ISNUMBER($C$14),$C$14,"")</f>
        <v/>
      </c>
      <c r="H14" s="504"/>
      <c r="I14" s="1368"/>
      <c r="J14" s="1368"/>
      <c r="K14" s="1368"/>
      <c r="L14" s="1373"/>
    </row>
    <row r="15" spans="1:12" ht="15" customHeight="1" x14ac:dyDescent="0.25">
      <c r="A15" s="187"/>
      <c r="B15" s="1433"/>
      <c r="C15" s="1433"/>
      <c r="D15" s="1368"/>
      <c r="E15" s="1368"/>
      <c r="F15" s="1368"/>
      <c r="G15" s="1368"/>
      <c r="H15" s="1368"/>
      <c r="I15" s="1368"/>
      <c r="J15" s="1368"/>
      <c r="K15" s="1368"/>
      <c r="L15" s="1373"/>
    </row>
    <row r="16" spans="1:12" s="3" customFormat="1" ht="45" customHeight="1" x14ac:dyDescent="0.25">
      <c r="A16" s="632" t="s">
        <v>1108</v>
      </c>
      <c r="B16" s="632"/>
      <c r="C16" s="82"/>
      <c r="D16" s="82"/>
      <c r="E16" s="82"/>
      <c r="F16" s="82"/>
      <c r="G16" s="82"/>
      <c r="H16" s="82"/>
      <c r="I16" s="82"/>
      <c r="J16" s="82"/>
      <c r="K16" s="82"/>
      <c r="L16" s="404"/>
    </row>
    <row r="17" spans="1:12" ht="15" customHeight="1" x14ac:dyDescent="0.25">
      <c r="A17" s="187"/>
      <c r="B17" s="1756"/>
      <c r="C17" s="1747" t="s">
        <v>342</v>
      </c>
      <c r="D17" s="1747"/>
      <c r="E17" s="1747"/>
      <c r="F17" s="1747"/>
      <c r="G17" s="1747"/>
      <c r="H17" s="1908" t="s">
        <v>1196</v>
      </c>
      <c r="I17" s="1915" t="s">
        <v>1187</v>
      </c>
      <c r="J17" s="1916"/>
      <c r="K17" s="1916"/>
      <c r="L17" s="1373"/>
    </row>
    <row r="18" spans="1:12" ht="180" customHeight="1" x14ac:dyDescent="0.25">
      <c r="A18" s="187"/>
      <c r="B18" s="1757"/>
      <c r="C18" s="596" t="s">
        <v>1129</v>
      </c>
      <c r="D18" s="665" t="s">
        <v>1109</v>
      </c>
      <c r="E18" s="1589" t="s">
        <v>1126</v>
      </c>
      <c r="F18" s="1589" t="s">
        <v>1127</v>
      </c>
      <c r="G18" s="1589" t="s">
        <v>1128</v>
      </c>
      <c r="H18" s="1909"/>
      <c r="I18" s="706" t="s">
        <v>1188</v>
      </c>
      <c r="J18" s="706" t="s">
        <v>1189</v>
      </c>
      <c r="K18" s="1584" t="s">
        <v>1190</v>
      </c>
      <c r="L18" s="1373"/>
    </row>
    <row r="19" spans="1:12" ht="45" customHeight="1" x14ac:dyDescent="0.25">
      <c r="A19" s="187"/>
      <c r="B19" s="1412" t="s">
        <v>1604</v>
      </c>
      <c r="C19" s="646" t="str">
        <f>IF(AND(ISNUMBER(E19),ISNUMBER(F19),ISNUMBER(G19)), SUM(E19:G19), "")</f>
        <v/>
      </c>
      <c r="D19" s="106"/>
      <c r="E19" s="60"/>
      <c r="F19" s="60"/>
      <c r="G19" s="60"/>
      <c r="H19" s="704"/>
      <c r="I19" s="43"/>
      <c r="J19" s="651"/>
      <c r="K19" s="707"/>
      <c r="L19" s="1373"/>
    </row>
    <row r="20" spans="1:12" ht="15" customHeight="1" x14ac:dyDescent="0.25">
      <c r="A20" s="187"/>
      <c r="B20" s="1203" t="s">
        <v>1130</v>
      </c>
      <c r="C20" s="669"/>
      <c r="D20" s="66"/>
      <c r="E20" s="48"/>
      <c r="F20" s="48"/>
      <c r="G20" s="48"/>
      <c r="H20" s="48"/>
      <c r="I20" s="48"/>
      <c r="J20" s="67"/>
      <c r="K20" s="67"/>
      <c r="L20" s="1373"/>
    </row>
    <row r="21" spans="1:12" ht="15" customHeight="1" x14ac:dyDescent="0.25">
      <c r="A21" s="187"/>
      <c r="B21" s="1203" t="s">
        <v>1131</v>
      </c>
      <c r="C21" s="670"/>
      <c r="D21" s="66"/>
      <c r="E21" s="48"/>
      <c r="F21" s="48"/>
      <c r="G21" s="48"/>
      <c r="H21" s="48"/>
      <c r="I21" s="48"/>
      <c r="J21" s="67"/>
      <c r="K21" s="67"/>
      <c r="L21" s="1373"/>
    </row>
    <row r="22" spans="1:12" ht="15" customHeight="1" x14ac:dyDescent="0.25">
      <c r="A22" s="187"/>
      <c r="B22" s="1203" t="s">
        <v>1132</v>
      </c>
      <c r="C22" s="671"/>
      <c r="D22" s="66"/>
      <c r="E22" s="48"/>
      <c r="F22" s="48"/>
      <c r="G22" s="48"/>
      <c r="H22" s="48"/>
      <c r="I22" s="48"/>
      <c r="J22" s="67"/>
      <c r="K22" s="67"/>
      <c r="L22" s="1373"/>
    </row>
    <row r="23" spans="1:12" ht="15" customHeight="1" x14ac:dyDescent="0.25">
      <c r="A23" s="187"/>
      <c r="B23" s="1203" t="s">
        <v>1133</v>
      </c>
      <c r="C23" s="668" t="str">
        <f>IF(AND(ISNUMBER(E23),ISNUMBER(F23),ISNUMBER(G23)), SUM(E23:G23), "")</f>
        <v/>
      </c>
      <c r="D23" s="106"/>
      <c r="E23" s="60"/>
      <c r="F23" s="60"/>
      <c r="G23" s="60"/>
      <c r="H23" s="704"/>
      <c r="I23" s="48"/>
      <c r="J23" s="67"/>
      <c r="K23" s="67"/>
      <c r="L23" s="1373"/>
    </row>
    <row r="24" spans="1:12" ht="15" customHeight="1" x14ac:dyDescent="0.25">
      <c r="A24" s="187"/>
      <c r="B24" s="1277" t="s">
        <v>1596</v>
      </c>
      <c r="C24" s="668" t="str">
        <f>IF(AND(ISNUMBER(E24),ISNUMBER(F24),ISNUMBER(G24)), SUM(E24:G24), "")</f>
        <v/>
      </c>
      <c r="D24" s="106"/>
      <c r="E24" s="60"/>
      <c r="F24" s="60"/>
      <c r="G24" s="60"/>
      <c r="H24" s="704"/>
      <c r="I24" s="48"/>
      <c r="J24" s="67"/>
      <c r="K24" s="67"/>
      <c r="L24" s="1373"/>
    </row>
    <row r="25" spans="1:12" ht="15" customHeight="1" x14ac:dyDescent="0.25">
      <c r="A25" s="187"/>
      <c r="B25" s="1413" t="s">
        <v>1134</v>
      </c>
      <c r="C25" s="675"/>
      <c r="D25" s="70"/>
      <c r="E25" s="68"/>
      <c r="F25" s="68"/>
      <c r="G25" s="68"/>
      <c r="H25" s="68"/>
      <c r="I25" s="68"/>
      <c r="J25" s="69"/>
      <c r="K25" s="69"/>
      <c r="L25" s="1373"/>
    </row>
    <row r="26" spans="1:12" ht="45" customHeight="1" x14ac:dyDescent="0.25">
      <c r="A26" s="187"/>
      <c r="B26" s="650" t="str">
        <f>CONCATENATE("Case 2: Total subordinated liabilities excluding regulatory capital, issued by the resolution entity, meeting the Term Sheet criteria, excluding liabilities of rows 20, 21 and 22 above. Please use effective residual maturity as described in row ", ROW(B24))</f>
        <v>Case 2: Total subordinated liabilities excluding regulatory capital, issued by the resolution entity, meeting the Term Sheet criteria, excluding liabilities of rows 20, 21 and 22 above. Please use effective residual maturity as described in row 24</v>
      </c>
      <c r="C26" s="674" t="str">
        <f>IF(AND(ISNUMBER(E26),ISNUMBER(F26),ISNUMBER(G26)), SUM(E26:G26), "")</f>
        <v/>
      </c>
      <c r="D26" s="662"/>
      <c r="E26" s="652"/>
      <c r="F26" s="652"/>
      <c r="G26" s="652"/>
      <c r="H26" s="653"/>
      <c r="I26" s="77"/>
      <c r="J26" s="652"/>
      <c r="K26" s="708"/>
      <c r="L26" s="1373"/>
    </row>
    <row r="27" spans="1:12" ht="45" customHeight="1" x14ac:dyDescent="0.25">
      <c r="A27" s="187"/>
      <c r="B27" s="1412" t="s">
        <v>1605</v>
      </c>
      <c r="C27" s="646" t="str">
        <f>IF(AND(ISNUMBER(E27),ISNUMBER(F27),ISNUMBER(G27)), SUM(E27:G27), "")</f>
        <v/>
      </c>
      <c r="D27" s="663"/>
      <c r="E27" s="42"/>
      <c r="F27" s="42"/>
      <c r="G27" s="42"/>
      <c r="H27" s="651"/>
      <c r="I27" s="43"/>
      <c r="J27" s="36" t="str">
        <f>IF(AND(ISNUMBER(J19)), J19, "")</f>
        <v/>
      </c>
      <c r="K27" s="129" t="str">
        <f>IF(AND(ISNUMBER(K19)), K19, "")</f>
        <v/>
      </c>
      <c r="L27" s="1373"/>
    </row>
    <row r="28" spans="1:12" ht="15" customHeight="1" x14ac:dyDescent="0.25">
      <c r="A28" s="187"/>
      <c r="B28" s="1203" t="s">
        <v>1130</v>
      </c>
      <c r="C28" s="669"/>
      <c r="D28" s="66"/>
      <c r="E28" s="48"/>
      <c r="F28" s="48"/>
      <c r="G28" s="48"/>
      <c r="H28" s="48"/>
      <c r="I28" s="48"/>
      <c r="J28" s="67"/>
      <c r="K28" s="67"/>
      <c r="L28" s="1373"/>
    </row>
    <row r="29" spans="1:12" ht="15" customHeight="1" x14ac:dyDescent="0.25">
      <c r="A29" s="187"/>
      <c r="B29" s="1203" t="s">
        <v>1131</v>
      </c>
      <c r="C29" s="670"/>
      <c r="D29" s="66"/>
      <c r="E29" s="48"/>
      <c r="F29" s="48"/>
      <c r="G29" s="48"/>
      <c r="H29" s="48"/>
      <c r="I29" s="48"/>
      <c r="J29" s="67"/>
      <c r="K29" s="67"/>
      <c r="L29" s="1373"/>
    </row>
    <row r="30" spans="1:12" ht="15" customHeight="1" x14ac:dyDescent="0.25">
      <c r="A30" s="187"/>
      <c r="B30" s="1203" t="s">
        <v>1132</v>
      </c>
      <c r="C30" s="671"/>
      <c r="D30" s="66"/>
      <c r="E30" s="48"/>
      <c r="F30" s="48"/>
      <c r="G30" s="48"/>
      <c r="H30" s="48"/>
      <c r="I30" s="48"/>
      <c r="J30" s="67"/>
      <c r="K30" s="67"/>
      <c r="L30" s="1373"/>
    </row>
    <row r="31" spans="1:12" ht="15" customHeight="1" x14ac:dyDescent="0.25">
      <c r="A31" s="187"/>
      <c r="B31" s="1203" t="s">
        <v>1133</v>
      </c>
      <c r="C31" s="668" t="str">
        <f>IF(AND(ISNUMBER(E31),ISNUMBER(F31),ISNUMBER(G31)), SUM(E31:G31), "")</f>
        <v/>
      </c>
      <c r="D31" s="106"/>
      <c r="E31" s="60"/>
      <c r="F31" s="60"/>
      <c r="G31" s="60"/>
      <c r="H31" s="704"/>
      <c r="I31" s="48"/>
      <c r="J31" s="67"/>
      <c r="K31" s="67"/>
      <c r="L31" s="1373"/>
    </row>
    <row r="32" spans="1:12" ht="15" customHeight="1" x14ac:dyDescent="0.25">
      <c r="A32" s="187"/>
      <c r="B32" s="1277" t="s">
        <v>1596</v>
      </c>
      <c r="C32" s="668" t="str">
        <f>IF(AND(ISNUMBER(E32),ISNUMBER(F32),ISNUMBER(G32)), SUM(E32:G32), "")</f>
        <v/>
      </c>
      <c r="D32" s="106"/>
      <c r="E32" s="60"/>
      <c r="F32" s="60"/>
      <c r="G32" s="60"/>
      <c r="H32" s="704"/>
      <c r="I32" s="48"/>
      <c r="J32" s="67"/>
      <c r="K32" s="67"/>
      <c r="L32" s="1373"/>
    </row>
    <row r="33" spans="1:12" ht="15" customHeight="1" x14ac:dyDescent="0.25">
      <c r="A33" s="187"/>
      <c r="B33" s="1413" t="s">
        <v>1191</v>
      </c>
      <c r="C33" s="672"/>
      <c r="D33" s="70"/>
      <c r="E33" s="68"/>
      <c r="F33" s="68"/>
      <c r="G33" s="68"/>
      <c r="H33" s="68"/>
      <c r="I33" s="68"/>
      <c r="J33" s="69"/>
      <c r="K33" s="69"/>
      <c r="L33" s="1373"/>
    </row>
    <row r="34" spans="1:12" ht="45" customHeight="1" x14ac:dyDescent="0.25">
      <c r="A34" s="187"/>
      <c r="B34" s="1412" t="s">
        <v>1441</v>
      </c>
      <c r="C34" s="646" t="str">
        <f>IF(AND(ISNUMBER(E34),ISNUMBER(F34),ISNUMBER(G34)), SUM(E34:G34), "")</f>
        <v/>
      </c>
      <c r="D34" s="664"/>
      <c r="E34" s="431"/>
      <c r="F34" s="431"/>
      <c r="G34" s="431"/>
      <c r="H34" s="654"/>
      <c r="I34" s="431"/>
      <c r="J34" s="654"/>
      <c r="K34" s="432"/>
      <c r="L34" s="1373"/>
    </row>
    <row r="35" spans="1:12" ht="15" customHeight="1" x14ac:dyDescent="0.25">
      <c r="A35" s="187"/>
      <c r="B35" s="1203" t="s">
        <v>1135</v>
      </c>
      <c r="C35" s="669"/>
      <c r="D35" s="66"/>
      <c r="E35" s="48"/>
      <c r="F35" s="48"/>
      <c r="G35" s="48"/>
      <c r="H35" s="48"/>
      <c r="I35" s="48"/>
      <c r="J35" s="67"/>
      <c r="K35" s="67"/>
      <c r="L35" s="1373"/>
    </row>
    <row r="36" spans="1:12" ht="15" customHeight="1" x14ac:dyDescent="0.25">
      <c r="A36" s="187"/>
      <c r="B36" s="1203" t="s">
        <v>1136</v>
      </c>
      <c r="C36" s="671"/>
      <c r="D36" s="66"/>
      <c r="E36" s="48"/>
      <c r="F36" s="48"/>
      <c r="G36" s="48"/>
      <c r="H36" s="48"/>
      <c r="I36" s="48"/>
      <c r="J36" s="67"/>
      <c r="K36" s="67"/>
      <c r="L36" s="1373"/>
    </row>
    <row r="37" spans="1:12" ht="15" customHeight="1" x14ac:dyDescent="0.25">
      <c r="A37" s="187"/>
      <c r="B37" s="1203" t="s">
        <v>1175</v>
      </c>
      <c r="C37" s="668" t="str">
        <f>IF(AND(ISNUMBER(C34),ISNUMBER(C35),ISNUMBER(C36)), C34-C35-C36, "")</f>
        <v/>
      </c>
      <c r="D37" s="66"/>
      <c r="E37" s="48"/>
      <c r="F37" s="48"/>
      <c r="G37" s="48"/>
      <c r="H37" s="48"/>
      <c r="I37" s="48"/>
      <c r="J37" s="67"/>
      <c r="K37" s="67"/>
      <c r="L37" s="1373"/>
    </row>
    <row r="38" spans="1:12" ht="30" customHeight="1" x14ac:dyDescent="0.25">
      <c r="A38" s="187"/>
      <c r="B38" s="1413" t="s">
        <v>1176</v>
      </c>
      <c r="C38" s="672"/>
      <c r="D38" s="110"/>
      <c r="E38" s="56"/>
      <c r="F38" s="56"/>
      <c r="G38" s="56"/>
      <c r="H38" s="56"/>
      <c r="I38" s="56"/>
      <c r="J38" s="57"/>
      <c r="K38" s="57"/>
      <c r="L38" s="1373"/>
    </row>
    <row r="39" spans="1:12" ht="30" customHeight="1" x14ac:dyDescent="0.25">
      <c r="A39" s="187"/>
      <c r="B39" s="1412" t="s">
        <v>1442</v>
      </c>
      <c r="C39" s="646" t="str">
        <f>IF(AND(ISNUMBER(E39),ISNUMBER(F39),ISNUMBER(G39)), SUM(E39:G39), "")</f>
        <v/>
      </c>
      <c r="D39" s="664"/>
      <c r="E39" s="431"/>
      <c r="F39" s="431"/>
      <c r="G39" s="431"/>
      <c r="H39" s="654"/>
      <c r="I39" s="431"/>
      <c r="J39" s="44"/>
      <c r="K39" s="44"/>
      <c r="L39" s="1373"/>
    </row>
    <row r="40" spans="1:12" ht="15" customHeight="1" x14ac:dyDescent="0.25">
      <c r="A40" s="187"/>
      <c r="B40" s="1203" t="s">
        <v>1135</v>
      </c>
      <c r="C40" s="669"/>
      <c r="D40" s="66"/>
      <c r="E40" s="48"/>
      <c r="F40" s="48"/>
      <c r="G40" s="48"/>
      <c r="H40" s="48"/>
      <c r="I40" s="48"/>
      <c r="J40" s="67"/>
      <c r="K40" s="67"/>
      <c r="L40" s="1373"/>
    </row>
    <row r="41" spans="1:12" ht="15" customHeight="1" x14ac:dyDescent="0.25">
      <c r="A41" s="187"/>
      <c r="B41" s="1203" t="s">
        <v>1136</v>
      </c>
      <c r="C41" s="671"/>
      <c r="D41" s="66"/>
      <c r="E41" s="48"/>
      <c r="F41" s="48"/>
      <c r="G41" s="48"/>
      <c r="H41" s="48"/>
      <c r="I41" s="48"/>
      <c r="J41" s="67"/>
      <c r="K41" s="67"/>
      <c r="L41" s="1373"/>
    </row>
    <row r="42" spans="1:12" ht="15" customHeight="1" x14ac:dyDescent="0.25">
      <c r="A42" s="187"/>
      <c r="B42" s="1203" t="s">
        <v>1175</v>
      </c>
      <c r="C42" s="668" t="str">
        <f>IF(AND(ISNUMBER(C39),ISNUMBER(C40),ISNUMBER(C41)), C39-C40-C41, "")</f>
        <v/>
      </c>
      <c r="D42" s="66"/>
      <c r="E42" s="48"/>
      <c r="F42" s="48"/>
      <c r="G42" s="48"/>
      <c r="H42" s="48"/>
      <c r="I42" s="48"/>
      <c r="J42" s="67"/>
      <c r="K42" s="67"/>
      <c r="L42" s="1373"/>
    </row>
    <row r="43" spans="1:12" ht="15" customHeight="1" x14ac:dyDescent="0.25">
      <c r="A43" s="187"/>
      <c r="B43" s="1203" t="s">
        <v>1195</v>
      </c>
      <c r="C43" s="672"/>
      <c r="D43" s="70"/>
      <c r="E43" s="68"/>
      <c r="F43" s="68"/>
      <c r="G43" s="68"/>
      <c r="H43" s="68"/>
      <c r="I43" s="68"/>
      <c r="J43" s="69"/>
      <c r="K43" s="69"/>
      <c r="L43" s="1373"/>
    </row>
    <row r="44" spans="1:12" ht="30" customHeight="1" thickBot="1" x14ac:dyDescent="0.3">
      <c r="A44" s="187"/>
      <c r="B44" s="1414" t="s">
        <v>1176</v>
      </c>
      <c r="C44" s="1196"/>
      <c r="D44" s="666"/>
      <c r="E44" s="657"/>
      <c r="F44" s="657"/>
      <c r="G44" s="657"/>
      <c r="H44" s="657"/>
      <c r="I44" s="657"/>
      <c r="J44" s="658"/>
      <c r="K44" s="658"/>
      <c r="L44" s="1373"/>
    </row>
    <row r="45" spans="1:12" ht="45" customHeight="1" thickTop="1" x14ac:dyDescent="0.25">
      <c r="A45" s="187"/>
      <c r="B45" s="656" t="s">
        <v>1110</v>
      </c>
      <c r="C45" s="669"/>
      <c r="D45" s="65"/>
      <c r="E45" s="43"/>
      <c r="F45" s="43"/>
      <c r="G45" s="43"/>
      <c r="H45" s="43"/>
      <c r="I45" s="43"/>
      <c r="J45" s="44"/>
      <c r="K45" s="44"/>
      <c r="L45" s="1373"/>
    </row>
    <row r="46" spans="1:12" ht="45" customHeight="1" x14ac:dyDescent="0.25">
      <c r="A46" s="187"/>
      <c r="B46" s="655" t="s">
        <v>1111</v>
      </c>
      <c r="C46" s="673"/>
      <c r="D46" s="667"/>
      <c r="E46" s="645"/>
      <c r="F46" s="645"/>
      <c r="G46" s="645"/>
      <c r="H46" s="645"/>
      <c r="I46" s="56"/>
      <c r="J46" s="57"/>
      <c r="K46" s="57"/>
      <c r="L46" s="1373"/>
    </row>
    <row r="47" spans="1:12" ht="15" customHeight="1" x14ac:dyDescent="0.25">
      <c r="A47" s="187"/>
      <c r="B47" s="1433"/>
      <c r="C47" s="1433"/>
      <c r="D47" s="1368"/>
      <c r="E47" s="1368"/>
      <c r="F47" s="1368"/>
      <c r="G47" s="1368"/>
      <c r="H47" s="1368"/>
      <c r="I47" s="1368"/>
      <c r="J47" s="1368"/>
      <c r="K47" s="1368"/>
      <c r="L47" s="1373"/>
    </row>
    <row r="48" spans="1:12" s="3" customFormat="1" ht="45" customHeight="1" x14ac:dyDescent="0.25">
      <c r="A48" s="632" t="s">
        <v>1112</v>
      </c>
      <c r="B48" s="632"/>
      <c r="C48" s="82"/>
      <c r="D48" s="82"/>
      <c r="E48" s="82"/>
      <c r="F48" s="82"/>
      <c r="G48" s="82"/>
      <c r="H48" s="82"/>
      <c r="I48" s="82"/>
      <c r="J48" s="82"/>
      <c r="K48" s="82"/>
      <c r="L48" s="404"/>
    </row>
    <row r="49" spans="1:12" s="648" customFormat="1" ht="60" customHeight="1" x14ac:dyDescent="0.25">
      <c r="A49" s="1913" t="s">
        <v>1137</v>
      </c>
      <c r="B49" s="1914"/>
      <c r="C49" s="1914"/>
      <c r="D49" s="1914"/>
      <c r="E49" s="1914"/>
      <c r="F49" s="1914"/>
      <c r="G49" s="1914"/>
      <c r="H49" s="1914"/>
      <c r="I49" s="1914"/>
      <c r="J49" s="1914"/>
      <c r="K49" s="1583"/>
      <c r="L49" s="647"/>
    </row>
    <row r="50" spans="1:12" ht="15" customHeight="1" x14ac:dyDescent="0.25">
      <c r="A50" s="187"/>
      <c r="B50" s="588"/>
      <c r="C50" s="1565" t="s">
        <v>342</v>
      </c>
      <c r="D50" s="1565" t="s">
        <v>65</v>
      </c>
      <c r="E50" s="1368"/>
      <c r="F50" s="1368"/>
      <c r="G50" s="1368"/>
      <c r="H50" s="1368"/>
      <c r="I50" s="1368"/>
      <c r="J50" s="1368"/>
      <c r="K50" s="1368"/>
      <c r="L50" s="1373"/>
    </row>
    <row r="51" spans="1:12" ht="15" customHeight="1" x14ac:dyDescent="0.25">
      <c r="A51" s="187"/>
      <c r="B51" s="641" t="s">
        <v>1180</v>
      </c>
      <c r="C51" s="432"/>
      <c r="D51" s="359" t="str">
        <f>IF(C51=DefCap!D53+DefCap!D106,"Pass","Fail")</f>
        <v>Pass</v>
      </c>
      <c r="E51" s="1368"/>
      <c r="F51" s="1368"/>
      <c r="G51" s="1368"/>
      <c r="H51" s="1368"/>
      <c r="I51" s="1368"/>
      <c r="J51" s="1368"/>
      <c r="K51" s="1368"/>
      <c r="L51" s="1373"/>
    </row>
    <row r="52" spans="1:12" ht="15" customHeight="1" x14ac:dyDescent="0.25">
      <c r="A52" s="187"/>
      <c r="B52" s="641" t="s">
        <v>221</v>
      </c>
      <c r="C52" s="107"/>
      <c r="D52" s="359" t="str">
        <f>IF(C52=DefCap!D76+DefCap!D107,"Pass","Fail")</f>
        <v>Pass</v>
      </c>
      <c r="E52" s="1368"/>
      <c r="F52" s="1368"/>
      <c r="G52" s="1368"/>
      <c r="H52" s="1368"/>
      <c r="I52" s="1368"/>
      <c r="J52" s="1368"/>
      <c r="K52" s="1368"/>
      <c r="L52" s="1373"/>
    </row>
    <row r="53" spans="1:12" ht="15" customHeight="1" x14ac:dyDescent="0.25">
      <c r="A53" s="187"/>
      <c r="B53" s="586" t="s">
        <v>222</v>
      </c>
      <c r="C53" s="504"/>
      <c r="D53" s="401" t="str">
        <f>IF(C53=DefCap!D96+DefCap!D108,"Pass","Fail")</f>
        <v>Pass</v>
      </c>
      <c r="E53" s="1368"/>
      <c r="F53" s="1368"/>
      <c r="G53" s="1368"/>
      <c r="H53" s="1368"/>
      <c r="I53" s="1368"/>
      <c r="J53" s="1368"/>
      <c r="K53" s="1368"/>
      <c r="L53" s="1373"/>
    </row>
    <row r="54" spans="1:12" ht="15" customHeight="1" x14ac:dyDescent="0.25">
      <c r="A54" s="187"/>
      <c r="B54" s="1433"/>
      <c r="C54" s="1433"/>
      <c r="D54" s="1368"/>
      <c r="E54" s="1368"/>
      <c r="F54" s="1368"/>
      <c r="G54" s="1368"/>
      <c r="H54" s="1368"/>
      <c r="I54" s="1368"/>
      <c r="J54" s="1368"/>
      <c r="K54" s="1368"/>
      <c r="L54" s="1373"/>
    </row>
    <row r="55" spans="1:12" s="648" customFormat="1" ht="60" customHeight="1" x14ac:dyDescent="0.25">
      <c r="A55" s="1913" t="s">
        <v>1138</v>
      </c>
      <c r="B55" s="1914"/>
      <c r="C55" s="1914"/>
      <c r="D55" s="1914"/>
      <c r="E55" s="1914"/>
      <c r="F55" s="1914"/>
      <c r="G55" s="1914"/>
      <c r="H55" s="1914"/>
      <c r="I55" s="1914"/>
      <c r="J55" s="1914"/>
      <c r="K55" s="1583"/>
      <c r="L55" s="647"/>
    </row>
    <row r="56" spans="1:12" ht="150" customHeight="1" x14ac:dyDescent="0.25">
      <c r="A56" s="187"/>
      <c r="B56" s="629"/>
      <c r="C56" s="1592" t="str">
        <f>CONCATENATE("Case 1: Term Sheet criteria (same definition as row ", ROW($B$19), ")")</f>
        <v>Case 1: Term Sheet criteria (same definition as row 19)</v>
      </c>
      <c r="D56" s="1588" t="str">
        <f>CONCATENATE("Case 2: Term Sheet criteria, excluding liabilities of rows ", ROW($B$20), ", ", ROW($B$21), " and ", ROW($B$22), " above (same definition as row ", ROW($B$26), ")")</f>
        <v>Case 2: Term Sheet criteria, excluding liabilities of rows 20, 21 and 22 above (same definition as row 26)</v>
      </c>
      <c r="E56" s="1592" t="str">
        <f>CONCATENATE("Case 3: Term Sheet criteria not taking into consideration the subordination criterion (same definition as row ", ROW($B$27), ")")</f>
        <v>Case 3: Term Sheet criteria not taking into consideration the subordination criterion (same definition as row 27)</v>
      </c>
      <c r="F56" s="1594" t="str">
        <f>CONCATENATE("Case 4: Total unsecured liabilities, excluding derivatives, non-contract and deposits (same definition as rows ", ROW($B$34), " and ", ROW($B$39), ")")</f>
        <v>Case 4: Total unsecured liabilities, excluding derivatives, non-contract and deposits (same definition as rows 34 and 39)</v>
      </c>
      <c r="G56" s="1368"/>
      <c r="H56" s="1368"/>
      <c r="I56" s="1368"/>
      <c r="J56" s="1368"/>
      <c r="K56" s="1368"/>
      <c r="L56" s="1373"/>
    </row>
    <row r="57" spans="1:12" ht="45.75" customHeight="1" x14ac:dyDescent="0.25">
      <c r="A57" s="187"/>
      <c r="B57" s="1415" t="s">
        <v>1606</v>
      </c>
      <c r="C57" s="431"/>
      <c r="D57" s="431"/>
      <c r="E57" s="431"/>
      <c r="F57" s="432"/>
      <c r="G57" s="1368"/>
      <c r="H57" s="1368"/>
      <c r="I57" s="1368"/>
      <c r="J57" s="1368"/>
      <c r="K57" s="1368"/>
      <c r="L57" s="1373"/>
    </row>
    <row r="58" spans="1:12" ht="15" customHeight="1" x14ac:dyDescent="0.25">
      <c r="A58" s="187"/>
      <c r="B58" s="361" t="s">
        <v>191</v>
      </c>
      <c r="C58" s="60"/>
      <c r="D58" s="60"/>
      <c r="E58" s="60"/>
      <c r="F58" s="107"/>
      <c r="G58" s="1368"/>
      <c r="H58" s="1368"/>
      <c r="I58" s="1368"/>
      <c r="J58" s="1368"/>
      <c r="K58" s="1368"/>
      <c r="L58" s="1373"/>
    </row>
    <row r="59" spans="1:12" ht="15" customHeight="1" x14ac:dyDescent="0.25">
      <c r="A59" s="187"/>
      <c r="B59" s="676" t="s">
        <v>1113</v>
      </c>
      <c r="C59" s="85" t="str">
        <f>IF(AND(ISNUMBER(C57), ISNUMBER(C58)), C57-C58, "")</f>
        <v/>
      </c>
      <c r="D59" s="85" t="str">
        <f>IF(AND(ISNUMBER(D57), ISNUMBER(D58)), D57-D58, "")</f>
        <v/>
      </c>
      <c r="E59" s="85" t="str">
        <f>IF(AND(ISNUMBER(E57), ISNUMBER(E58)), E57-E58, "")</f>
        <v/>
      </c>
      <c r="F59" s="19" t="str">
        <f>IF(AND(ISNUMBER(F57), ISNUMBER(F58)), F57-F58, "")</f>
        <v/>
      </c>
      <c r="G59" s="1368"/>
      <c r="H59" s="1368"/>
      <c r="I59" s="1368"/>
      <c r="J59" s="1368"/>
      <c r="K59" s="1368"/>
      <c r="L59" s="1373"/>
    </row>
    <row r="60" spans="1:12" ht="15" customHeight="1" x14ac:dyDescent="0.25">
      <c r="A60" s="187"/>
      <c r="B60" s="676" t="s">
        <v>1181</v>
      </c>
      <c r="C60" s="60"/>
      <c r="D60" s="60"/>
      <c r="E60" s="60"/>
      <c r="F60" s="107"/>
      <c r="G60" s="1368"/>
      <c r="H60" s="1368"/>
      <c r="I60" s="1368"/>
      <c r="J60" s="1368"/>
      <c r="K60" s="1368"/>
      <c r="L60" s="1373"/>
    </row>
    <row r="61" spans="1:12" ht="30" customHeight="1" x14ac:dyDescent="0.25">
      <c r="A61" s="187"/>
      <c r="B61" s="676" t="s">
        <v>318</v>
      </c>
      <c r="C61" s="85" t="str">
        <f>IF(AND(ISNUMBER($C$51), ISNUMBER($C$52), ISNUMBER($C$53), ISNUMBER(C59)), $C$51+$C$52+$C$53+C59, "")</f>
        <v/>
      </c>
      <c r="D61" s="85" t="str">
        <f>IF(AND(ISNUMBER($C$51), ISNUMBER($C$52), ISNUMBER($C$53), ISNUMBER(D59)), $C$51+$C$52+$C$53+D59, "")</f>
        <v/>
      </c>
      <c r="E61" s="85" t="str">
        <f>IF(AND(ISNUMBER($C$51), ISNUMBER($C$52), ISNUMBER($C$53), ISNUMBER(E59)), $C$51+$C$52+$C$53+E59, "")</f>
        <v/>
      </c>
      <c r="F61" s="19" t="str">
        <f>IF(AND(ISNUMBER($C$51), ISNUMBER($C$52), ISNUMBER($C$53), ISNUMBER(F59)), $C$51+$C$52+$C$53+F59, "")</f>
        <v/>
      </c>
      <c r="G61" s="1368"/>
      <c r="H61" s="1368"/>
      <c r="I61" s="1368"/>
      <c r="J61" s="1368"/>
      <c r="K61" s="1368"/>
      <c r="L61" s="1373"/>
    </row>
    <row r="62" spans="1:12" ht="15" customHeight="1" x14ac:dyDescent="0.25">
      <c r="A62" s="187"/>
      <c r="B62" s="373" t="s">
        <v>209</v>
      </c>
      <c r="C62" s="85" t="str">
        <f>IF(ISNUMBER(DefCap!$D$52), DefCap!$D$52, "")</f>
        <v/>
      </c>
      <c r="D62" s="85" t="str">
        <f>IF(ISNUMBER(DefCap!$D$52), DefCap!$D$52, "")</f>
        <v/>
      </c>
      <c r="E62" s="85" t="str">
        <f>IF(ISNUMBER(DefCap!$D$52), DefCap!$D$52, "")</f>
        <v/>
      </c>
      <c r="F62" s="19" t="str">
        <f>IF(ISNUMBER(DefCap!$D$52), DefCap!$D$52, "")</f>
        <v/>
      </c>
      <c r="G62" s="1368"/>
      <c r="H62" s="1368"/>
      <c r="I62" s="1368"/>
      <c r="J62" s="1368"/>
      <c r="K62" s="1368"/>
      <c r="L62" s="1373"/>
    </row>
    <row r="63" spans="1:12" ht="45" customHeight="1" x14ac:dyDescent="0.25">
      <c r="A63" s="187"/>
      <c r="B63" s="676" t="s">
        <v>1114</v>
      </c>
      <c r="C63" s="85" t="str">
        <f>IF(AND(ISNUMBER(C61), ISNUMBER(C62)), MAX(0, C61-0.1*C62), "")</f>
        <v/>
      </c>
      <c r="D63" s="85" t="str">
        <f t="shared" ref="D63:F63" si="0">IF(AND(ISNUMBER(D61), ISNUMBER(D62)), MAX(0, D61-0.1*D62), "")</f>
        <v/>
      </c>
      <c r="E63" s="85" t="str">
        <f t="shared" si="0"/>
        <v/>
      </c>
      <c r="F63" s="19" t="str">
        <f t="shared" si="0"/>
        <v/>
      </c>
      <c r="G63" s="1368"/>
      <c r="H63" s="1368"/>
      <c r="I63" s="1368"/>
      <c r="J63" s="1368"/>
      <c r="K63" s="1368"/>
      <c r="L63" s="1373"/>
    </row>
    <row r="64" spans="1:12" ht="15" customHeight="1" x14ac:dyDescent="0.25">
      <c r="A64" s="187"/>
      <c r="B64" s="661" t="s">
        <v>1115</v>
      </c>
      <c r="C64" s="48"/>
      <c r="D64" s="48"/>
      <c r="E64" s="48"/>
      <c r="F64" s="67"/>
      <c r="G64" s="1368"/>
      <c r="H64" s="1368"/>
      <c r="I64" s="1368"/>
      <c r="J64" s="1368"/>
      <c r="K64" s="1368"/>
      <c r="L64" s="1373"/>
    </row>
    <row r="65" spans="1:12" ht="15" customHeight="1" x14ac:dyDescent="0.25">
      <c r="A65" s="187"/>
      <c r="B65" s="1201" t="s">
        <v>224</v>
      </c>
      <c r="C65" s="85" t="str">
        <f>IF(ISNUMBER(C61),IF(C61&gt;0,IF(AND(ISNUMBER($C$51),ISNUMBER(C63)),C63*$C$51/C61,""),0),"")</f>
        <v/>
      </c>
      <c r="D65" s="85" t="str">
        <f t="shared" ref="D65:F65" si="1">IF(ISNUMBER(D61),IF(D61&gt;0,IF(AND(ISNUMBER($C$51),ISNUMBER(D63)),D63*$C$51/D61,""),0),"")</f>
        <v/>
      </c>
      <c r="E65" s="85" t="str">
        <f t="shared" si="1"/>
        <v/>
      </c>
      <c r="F65" s="19" t="str">
        <f t="shared" si="1"/>
        <v/>
      </c>
      <c r="G65" s="1368"/>
      <c r="H65" s="1368"/>
      <c r="I65" s="1368"/>
      <c r="J65" s="1368"/>
      <c r="K65" s="1368"/>
      <c r="L65" s="1373"/>
    </row>
    <row r="66" spans="1:12" ht="15" customHeight="1" x14ac:dyDescent="0.25">
      <c r="A66" s="187"/>
      <c r="B66" s="1201" t="s">
        <v>192</v>
      </c>
      <c r="C66" s="85" t="str">
        <f>IF(ISNUMBER(C61),IF(C61&gt;0,IF(AND(ISNUMBER($C$52),ISNUMBER(C63)),C63*$C$52/C61,""),0),"")</f>
        <v/>
      </c>
      <c r="D66" s="85" t="str">
        <f t="shared" ref="D66:F66" si="2">IF(ISNUMBER(D61),IF(D61&gt;0,IF(AND(ISNUMBER($C$52),ISNUMBER(D63)),D63*$C$52/D61,""),0),"")</f>
        <v/>
      </c>
      <c r="E66" s="85" t="str">
        <f t="shared" si="2"/>
        <v/>
      </c>
      <c r="F66" s="19" t="str">
        <f t="shared" si="2"/>
        <v/>
      </c>
      <c r="G66" s="1368"/>
      <c r="H66" s="1368"/>
      <c r="I66" s="1368"/>
      <c r="J66" s="1368"/>
      <c r="K66" s="1368"/>
      <c r="L66" s="1373"/>
    </row>
    <row r="67" spans="1:12" ht="15" customHeight="1" x14ac:dyDescent="0.25">
      <c r="A67" s="187"/>
      <c r="B67" s="1201" t="s">
        <v>211</v>
      </c>
      <c r="C67" s="85" t="str">
        <f>IF(ISNUMBER(C61),IF(C61&gt;0,IF(AND(ISNUMBER($C$53),ISNUMBER(C63)),C63*$C$53/C61,""),0),"")</f>
        <v/>
      </c>
      <c r="D67" s="85" t="str">
        <f>IF(ISNUMBER(D61),IF(D61&gt;0,IF(AND(ISNUMBER($C$53),ISNUMBER(D63)),D63*$C$53/D61,""),0),"")</f>
        <v/>
      </c>
      <c r="E67" s="85" t="str">
        <f t="shared" ref="E67:F67" si="3">IF(ISNUMBER(E61),IF(E61&gt;0,IF(AND(ISNUMBER($C$53),ISNUMBER(E63)),E63*$C$53/E61,""),0),"")</f>
        <v/>
      </c>
      <c r="F67" s="19" t="str">
        <f t="shared" si="3"/>
        <v/>
      </c>
      <c r="G67" s="1368"/>
      <c r="H67" s="1368"/>
      <c r="I67" s="1368"/>
      <c r="J67" s="1368"/>
      <c r="K67" s="1368"/>
      <c r="L67" s="1373"/>
    </row>
    <row r="68" spans="1:12" ht="15" customHeight="1" x14ac:dyDescent="0.25">
      <c r="A68" s="187"/>
      <c r="B68" s="1201" t="s">
        <v>1116</v>
      </c>
      <c r="C68" s="85" t="str">
        <f>IF(ISNUMBER(C61),IF(C61&gt;0,IF(AND(ISNUMBER(C59),ISNUMBER(C63)),C63*C59/C61,""),0),"")</f>
        <v/>
      </c>
      <c r="D68" s="85" t="str">
        <f t="shared" ref="D68:F68" si="4">IF(ISNUMBER(D61),IF(D61&gt;0,IF(AND(ISNUMBER(D59),ISNUMBER(D63)),D63*D59/D61,""),0),"")</f>
        <v/>
      </c>
      <c r="E68" s="85" t="str">
        <f t="shared" si="4"/>
        <v/>
      </c>
      <c r="F68" s="19" t="str">
        <f t="shared" si="4"/>
        <v/>
      </c>
      <c r="G68" s="1368"/>
      <c r="H68" s="1368"/>
      <c r="I68" s="1368"/>
      <c r="J68" s="1368"/>
      <c r="K68" s="1368"/>
      <c r="L68" s="1373"/>
    </row>
    <row r="69" spans="1:12" ht="15" customHeight="1" x14ac:dyDescent="0.25">
      <c r="A69" s="187"/>
      <c r="B69" s="661" t="s">
        <v>1117</v>
      </c>
      <c r="C69" s="48"/>
      <c r="D69" s="48"/>
      <c r="E69" s="48"/>
      <c r="F69" s="67"/>
      <c r="G69" s="1368"/>
      <c r="H69" s="1368"/>
      <c r="I69" s="1368"/>
      <c r="J69" s="1368"/>
      <c r="K69" s="1368"/>
      <c r="L69" s="1373"/>
    </row>
    <row r="70" spans="1:12" ht="15" customHeight="1" x14ac:dyDescent="0.25">
      <c r="A70" s="187"/>
      <c r="B70" s="1201" t="s">
        <v>224</v>
      </c>
      <c r="C70" s="85" t="str">
        <f>IF(ISNUMBER(C61),IF(C61&gt;0,IF(AND(ISNUMBER($C$51),ISNUMBER(C63)),C63*$C$51/C61,""),0),"")</f>
        <v/>
      </c>
      <c r="D70" s="85" t="str">
        <f>IF(ISNUMBER(D61),IF(D61&gt;0,IF(AND(ISNUMBER($C$51),ISNUMBER(D63)),D63*$C$51/D61,""),0),"")</f>
        <v/>
      </c>
      <c r="E70" s="85" t="str">
        <f>IF(ISNUMBER(E61),IF(E61&gt;0,IF(AND(ISNUMBER($C$51),ISNUMBER(E63)),E63*$C$51/E61,""),0),"")</f>
        <v/>
      </c>
      <c r="F70" s="19" t="str">
        <f>IF(ISNUMBER(F61),IF(F61&gt;0,IF(AND(ISNUMBER($C$51),ISNUMBER(F63)),F63*$C$51/F61,""),0),"")</f>
        <v/>
      </c>
      <c r="G70" s="1368"/>
      <c r="H70" s="1368"/>
      <c r="I70" s="1368"/>
      <c r="J70" s="1368"/>
      <c r="K70" s="1368"/>
      <c r="L70" s="1373"/>
    </row>
    <row r="71" spans="1:12" ht="15" customHeight="1" x14ac:dyDescent="0.25">
      <c r="A71" s="187"/>
      <c r="B71" s="1201" t="s">
        <v>192</v>
      </c>
      <c r="C71" s="85" t="str">
        <f>IF(ISNUMBER(C61),IF(C61&gt;0,IF(AND(ISNUMBER($C$52),ISNUMBER(C63)),C63*$C$52/C61,""),0),"")</f>
        <v/>
      </c>
      <c r="D71" s="85" t="str">
        <f>IF(ISNUMBER(D61),IF(D61&gt;0,IF(AND(ISNUMBER($C$52),ISNUMBER(D63)),D63*$C$52/D61,""),0),"")</f>
        <v/>
      </c>
      <c r="E71" s="85" t="str">
        <f>IF(ISNUMBER(E61),IF(E61&gt;0,IF(AND(ISNUMBER($C$52),ISNUMBER(E63)),E63*$C$52/E61,""),0),"")</f>
        <v/>
      </c>
      <c r="F71" s="19" t="str">
        <f>IF(ISNUMBER(F61),IF(F61&gt;0,IF(AND(ISNUMBER($C$52),ISNUMBER(F63)),F63*$C$52/F61,""),0),"")</f>
        <v/>
      </c>
      <c r="G71" s="1368"/>
      <c r="H71" s="1368"/>
      <c r="I71" s="1368"/>
      <c r="J71" s="1368"/>
      <c r="K71" s="1368"/>
      <c r="L71" s="1373"/>
    </row>
    <row r="72" spans="1:12" ht="15" customHeight="1" x14ac:dyDescent="0.25">
      <c r="A72" s="187"/>
      <c r="B72" s="1201" t="s">
        <v>211</v>
      </c>
      <c r="C72" s="85" t="str">
        <f>IF(ISNUMBER(C61),IF(C61&gt;0,IF(AND(ISNUMBER($C$53),ISNUMBER(C59),ISNUMBER(C63)),C63*($C$53+C59)/C61,""),0),"")</f>
        <v/>
      </c>
      <c r="D72" s="85" t="str">
        <f t="shared" ref="D72:F72" si="5">IF(ISNUMBER(D61),IF(D61&gt;0,IF(AND(ISNUMBER($C$53),ISNUMBER(D59),ISNUMBER(D63)),D63*($C$53+D59)/D61,""),0),"")</f>
        <v/>
      </c>
      <c r="E72" s="85" t="str">
        <f t="shared" si="5"/>
        <v/>
      </c>
      <c r="F72" s="19" t="str">
        <f t="shared" si="5"/>
        <v/>
      </c>
      <c r="G72" s="1368"/>
      <c r="H72" s="1368"/>
      <c r="I72" s="1368"/>
      <c r="J72" s="1368"/>
      <c r="K72" s="1368"/>
      <c r="L72" s="1373"/>
    </row>
    <row r="73" spans="1:12" ht="30" customHeight="1" x14ac:dyDescent="0.25">
      <c r="A73" s="187"/>
      <c r="B73" s="660" t="s">
        <v>223</v>
      </c>
      <c r="C73" s="48"/>
      <c r="D73" s="48"/>
      <c r="E73" s="48"/>
      <c r="F73" s="67"/>
      <c r="G73" s="1368"/>
      <c r="H73" s="1368"/>
      <c r="I73" s="1368"/>
      <c r="J73" s="1368"/>
      <c r="K73" s="1368"/>
      <c r="L73" s="1373"/>
    </row>
    <row r="74" spans="1:12" ht="15" customHeight="1" x14ac:dyDescent="0.25">
      <c r="A74" s="187"/>
      <c r="B74" s="661" t="s">
        <v>1118</v>
      </c>
      <c r="C74" s="48"/>
      <c r="D74" s="48"/>
      <c r="E74" s="48"/>
      <c r="F74" s="67"/>
      <c r="G74" s="1368"/>
      <c r="H74" s="1368"/>
      <c r="I74" s="1368"/>
      <c r="J74" s="1368"/>
      <c r="K74" s="1368"/>
      <c r="L74" s="1373"/>
    </row>
    <row r="75" spans="1:12" ht="15" customHeight="1" x14ac:dyDescent="0.25">
      <c r="A75" s="187"/>
      <c r="B75" s="1201" t="s">
        <v>1180</v>
      </c>
      <c r="C75" s="85" t="str">
        <f>IF(AND(ISNUMBER($C$51),ISNUMBER(C65)),$C$51-C65,"")</f>
        <v/>
      </c>
      <c r="D75" s="85" t="str">
        <f t="shared" ref="D75:F75" si="6">IF(AND(ISNUMBER($C$51),ISNUMBER(D65)),$C$51-D65,"")</f>
        <v/>
      </c>
      <c r="E75" s="85" t="str">
        <f t="shared" si="6"/>
        <v/>
      </c>
      <c r="F75" s="19" t="str">
        <f t="shared" si="6"/>
        <v/>
      </c>
      <c r="G75" s="1368"/>
      <c r="H75" s="1368"/>
      <c r="I75" s="1368"/>
      <c r="J75" s="1368"/>
      <c r="K75" s="1368"/>
      <c r="L75" s="1373"/>
    </row>
    <row r="76" spans="1:12" ht="15" customHeight="1" x14ac:dyDescent="0.25">
      <c r="A76" s="187"/>
      <c r="B76" s="1201" t="s">
        <v>221</v>
      </c>
      <c r="C76" s="85" t="str">
        <f>IF(AND(ISNUMBER($C$52),ISNUMBER(C66)),$C$52-C66,"")</f>
        <v/>
      </c>
      <c r="D76" s="85" t="str">
        <f t="shared" ref="D76:F76" si="7">IF(AND(ISNUMBER($C$52),ISNUMBER(D66)),$C$52-D66,"")</f>
        <v/>
      </c>
      <c r="E76" s="85" t="str">
        <f t="shared" si="7"/>
        <v/>
      </c>
      <c r="F76" s="19" t="str">
        <f t="shared" si="7"/>
        <v/>
      </c>
      <c r="G76" s="1368"/>
      <c r="H76" s="1368"/>
      <c r="I76" s="1368"/>
      <c r="J76" s="1368"/>
      <c r="K76" s="1368"/>
      <c r="L76" s="1373"/>
    </row>
    <row r="77" spans="1:12" ht="15" customHeight="1" x14ac:dyDescent="0.25">
      <c r="A77" s="187"/>
      <c r="B77" s="1201" t="s">
        <v>222</v>
      </c>
      <c r="C77" s="85" t="str">
        <f>IF(AND(ISNUMBER($C$53),ISNUMBER(C67)),$C$53-C67,"")</f>
        <v/>
      </c>
      <c r="D77" s="85" t="str">
        <f t="shared" ref="D77:F77" si="8">IF(AND(ISNUMBER($C$53),ISNUMBER(D67)),$C$53-D67,"")</f>
        <v/>
      </c>
      <c r="E77" s="85" t="str">
        <f t="shared" si="8"/>
        <v/>
      </c>
      <c r="F77" s="19" t="str">
        <f t="shared" si="8"/>
        <v/>
      </c>
      <c r="G77" s="1368"/>
      <c r="H77" s="1368"/>
      <c r="I77" s="1368"/>
      <c r="J77" s="1368"/>
      <c r="K77" s="1368"/>
      <c r="L77" s="1373"/>
    </row>
    <row r="78" spans="1:12" ht="15" customHeight="1" x14ac:dyDescent="0.25">
      <c r="A78" s="187"/>
      <c r="B78" s="1201" t="s">
        <v>1119</v>
      </c>
      <c r="C78" s="85" t="str">
        <f>IF(AND(ISNUMBER(C59),ISNUMBER(C68)),C59-C68,"")</f>
        <v/>
      </c>
      <c r="D78" s="85" t="str">
        <f t="shared" ref="D78:F78" si="9">IF(AND(ISNUMBER(D59),ISNUMBER(D68)),D59-D68,"")</f>
        <v/>
      </c>
      <c r="E78" s="85" t="str">
        <f t="shared" si="9"/>
        <v/>
      </c>
      <c r="F78" s="19" t="str">
        <f t="shared" si="9"/>
        <v/>
      </c>
      <c r="G78" s="1368"/>
      <c r="H78" s="1368"/>
      <c r="I78" s="1368"/>
      <c r="J78" s="1368"/>
      <c r="K78" s="1368"/>
      <c r="L78" s="1373"/>
    </row>
    <row r="79" spans="1:12" ht="15" customHeight="1" x14ac:dyDescent="0.25">
      <c r="A79" s="187"/>
      <c r="B79" s="661" t="s">
        <v>1120</v>
      </c>
      <c r="C79" s="48"/>
      <c r="D79" s="48"/>
      <c r="E79" s="48"/>
      <c r="F79" s="67"/>
      <c r="G79" s="1368"/>
      <c r="H79" s="1368"/>
      <c r="I79" s="1368"/>
      <c r="J79" s="1368"/>
      <c r="K79" s="1368"/>
      <c r="L79" s="1373"/>
    </row>
    <row r="80" spans="1:12" ht="15" customHeight="1" x14ac:dyDescent="0.25">
      <c r="A80" s="187"/>
      <c r="B80" s="1201" t="s">
        <v>1180</v>
      </c>
      <c r="C80" s="85" t="str">
        <f>IF(AND(ISNUMBER($C$51),ISNUMBER(C70)),$C$51-C70,"")</f>
        <v/>
      </c>
      <c r="D80" s="85" t="str">
        <f t="shared" ref="D80:F80" si="10">IF(AND(ISNUMBER($C$51),ISNUMBER(D70)),$C$51-D70,"")</f>
        <v/>
      </c>
      <c r="E80" s="85" t="str">
        <f t="shared" si="10"/>
        <v/>
      </c>
      <c r="F80" s="19" t="str">
        <f t="shared" si="10"/>
        <v/>
      </c>
      <c r="G80" s="1368"/>
      <c r="H80" s="1368"/>
      <c r="I80" s="1368"/>
      <c r="J80" s="1368"/>
      <c r="K80" s="1368"/>
      <c r="L80" s="1373"/>
    </row>
    <row r="81" spans="1:12" ht="15" customHeight="1" x14ac:dyDescent="0.25">
      <c r="A81" s="187"/>
      <c r="B81" s="1201" t="s">
        <v>221</v>
      </c>
      <c r="C81" s="85" t="str">
        <f>IF(AND(ISNUMBER($C$52),ISNUMBER(C71)),$C$52-C71,"")</f>
        <v/>
      </c>
      <c r="D81" s="85" t="str">
        <f t="shared" ref="D81:F81" si="11">IF(AND(ISNUMBER($C$52),ISNUMBER(D71)),$C$52-D71,"")</f>
        <v/>
      </c>
      <c r="E81" s="85" t="str">
        <f t="shared" si="11"/>
        <v/>
      </c>
      <c r="F81" s="19" t="str">
        <f t="shared" si="11"/>
        <v/>
      </c>
      <c r="G81" s="1368"/>
      <c r="H81" s="1368"/>
      <c r="I81" s="1368"/>
      <c r="J81" s="1368"/>
      <c r="K81" s="1368"/>
      <c r="L81" s="1373"/>
    </row>
    <row r="82" spans="1:12" ht="15" customHeight="1" x14ac:dyDescent="0.25">
      <c r="A82" s="187"/>
      <c r="B82" s="1201" t="s">
        <v>1121</v>
      </c>
      <c r="C82" s="85" t="str">
        <f>IF(AND(ISNUMBER($C$53),ISNUMBER(C59),ISNUMBER(C72)),($C$53+C59)-C72,"")</f>
        <v/>
      </c>
      <c r="D82" s="85" t="str">
        <f t="shared" ref="D82:F82" si="12">IF(AND(ISNUMBER($C$53),ISNUMBER(D59),ISNUMBER(D72)),($C$53+D59)-D72,"")</f>
        <v/>
      </c>
      <c r="E82" s="85" t="str">
        <f t="shared" si="12"/>
        <v/>
      </c>
      <c r="F82" s="19" t="str">
        <f t="shared" si="12"/>
        <v/>
      </c>
      <c r="G82" s="1368"/>
      <c r="H82" s="1368"/>
      <c r="I82" s="1368"/>
      <c r="J82" s="1368"/>
      <c r="K82" s="1368"/>
      <c r="L82" s="1373"/>
    </row>
    <row r="83" spans="1:12" ht="30" customHeight="1" x14ac:dyDescent="0.25">
      <c r="A83" s="187"/>
      <c r="B83" s="643" t="str">
        <f>CONCATENATE("Total risk-weighted assets of amounts not deducted (set out in rows ", ROW(B75), " to ", ROW(B82), "); of which amounts that relate to:")</f>
        <v>Total risk-weighted assets of amounts not deducted (set out in rows 75 to 82); of which amounts that relate to:</v>
      </c>
      <c r="C83" s="48"/>
      <c r="D83" s="48"/>
      <c r="E83" s="48"/>
      <c r="F83" s="67"/>
      <c r="G83" s="1368"/>
      <c r="H83" s="1368"/>
      <c r="I83" s="1368"/>
      <c r="J83" s="1368"/>
      <c r="K83" s="1368"/>
      <c r="L83" s="1373"/>
    </row>
    <row r="84" spans="1:12" ht="15" customHeight="1" x14ac:dyDescent="0.25">
      <c r="A84" s="187"/>
      <c r="B84" s="661" t="s">
        <v>1118</v>
      </c>
      <c r="C84" s="48"/>
      <c r="D84" s="48"/>
      <c r="E84" s="48"/>
      <c r="F84" s="67"/>
      <c r="G84" s="1368"/>
      <c r="H84" s="1368"/>
      <c r="I84" s="1368"/>
      <c r="J84" s="1368"/>
      <c r="K84" s="1368"/>
      <c r="L84" s="1373"/>
    </row>
    <row r="85" spans="1:12" ht="15" customHeight="1" x14ac:dyDescent="0.25">
      <c r="A85" s="187"/>
      <c r="B85" s="1198" t="str">
        <f>CONCATENATE("Holdings of Common Equity Tier 1 net of short positions (ie risk weighted assets of exposures in row ", ROW(B75), ")")</f>
        <v>Holdings of Common Equity Tier 1 net of short positions (ie risk weighted assets of exposures in row 75)</v>
      </c>
      <c r="C85" s="60"/>
      <c r="D85" s="60"/>
      <c r="E85" s="60"/>
      <c r="F85" s="107"/>
      <c r="G85" s="1368"/>
      <c r="H85" s="1368"/>
      <c r="I85" s="1368"/>
      <c r="J85" s="1368"/>
      <c r="K85" s="1368"/>
      <c r="L85" s="1373"/>
    </row>
    <row r="86" spans="1:12" ht="15" customHeight="1" x14ac:dyDescent="0.25">
      <c r="A86" s="187"/>
      <c r="B86" s="1198" t="str">
        <f>CONCATENATE("Holdings of Additional Tier 1 capital net of short positions (ie risk weighted assets of exposures in row ", ROW(B76), ")")</f>
        <v>Holdings of Additional Tier 1 capital net of short positions (ie risk weighted assets of exposures in row 76)</v>
      </c>
      <c r="C86" s="60"/>
      <c r="D86" s="60"/>
      <c r="E86" s="60"/>
      <c r="F86" s="107"/>
      <c r="G86" s="1368"/>
      <c r="H86" s="1368"/>
      <c r="I86" s="1368"/>
      <c r="J86" s="1368"/>
      <c r="K86" s="1368"/>
      <c r="L86" s="1373"/>
    </row>
    <row r="87" spans="1:12" ht="15" customHeight="1" x14ac:dyDescent="0.25">
      <c r="A87" s="187"/>
      <c r="B87" s="1198" t="str">
        <f>CONCATENATE("Holdings of Tier 2 capital net of short positions (ie risk weighted assets of exposures in row ", ROW(B77), ")")</f>
        <v>Holdings of Tier 2 capital net of short positions (ie risk weighted assets of exposures in row 77)</v>
      </c>
      <c r="C87" s="60"/>
      <c r="D87" s="60"/>
      <c r="E87" s="60"/>
      <c r="F87" s="107"/>
      <c r="G87" s="1368"/>
      <c r="H87" s="1368"/>
      <c r="I87" s="1368"/>
      <c r="J87" s="1368"/>
      <c r="K87" s="1368"/>
      <c r="L87" s="1373"/>
    </row>
    <row r="88" spans="1:12" ht="30" customHeight="1" x14ac:dyDescent="0.25">
      <c r="A88" s="187"/>
      <c r="B88" s="1198" t="str">
        <f>CONCATENATE("Holdings of unsecured liabilities in each case, net of short positions (ie risk weighted assets of exposures in row ", ROW(B78), ")")</f>
        <v>Holdings of unsecured liabilities in each case, net of short positions (ie risk weighted assets of exposures in row 78)</v>
      </c>
      <c r="C88" s="60"/>
      <c r="D88" s="60"/>
      <c r="E88" s="60"/>
      <c r="F88" s="107"/>
      <c r="G88" s="1368"/>
      <c r="H88" s="1368"/>
      <c r="I88" s="1368"/>
      <c r="J88" s="1368"/>
      <c r="K88" s="1368"/>
      <c r="L88" s="1373"/>
    </row>
    <row r="89" spans="1:12" ht="15" customHeight="1" x14ac:dyDescent="0.25">
      <c r="A89" s="187"/>
      <c r="B89" s="661" t="s">
        <v>1120</v>
      </c>
      <c r="C89" s="48"/>
      <c r="D89" s="48"/>
      <c r="E89" s="48"/>
      <c r="F89" s="67"/>
      <c r="G89" s="1368"/>
      <c r="H89" s="1368"/>
      <c r="I89" s="1368"/>
      <c r="J89" s="1368"/>
      <c r="K89" s="1368"/>
      <c r="L89" s="1373"/>
    </row>
    <row r="90" spans="1:12" ht="15" customHeight="1" x14ac:dyDescent="0.25">
      <c r="A90" s="187"/>
      <c r="B90" s="1198" t="str">
        <f>CONCATENATE("Holdings of Common Equity Tier 1 net of short positions (ie risk weighted assets of exposures in row ", ROW(B80), ")")</f>
        <v>Holdings of Common Equity Tier 1 net of short positions (ie risk weighted assets of exposures in row 80)</v>
      </c>
      <c r="C90" s="60"/>
      <c r="D90" s="60"/>
      <c r="E90" s="60"/>
      <c r="F90" s="107"/>
      <c r="G90" s="1368"/>
      <c r="H90" s="1368"/>
      <c r="I90" s="1368"/>
      <c r="J90" s="1368"/>
      <c r="K90" s="1368"/>
      <c r="L90" s="1373"/>
    </row>
    <row r="91" spans="1:12" ht="15" customHeight="1" x14ac:dyDescent="0.25">
      <c r="A91" s="187"/>
      <c r="B91" s="1198" t="str">
        <f>CONCATENATE("Holdings of Additional Tier 1 capital net of short positions (ie risk weighted assets of exposures in row ", ROW(B81), ")")</f>
        <v>Holdings of Additional Tier 1 capital net of short positions (ie risk weighted assets of exposures in row 81)</v>
      </c>
      <c r="C91" s="60"/>
      <c r="D91" s="60"/>
      <c r="E91" s="60"/>
      <c r="F91" s="107"/>
      <c r="G91" s="1368"/>
      <c r="H91" s="1368"/>
      <c r="I91" s="1368"/>
      <c r="J91" s="1368"/>
      <c r="K91" s="1368"/>
      <c r="L91" s="1373"/>
    </row>
    <row r="92" spans="1:12" ht="30" customHeight="1" x14ac:dyDescent="0.25">
      <c r="A92" s="187"/>
      <c r="B92" s="1200" t="str">
        <f>CONCATENATE("Holdings of Tier 2 capital and unsecured liabilities in each case, net of short positions (ie risk weighted assets of exposures in row ", ROW(B82), ")")</f>
        <v>Holdings of Tier 2 capital and unsecured liabilities in each case, net of short positions (ie risk weighted assets of exposures in row 82)</v>
      </c>
      <c r="C92" s="55"/>
      <c r="D92" s="55"/>
      <c r="E92" s="55"/>
      <c r="F92" s="504"/>
      <c r="G92" s="1368"/>
      <c r="H92" s="1368"/>
      <c r="I92" s="1368"/>
      <c r="J92" s="1368"/>
      <c r="K92" s="1368"/>
      <c r="L92" s="1373"/>
    </row>
    <row r="93" spans="1:12" ht="15" customHeight="1" x14ac:dyDescent="0.25">
      <c r="A93" s="187"/>
      <c r="B93" s="1433"/>
      <c r="C93" s="1433"/>
      <c r="D93" s="1368"/>
      <c r="E93" s="1368"/>
      <c r="F93" s="1368"/>
      <c r="G93" s="1368"/>
      <c r="H93" s="1368"/>
      <c r="I93" s="1368"/>
      <c r="J93" s="1368"/>
      <c r="K93" s="1368"/>
      <c r="L93" s="1373"/>
    </row>
    <row r="94" spans="1:12" s="648" customFormat="1" ht="60" customHeight="1" x14ac:dyDescent="0.25">
      <c r="A94" s="1913" t="s">
        <v>1122</v>
      </c>
      <c r="B94" s="1914"/>
      <c r="C94" s="1914"/>
      <c r="D94" s="1914"/>
      <c r="E94" s="1914"/>
      <c r="F94" s="1914"/>
      <c r="G94" s="1914"/>
      <c r="H94" s="1914"/>
      <c r="I94" s="1914"/>
      <c r="J94" s="1914"/>
      <c r="K94" s="1583"/>
      <c r="L94" s="647"/>
    </row>
    <row r="95" spans="1:12" ht="150" customHeight="1" x14ac:dyDescent="0.25">
      <c r="A95" s="187"/>
      <c r="B95" s="149"/>
      <c r="C95" s="712" t="str">
        <f>C56</f>
        <v>Case 1: Term Sheet criteria (same definition as row 19)</v>
      </c>
      <c r="D95" s="706" t="str">
        <f>D56</f>
        <v>Case 2: Term Sheet criteria, excluding liabilities of rows 20, 21 and 22 above (same definition as row 26)</v>
      </c>
      <c r="E95" s="659" t="str">
        <f>E56</f>
        <v>Case 3: Term Sheet criteria not taking into consideration the subordination criterion (same definition as row 27)</v>
      </c>
      <c r="F95" s="1584" t="str">
        <f>F56</f>
        <v>Case 4: Total unsecured liabilities, excluding derivatives, non-contract and deposits (same definition as rows 34 and 39)</v>
      </c>
      <c r="G95" s="1368"/>
      <c r="H95" s="1368"/>
      <c r="I95" s="1368"/>
      <c r="J95" s="1368"/>
      <c r="K95" s="1368"/>
      <c r="L95" s="1373"/>
    </row>
    <row r="96" spans="1:12" ht="30" customHeight="1" x14ac:dyDescent="0.25">
      <c r="A96" s="187"/>
      <c r="B96" s="1278" t="s">
        <v>1607</v>
      </c>
      <c r="C96" s="431"/>
      <c r="D96" s="431"/>
      <c r="E96" s="431"/>
      <c r="F96" s="432"/>
      <c r="G96" s="1368"/>
      <c r="H96" s="1368"/>
      <c r="I96" s="1368"/>
      <c r="J96" s="1368"/>
      <c r="K96" s="1368"/>
      <c r="L96" s="1373"/>
    </row>
    <row r="97" spans="1:12" ht="15" customHeight="1" x14ac:dyDescent="0.25">
      <c r="A97" s="187"/>
      <c r="B97" s="373" t="s">
        <v>191</v>
      </c>
      <c r="C97" s="60"/>
      <c r="D97" s="60"/>
      <c r="E97" s="60"/>
      <c r="F97" s="107"/>
      <c r="G97" s="1368"/>
      <c r="H97" s="1368"/>
      <c r="I97" s="1368"/>
      <c r="J97" s="1368"/>
      <c r="K97" s="1368"/>
      <c r="L97" s="1373"/>
    </row>
    <row r="98" spans="1:12" ht="15" customHeight="1" x14ac:dyDescent="0.25">
      <c r="A98" s="187"/>
      <c r="B98" s="676" t="s">
        <v>1113</v>
      </c>
      <c r="C98" s="85" t="str">
        <f>IF(AND(ISNUMBER(C96), ISNUMBER(C97)), C96-C97, "")</f>
        <v/>
      </c>
      <c r="D98" s="85" t="str">
        <f>IF(AND(ISNUMBER(D96), ISNUMBER(D97)), D96-D97, "")</f>
        <v/>
      </c>
      <c r="E98" s="85" t="str">
        <f>IF(AND(ISNUMBER(E96), ISNUMBER(E97)), E96-E97, "")</f>
        <v/>
      </c>
      <c r="F98" s="19" t="str">
        <f>IF(AND(ISNUMBER(F96), ISNUMBER(F97)), F96-F97, "")</f>
        <v/>
      </c>
      <c r="G98" s="1368"/>
      <c r="H98" s="1368"/>
      <c r="I98" s="1368"/>
      <c r="J98" s="1368"/>
      <c r="K98" s="1368"/>
      <c r="L98" s="1373"/>
    </row>
    <row r="99" spans="1:12" ht="15" customHeight="1" x14ac:dyDescent="0.25">
      <c r="A99" s="187"/>
      <c r="B99" s="676" t="s">
        <v>1181</v>
      </c>
      <c r="C99" s="60"/>
      <c r="D99" s="60"/>
      <c r="E99" s="60"/>
      <c r="F99" s="107"/>
      <c r="G99" s="1368"/>
      <c r="H99" s="1368"/>
      <c r="I99" s="1368"/>
      <c r="J99" s="1368"/>
      <c r="K99" s="1368"/>
      <c r="L99" s="1373"/>
    </row>
    <row r="100" spans="1:12" ht="15" customHeight="1" x14ac:dyDescent="0.25">
      <c r="A100" s="187"/>
      <c r="B100" s="676" t="s">
        <v>1123</v>
      </c>
      <c r="C100" s="85" t="str">
        <f>IF(ISNUMBER(C$98), C$98, "")</f>
        <v/>
      </c>
      <c r="D100" s="85" t="str">
        <f t="shared" ref="D100:F101" si="13">IF(ISNUMBER(D$98), D$98, "")</f>
        <v/>
      </c>
      <c r="E100" s="85" t="str">
        <f t="shared" si="13"/>
        <v/>
      </c>
      <c r="F100" s="19" t="str">
        <f t="shared" si="13"/>
        <v/>
      </c>
      <c r="G100" s="1368"/>
      <c r="H100" s="1368"/>
      <c r="I100" s="1368"/>
      <c r="J100" s="1368"/>
      <c r="K100" s="1368"/>
      <c r="L100" s="1373"/>
    </row>
    <row r="101" spans="1:12" ht="15" customHeight="1" x14ac:dyDescent="0.25">
      <c r="A101" s="187"/>
      <c r="B101" s="679" t="s">
        <v>1117</v>
      </c>
      <c r="C101" s="1199" t="str">
        <f t="shared" ref="C101" si="14">IF(ISNUMBER(C$98), C$98, "")</f>
        <v/>
      </c>
      <c r="D101" s="1199" t="str">
        <f t="shared" si="13"/>
        <v/>
      </c>
      <c r="E101" s="1199" t="str">
        <f t="shared" si="13"/>
        <v/>
      </c>
      <c r="F101" s="109" t="str">
        <f t="shared" si="13"/>
        <v/>
      </c>
      <c r="G101" s="1368"/>
      <c r="H101" s="1368"/>
      <c r="I101" s="1368"/>
      <c r="J101" s="1368"/>
      <c r="K101" s="1368"/>
      <c r="L101" s="1373"/>
    </row>
    <row r="102" spans="1:12" ht="15" customHeight="1" x14ac:dyDescent="0.25">
      <c r="A102" s="187"/>
      <c r="B102" s="1433"/>
      <c r="C102" s="1433"/>
      <c r="D102" s="1368"/>
      <c r="E102" s="1368"/>
      <c r="F102" s="1368"/>
      <c r="G102" s="1368"/>
      <c r="H102" s="1368"/>
      <c r="I102" s="1368"/>
      <c r="J102" s="1368"/>
      <c r="K102" s="1368"/>
      <c r="L102" s="1373"/>
    </row>
    <row r="103" spans="1:12" s="3" customFormat="1" ht="45" customHeight="1" x14ac:dyDescent="0.25">
      <c r="A103" s="632" t="s">
        <v>1486</v>
      </c>
      <c r="B103" s="632"/>
      <c r="C103" s="82"/>
      <c r="D103" s="82"/>
      <c r="E103" s="82"/>
      <c r="F103" s="82"/>
      <c r="G103" s="82"/>
      <c r="H103" s="82"/>
      <c r="I103" s="82"/>
      <c r="J103" s="82"/>
      <c r="K103" s="82"/>
      <c r="L103" s="404"/>
    </row>
    <row r="104" spans="1:12" ht="15" customHeight="1" x14ac:dyDescent="0.25">
      <c r="A104" s="187"/>
      <c r="B104" s="629"/>
      <c r="C104" s="1747" t="s">
        <v>342</v>
      </c>
      <c r="D104" s="1747"/>
      <c r="E104" s="1747"/>
      <c r="F104" s="1747"/>
      <c r="G104" s="1747"/>
      <c r="H104" s="1908" t="s">
        <v>1230</v>
      </c>
      <c r="I104" s="1910" t="s">
        <v>1661</v>
      </c>
      <c r="J104" s="1368"/>
      <c r="K104" s="1368"/>
      <c r="L104" s="1373"/>
    </row>
    <row r="105" spans="1:12" ht="45" customHeight="1" x14ac:dyDescent="0.25">
      <c r="A105" s="187"/>
      <c r="B105" s="566"/>
      <c r="C105" s="712" t="s">
        <v>1129</v>
      </c>
      <c r="D105" s="665" t="s">
        <v>1109</v>
      </c>
      <c r="E105" s="1589" t="s">
        <v>1126</v>
      </c>
      <c r="F105" s="1589" t="s">
        <v>1127</v>
      </c>
      <c r="G105" s="1589" t="s">
        <v>1128</v>
      </c>
      <c r="H105" s="1909"/>
      <c r="I105" s="1911"/>
      <c r="J105" s="1368"/>
      <c r="K105" s="1368"/>
      <c r="L105" s="1373"/>
    </row>
    <row r="106" spans="1:12" ht="15" customHeight="1" x14ac:dyDescent="0.25">
      <c r="A106" s="187"/>
      <c r="B106" s="638" t="s">
        <v>1226</v>
      </c>
      <c r="C106" s="431"/>
      <c r="D106" s="431"/>
      <c r="E106" s="431"/>
      <c r="F106" s="431"/>
      <c r="G106" s="431"/>
      <c r="H106" s="431"/>
      <c r="I106" s="432"/>
      <c r="J106" s="1368"/>
      <c r="K106" s="1368"/>
      <c r="L106" s="1373"/>
    </row>
    <row r="107" spans="1:12" ht="15" customHeight="1" x14ac:dyDescent="0.25">
      <c r="A107" s="187"/>
      <c r="B107" s="1388" t="s">
        <v>1227</v>
      </c>
      <c r="C107" s="60"/>
      <c r="D107" s="60"/>
      <c r="E107" s="60"/>
      <c r="F107" s="60"/>
      <c r="G107" s="60"/>
      <c r="H107" s="60"/>
      <c r="I107" s="107"/>
      <c r="J107" s="1368"/>
      <c r="K107" s="1368"/>
      <c r="L107" s="1373"/>
    </row>
    <row r="108" spans="1:12" ht="15" customHeight="1" x14ac:dyDescent="0.25">
      <c r="A108" s="187"/>
      <c r="B108" s="1388" t="s">
        <v>1228</v>
      </c>
      <c r="C108" s="60"/>
      <c r="D108" s="60"/>
      <c r="E108" s="60"/>
      <c r="F108" s="60"/>
      <c r="G108" s="60"/>
      <c r="H108" s="60"/>
      <c r="I108" s="107"/>
      <c r="J108" s="1368"/>
      <c r="K108" s="1368"/>
      <c r="L108" s="1373"/>
    </row>
    <row r="109" spans="1:12" ht="15" customHeight="1" x14ac:dyDescent="0.25">
      <c r="A109" s="187"/>
      <c r="B109" s="1388" t="s">
        <v>1229</v>
      </c>
      <c r="C109" s="60"/>
      <c r="D109" s="60"/>
      <c r="E109" s="60"/>
      <c r="F109" s="60"/>
      <c r="G109" s="60"/>
      <c r="H109" s="60"/>
      <c r="I109" s="107"/>
      <c r="J109" s="1368"/>
      <c r="K109" s="1368"/>
      <c r="L109" s="1373"/>
    </row>
    <row r="110" spans="1:12" ht="15" customHeight="1" x14ac:dyDescent="0.25">
      <c r="A110" s="187"/>
      <c r="B110" s="1405" t="s">
        <v>1754</v>
      </c>
      <c r="C110" s="55"/>
      <c r="D110" s="55"/>
      <c r="E110" s="55"/>
      <c r="F110" s="55"/>
      <c r="G110" s="55"/>
      <c r="H110" s="55"/>
      <c r="I110" s="504"/>
      <c r="J110" s="1368"/>
      <c r="K110" s="1368"/>
      <c r="L110" s="1373"/>
    </row>
    <row r="111" spans="1:12" ht="15" customHeight="1" x14ac:dyDescent="0.25">
      <c r="A111" s="347"/>
      <c r="B111" s="348"/>
      <c r="C111" s="348"/>
      <c r="D111" s="1400"/>
      <c r="E111" s="1400"/>
      <c r="F111" s="1400"/>
      <c r="G111" s="1400"/>
      <c r="H111" s="1400"/>
      <c r="I111" s="1400"/>
      <c r="J111" s="1400"/>
      <c r="K111" s="1400"/>
      <c r="L111" s="1402"/>
    </row>
    <row r="112" spans="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sheetData>
  <mergeCells count="11">
    <mergeCell ref="C104:G104"/>
    <mergeCell ref="H104:H105"/>
    <mergeCell ref="I104:I105"/>
    <mergeCell ref="B2:J2"/>
    <mergeCell ref="A49:J49"/>
    <mergeCell ref="A55:J55"/>
    <mergeCell ref="A94:J94"/>
    <mergeCell ref="C17:G17"/>
    <mergeCell ref="B17:B18"/>
    <mergeCell ref="H17:H18"/>
    <mergeCell ref="I17:K17"/>
  </mergeCells>
  <conditionalFormatting sqref="C51:C53 C57:F58 C60:F60 C85:F88 C90:F92 C96:F97 C99:F99">
    <cfRule type="cellIs" dxfId="52" priority="23" stopIfTrue="1" operator="lessThan">
      <formula>0</formula>
    </cfRule>
  </conditionalFormatting>
  <conditionalFormatting sqref="D19:H19 J19:K19 C20:C22 D23:H24 C25 D26:H26 J26:K26 D27:H27 C28:C30 D31:H32 C33 D34:K34 C35:C36 C38 D39:I39 C40:C41 C43:C46">
    <cfRule type="cellIs" dxfId="51" priority="12" stopIfTrue="1" operator="lessThan">
      <formula>0</formula>
    </cfRule>
  </conditionalFormatting>
  <conditionalFormatting sqref="C10:C14 D11:D14 E8:E10 E14 F9:G9 H8:H14">
    <cfRule type="cellIs" dxfId="50" priority="7" stopIfTrue="1" operator="lessThan">
      <formula>0</formula>
    </cfRule>
  </conditionalFormatting>
  <conditionalFormatting sqref="C106:I110">
    <cfRule type="cellIs" dxfId="49" priority="25" stopIfTrue="1" operator="lessThan">
      <formula>0</formula>
    </cfRule>
  </conditionalFormatting>
  <conditionalFormatting sqref="D51:D53">
    <cfRule type="cellIs" dxfId="48" priority="1" stopIfTrue="1" operator="equal">
      <formula>"Fail"</formula>
    </cfRule>
    <cfRule type="cellIs" dxfId="47" priority="2" stopIfTrue="1" operator="equal">
      <formula>"Pass"</formula>
    </cfRule>
  </conditionalFormatting>
  <dataValidations disablePrompts="1" count="1">
    <dataValidation type="list" showInputMessage="1" showErrorMessage="1" sqref="C4">
      <formula1>YesNo</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4" manualBreakCount="4">
    <brk id="15" max="11" man="1"/>
    <brk id="38" max="11" man="1"/>
    <brk id="62" max="11" man="1"/>
    <brk id="9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59999389629810485"/>
  </sheetPr>
  <dimension ref="A1:AC50"/>
  <sheetViews>
    <sheetView zoomScale="75" zoomScaleNormal="75" workbookViewId="0">
      <pane xSplit="2" ySplit="6" topLeftCell="C7" activePane="bottomRight" state="frozen"/>
      <selection pane="topRight" activeCell="C1" sqref="C1"/>
      <selection pane="bottomLeft" activeCell="A7" sqref="A7"/>
      <selection pane="bottomRight"/>
    </sheetView>
  </sheetViews>
  <sheetFormatPr defaultColWidth="0" defaultRowHeight="15" customHeight="1" zeroHeight="1" x14ac:dyDescent="0.25"/>
  <cols>
    <col min="1" max="1" width="1.7109375" style="34" customWidth="1"/>
    <col min="2" max="2" width="120.7109375" style="34" customWidth="1"/>
    <col min="3" max="3" width="16.7109375" style="34" customWidth="1"/>
    <col min="4" max="11" width="16.7109375" style="408" customWidth="1"/>
    <col min="12" max="12" width="16.7109375" style="492" customWidth="1"/>
    <col min="13" max="27" width="16.7109375" style="408" customWidth="1"/>
    <col min="28" max="28" width="16.7109375" style="492" customWidth="1"/>
    <col min="29" max="29" width="1.7109375" style="408" customWidth="1"/>
    <col min="30" max="16384" width="16.7109375" style="408" hidden="1"/>
  </cols>
  <sheetData>
    <row r="1" spans="1:29" ht="30" customHeight="1" x14ac:dyDescent="0.55000000000000004">
      <c r="A1" s="1491" t="s">
        <v>1715</v>
      </c>
      <c r="B1" s="1492"/>
      <c r="C1" s="1240"/>
      <c r="D1" s="1511" t="str">
        <f>CONCATENATE("Reporting unit: ", 'General Info'!$C$50, " ", 'General Info'!$C$49)</f>
        <v xml:space="preserve">Reporting unit: 1 </v>
      </c>
      <c r="E1" s="1360"/>
      <c r="F1" s="1360"/>
      <c r="G1" s="1360"/>
      <c r="H1" s="1360"/>
      <c r="I1" s="1360"/>
      <c r="J1" s="1360"/>
      <c r="K1" s="1360"/>
      <c r="L1" s="1360"/>
      <c r="M1" s="1360"/>
      <c r="N1" s="1360"/>
      <c r="O1" s="1360"/>
      <c r="P1" s="1360"/>
      <c r="Q1" s="1360"/>
      <c r="R1" s="1360"/>
      <c r="S1" s="1360"/>
      <c r="T1" s="1360"/>
      <c r="U1" s="1360"/>
      <c r="V1" s="1360"/>
      <c r="W1" s="1360"/>
      <c r="X1" s="1360"/>
      <c r="Y1" s="1360"/>
      <c r="Z1" s="1360"/>
      <c r="AA1" s="1360"/>
      <c r="AB1" s="1360"/>
      <c r="AC1" s="1361"/>
    </row>
    <row r="2" spans="1:29" ht="45" customHeight="1" x14ac:dyDescent="0.25">
      <c r="A2" s="684" t="s">
        <v>1139</v>
      </c>
      <c r="B2" s="1433"/>
      <c r="C2" s="1433"/>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c r="AC2" s="1373"/>
    </row>
    <row r="3" spans="1:29" ht="15" customHeight="1" x14ac:dyDescent="0.25">
      <c r="A3" s="187"/>
      <c r="B3" s="1433"/>
      <c r="C3" s="1433"/>
      <c r="D3" s="1368"/>
      <c r="E3" s="1368"/>
      <c r="F3" s="1368"/>
      <c r="G3" s="1368"/>
      <c r="H3" s="1368"/>
      <c r="I3" s="1368"/>
      <c r="J3" s="1368"/>
      <c r="K3" s="1368"/>
      <c r="L3" s="1368"/>
      <c r="M3" s="1368"/>
      <c r="N3" s="1368"/>
      <c r="O3" s="1368"/>
      <c r="P3" s="1368"/>
      <c r="Q3" s="1368"/>
      <c r="R3" s="1368"/>
      <c r="S3" s="1368"/>
      <c r="T3" s="1368"/>
      <c r="U3" s="1368"/>
      <c r="V3" s="1368"/>
      <c r="W3" s="1368"/>
      <c r="X3" s="1368"/>
      <c r="Y3" s="1368"/>
      <c r="Z3" s="1368"/>
      <c r="AA3" s="1368"/>
      <c r="AB3" s="1368"/>
      <c r="AC3" s="1373"/>
    </row>
    <row r="4" spans="1:29" ht="15" customHeight="1" x14ac:dyDescent="0.25">
      <c r="A4" s="187"/>
      <c r="B4" s="680" t="s">
        <v>1140</v>
      </c>
      <c r="C4" s="1917" t="s">
        <v>1147</v>
      </c>
      <c r="D4" s="682">
        <v>1</v>
      </c>
      <c r="E4" s="682">
        <v>2</v>
      </c>
      <c r="F4" s="682">
        <v>3</v>
      </c>
      <c r="G4" s="682">
        <v>4</v>
      </c>
      <c r="H4" s="682">
        <v>5</v>
      </c>
      <c r="I4" s="682">
        <v>6</v>
      </c>
      <c r="J4" s="682">
        <v>7</v>
      </c>
      <c r="K4" s="683">
        <v>8</v>
      </c>
      <c r="L4" s="682">
        <v>9</v>
      </c>
      <c r="M4" s="682">
        <v>10</v>
      </c>
      <c r="N4" s="682">
        <v>11</v>
      </c>
      <c r="O4" s="682">
        <v>12</v>
      </c>
      <c r="P4" s="682">
        <v>13</v>
      </c>
      <c r="Q4" s="682">
        <v>14</v>
      </c>
      <c r="R4" s="682">
        <v>15</v>
      </c>
      <c r="S4" s="682">
        <v>16</v>
      </c>
      <c r="T4" s="682">
        <v>17</v>
      </c>
      <c r="U4" s="682">
        <v>18</v>
      </c>
      <c r="V4" s="682">
        <v>19</v>
      </c>
      <c r="W4" s="682">
        <v>20</v>
      </c>
      <c r="X4" s="682">
        <v>21</v>
      </c>
      <c r="Y4" s="682">
        <v>22</v>
      </c>
      <c r="Z4" s="682">
        <v>23</v>
      </c>
      <c r="AA4" s="682">
        <v>24</v>
      </c>
      <c r="AB4" s="683">
        <v>25</v>
      </c>
      <c r="AC4" s="1373"/>
    </row>
    <row r="5" spans="1:29" ht="15" customHeight="1" x14ac:dyDescent="0.25">
      <c r="A5" s="187"/>
      <c r="B5" s="678" t="s">
        <v>1141</v>
      </c>
      <c r="C5" s="1918"/>
      <c r="D5" s="55"/>
      <c r="E5" s="55"/>
      <c r="F5" s="55"/>
      <c r="G5" s="55"/>
      <c r="H5" s="55"/>
      <c r="I5" s="55"/>
      <c r="J5" s="55"/>
      <c r="K5" s="504"/>
      <c r="L5" s="55"/>
      <c r="M5" s="55"/>
      <c r="N5" s="55"/>
      <c r="O5" s="55"/>
      <c r="P5" s="55"/>
      <c r="Q5" s="55"/>
      <c r="R5" s="55"/>
      <c r="S5" s="55"/>
      <c r="T5" s="55"/>
      <c r="U5" s="55"/>
      <c r="V5" s="55"/>
      <c r="W5" s="55"/>
      <c r="X5" s="55"/>
      <c r="Y5" s="55"/>
      <c r="Z5" s="55"/>
      <c r="AA5" s="55"/>
      <c r="AB5" s="504"/>
      <c r="AC5" s="1373"/>
    </row>
    <row r="6" spans="1:29" ht="15" customHeight="1" x14ac:dyDescent="0.25">
      <c r="A6" s="187"/>
      <c r="B6" s="1433"/>
      <c r="C6" s="1433"/>
      <c r="D6" s="1368"/>
      <c r="E6" s="1368"/>
      <c r="F6" s="1368"/>
      <c r="G6" s="1368"/>
      <c r="H6" s="1368"/>
      <c r="I6" s="1368"/>
      <c r="J6" s="1368"/>
      <c r="K6" s="1368"/>
      <c r="L6" s="1368"/>
      <c r="M6" s="1368"/>
      <c r="N6" s="1368"/>
      <c r="O6" s="1368"/>
      <c r="P6" s="1368"/>
      <c r="Q6" s="1368"/>
      <c r="R6" s="1368"/>
      <c r="S6" s="1368"/>
      <c r="T6" s="1368"/>
      <c r="U6" s="1368"/>
      <c r="V6" s="1368"/>
      <c r="W6" s="1368"/>
      <c r="X6" s="1368"/>
      <c r="Y6" s="1368"/>
      <c r="Z6" s="1368"/>
      <c r="AA6" s="1368"/>
      <c r="AB6" s="1368"/>
      <c r="AC6" s="1373"/>
    </row>
    <row r="7" spans="1:29" s="3" customFormat="1" ht="45" customHeight="1" x14ac:dyDescent="0.25">
      <c r="A7" s="632" t="s">
        <v>1104</v>
      </c>
      <c r="B7" s="632"/>
      <c r="C7" s="82"/>
      <c r="D7" s="82"/>
      <c r="E7" s="82"/>
      <c r="F7" s="82"/>
      <c r="G7" s="82"/>
      <c r="H7" s="82"/>
      <c r="I7" s="82"/>
      <c r="J7" s="82"/>
      <c r="K7" s="82"/>
      <c r="L7" s="82"/>
      <c r="M7" s="82"/>
      <c r="N7" s="82"/>
      <c r="O7" s="82"/>
      <c r="P7" s="82"/>
      <c r="Q7" s="82"/>
      <c r="R7" s="82"/>
      <c r="S7" s="82"/>
      <c r="T7" s="82"/>
      <c r="U7" s="82"/>
      <c r="V7" s="82"/>
      <c r="W7" s="82"/>
      <c r="X7" s="82"/>
      <c r="Y7" s="82"/>
      <c r="Z7" s="82"/>
      <c r="AA7" s="82"/>
      <c r="AB7" s="82"/>
      <c r="AC7" s="26"/>
    </row>
    <row r="8" spans="1:29" ht="15" customHeight="1" x14ac:dyDescent="0.25">
      <c r="A8" s="187"/>
      <c r="B8" s="681" t="s">
        <v>1148</v>
      </c>
      <c r="C8" s="686">
        <f t="shared" ref="C8:C24" si="0">SUM(D8:AB8)</f>
        <v>0</v>
      </c>
      <c r="D8" s="664"/>
      <c r="E8" s="664"/>
      <c r="F8" s="664"/>
      <c r="G8" s="664"/>
      <c r="H8" s="664"/>
      <c r="I8" s="664"/>
      <c r="J8" s="664"/>
      <c r="K8" s="664"/>
      <c r="L8" s="664"/>
      <c r="M8" s="664"/>
      <c r="N8" s="664"/>
      <c r="O8" s="664"/>
      <c r="P8" s="664"/>
      <c r="Q8" s="664"/>
      <c r="R8" s="664"/>
      <c r="S8" s="664"/>
      <c r="T8" s="664"/>
      <c r="U8" s="664"/>
      <c r="V8" s="664"/>
      <c r="W8" s="664"/>
      <c r="X8" s="664"/>
      <c r="Y8" s="664"/>
      <c r="Z8" s="664"/>
      <c r="AA8" s="664"/>
      <c r="AB8" s="689"/>
      <c r="AC8" s="1373"/>
    </row>
    <row r="9" spans="1:29" ht="15" customHeight="1" x14ac:dyDescent="0.25">
      <c r="A9" s="187"/>
      <c r="B9" s="1274" t="s">
        <v>1731</v>
      </c>
      <c r="C9" s="687">
        <f t="shared" si="0"/>
        <v>0</v>
      </c>
      <c r="D9" s="106"/>
      <c r="E9" s="106"/>
      <c r="F9" s="106"/>
      <c r="G9" s="106"/>
      <c r="H9" s="106"/>
      <c r="I9" s="106"/>
      <c r="J9" s="106"/>
      <c r="K9" s="106"/>
      <c r="L9" s="106"/>
      <c r="M9" s="106"/>
      <c r="N9" s="106"/>
      <c r="O9" s="106"/>
      <c r="P9" s="106"/>
      <c r="Q9" s="106"/>
      <c r="R9" s="106"/>
      <c r="S9" s="106"/>
      <c r="T9" s="106"/>
      <c r="U9" s="106"/>
      <c r="V9" s="106"/>
      <c r="W9" s="106"/>
      <c r="X9" s="106"/>
      <c r="Y9" s="106"/>
      <c r="Z9" s="106"/>
      <c r="AA9" s="106"/>
      <c r="AB9" s="644"/>
      <c r="AC9" s="1373"/>
    </row>
    <row r="10" spans="1:29" ht="30" customHeight="1" x14ac:dyDescent="0.25">
      <c r="A10" s="187"/>
      <c r="B10" s="1276" t="s">
        <v>1732</v>
      </c>
      <c r="C10" s="687">
        <f t="shared" si="0"/>
        <v>0</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644"/>
      <c r="AC10" s="1373"/>
    </row>
    <row r="11" spans="1:29" ht="15" customHeight="1" x14ac:dyDescent="0.25">
      <c r="A11" s="187"/>
      <c r="B11" s="1212" t="s">
        <v>1149</v>
      </c>
      <c r="C11" s="687">
        <f t="shared" si="0"/>
        <v>0</v>
      </c>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644"/>
      <c r="AC11" s="1373"/>
    </row>
    <row r="12" spans="1:29" s="1362" customFormat="1" ht="30" customHeight="1" x14ac:dyDescent="0.25">
      <c r="A12" s="187"/>
      <c r="B12" s="1276" t="s">
        <v>1723</v>
      </c>
      <c r="C12" s="687">
        <f t="shared" si="0"/>
        <v>0</v>
      </c>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644"/>
      <c r="AC12" s="1373"/>
    </row>
    <row r="13" spans="1:29" ht="15" customHeight="1" x14ac:dyDescent="0.25">
      <c r="A13" s="187"/>
      <c r="B13" s="1213" t="s">
        <v>1150</v>
      </c>
      <c r="C13" s="687">
        <f t="shared" si="0"/>
        <v>0</v>
      </c>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644"/>
      <c r="AC13" s="1373"/>
    </row>
    <row r="14" spans="1:29" ht="15" customHeight="1" x14ac:dyDescent="0.25">
      <c r="A14" s="187"/>
      <c r="B14" s="1275" t="s">
        <v>1620</v>
      </c>
      <c r="C14" s="687">
        <f t="shared" si="0"/>
        <v>0</v>
      </c>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644"/>
      <c r="AC14" s="1373"/>
    </row>
    <row r="15" spans="1:29" ht="30" customHeight="1" x14ac:dyDescent="0.25">
      <c r="A15" s="187"/>
      <c r="B15" s="1276" t="s">
        <v>1733</v>
      </c>
      <c r="C15" s="687">
        <f t="shared" si="0"/>
        <v>0</v>
      </c>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644"/>
      <c r="AC15" s="1373"/>
    </row>
    <row r="16" spans="1:29" ht="15" customHeight="1" x14ac:dyDescent="0.25">
      <c r="A16" s="187"/>
      <c r="B16" s="1212" t="s">
        <v>1149</v>
      </c>
      <c r="C16" s="687">
        <f t="shared" si="0"/>
        <v>0</v>
      </c>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644"/>
      <c r="AC16" s="1373"/>
    </row>
    <row r="17" spans="1:29" s="1362" customFormat="1" ht="30" customHeight="1" x14ac:dyDescent="0.25">
      <c r="A17" s="187"/>
      <c r="B17" s="1276" t="s">
        <v>1723</v>
      </c>
      <c r="C17" s="687">
        <f t="shared" si="0"/>
        <v>0</v>
      </c>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644"/>
      <c r="AC17" s="1373"/>
    </row>
    <row r="18" spans="1:29" ht="30" customHeight="1" x14ac:dyDescent="0.25">
      <c r="A18" s="187"/>
      <c r="B18" s="1211" t="s">
        <v>1192</v>
      </c>
      <c r="C18" s="687">
        <f t="shared" si="0"/>
        <v>0</v>
      </c>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644"/>
      <c r="AC18" s="1373"/>
    </row>
    <row r="19" spans="1:29" ht="15" customHeight="1" x14ac:dyDescent="0.25">
      <c r="A19" s="187"/>
      <c r="B19" s="1213" t="s">
        <v>1151</v>
      </c>
      <c r="C19" s="687">
        <f t="shared" si="0"/>
        <v>0</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644"/>
      <c r="AC19" s="1373"/>
    </row>
    <row r="20" spans="1:29" ht="15" customHeight="1" x14ac:dyDescent="0.25">
      <c r="A20" s="187"/>
      <c r="B20" s="1275" t="s">
        <v>1790</v>
      </c>
      <c r="C20" s="687">
        <f t="shared" si="0"/>
        <v>0</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644"/>
      <c r="AC20" s="1373"/>
    </row>
    <row r="21" spans="1:29" ht="30" customHeight="1" x14ac:dyDescent="0.25">
      <c r="A21" s="187"/>
      <c r="B21" s="1276" t="s">
        <v>1734</v>
      </c>
      <c r="C21" s="687">
        <f t="shared" si="0"/>
        <v>0</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644"/>
      <c r="AC21" s="1373"/>
    </row>
    <row r="22" spans="1:29" ht="27.75" customHeight="1" x14ac:dyDescent="0.25">
      <c r="A22" s="187"/>
      <c r="B22" s="1276" t="s">
        <v>1621</v>
      </c>
      <c r="C22" s="687">
        <f t="shared" si="0"/>
        <v>0</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644"/>
      <c r="AC22" s="1373"/>
    </row>
    <row r="23" spans="1:29" s="1362" customFormat="1" ht="27.75" customHeight="1" x14ac:dyDescent="0.25">
      <c r="A23" s="187"/>
      <c r="B23" s="1276" t="s">
        <v>1723</v>
      </c>
      <c r="C23" s="687">
        <f t="shared" si="0"/>
        <v>0</v>
      </c>
      <c r="D23" s="1495"/>
      <c r="E23" s="1495"/>
      <c r="F23" s="1495"/>
      <c r="G23" s="1495"/>
      <c r="H23" s="1495"/>
      <c r="I23" s="1495"/>
      <c r="J23" s="1495"/>
      <c r="K23" s="1495"/>
      <c r="L23" s="1495"/>
      <c r="M23" s="1495"/>
      <c r="N23" s="1495"/>
      <c r="O23" s="1495"/>
      <c r="P23" s="1495"/>
      <c r="Q23" s="1495"/>
      <c r="R23" s="1495"/>
      <c r="S23" s="1495"/>
      <c r="T23" s="1495"/>
      <c r="U23" s="1495"/>
      <c r="V23" s="1495"/>
      <c r="W23" s="1495"/>
      <c r="X23" s="1495"/>
      <c r="Y23" s="1495"/>
      <c r="Z23" s="1495"/>
      <c r="AA23" s="1495"/>
      <c r="AB23" s="1496"/>
      <c r="AC23" s="1373"/>
    </row>
    <row r="24" spans="1:29" ht="30" customHeight="1" x14ac:dyDescent="0.25">
      <c r="A24" s="187"/>
      <c r="B24" s="1513" t="s">
        <v>1622</v>
      </c>
      <c r="C24" s="462">
        <f t="shared" si="0"/>
        <v>0</v>
      </c>
      <c r="D24" s="685"/>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90"/>
      <c r="AC24" s="1373"/>
    </row>
    <row r="25" spans="1:29" ht="15" customHeight="1" x14ac:dyDescent="0.25">
      <c r="A25" s="187"/>
      <c r="B25" s="1433"/>
      <c r="C25" s="1433"/>
      <c r="D25" s="1368"/>
      <c r="E25" s="1368"/>
      <c r="F25" s="1368"/>
      <c r="G25" s="1368"/>
      <c r="H25" s="1368"/>
      <c r="I25" s="1368"/>
      <c r="J25" s="1368"/>
      <c r="K25" s="1368"/>
      <c r="L25" s="1368"/>
      <c r="M25" s="1368"/>
      <c r="N25" s="1368"/>
      <c r="O25" s="1368"/>
      <c r="P25" s="1368"/>
      <c r="Q25" s="1368"/>
      <c r="R25" s="1368"/>
      <c r="S25" s="1368"/>
      <c r="T25" s="1368"/>
      <c r="U25" s="1368"/>
      <c r="V25" s="1368"/>
      <c r="W25" s="1368"/>
      <c r="X25" s="1368"/>
      <c r="Y25" s="1368"/>
      <c r="Z25" s="1368"/>
      <c r="AA25" s="1368"/>
      <c r="AB25" s="1368"/>
      <c r="AC25" s="1373"/>
    </row>
    <row r="26" spans="1:29" s="3" customFormat="1" ht="45" customHeight="1" x14ac:dyDescent="0.25">
      <c r="A26" s="632" t="s">
        <v>1142</v>
      </c>
      <c r="B26" s="63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26"/>
    </row>
    <row r="27" spans="1:29" ht="15" customHeight="1" x14ac:dyDescent="0.25">
      <c r="A27" s="187"/>
      <c r="B27" s="680" t="s">
        <v>1143</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8"/>
      <c r="AC27" s="1373"/>
    </row>
    <row r="28" spans="1:29" ht="15" customHeight="1" x14ac:dyDescent="0.25">
      <c r="A28" s="187"/>
      <c r="B28" s="1277" t="s">
        <v>1598</v>
      </c>
      <c r="C28" s="687">
        <f>SUM(D28:AB28)</f>
        <v>0</v>
      </c>
      <c r="D28" s="60"/>
      <c r="E28" s="60"/>
      <c r="F28" s="60"/>
      <c r="G28" s="60"/>
      <c r="H28" s="60"/>
      <c r="I28" s="60"/>
      <c r="J28" s="60"/>
      <c r="K28" s="60"/>
      <c r="L28" s="60"/>
      <c r="M28" s="60"/>
      <c r="N28" s="60"/>
      <c r="O28" s="60"/>
      <c r="P28" s="60"/>
      <c r="Q28" s="60"/>
      <c r="R28" s="60"/>
      <c r="S28" s="60"/>
      <c r="T28" s="60"/>
      <c r="U28" s="60"/>
      <c r="V28" s="60"/>
      <c r="W28" s="60"/>
      <c r="X28" s="60"/>
      <c r="Y28" s="60"/>
      <c r="Z28" s="60"/>
      <c r="AA28" s="60"/>
      <c r="AB28" s="107"/>
      <c r="AC28" s="1373"/>
    </row>
    <row r="29" spans="1:29" ht="15" customHeight="1" x14ac:dyDescent="0.25">
      <c r="A29" s="187"/>
      <c r="B29" s="677" t="s">
        <v>1178</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67"/>
      <c r="AC29" s="1373"/>
    </row>
    <row r="30" spans="1:29" ht="30" customHeight="1" x14ac:dyDescent="0.25">
      <c r="A30" s="187"/>
      <c r="B30" s="1277" t="s">
        <v>1599</v>
      </c>
      <c r="C30" s="687">
        <f>SUM(D30:AB30)</f>
        <v>0</v>
      </c>
      <c r="D30" s="60"/>
      <c r="E30" s="60"/>
      <c r="F30" s="60"/>
      <c r="G30" s="60"/>
      <c r="H30" s="60"/>
      <c r="I30" s="60"/>
      <c r="J30" s="60"/>
      <c r="K30" s="60"/>
      <c r="L30" s="60"/>
      <c r="M30" s="60"/>
      <c r="N30" s="60"/>
      <c r="O30" s="60"/>
      <c r="P30" s="60"/>
      <c r="Q30" s="60"/>
      <c r="R30" s="60"/>
      <c r="S30" s="60"/>
      <c r="T30" s="60"/>
      <c r="U30" s="60"/>
      <c r="V30" s="60"/>
      <c r="W30" s="60"/>
      <c r="X30" s="60"/>
      <c r="Y30" s="60"/>
      <c r="Z30" s="60"/>
      <c r="AA30" s="60"/>
      <c r="AB30" s="107"/>
      <c r="AC30" s="1373"/>
    </row>
    <row r="31" spans="1:29" ht="27" customHeight="1" x14ac:dyDescent="0.25">
      <c r="A31" s="187"/>
      <c r="B31" s="643" t="s">
        <v>1600</v>
      </c>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67"/>
      <c r="AC31" s="1373"/>
    </row>
    <row r="32" spans="1:29" ht="33.75" customHeight="1" x14ac:dyDescent="0.25">
      <c r="A32" s="187"/>
      <c r="B32" s="1277" t="s">
        <v>1601</v>
      </c>
      <c r="C32" s="687">
        <f>SUM(D32:AB32)</f>
        <v>0</v>
      </c>
      <c r="D32" s="60"/>
      <c r="E32" s="60"/>
      <c r="F32" s="60"/>
      <c r="G32" s="60"/>
      <c r="H32" s="60"/>
      <c r="I32" s="60"/>
      <c r="J32" s="60"/>
      <c r="K32" s="60"/>
      <c r="L32" s="60"/>
      <c r="M32" s="60"/>
      <c r="N32" s="60"/>
      <c r="O32" s="60"/>
      <c r="P32" s="60"/>
      <c r="Q32" s="60"/>
      <c r="R32" s="60"/>
      <c r="S32" s="60"/>
      <c r="T32" s="60"/>
      <c r="U32" s="60"/>
      <c r="V32" s="60"/>
      <c r="W32" s="60"/>
      <c r="X32" s="60"/>
      <c r="Y32" s="60"/>
      <c r="Z32" s="60"/>
      <c r="AA32" s="60"/>
      <c r="AB32" s="107"/>
      <c r="AC32" s="1373"/>
    </row>
    <row r="33" spans="1:29" ht="15" customHeight="1" x14ac:dyDescent="0.25">
      <c r="A33" s="187"/>
      <c r="B33" s="521" t="s">
        <v>1177</v>
      </c>
      <c r="C33" s="687">
        <f>SUM(D33:AB33)</f>
        <v>0</v>
      </c>
      <c r="D33" s="60"/>
      <c r="E33" s="60"/>
      <c r="F33" s="60"/>
      <c r="G33" s="60"/>
      <c r="H33" s="60"/>
      <c r="I33" s="60"/>
      <c r="J33" s="60"/>
      <c r="K33" s="60"/>
      <c r="L33" s="60"/>
      <c r="M33" s="60"/>
      <c r="N33" s="60"/>
      <c r="O33" s="60"/>
      <c r="P33" s="60"/>
      <c r="Q33" s="60"/>
      <c r="R33" s="60"/>
      <c r="S33" s="60"/>
      <c r="T33" s="60"/>
      <c r="U33" s="60"/>
      <c r="V33" s="60"/>
      <c r="W33" s="60"/>
      <c r="X33" s="60"/>
      <c r="Y33" s="60"/>
      <c r="Z33" s="60"/>
      <c r="AA33" s="60"/>
      <c r="AB33" s="107"/>
      <c r="AC33" s="1373"/>
    </row>
    <row r="34" spans="1:29" ht="32.25" customHeight="1" x14ac:dyDescent="0.25">
      <c r="A34" s="187"/>
      <c r="B34" s="643" t="s">
        <v>1602</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67"/>
      <c r="AC34" s="1373"/>
    </row>
    <row r="35" spans="1:29" ht="32.25" customHeight="1" x14ac:dyDescent="0.25">
      <c r="A35" s="187"/>
      <c r="B35" s="1277" t="s">
        <v>1603</v>
      </c>
      <c r="C35" s="687">
        <f>SUM(D35:AB35)</f>
        <v>0</v>
      </c>
      <c r="D35" s="60"/>
      <c r="E35" s="60"/>
      <c r="F35" s="60"/>
      <c r="G35" s="60"/>
      <c r="H35" s="60"/>
      <c r="I35" s="60"/>
      <c r="J35" s="60"/>
      <c r="K35" s="60"/>
      <c r="L35" s="60"/>
      <c r="M35" s="60"/>
      <c r="N35" s="60"/>
      <c r="O35" s="60"/>
      <c r="P35" s="60"/>
      <c r="Q35" s="60"/>
      <c r="R35" s="60"/>
      <c r="S35" s="60"/>
      <c r="T35" s="60"/>
      <c r="U35" s="60"/>
      <c r="V35" s="60"/>
      <c r="W35" s="60"/>
      <c r="X35" s="60"/>
      <c r="Y35" s="60"/>
      <c r="Z35" s="60"/>
      <c r="AA35" s="60"/>
      <c r="AB35" s="107"/>
      <c r="AC35" s="1373"/>
    </row>
    <row r="36" spans="1:29" ht="15" customHeight="1" x14ac:dyDescent="0.25">
      <c r="A36" s="187"/>
      <c r="B36" s="688" t="s">
        <v>1177</v>
      </c>
      <c r="C36" s="462">
        <f>SUM(D36:AB36)</f>
        <v>0</v>
      </c>
      <c r="D36" s="55"/>
      <c r="E36" s="55"/>
      <c r="F36" s="55"/>
      <c r="G36" s="55"/>
      <c r="H36" s="55"/>
      <c r="I36" s="55"/>
      <c r="J36" s="55"/>
      <c r="K36" s="55"/>
      <c r="L36" s="55"/>
      <c r="M36" s="55"/>
      <c r="N36" s="55"/>
      <c r="O36" s="55"/>
      <c r="P36" s="55"/>
      <c r="Q36" s="55"/>
      <c r="R36" s="55"/>
      <c r="S36" s="55"/>
      <c r="T36" s="55"/>
      <c r="U36" s="55"/>
      <c r="V36" s="55"/>
      <c r="W36" s="55"/>
      <c r="X36" s="55"/>
      <c r="Y36" s="55"/>
      <c r="Z36" s="55"/>
      <c r="AA36" s="55"/>
      <c r="AB36" s="504"/>
      <c r="AC36" s="1373"/>
    </row>
    <row r="37" spans="1:29" ht="15" customHeight="1" x14ac:dyDescent="0.25">
      <c r="A37" s="187"/>
      <c r="B37" s="1433"/>
      <c r="C37" s="1433"/>
      <c r="D37" s="1368"/>
      <c r="E37" s="1368"/>
      <c r="F37" s="1368"/>
      <c r="G37" s="1368"/>
      <c r="H37" s="1368"/>
      <c r="I37" s="1368"/>
      <c r="J37" s="1368"/>
      <c r="K37" s="1368"/>
      <c r="L37" s="1368"/>
      <c r="M37" s="1368"/>
      <c r="N37" s="1368"/>
      <c r="O37" s="1368"/>
      <c r="P37" s="1368"/>
      <c r="Q37" s="1368"/>
      <c r="R37" s="1368"/>
      <c r="S37" s="1368"/>
      <c r="T37" s="1368"/>
      <c r="U37" s="1368"/>
      <c r="V37" s="1368"/>
      <c r="W37" s="1368"/>
      <c r="X37" s="1368"/>
      <c r="Y37" s="1368"/>
      <c r="Z37" s="1368"/>
      <c r="AA37" s="1368"/>
      <c r="AB37" s="1368"/>
      <c r="AC37" s="1373"/>
    </row>
    <row r="38" spans="1:29" ht="15" customHeight="1" x14ac:dyDescent="0.25">
      <c r="A38" s="187"/>
      <c r="B38" s="154" t="s">
        <v>1179</v>
      </c>
      <c r="C38" s="74">
        <f>SUM(D38:AB38)</f>
        <v>0</v>
      </c>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505"/>
      <c r="AC38" s="1373"/>
    </row>
    <row r="39" spans="1:29" ht="15" customHeight="1" x14ac:dyDescent="0.25">
      <c r="A39" s="187"/>
      <c r="B39" s="1433"/>
      <c r="C39" s="1433"/>
      <c r="D39" s="1368"/>
      <c r="E39" s="1368"/>
      <c r="F39" s="1368"/>
      <c r="G39" s="1368"/>
      <c r="H39" s="1368"/>
      <c r="I39" s="1368"/>
      <c r="J39" s="1368"/>
      <c r="K39" s="1368"/>
      <c r="L39" s="1368"/>
      <c r="M39" s="1368"/>
      <c r="N39" s="1368"/>
      <c r="O39" s="1368"/>
      <c r="P39" s="1368"/>
      <c r="Q39" s="1368"/>
      <c r="R39" s="1368"/>
      <c r="S39" s="1368"/>
      <c r="T39" s="1368"/>
      <c r="U39" s="1368"/>
      <c r="V39" s="1368"/>
      <c r="W39" s="1368"/>
      <c r="X39" s="1368"/>
      <c r="Y39" s="1368"/>
      <c r="Z39" s="1368"/>
      <c r="AA39" s="1368"/>
      <c r="AB39" s="1368"/>
      <c r="AC39" s="1373"/>
    </row>
    <row r="40" spans="1:29" s="3" customFormat="1" ht="45" customHeight="1" x14ac:dyDescent="0.25">
      <c r="A40" s="632" t="s">
        <v>1144</v>
      </c>
      <c r="B40" s="63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26"/>
    </row>
    <row r="41" spans="1:29" ht="15" customHeight="1" x14ac:dyDescent="0.25">
      <c r="A41" s="187"/>
      <c r="B41" s="149" t="s">
        <v>1145</v>
      </c>
      <c r="C41" s="74">
        <f>SUM(D41:AB41)</f>
        <v>0</v>
      </c>
      <c r="D41" s="652"/>
      <c r="E41" s="652"/>
      <c r="F41" s="652"/>
      <c r="G41" s="652"/>
      <c r="H41" s="652"/>
      <c r="I41" s="652"/>
      <c r="J41" s="652"/>
      <c r="K41" s="652"/>
      <c r="L41" s="652"/>
      <c r="M41" s="652"/>
      <c r="N41" s="652"/>
      <c r="O41" s="652"/>
      <c r="P41" s="652"/>
      <c r="Q41" s="652"/>
      <c r="R41" s="652"/>
      <c r="S41" s="652"/>
      <c r="T41" s="652"/>
      <c r="U41" s="652"/>
      <c r="V41" s="652"/>
      <c r="W41" s="652"/>
      <c r="X41" s="652"/>
      <c r="Y41" s="652"/>
      <c r="Z41" s="652"/>
      <c r="AA41" s="652"/>
      <c r="AB41" s="505"/>
      <c r="AC41" s="1373"/>
    </row>
    <row r="42" spans="1:29" ht="15" customHeight="1" x14ac:dyDescent="0.25">
      <c r="A42" s="187"/>
      <c r="B42" s="1433"/>
      <c r="C42" s="1433"/>
      <c r="D42" s="1368"/>
      <c r="E42" s="1368"/>
      <c r="F42" s="1368"/>
      <c r="G42" s="1368"/>
      <c r="H42" s="1368"/>
      <c r="I42" s="1368"/>
      <c r="J42" s="1368"/>
      <c r="K42" s="1368"/>
      <c r="L42" s="1368"/>
      <c r="M42" s="1368"/>
      <c r="N42" s="1368"/>
      <c r="O42" s="1368"/>
      <c r="P42" s="1368"/>
      <c r="Q42" s="1368"/>
      <c r="R42" s="1368"/>
      <c r="S42" s="1368"/>
      <c r="T42" s="1368"/>
      <c r="U42" s="1368"/>
      <c r="V42" s="1368"/>
      <c r="W42" s="1368"/>
      <c r="X42" s="1368"/>
      <c r="Y42" s="1368"/>
      <c r="Z42" s="1368"/>
      <c r="AA42" s="1368"/>
      <c r="AB42" s="1368"/>
      <c r="AC42" s="1373"/>
    </row>
    <row r="43" spans="1:29" s="3" customFormat="1" ht="45" customHeight="1" x14ac:dyDescent="0.25">
      <c r="A43" s="632" t="s">
        <v>1146</v>
      </c>
      <c r="B43" s="63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26"/>
    </row>
    <row r="44" spans="1:29" ht="15" customHeight="1" x14ac:dyDescent="0.25">
      <c r="A44" s="187"/>
      <c r="B44" s="1493" t="s">
        <v>1716</v>
      </c>
      <c r="C44" s="686">
        <f>SUM(D44:AB44)</f>
        <v>0</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2"/>
      <c r="AC44" s="1373"/>
    </row>
    <row r="45" spans="1:29" ht="15" customHeight="1" x14ac:dyDescent="0.25">
      <c r="A45" s="187"/>
      <c r="B45" s="1494" t="s">
        <v>1717</v>
      </c>
      <c r="C45" s="462">
        <f>SUM(D45:AB45)</f>
        <v>0</v>
      </c>
      <c r="D45" s="55"/>
      <c r="E45" s="55"/>
      <c r="F45" s="55"/>
      <c r="G45" s="55"/>
      <c r="H45" s="55"/>
      <c r="I45" s="55"/>
      <c r="J45" s="55"/>
      <c r="K45" s="55"/>
      <c r="L45" s="55"/>
      <c r="M45" s="55"/>
      <c r="N45" s="55"/>
      <c r="O45" s="55"/>
      <c r="P45" s="55"/>
      <c r="Q45" s="55"/>
      <c r="R45" s="55"/>
      <c r="S45" s="55"/>
      <c r="T45" s="55"/>
      <c r="U45" s="55"/>
      <c r="V45" s="55"/>
      <c r="W45" s="55"/>
      <c r="X45" s="55"/>
      <c r="Y45" s="55"/>
      <c r="Z45" s="55"/>
      <c r="AA45" s="55"/>
      <c r="AB45" s="504"/>
      <c r="AC45" s="1373"/>
    </row>
    <row r="46" spans="1:29" s="1362" customFormat="1" ht="15" customHeight="1" x14ac:dyDescent="0.25">
      <c r="A46" s="187"/>
      <c r="B46" s="1493" t="s">
        <v>1718</v>
      </c>
      <c r="C46" s="686">
        <f>SUM(D46:AB46)</f>
        <v>0</v>
      </c>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2"/>
      <c r="AC46" s="1373"/>
    </row>
    <row r="47" spans="1:29" s="1362" customFormat="1" ht="15" customHeight="1" x14ac:dyDescent="0.25">
      <c r="A47" s="187"/>
      <c r="B47" s="1494" t="s">
        <v>1719</v>
      </c>
      <c r="C47" s="462">
        <f>SUM(D47:AB47)</f>
        <v>0</v>
      </c>
      <c r="D47" s="55"/>
      <c r="E47" s="55"/>
      <c r="F47" s="55"/>
      <c r="G47" s="55"/>
      <c r="H47" s="55"/>
      <c r="I47" s="55"/>
      <c r="J47" s="55"/>
      <c r="K47" s="55"/>
      <c r="L47" s="55"/>
      <c r="M47" s="55"/>
      <c r="N47" s="55"/>
      <c r="O47" s="55"/>
      <c r="P47" s="55"/>
      <c r="Q47" s="55"/>
      <c r="R47" s="55"/>
      <c r="S47" s="55"/>
      <c r="T47" s="55"/>
      <c r="U47" s="55"/>
      <c r="V47" s="55"/>
      <c r="W47" s="55"/>
      <c r="X47" s="55"/>
      <c r="Y47" s="55"/>
      <c r="Z47" s="55"/>
      <c r="AA47" s="55"/>
      <c r="AB47" s="504"/>
      <c r="AC47" s="1373"/>
    </row>
    <row r="48" spans="1:29" ht="15" customHeight="1" x14ac:dyDescent="0.25">
      <c r="A48" s="347"/>
      <c r="B48" s="348"/>
      <c r="C48" s="348"/>
      <c r="D48" s="1400"/>
      <c r="E48" s="1400"/>
      <c r="F48" s="1400"/>
      <c r="G48" s="1400"/>
      <c r="H48" s="1400"/>
      <c r="I48" s="1400"/>
      <c r="J48" s="1400"/>
      <c r="K48" s="1400"/>
      <c r="L48" s="1400"/>
      <c r="M48" s="1400"/>
      <c r="N48" s="1400"/>
      <c r="O48" s="1400"/>
      <c r="P48" s="1400"/>
      <c r="Q48" s="1400"/>
      <c r="R48" s="1400"/>
      <c r="S48" s="1400"/>
      <c r="T48" s="1400"/>
      <c r="U48" s="1400"/>
      <c r="V48" s="1400"/>
      <c r="W48" s="1400"/>
      <c r="X48" s="1400"/>
      <c r="Y48" s="1400"/>
      <c r="Z48" s="1400"/>
      <c r="AA48" s="1400"/>
      <c r="AB48" s="1400"/>
      <c r="AC48" s="1402"/>
    </row>
    <row r="49" ht="15" hidden="1" customHeight="1" x14ac:dyDescent="0.25"/>
    <row r="50" ht="15" hidden="1" customHeight="1" x14ac:dyDescent="0.25"/>
  </sheetData>
  <mergeCells count="1">
    <mergeCell ref="C4:C5"/>
  </mergeCells>
  <conditionalFormatting sqref="D19:AB24 D28:AB28 D30:AB30 D32:AB33 D35:AB36 D38:AB38 D41:AB41 D44:AB47">
    <cfRule type="cellIs" dxfId="46"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25" max="2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tint="0.59999389629810485"/>
  </sheetPr>
  <dimension ref="A1:W82"/>
  <sheetViews>
    <sheetView zoomScale="75" zoomScaleNormal="75" workbookViewId="0">
      <pane ySplit="1" topLeftCell="A2" activePane="bottomLeft" state="frozen"/>
      <selection pane="bottomLeft"/>
    </sheetView>
  </sheetViews>
  <sheetFormatPr defaultColWidth="0" defaultRowHeight="0" customHeight="1" zeroHeight="1" x14ac:dyDescent="0.25"/>
  <cols>
    <col min="1" max="1" width="1.7109375" style="34" customWidth="1"/>
    <col min="2" max="2" width="8.7109375" style="34" customWidth="1"/>
    <col min="3" max="3" width="32.7109375" style="34" customWidth="1"/>
    <col min="4" max="4" width="48.7109375" style="34" customWidth="1"/>
    <col min="5" max="5" width="12.7109375" style="34" customWidth="1"/>
    <col min="6" max="6" width="8.7109375" style="34" customWidth="1"/>
    <col min="7" max="13" width="16.7109375" style="34" customWidth="1"/>
    <col min="14" max="14" width="16.7109375" style="408" customWidth="1"/>
    <col min="15" max="15" width="12.7109375" style="408" customWidth="1"/>
    <col min="16" max="16" width="30.7109375" style="408" customWidth="1"/>
    <col min="17" max="18" width="20.7109375" style="408" customWidth="1"/>
    <col min="19" max="19" width="1.7109375" style="413" customWidth="1"/>
    <col min="20" max="23" width="0" style="408" hidden="1" customWidth="1"/>
    <col min="24" max="16384" width="16.7109375" style="408" hidden="1"/>
  </cols>
  <sheetData>
    <row r="1" spans="1:19" ht="30" customHeight="1" x14ac:dyDescent="0.55000000000000004">
      <c r="A1" s="1238" t="s">
        <v>1495</v>
      </c>
      <c r="B1" s="1239"/>
      <c r="C1" s="1240"/>
      <c r="D1" s="1240"/>
      <c r="E1" s="1240"/>
      <c r="F1" s="1240"/>
      <c r="G1" s="1240"/>
      <c r="H1" s="1240"/>
      <c r="I1" s="1511" t="str">
        <f>CONCATENATE("Reporting unit: ", 'General Info'!$C$50, " ", 'General Info'!$C$49)</f>
        <v xml:space="preserve">Reporting unit: 1 </v>
      </c>
      <c r="J1" s="1240"/>
      <c r="K1" s="1240"/>
      <c r="L1" s="1240"/>
      <c r="M1" s="1240"/>
      <c r="N1" s="1360"/>
      <c r="O1" s="1360"/>
      <c r="P1" s="1360"/>
      <c r="Q1" s="1360"/>
      <c r="R1" s="1360"/>
      <c r="S1" s="1361"/>
    </row>
    <row r="2" spans="1:19" s="34" customFormat="1" ht="45" customHeight="1" x14ac:dyDescent="0.25">
      <c r="A2" s="187"/>
      <c r="B2" s="1912" t="s">
        <v>1785</v>
      </c>
      <c r="C2" s="1912"/>
      <c r="D2" s="1912"/>
      <c r="E2" s="1912"/>
      <c r="F2" s="1912"/>
      <c r="G2" s="1912"/>
      <c r="H2" s="1912"/>
      <c r="I2" s="1912"/>
      <c r="J2" s="1912"/>
      <c r="K2" s="1912"/>
      <c r="L2" s="1912"/>
      <c r="M2" s="1912"/>
      <c r="N2" s="1912"/>
      <c r="O2" s="1912"/>
      <c r="P2" s="1912"/>
      <c r="Q2" s="1912"/>
      <c r="R2" s="1912"/>
      <c r="S2" s="649"/>
    </row>
    <row r="3" spans="1:19" ht="15" customHeight="1" x14ac:dyDescent="0.25">
      <c r="A3" s="187"/>
      <c r="B3" s="1942" t="s">
        <v>1506</v>
      </c>
      <c r="C3" s="1941" t="s">
        <v>1496</v>
      </c>
      <c r="D3" s="1942"/>
      <c r="E3" s="1947" t="s">
        <v>1497</v>
      </c>
      <c r="F3" s="1942" t="s">
        <v>1258</v>
      </c>
      <c r="G3" s="1959" t="s">
        <v>1498</v>
      </c>
      <c r="H3" s="1960"/>
      <c r="I3" s="1960"/>
      <c r="J3" s="1960"/>
      <c r="K3" s="1960"/>
      <c r="L3" s="1960"/>
      <c r="M3" s="1960"/>
      <c r="N3" s="1961"/>
      <c r="O3" s="1962" t="s">
        <v>1507</v>
      </c>
      <c r="P3" s="1915" t="s">
        <v>1187</v>
      </c>
      <c r="Q3" s="1916"/>
      <c r="R3" s="1916"/>
      <c r="S3" s="1373"/>
    </row>
    <row r="4" spans="1:19" ht="45" customHeight="1" x14ac:dyDescent="0.25">
      <c r="A4" s="187"/>
      <c r="B4" s="1957"/>
      <c r="C4" s="1943"/>
      <c r="D4" s="1944"/>
      <c r="E4" s="1948"/>
      <c r="F4" s="1944"/>
      <c r="G4" s="1947" t="s">
        <v>1499</v>
      </c>
      <c r="H4" s="1959" t="s">
        <v>1504</v>
      </c>
      <c r="I4" s="1961"/>
      <c r="J4" s="1947" t="s">
        <v>1500</v>
      </c>
      <c r="K4" s="1947" t="s">
        <v>1501</v>
      </c>
      <c r="L4" s="1947" t="s">
        <v>1502</v>
      </c>
      <c r="M4" s="1962" t="s">
        <v>1660</v>
      </c>
      <c r="N4" s="1962" t="s">
        <v>62</v>
      </c>
      <c r="O4" s="1964"/>
      <c r="P4" s="1962" t="s">
        <v>1508</v>
      </c>
      <c r="Q4" s="1962" t="s">
        <v>1509</v>
      </c>
      <c r="R4" s="1965" t="s">
        <v>1510</v>
      </c>
      <c r="S4" s="1373"/>
    </row>
    <row r="5" spans="1:19" ht="56.25" customHeight="1" x14ac:dyDescent="0.25">
      <c r="A5" s="187"/>
      <c r="B5" s="1958"/>
      <c r="C5" s="1945"/>
      <c r="D5" s="1946"/>
      <c r="E5" s="1949"/>
      <c r="F5" s="1946"/>
      <c r="G5" s="1949"/>
      <c r="H5" s="1593" t="s">
        <v>1505</v>
      </c>
      <c r="I5" s="1593" t="s">
        <v>1503</v>
      </c>
      <c r="J5" s="1949"/>
      <c r="K5" s="1949"/>
      <c r="L5" s="1949"/>
      <c r="M5" s="1963"/>
      <c r="N5" s="1963"/>
      <c r="O5" s="1963"/>
      <c r="P5" s="1963"/>
      <c r="Q5" s="1963"/>
      <c r="R5" s="1966"/>
      <c r="S5" s="1373"/>
    </row>
    <row r="6" spans="1:19" ht="15" customHeight="1" x14ac:dyDescent="0.25">
      <c r="A6" s="187"/>
      <c r="B6" s="1967">
        <v>1</v>
      </c>
      <c r="C6" s="1968" t="s">
        <v>1511</v>
      </c>
      <c r="D6" s="1968"/>
      <c r="E6" s="1936" t="s">
        <v>1523</v>
      </c>
      <c r="F6" s="1236" t="s">
        <v>1520</v>
      </c>
      <c r="G6" s="431"/>
      <c r="H6" s="431"/>
      <c r="I6" s="431"/>
      <c r="J6" s="431"/>
      <c r="K6" s="431"/>
      <c r="L6" s="431"/>
      <c r="M6" s="431"/>
      <c r="N6" s="431"/>
      <c r="O6" s="654"/>
      <c r="P6" s="48"/>
      <c r="Q6" s="431"/>
      <c r="R6" s="432"/>
      <c r="S6" s="1373"/>
    </row>
    <row r="7" spans="1:19" ht="15" customHeight="1" x14ac:dyDescent="0.25">
      <c r="A7" s="187"/>
      <c r="B7" s="1932"/>
      <c r="C7" s="1952"/>
      <c r="D7" s="1952"/>
      <c r="E7" s="1936"/>
      <c r="F7" s="1587" t="s">
        <v>1521</v>
      </c>
      <c r="G7" s="1163"/>
      <c r="H7" s="1163"/>
      <c r="I7" s="1163"/>
      <c r="J7" s="1163"/>
      <c r="K7" s="1163"/>
      <c r="L7" s="1163"/>
      <c r="M7" s="1163"/>
      <c r="N7" s="1163"/>
      <c r="O7" s="48"/>
      <c r="P7" s="48"/>
      <c r="Q7" s="720"/>
      <c r="R7" s="1284"/>
      <c r="S7" s="1373"/>
    </row>
    <row r="8" spans="1:19" ht="15" customHeight="1" x14ac:dyDescent="0.25">
      <c r="A8" s="187"/>
      <c r="B8" s="1932"/>
      <c r="C8" s="1952"/>
      <c r="D8" s="1952"/>
      <c r="E8" s="1936"/>
      <c r="F8" s="1587" t="s">
        <v>1522</v>
      </c>
      <c r="G8" s="1163"/>
      <c r="H8" s="1163"/>
      <c r="I8" s="1163"/>
      <c r="J8" s="1163"/>
      <c r="K8" s="1163"/>
      <c r="L8" s="1163"/>
      <c r="M8" s="1163"/>
      <c r="N8" s="1163"/>
      <c r="O8" s="48"/>
      <c r="P8" s="48"/>
      <c r="Q8" s="720"/>
      <c r="R8" s="1284"/>
      <c r="S8" s="1373"/>
    </row>
    <row r="9" spans="1:19" ht="15" customHeight="1" x14ac:dyDescent="0.25">
      <c r="A9" s="187"/>
      <c r="B9" s="1932"/>
      <c r="C9" s="1952"/>
      <c r="D9" s="1952"/>
      <c r="E9" s="1936"/>
      <c r="F9" s="1280" t="s">
        <v>1609</v>
      </c>
      <c r="G9" s="71"/>
      <c r="H9" s="71"/>
      <c r="I9" s="71"/>
      <c r="J9" s="71"/>
      <c r="K9" s="71"/>
      <c r="L9" s="71"/>
      <c r="M9" s="71"/>
      <c r="N9" s="71"/>
      <c r="O9" s="48"/>
      <c r="P9" s="48"/>
      <c r="Q9" s="71"/>
      <c r="R9" s="415"/>
      <c r="S9" s="1373"/>
    </row>
    <row r="10" spans="1:19" ht="15" customHeight="1" x14ac:dyDescent="0.25">
      <c r="A10" s="187"/>
      <c r="B10" s="1931" t="s">
        <v>1827</v>
      </c>
      <c r="C10" s="1951" t="s">
        <v>1648</v>
      </c>
      <c r="D10" s="1952"/>
      <c r="E10" s="1936" t="s">
        <v>1523</v>
      </c>
      <c r="F10" s="1587" t="s">
        <v>1520</v>
      </c>
      <c r="G10" s="60"/>
      <c r="H10" s="60"/>
      <c r="I10" s="60"/>
      <c r="J10" s="60"/>
      <c r="K10" s="60"/>
      <c r="L10" s="60"/>
      <c r="M10" s="60"/>
      <c r="N10" s="60"/>
      <c r="O10" s="704"/>
      <c r="P10" s="60"/>
      <c r="Q10" s="60"/>
      <c r="R10" s="67"/>
      <c r="S10" s="1373"/>
    </row>
    <row r="11" spans="1:19" ht="15" customHeight="1" x14ac:dyDescent="0.25">
      <c r="A11" s="187"/>
      <c r="B11" s="1932"/>
      <c r="C11" s="1952"/>
      <c r="D11" s="1952"/>
      <c r="E11" s="1936"/>
      <c r="F11" s="1587" t="s">
        <v>1521</v>
      </c>
      <c r="G11" s="1163"/>
      <c r="H11" s="1163"/>
      <c r="I11" s="1163"/>
      <c r="J11" s="1163"/>
      <c r="K11" s="1163"/>
      <c r="L11" s="1163"/>
      <c r="M11" s="1163"/>
      <c r="N11" s="1163"/>
      <c r="O11" s="48"/>
      <c r="P11" s="720"/>
      <c r="Q11" s="720"/>
      <c r="R11" s="67"/>
      <c r="S11" s="1373"/>
    </row>
    <row r="12" spans="1:19" ht="15" customHeight="1" x14ac:dyDescent="0.25">
      <c r="A12" s="187"/>
      <c r="B12" s="1932"/>
      <c r="C12" s="1952"/>
      <c r="D12" s="1952"/>
      <c r="E12" s="1936"/>
      <c r="F12" s="1587" t="s">
        <v>1609</v>
      </c>
      <c r="G12" s="52"/>
      <c r="H12" s="52"/>
      <c r="I12" s="52"/>
      <c r="J12" s="52"/>
      <c r="K12" s="52"/>
      <c r="L12" s="52"/>
      <c r="M12" s="52"/>
      <c r="N12" s="52"/>
      <c r="O12" s="48"/>
      <c r="P12" s="60"/>
      <c r="Q12" s="60"/>
      <c r="R12" s="67"/>
      <c r="S12" s="1373"/>
    </row>
    <row r="13" spans="1:19" s="1362" customFormat="1" ht="15" customHeight="1" x14ac:dyDescent="0.25">
      <c r="A13" s="187"/>
      <c r="B13" s="1919" t="s">
        <v>1828</v>
      </c>
      <c r="C13" s="1922" t="s">
        <v>1829</v>
      </c>
      <c r="D13" s="1923"/>
      <c r="E13" s="1928" t="s">
        <v>1523</v>
      </c>
      <c r="F13" s="1660" t="s">
        <v>1520</v>
      </c>
      <c r="G13" s="60"/>
      <c r="H13" s="60"/>
      <c r="I13" s="60"/>
      <c r="J13" s="60"/>
      <c r="K13" s="60"/>
      <c r="L13" s="60"/>
      <c r="M13" s="60"/>
      <c r="N13" s="60"/>
      <c r="O13" s="704"/>
      <c r="P13" s="60"/>
      <c r="Q13" s="48"/>
      <c r="R13" s="67"/>
      <c r="S13" s="1373"/>
    </row>
    <row r="14" spans="1:19" s="1362" customFormat="1" ht="15" customHeight="1" x14ac:dyDescent="0.25">
      <c r="A14" s="187"/>
      <c r="B14" s="1920"/>
      <c r="C14" s="1924"/>
      <c r="D14" s="1925"/>
      <c r="E14" s="1929"/>
      <c r="F14" s="1660" t="s">
        <v>1521</v>
      </c>
      <c r="G14" s="1163"/>
      <c r="H14" s="1163"/>
      <c r="I14" s="1163"/>
      <c r="J14" s="1163"/>
      <c r="K14" s="1163"/>
      <c r="L14" s="1163"/>
      <c r="M14" s="1163"/>
      <c r="N14" s="1163"/>
      <c r="O14" s="48"/>
      <c r="P14" s="720"/>
      <c r="Q14" s="48"/>
      <c r="R14" s="67"/>
      <c r="S14" s="1373"/>
    </row>
    <row r="15" spans="1:19" s="1362" customFormat="1" ht="15" customHeight="1" x14ac:dyDescent="0.25">
      <c r="A15" s="187"/>
      <c r="B15" s="1921"/>
      <c r="C15" s="1926"/>
      <c r="D15" s="1927"/>
      <c r="E15" s="1930"/>
      <c r="F15" s="1660" t="s">
        <v>1609</v>
      </c>
      <c r="G15" s="52"/>
      <c r="H15" s="52"/>
      <c r="I15" s="52"/>
      <c r="J15" s="52"/>
      <c r="K15" s="52"/>
      <c r="L15" s="52"/>
      <c r="M15" s="52"/>
      <c r="N15" s="52"/>
      <c r="O15" s="48"/>
      <c r="P15" s="60"/>
      <c r="Q15" s="48"/>
      <c r="R15" s="67"/>
      <c r="S15" s="1373"/>
    </row>
    <row r="16" spans="1:19" ht="15" customHeight="1" x14ac:dyDescent="0.25">
      <c r="A16" s="187"/>
      <c r="B16" s="1932">
        <v>3</v>
      </c>
      <c r="C16" s="1952" t="s">
        <v>1512</v>
      </c>
      <c r="D16" s="1952"/>
      <c r="E16" s="1936" t="s">
        <v>1523</v>
      </c>
      <c r="F16" s="1587" t="s">
        <v>1520</v>
      </c>
      <c r="G16" s="60"/>
      <c r="H16" s="60"/>
      <c r="I16" s="60"/>
      <c r="J16" s="60"/>
      <c r="K16" s="60"/>
      <c r="L16" s="60"/>
      <c r="M16" s="60"/>
      <c r="N16" s="60"/>
      <c r="O16" s="704"/>
      <c r="P16" s="60"/>
      <c r="Q16" s="48"/>
      <c r="R16" s="67"/>
      <c r="S16" s="1373"/>
    </row>
    <row r="17" spans="1:19" ht="15" customHeight="1" x14ac:dyDescent="0.25">
      <c r="A17" s="187"/>
      <c r="B17" s="1932"/>
      <c r="C17" s="1952"/>
      <c r="D17" s="1952"/>
      <c r="E17" s="1936"/>
      <c r="F17" s="1587" t="s">
        <v>1521</v>
      </c>
      <c r="G17" s="720"/>
      <c r="H17" s="720"/>
      <c r="I17" s="720"/>
      <c r="J17" s="720"/>
      <c r="K17" s="720"/>
      <c r="L17" s="720"/>
      <c r="M17" s="720"/>
      <c r="N17" s="720"/>
      <c r="O17" s="48"/>
      <c r="P17" s="720"/>
      <c r="Q17" s="48"/>
      <c r="R17" s="67"/>
      <c r="S17" s="1373"/>
    </row>
    <row r="18" spans="1:19" ht="15" customHeight="1" x14ac:dyDescent="0.25">
      <c r="A18" s="187"/>
      <c r="B18" s="1932"/>
      <c r="C18" s="1952"/>
      <c r="D18" s="1952"/>
      <c r="E18" s="1936"/>
      <c r="F18" s="1587" t="s">
        <v>1609</v>
      </c>
      <c r="G18" s="60"/>
      <c r="H18" s="60"/>
      <c r="I18" s="60"/>
      <c r="J18" s="60"/>
      <c r="K18" s="60"/>
      <c r="L18" s="60"/>
      <c r="M18" s="60"/>
      <c r="N18" s="60"/>
      <c r="O18" s="48"/>
      <c r="P18" s="60"/>
      <c r="Q18" s="48"/>
      <c r="R18" s="67"/>
      <c r="S18" s="1373"/>
    </row>
    <row r="19" spans="1:19" ht="15" customHeight="1" x14ac:dyDescent="0.25">
      <c r="A19" s="187"/>
      <c r="B19" s="1931" t="s">
        <v>1649</v>
      </c>
      <c r="C19" s="1951" t="s">
        <v>1658</v>
      </c>
      <c r="D19" s="1952"/>
      <c r="E19" s="1936" t="s">
        <v>1523</v>
      </c>
      <c r="F19" s="1587" t="s">
        <v>1520</v>
      </c>
      <c r="G19" s="60"/>
      <c r="H19" s="60"/>
      <c r="I19" s="60"/>
      <c r="J19" s="60"/>
      <c r="K19" s="60"/>
      <c r="L19" s="60"/>
      <c r="M19" s="60"/>
      <c r="N19" s="60"/>
      <c r="O19" s="704"/>
      <c r="P19" s="60"/>
      <c r="Q19" s="60"/>
      <c r="R19" s="107"/>
      <c r="S19" s="1373"/>
    </row>
    <row r="20" spans="1:19" ht="15" customHeight="1" x14ac:dyDescent="0.25">
      <c r="A20" s="187"/>
      <c r="B20" s="1932"/>
      <c r="C20" s="1952"/>
      <c r="D20" s="1952"/>
      <c r="E20" s="1936"/>
      <c r="F20" s="1587" t="s">
        <v>1521</v>
      </c>
      <c r="G20" s="720"/>
      <c r="H20" s="720"/>
      <c r="I20" s="720"/>
      <c r="J20" s="720"/>
      <c r="K20" s="720"/>
      <c r="L20" s="720"/>
      <c r="M20" s="720"/>
      <c r="N20" s="720"/>
      <c r="O20" s="48"/>
      <c r="P20" s="720"/>
      <c r="Q20" s="720"/>
      <c r="R20" s="1284"/>
      <c r="S20" s="1373"/>
    </row>
    <row r="21" spans="1:19" ht="15" customHeight="1" x14ac:dyDescent="0.25">
      <c r="A21" s="187"/>
      <c r="B21" s="1932"/>
      <c r="C21" s="1952"/>
      <c r="D21" s="1952"/>
      <c r="E21" s="1936"/>
      <c r="F21" s="1587" t="s">
        <v>1609</v>
      </c>
      <c r="G21" s="60"/>
      <c r="H21" s="60"/>
      <c r="I21" s="60"/>
      <c r="J21" s="60"/>
      <c r="K21" s="60"/>
      <c r="L21" s="60"/>
      <c r="M21" s="60"/>
      <c r="N21" s="60"/>
      <c r="O21" s="48"/>
      <c r="P21" s="60"/>
      <c r="Q21" s="60"/>
      <c r="R21" s="107"/>
      <c r="S21" s="1373"/>
    </row>
    <row r="22" spans="1:19" ht="15" customHeight="1" x14ac:dyDescent="0.25">
      <c r="A22" s="187"/>
      <c r="B22" s="1931" t="s">
        <v>1650</v>
      </c>
      <c r="C22" s="1951" t="s">
        <v>1659</v>
      </c>
      <c r="D22" s="1952"/>
      <c r="E22" s="1936" t="s">
        <v>1523</v>
      </c>
      <c r="F22" s="1587" t="s">
        <v>1520</v>
      </c>
      <c r="G22" s="60"/>
      <c r="H22" s="60"/>
      <c r="I22" s="60"/>
      <c r="J22" s="60"/>
      <c r="K22" s="60"/>
      <c r="L22" s="60"/>
      <c r="M22" s="60"/>
      <c r="N22" s="60"/>
      <c r="O22" s="704"/>
      <c r="P22" s="60"/>
      <c r="Q22" s="60"/>
      <c r="R22" s="107"/>
      <c r="S22" s="1373"/>
    </row>
    <row r="23" spans="1:19" ht="15" customHeight="1" x14ac:dyDescent="0.25">
      <c r="A23" s="187"/>
      <c r="B23" s="1932"/>
      <c r="C23" s="1952"/>
      <c r="D23" s="1952"/>
      <c r="E23" s="1936"/>
      <c r="F23" s="1587" t="s">
        <v>1521</v>
      </c>
      <c r="G23" s="720"/>
      <c r="H23" s="720"/>
      <c r="I23" s="720"/>
      <c r="J23" s="720"/>
      <c r="K23" s="720"/>
      <c r="L23" s="720"/>
      <c r="M23" s="720"/>
      <c r="N23" s="720"/>
      <c r="O23" s="48"/>
      <c r="P23" s="720"/>
      <c r="Q23" s="720"/>
      <c r="R23" s="1284"/>
      <c r="S23" s="1373"/>
    </row>
    <row r="24" spans="1:19" ht="15" customHeight="1" x14ac:dyDescent="0.25">
      <c r="A24" s="187"/>
      <c r="B24" s="1932"/>
      <c r="C24" s="1952"/>
      <c r="D24" s="1952"/>
      <c r="E24" s="1936"/>
      <c r="F24" s="1587" t="s">
        <v>1609</v>
      </c>
      <c r="G24" s="60"/>
      <c r="H24" s="60"/>
      <c r="I24" s="60"/>
      <c r="J24" s="60"/>
      <c r="K24" s="60"/>
      <c r="L24" s="60"/>
      <c r="M24" s="60"/>
      <c r="N24" s="60"/>
      <c r="O24" s="48"/>
      <c r="P24" s="60"/>
      <c r="Q24" s="60"/>
      <c r="R24" s="107"/>
      <c r="S24" s="1373"/>
    </row>
    <row r="25" spans="1:19" ht="15" customHeight="1" x14ac:dyDescent="0.25">
      <c r="A25" s="187"/>
      <c r="B25" s="1932">
        <v>5</v>
      </c>
      <c r="C25" s="1951" t="s">
        <v>1651</v>
      </c>
      <c r="D25" s="1952"/>
      <c r="E25" s="1936" t="s">
        <v>1523</v>
      </c>
      <c r="F25" s="1587" t="s">
        <v>1520</v>
      </c>
      <c r="G25" s="60"/>
      <c r="H25" s="60"/>
      <c r="I25" s="60"/>
      <c r="J25" s="60"/>
      <c r="K25" s="60"/>
      <c r="L25" s="60"/>
      <c r="M25" s="60"/>
      <c r="N25" s="60"/>
      <c r="O25" s="704"/>
      <c r="P25" s="60"/>
      <c r="Q25" s="48"/>
      <c r="R25" s="67"/>
      <c r="S25" s="1373"/>
    </row>
    <row r="26" spans="1:19" ht="15" customHeight="1" x14ac:dyDescent="0.25">
      <c r="A26" s="187"/>
      <c r="B26" s="1932"/>
      <c r="C26" s="1952"/>
      <c r="D26" s="1952"/>
      <c r="E26" s="1936"/>
      <c r="F26" s="1587" t="s">
        <v>1521</v>
      </c>
      <c r="G26" s="720"/>
      <c r="H26" s="720"/>
      <c r="I26" s="720"/>
      <c r="J26" s="720"/>
      <c r="K26" s="720"/>
      <c r="L26" s="720"/>
      <c r="M26" s="720"/>
      <c r="N26" s="720"/>
      <c r="O26" s="48"/>
      <c r="P26" s="720"/>
      <c r="Q26" s="48"/>
      <c r="R26" s="67"/>
      <c r="S26" s="1373"/>
    </row>
    <row r="27" spans="1:19" ht="15" customHeight="1" x14ac:dyDescent="0.25">
      <c r="A27" s="187"/>
      <c r="B27" s="1932"/>
      <c r="C27" s="1952"/>
      <c r="D27" s="1952"/>
      <c r="E27" s="1936"/>
      <c r="F27" s="1587" t="s">
        <v>1609</v>
      </c>
      <c r="G27" s="60"/>
      <c r="H27" s="60"/>
      <c r="I27" s="60"/>
      <c r="J27" s="60"/>
      <c r="K27" s="60"/>
      <c r="L27" s="60"/>
      <c r="M27" s="60"/>
      <c r="N27" s="60"/>
      <c r="O27" s="48"/>
      <c r="P27" s="60"/>
      <c r="Q27" s="48"/>
      <c r="R27" s="67"/>
      <c r="S27" s="1373"/>
    </row>
    <row r="28" spans="1:19" ht="15" customHeight="1" x14ac:dyDescent="0.25">
      <c r="A28" s="187"/>
      <c r="B28" s="1932" t="s">
        <v>1513</v>
      </c>
      <c r="C28" s="1936" t="s">
        <v>1516</v>
      </c>
      <c r="D28" s="1955" t="s">
        <v>1517</v>
      </c>
      <c r="E28" s="1936" t="s">
        <v>1519</v>
      </c>
      <c r="F28" s="1587" t="s">
        <v>1520</v>
      </c>
      <c r="G28" s="60"/>
      <c r="H28" s="60"/>
      <c r="I28" s="60"/>
      <c r="J28" s="60"/>
      <c r="K28" s="60"/>
      <c r="L28" s="60"/>
      <c r="M28" s="60"/>
      <c r="N28" s="60"/>
      <c r="O28" s="704"/>
      <c r="P28" s="48"/>
      <c r="Q28" s="60"/>
      <c r="R28" s="107"/>
      <c r="S28" s="1373"/>
    </row>
    <row r="29" spans="1:19" ht="15" customHeight="1" x14ac:dyDescent="0.25">
      <c r="A29" s="187"/>
      <c r="B29" s="1932"/>
      <c r="C29" s="1936"/>
      <c r="D29" s="1934"/>
      <c r="E29" s="1936"/>
      <c r="F29" s="1587" t="s">
        <v>1521</v>
      </c>
      <c r="G29" s="720"/>
      <c r="H29" s="720"/>
      <c r="I29" s="720"/>
      <c r="J29" s="720"/>
      <c r="K29" s="720"/>
      <c r="L29" s="720"/>
      <c r="M29" s="720"/>
      <c r="N29" s="720"/>
      <c r="O29" s="48"/>
      <c r="P29" s="48"/>
      <c r="Q29" s="720"/>
      <c r="R29" s="1284"/>
      <c r="S29" s="1373"/>
    </row>
    <row r="30" spans="1:19" ht="15" customHeight="1" x14ac:dyDescent="0.25">
      <c r="A30" s="187"/>
      <c r="B30" s="1932"/>
      <c r="C30" s="1936"/>
      <c r="D30" s="1935"/>
      <c r="E30" s="1936"/>
      <c r="F30" s="1280" t="s">
        <v>1609</v>
      </c>
      <c r="G30" s="60"/>
      <c r="H30" s="60"/>
      <c r="I30" s="60"/>
      <c r="J30" s="60"/>
      <c r="K30" s="60"/>
      <c r="L30" s="60"/>
      <c r="M30" s="60"/>
      <c r="N30" s="60"/>
      <c r="O30" s="48"/>
      <c r="P30" s="48"/>
      <c r="Q30" s="60"/>
      <c r="R30" s="107"/>
      <c r="S30" s="1373"/>
    </row>
    <row r="31" spans="1:19" ht="15" customHeight="1" x14ac:dyDescent="0.25">
      <c r="A31" s="187"/>
      <c r="B31" s="1931" t="s">
        <v>1830</v>
      </c>
      <c r="C31" s="1936"/>
      <c r="D31" s="1933" t="s">
        <v>1832</v>
      </c>
      <c r="E31" s="1936" t="s">
        <v>1519</v>
      </c>
      <c r="F31" s="1587" t="s">
        <v>1520</v>
      </c>
      <c r="G31" s="60"/>
      <c r="H31" s="60"/>
      <c r="I31" s="60"/>
      <c r="J31" s="60"/>
      <c r="K31" s="60"/>
      <c r="L31" s="60"/>
      <c r="M31" s="60"/>
      <c r="N31" s="60"/>
      <c r="O31" s="704"/>
      <c r="P31" s="60"/>
      <c r="Q31" s="60"/>
      <c r="R31" s="67"/>
      <c r="S31" s="1373"/>
    </row>
    <row r="32" spans="1:19" ht="15" customHeight="1" x14ac:dyDescent="0.25">
      <c r="A32" s="187"/>
      <c r="B32" s="1932"/>
      <c r="C32" s="1936"/>
      <c r="D32" s="1934"/>
      <c r="E32" s="1936"/>
      <c r="F32" s="1587" t="s">
        <v>1521</v>
      </c>
      <c r="G32" s="720"/>
      <c r="H32" s="720"/>
      <c r="I32" s="720"/>
      <c r="J32" s="720"/>
      <c r="K32" s="720"/>
      <c r="L32" s="720"/>
      <c r="M32" s="720"/>
      <c r="N32" s="720"/>
      <c r="O32" s="48"/>
      <c r="P32" s="720"/>
      <c r="Q32" s="720"/>
      <c r="R32" s="67"/>
      <c r="S32" s="1373"/>
    </row>
    <row r="33" spans="1:19" ht="15" customHeight="1" x14ac:dyDescent="0.25">
      <c r="A33" s="187"/>
      <c r="B33" s="1932"/>
      <c r="C33" s="1936"/>
      <c r="D33" s="1935"/>
      <c r="E33" s="1936"/>
      <c r="F33" s="1587" t="s">
        <v>1609</v>
      </c>
      <c r="G33" s="60"/>
      <c r="H33" s="60"/>
      <c r="I33" s="60"/>
      <c r="J33" s="60"/>
      <c r="K33" s="60"/>
      <c r="L33" s="60"/>
      <c r="M33" s="60"/>
      <c r="N33" s="60"/>
      <c r="O33" s="48"/>
      <c r="P33" s="60"/>
      <c r="Q33" s="60"/>
      <c r="R33" s="67"/>
      <c r="S33" s="1373"/>
    </row>
    <row r="34" spans="1:19" s="1362" customFormat="1" ht="15" customHeight="1" x14ac:dyDescent="0.25">
      <c r="A34" s="187"/>
      <c r="B34" s="1931" t="s">
        <v>1831</v>
      </c>
      <c r="C34" s="1936"/>
      <c r="D34" s="1933" t="s">
        <v>1833</v>
      </c>
      <c r="E34" s="1936" t="s">
        <v>1519</v>
      </c>
      <c r="F34" s="1660" t="s">
        <v>1520</v>
      </c>
      <c r="G34" s="60"/>
      <c r="H34" s="60"/>
      <c r="I34" s="60"/>
      <c r="J34" s="60"/>
      <c r="K34" s="60"/>
      <c r="L34" s="60"/>
      <c r="M34" s="60"/>
      <c r="N34" s="60"/>
      <c r="O34" s="704"/>
      <c r="P34" s="60"/>
      <c r="Q34" s="48"/>
      <c r="R34" s="67"/>
      <c r="S34" s="1373"/>
    </row>
    <row r="35" spans="1:19" s="1362" customFormat="1" ht="15" customHeight="1" x14ac:dyDescent="0.25">
      <c r="A35" s="187"/>
      <c r="B35" s="1932"/>
      <c r="C35" s="1936"/>
      <c r="D35" s="1934"/>
      <c r="E35" s="1936"/>
      <c r="F35" s="1660" t="s">
        <v>1521</v>
      </c>
      <c r="G35" s="720"/>
      <c r="H35" s="720"/>
      <c r="I35" s="720"/>
      <c r="J35" s="720"/>
      <c r="K35" s="720"/>
      <c r="L35" s="720"/>
      <c r="M35" s="720"/>
      <c r="N35" s="720"/>
      <c r="O35" s="48"/>
      <c r="P35" s="720"/>
      <c r="Q35" s="48"/>
      <c r="R35" s="67"/>
      <c r="S35" s="1373"/>
    </row>
    <row r="36" spans="1:19" s="1362" customFormat="1" ht="15" customHeight="1" x14ac:dyDescent="0.25">
      <c r="A36" s="187"/>
      <c r="B36" s="1932"/>
      <c r="C36" s="1936"/>
      <c r="D36" s="1935"/>
      <c r="E36" s="1936"/>
      <c r="F36" s="1660" t="s">
        <v>1609</v>
      </c>
      <c r="G36" s="60"/>
      <c r="H36" s="60"/>
      <c r="I36" s="60"/>
      <c r="J36" s="60"/>
      <c r="K36" s="60"/>
      <c r="L36" s="60"/>
      <c r="M36" s="60"/>
      <c r="N36" s="60"/>
      <c r="O36" s="48"/>
      <c r="P36" s="60"/>
      <c r="Q36" s="48"/>
      <c r="R36" s="67"/>
      <c r="S36" s="1373"/>
    </row>
    <row r="37" spans="1:19" ht="15" customHeight="1" x14ac:dyDescent="0.25">
      <c r="A37" s="187"/>
      <c r="B37" s="1932" t="s">
        <v>1514</v>
      </c>
      <c r="C37" s="1936"/>
      <c r="D37" s="1955" t="s">
        <v>1518</v>
      </c>
      <c r="E37" s="1936" t="s">
        <v>1519</v>
      </c>
      <c r="F37" s="1587" t="s">
        <v>1520</v>
      </c>
      <c r="G37" s="60"/>
      <c r="H37" s="60"/>
      <c r="I37" s="60"/>
      <c r="J37" s="60"/>
      <c r="K37" s="60"/>
      <c r="L37" s="60"/>
      <c r="M37" s="60"/>
      <c r="N37" s="60"/>
      <c r="O37" s="704"/>
      <c r="P37" s="60"/>
      <c r="Q37" s="48"/>
      <c r="R37" s="67"/>
      <c r="S37" s="1373"/>
    </row>
    <row r="38" spans="1:19" ht="15" customHeight="1" x14ac:dyDescent="0.25">
      <c r="A38" s="187"/>
      <c r="B38" s="1932"/>
      <c r="C38" s="1936"/>
      <c r="D38" s="1934"/>
      <c r="E38" s="1936"/>
      <c r="F38" s="1587" t="s">
        <v>1521</v>
      </c>
      <c r="G38" s="720"/>
      <c r="H38" s="720"/>
      <c r="I38" s="720"/>
      <c r="J38" s="720"/>
      <c r="K38" s="720"/>
      <c r="L38" s="720"/>
      <c r="M38" s="720"/>
      <c r="N38" s="720"/>
      <c r="O38" s="48"/>
      <c r="P38" s="720"/>
      <c r="Q38" s="48"/>
      <c r="R38" s="67"/>
      <c r="S38" s="1373"/>
    </row>
    <row r="39" spans="1:19" ht="15" customHeight="1" x14ac:dyDescent="0.25">
      <c r="A39" s="187"/>
      <c r="B39" s="1932"/>
      <c r="C39" s="1936"/>
      <c r="D39" s="1935"/>
      <c r="E39" s="1936"/>
      <c r="F39" s="1587" t="s">
        <v>1609</v>
      </c>
      <c r="G39" s="60"/>
      <c r="H39" s="60"/>
      <c r="I39" s="60"/>
      <c r="J39" s="60"/>
      <c r="K39" s="60"/>
      <c r="L39" s="60"/>
      <c r="M39" s="60"/>
      <c r="N39" s="60"/>
      <c r="O39" s="48"/>
      <c r="P39" s="60"/>
      <c r="Q39" s="48"/>
      <c r="R39" s="67"/>
      <c r="S39" s="1373"/>
    </row>
    <row r="40" spans="1:19" ht="15" customHeight="1" x14ac:dyDescent="0.25">
      <c r="A40" s="187"/>
      <c r="B40" s="1931" t="s">
        <v>1652</v>
      </c>
      <c r="C40" s="1936"/>
      <c r="D40" s="1933" t="s">
        <v>1653</v>
      </c>
      <c r="E40" s="1936" t="s">
        <v>1519</v>
      </c>
      <c r="F40" s="1587" t="s">
        <v>1520</v>
      </c>
      <c r="G40" s="60"/>
      <c r="H40" s="60"/>
      <c r="I40" s="60"/>
      <c r="J40" s="60"/>
      <c r="K40" s="60"/>
      <c r="L40" s="60"/>
      <c r="M40" s="60"/>
      <c r="N40" s="60"/>
      <c r="O40" s="704"/>
      <c r="P40" s="60"/>
      <c r="Q40" s="60"/>
      <c r="R40" s="107"/>
      <c r="S40" s="1373"/>
    </row>
    <row r="41" spans="1:19" ht="15" customHeight="1" x14ac:dyDescent="0.25">
      <c r="A41" s="187"/>
      <c r="B41" s="1932"/>
      <c r="C41" s="1936"/>
      <c r="D41" s="1934"/>
      <c r="E41" s="1936"/>
      <c r="F41" s="1587" t="s">
        <v>1521</v>
      </c>
      <c r="G41" s="720"/>
      <c r="H41" s="720"/>
      <c r="I41" s="720"/>
      <c r="J41" s="720"/>
      <c r="K41" s="720"/>
      <c r="L41" s="720"/>
      <c r="M41" s="720"/>
      <c r="N41" s="720"/>
      <c r="O41" s="48"/>
      <c r="P41" s="720"/>
      <c r="Q41" s="720"/>
      <c r="R41" s="1284"/>
      <c r="S41" s="1373"/>
    </row>
    <row r="42" spans="1:19" ht="15" customHeight="1" x14ac:dyDescent="0.25">
      <c r="A42" s="187"/>
      <c r="B42" s="1932"/>
      <c r="C42" s="1936"/>
      <c r="D42" s="1935"/>
      <c r="E42" s="1936"/>
      <c r="F42" s="1587" t="s">
        <v>1609</v>
      </c>
      <c r="G42" s="60"/>
      <c r="H42" s="60"/>
      <c r="I42" s="60"/>
      <c r="J42" s="60"/>
      <c r="K42" s="60"/>
      <c r="L42" s="60"/>
      <c r="M42" s="60"/>
      <c r="N42" s="60"/>
      <c r="O42" s="48"/>
      <c r="P42" s="60"/>
      <c r="Q42" s="60"/>
      <c r="R42" s="107"/>
      <c r="S42" s="1373"/>
    </row>
    <row r="43" spans="1:19" ht="15" customHeight="1" x14ac:dyDescent="0.25">
      <c r="A43" s="187"/>
      <c r="B43" s="1931" t="s">
        <v>1834</v>
      </c>
      <c r="C43" s="1936"/>
      <c r="D43" s="1933" t="s">
        <v>1654</v>
      </c>
      <c r="E43" s="1936" t="s">
        <v>1519</v>
      </c>
      <c r="F43" s="1587" t="s">
        <v>1520</v>
      </c>
      <c r="G43" s="60"/>
      <c r="H43" s="60"/>
      <c r="I43" s="60"/>
      <c r="J43" s="60"/>
      <c r="K43" s="60"/>
      <c r="L43" s="60"/>
      <c r="M43" s="60"/>
      <c r="N43" s="60"/>
      <c r="O43" s="704"/>
      <c r="P43" s="60"/>
      <c r="Q43" s="60"/>
      <c r="R43" s="107"/>
      <c r="S43" s="1373"/>
    </row>
    <row r="44" spans="1:19" ht="15" customHeight="1" x14ac:dyDescent="0.25">
      <c r="A44" s="187"/>
      <c r="B44" s="1932"/>
      <c r="C44" s="1936"/>
      <c r="D44" s="1934"/>
      <c r="E44" s="1936"/>
      <c r="F44" s="1587" t="s">
        <v>1521</v>
      </c>
      <c r="G44" s="720"/>
      <c r="H44" s="720"/>
      <c r="I44" s="720"/>
      <c r="J44" s="720"/>
      <c r="K44" s="720"/>
      <c r="L44" s="720"/>
      <c r="M44" s="720"/>
      <c r="N44" s="720"/>
      <c r="O44" s="48"/>
      <c r="P44" s="720"/>
      <c r="Q44" s="720"/>
      <c r="R44" s="1284"/>
      <c r="S44" s="1373"/>
    </row>
    <row r="45" spans="1:19" ht="15" customHeight="1" x14ac:dyDescent="0.25">
      <c r="A45" s="187"/>
      <c r="B45" s="1932"/>
      <c r="C45" s="1936"/>
      <c r="D45" s="1956"/>
      <c r="E45" s="1936"/>
      <c r="F45" s="1587" t="s">
        <v>1609</v>
      </c>
      <c r="G45" s="60"/>
      <c r="H45" s="60"/>
      <c r="I45" s="60"/>
      <c r="J45" s="60"/>
      <c r="K45" s="60"/>
      <c r="L45" s="60"/>
      <c r="M45" s="60"/>
      <c r="N45" s="60"/>
      <c r="O45" s="48"/>
      <c r="P45" s="60"/>
      <c r="Q45" s="60"/>
      <c r="R45" s="107"/>
      <c r="S45" s="1373"/>
    </row>
    <row r="46" spans="1:19" ht="15" customHeight="1" x14ac:dyDescent="0.25">
      <c r="A46" s="187"/>
      <c r="B46" s="1931" t="s">
        <v>1515</v>
      </c>
      <c r="C46" s="1936"/>
      <c r="D46" s="1933" t="s">
        <v>1655</v>
      </c>
      <c r="E46" s="1936" t="s">
        <v>1519</v>
      </c>
      <c r="F46" s="1587" t="s">
        <v>1520</v>
      </c>
      <c r="G46" s="60"/>
      <c r="H46" s="60"/>
      <c r="I46" s="60"/>
      <c r="J46" s="60"/>
      <c r="K46" s="60"/>
      <c r="L46" s="60"/>
      <c r="M46" s="60"/>
      <c r="N46" s="60"/>
      <c r="O46" s="704"/>
      <c r="P46" s="60"/>
      <c r="Q46" s="48"/>
      <c r="R46" s="67"/>
      <c r="S46" s="1373"/>
    </row>
    <row r="47" spans="1:19" ht="15" customHeight="1" x14ac:dyDescent="0.25">
      <c r="A47" s="187"/>
      <c r="B47" s="1932"/>
      <c r="C47" s="1936"/>
      <c r="D47" s="1934"/>
      <c r="E47" s="1936"/>
      <c r="F47" s="1587" t="s">
        <v>1521</v>
      </c>
      <c r="G47" s="720"/>
      <c r="H47" s="720"/>
      <c r="I47" s="720"/>
      <c r="J47" s="720"/>
      <c r="K47" s="720"/>
      <c r="L47" s="720"/>
      <c r="M47" s="720"/>
      <c r="N47" s="720"/>
      <c r="O47" s="48"/>
      <c r="P47" s="720"/>
      <c r="Q47" s="48"/>
      <c r="R47" s="67"/>
      <c r="S47" s="1373"/>
    </row>
    <row r="48" spans="1:19" ht="15" customHeight="1" x14ac:dyDescent="0.25">
      <c r="A48" s="187"/>
      <c r="B48" s="1954"/>
      <c r="C48" s="1950"/>
      <c r="D48" s="1956"/>
      <c r="E48" s="1950"/>
      <c r="F48" s="1595" t="s">
        <v>1609</v>
      </c>
      <c r="G48" s="55"/>
      <c r="H48" s="55"/>
      <c r="I48" s="55"/>
      <c r="J48" s="55"/>
      <c r="K48" s="55"/>
      <c r="L48" s="55"/>
      <c r="M48" s="55"/>
      <c r="N48" s="55"/>
      <c r="O48" s="56"/>
      <c r="P48" s="55"/>
      <c r="Q48" s="56"/>
      <c r="R48" s="57"/>
      <c r="S48" s="1373"/>
    </row>
    <row r="49" spans="1:20" ht="15" customHeight="1" x14ac:dyDescent="0.25">
      <c r="A49" s="187"/>
      <c r="B49" s="1433"/>
      <c r="C49" s="1232"/>
      <c r="D49" s="1232"/>
      <c r="E49" s="1232"/>
      <c r="F49" s="1232"/>
      <c r="G49" s="1232"/>
      <c r="H49" s="1232"/>
      <c r="I49" s="1232"/>
      <c r="J49" s="1232"/>
      <c r="K49" s="1232"/>
      <c r="L49" s="1232"/>
      <c r="M49" s="1232"/>
      <c r="N49" s="1233"/>
      <c r="O49" s="1233"/>
      <c r="P49" s="1233"/>
      <c r="Q49" s="1233"/>
      <c r="R49" s="1233"/>
      <c r="S49" s="1373"/>
    </row>
    <row r="50" spans="1:20" ht="15" customHeight="1" x14ac:dyDescent="0.25">
      <c r="A50" s="187"/>
      <c r="B50" s="1237" t="s">
        <v>1520</v>
      </c>
      <c r="C50" s="1937" t="s">
        <v>1630</v>
      </c>
      <c r="D50" s="1938"/>
      <c r="E50" s="1938"/>
      <c r="F50" s="1237" t="s">
        <v>1522</v>
      </c>
      <c r="G50" s="1939" t="s">
        <v>1656</v>
      </c>
      <c r="H50" s="1939"/>
      <c r="I50" s="1939"/>
      <c r="J50" s="1939"/>
      <c r="K50" s="1939"/>
      <c r="L50" s="1939"/>
      <c r="M50" s="1939"/>
      <c r="N50" s="1939"/>
      <c r="O50" s="1233"/>
      <c r="P50" s="1362"/>
      <c r="Q50" s="1233"/>
      <c r="R50" s="1233"/>
      <c r="S50" s="1373"/>
    </row>
    <row r="51" spans="1:20" ht="15" customHeight="1" x14ac:dyDescent="0.25">
      <c r="A51" s="187"/>
      <c r="B51" s="1237" t="s">
        <v>1521</v>
      </c>
      <c r="C51" s="1939" t="s">
        <v>1657</v>
      </c>
      <c r="D51" s="1940"/>
      <c r="E51" s="1940"/>
      <c r="F51" s="1279" t="s">
        <v>1609</v>
      </c>
      <c r="G51" s="1940" t="s">
        <v>1608</v>
      </c>
      <c r="H51" s="1940"/>
      <c r="I51" s="1940"/>
      <c r="J51" s="1940"/>
      <c r="K51" s="1597"/>
      <c r="L51" s="1233"/>
      <c r="M51" s="1233"/>
      <c r="N51" s="1233"/>
      <c r="O51" s="1233"/>
      <c r="P51" s="1362"/>
      <c r="Q51" s="1233"/>
      <c r="R51" s="1233"/>
      <c r="S51" s="1373"/>
    </row>
    <row r="52" spans="1:20" ht="15" customHeight="1" x14ac:dyDescent="0.25">
      <c r="A52" s="347"/>
      <c r="B52" s="1283"/>
      <c r="C52" s="1953"/>
      <c r="D52" s="1953"/>
      <c r="E52" s="1953"/>
      <c r="F52" s="1234"/>
      <c r="G52" s="1234"/>
      <c r="H52" s="1234"/>
      <c r="I52" s="1234"/>
      <c r="J52" s="1234"/>
      <c r="K52" s="1234"/>
      <c r="L52" s="1235"/>
      <c r="M52" s="1235"/>
      <c r="N52" s="1235"/>
      <c r="O52" s="1235"/>
      <c r="P52" s="1400"/>
      <c r="Q52" s="1235"/>
      <c r="R52" s="1235"/>
      <c r="S52" s="1402"/>
    </row>
    <row r="53" spans="1:20" ht="15" hidden="1" customHeight="1" x14ac:dyDescent="0.25"/>
    <row r="54" spans="1:20" s="34" customFormat="1" ht="15" hidden="1" customHeight="1" x14ac:dyDescent="0.25">
      <c r="N54" s="408"/>
      <c r="O54" s="408"/>
      <c r="P54" s="408"/>
      <c r="Q54" s="408"/>
      <c r="R54" s="408"/>
      <c r="S54" s="413"/>
      <c r="T54" s="408"/>
    </row>
    <row r="55" spans="1:20" s="34" customFormat="1" ht="15" hidden="1" customHeight="1" x14ac:dyDescent="0.25">
      <c r="N55" s="408"/>
      <c r="O55" s="408"/>
      <c r="P55" s="408"/>
      <c r="Q55" s="408"/>
      <c r="R55" s="408"/>
      <c r="S55" s="413"/>
      <c r="T55" s="408"/>
    </row>
    <row r="56" spans="1:20" s="34" customFormat="1" ht="15" hidden="1" customHeight="1" x14ac:dyDescent="0.25">
      <c r="N56" s="408"/>
      <c r="O56" s="408"/>
      <c r="P56" s="408"/>
      <c r="Q56" s="408"/>
      <c r="R56" s="408"/>
      <c r="S56" s="413"/>
      <c r="T56" s="408"/>
    </row>
    <row r="57" spans="1:20" s="34" customFormat="1" ht="15" hidden="1" customHeight="1" x14ac:dyDescent="0.25">
      <c r="N57" s="408"/>
      <c r="O57" s="408"/>
      <c r="P57" s="408"/>
      <c r="Q57" s="408"/>
      <c r="R57" s="408"/>
      <c r="S57" s="413"/>
      <c r="T57" s="408"/>
    </row>
    <row r="58" spans="1:20" s="34" customFormat="1" ht="15" hidden="1" customHeight="1" x14ac:dyDescent="0.25">
      <c r="N58" s="408"/>
      <c r="O58" s="408"/>
      <c r="P58" s="408"/>
      <c r="Q58" s="408"/>
      <c r="R58" s="408"/>
      <c r="S58" s="413"/>
      <c r="T58" s="408"/>
    </row>
    <row r="59" spans="1:20" s="34" customFormat="1" ht="15" hidden="1" customHeight="1" x14ac:dyDescent="0.25">
      <c r="N59" s="408"/>
      <c r="O59" s="408"/>
      <c r="P59" s="408"/>
      <c r="Q59" s="408"/>
      <c r="R59" s="408"/>
      <c r="S59" s="413"/>
      <c r="T59" s="408"/>
    </row>
    <row r="60" spans="1:20" s="34" customFormat="1" ht="15" hidden="1" customHeight="1" x14ac:dyDescent="0.25">
      <c r="N60" s="408"/>
      <c r="O60" s="408"/>
      <c r="P60" s="408"/>
      <c r="Q60" s="408"/>
      <c r="R60" s="408"/>
      <c r="S60" s="413"/>
      <c r="T60" s="408"/>
    </row>
    <row r="61" spans="1:20" s="34" customFormat="1" ht="15" hidden="1" customHeight="1" x14ac:dyDescent="0.25">
      <c r="N61" s="408"/>
      <c r="O61" s="408"/>
      <c r="P61" s="408"/>
      <c r="Q61" s="408"/>
      <c r="R61" s="408"/>
      <c r="S61" s="413"/>
      <c r="T61" s="408"/>
    </row>
    <row r="62" spans="1:20" s="34" customFormat="1" ht="15" hidden="1" customHeight="1" x14ac:dyDescent="0.25">
      <c r="N62" s="408"/>
      <c r="O62" s="408"/>
      <c r="P62" s="408"/>
      <c r="Q62" s="408"/>
      <c r="R62" s="408"/>
      <c r="S62" s="413"/>
      <c r="T62" s="408"/>
    </row>
    <row r="63" spans="1:20" s="34" customFormat="1" ht="15" hidden="1" customHeight="1" x14ac:dyDescent="0.25">
      <c r="N63" s="408"/>
      <c r="O63" s="408"/>
      <c r="P63" s="408"/>
      <c r="Q63" s="408"/>
      <c r="R63" s="408"/>
      <c r="S63" s="413"/>
      <c r="T63" s="408"/>
    </row>
    <row r="64" spans="1:20" s="34" customFormat="1" ht="15" hidden="1" customHeight="1" x14ac:dyDescent="0.25">
      <c r="N64" s="408"/>
      <c r="O64" s="408"/>
      <c r="P64" s="408"/>
      <c r="Q64" s="408"/>
      <c r="R64" s="408"/>
      <c r="S64" s="413"/>
      <c r="T64" s="408"/>
    </row>
    <row r="65" spans="14:20" s="34" customFormat="1" ht="15" hidden="1" customHeight="1" x14ac:dyDescent="0.25">
      <c r="N65" s="408"/>
      <c r="O65" s="408"/>
      <c r="P65" s="408"/>
      <c r="Q65" s="408"/>
      <c r="R65" s="408"/>
      <c r="S65" s="413"/>
      <c r="T65" s="408"/>
    </row>
    <row r="66" spans="14:20" s="34" customFormat="1" ht="15" hidden="1" customHeight="1" x14ac:dyDescent="0.25">
      <c r="N66" s="408"/>
      <c r="O66" s="408"/>
      <c r="P66" s="408"/>
      <c r="Q66" s="408"/>
      <c r="R66" s="408"/>
      <c r="S66" s="413"/>
      <c r="T66" s="408"/>
    </row>
    <row r="67" spans="14:20" s="34" customFormat="1" ht="15" hidden="1" customHeight="1" x14ac:dyDescent="0.25">
      <c r="N67" s="408"/>
      <c r="O67" s="408"/>
      <c r="P67" s="408"/>
      <c r="Q67" s="408"/>
      <c r="R67" s="408"/>
      <c r="S67" s="413"/>
      <c r="T67" s="408"/>
    </row>
    <row r="68" spans="14:20" s="34" customFormat="1" ht="15" hidden="1" customHeight="1" x14ac:dyDescent="0.25">
      <c r="N68" s="408"/>
      <c r="O68" s="408"/>
      <c r="P68" s="408"/>
      <c r="Q68" s="408"/>
      <c r="R68" s="408"/>
      <c r="S68" s="413"/>
      <c r="T68" s="408"/>
    </row>
    <row r="69" spans="14:20" s="34" customFormat="1" ht="15" hidden="1" customHeight="1" x14ac:dyDescent="0.25">
      <c r="N69" s="408"/>
      <c r="O69" s="408"/>
      <c r="P69" s="408"/>
      <c r="Q69" s="408"/>
      <c r="R69" s="408"/>
      <c r="S69" s="413"/>
      <c r="T69" s="408"/>
    </row>
    <row r="70" spans="14:20" s="34" customFormat="1" ht="15" hidden="1" customHeight="1" x14ac:dyDescent="0.25">
      <c r="N70" s="408"/>
      <c r="O70" s="408"/>
      <c r="P70" s="408"/>
      <c r="Q70" s="408"/>
      <c r="R70" s="408"/>
      <c r="S70" s="413"/>
      <c r="T70" s="408"/>
    </row>
    <row r="71" spans="14:20" s="34" customFormat="1" ht="15" hidden="1" customHeight="1" x14ac:dyDescent="0.25">
      <c r="N71" s="408"/>
      <c r="O71" s="408"/>
      <c r="P71" s="408"/>
      <c r="Q71" s="408"/>
      <c r="R71" s="408"/>
      <c r="S71" s="413"/>
      <c r="T71" s="408"/>
    </row>
    <row r="72" spans="14:20" s="34" customFormat="1" ht="15" hidden="1" customHeight="1" x14ac:dyDescent="0.25">
      <c r="N72" s="408"/>
      <c r="O72" s="408"/>
      <c r="P72" s="408"/>
      <c r="Q72" s="408"/>
      <c r="R72" s="408"/>
      <c r="S72" s="413"/>
      <c r="T72" s="408"/>
    </row>
    <row r="73" spans="14:20" s="34" customFormat="1" ht="15" hidden="1" customHeight="1" x14ac:dyDescent="0.25">
      <c r="N73" s="408"/>
      <c r="O73" s="408"/>
      <c r="P73" s="408"/>
      <c r="Q73" s="408"/>
      <c r="R73" s="408"/>
      <c r="S73" s="413"/>
      <c r="T73" s="408"/>
    </row>
    <row r="74" spans="14:20" s="34" customFormat="1" ht="15" hidden="1" customHeight="1" x14ac:dyDescent="0.25">
      <c r="N74" s="408"/>
      <c r="O74" s="408"/>
      <c r="P74" s="408"/>
      <c r="Q74" s="408"/>
      <c r="R74" s="408"/>
      <c r="S74" s="413"/>
      <c r="T74" s="408"/>
    </row>
    <row r="75" spans="14:20" s="34" customFormat="1" ht="15" hidden="1" customHeight="1" x14ac:dyDescent="0.25">
      <c r="N75" s="408"/>
      <c r="O75" s="408"/>
      <c r="P75" s="408"/>
      <c r="Q75" s="408"/>
      <c r="R75" s="408"/>
      <c r="S75" s="413"/>
      <c r="T75" s="408"/>
    </row>
    <row r="76" spans="14:20" s="34" customFormat="1" ht="15" hidden="1" customHeight="1" x14ac:dyDescent="0.25">
      <c r="N76" s="408"/>
      <c r="O76" s="408"/>
      <c r="P76" s="408"/>
      <c r="Q76" s="408"/>
      <c r="R76" s="408"/>
      <c r="S76" s="413"/>
      <c r="T76" s="408"/>
    </row>
    <row r="77" spans="14:20" s="34" customFormat="1" ht="15" hidden="1" customHeight="1" x14ac:dyDescent="0.25">
      <c r="N77" s="408"/>
      <c r="O77" s="408"/>
      <c r="P77" s="408"/>
      <c r="Q77" s="408"/>
      <c r="R77" s="408"/>
      <c r="S77" s="413"/>
      <c r="T77" s="408"/>
    </row>
    <row r="78" spans="14:20" s="34" customFormat="1" ht="15" hidden="1" customHeight="1" x14ac:dyDescent="0.25">
      <c r="N78" s="408"/>
      <c r="O78" s="408"/>
      <c r="P78" s="408"/>
      <c r="Q78" s="408"/>
      <c r="R78" s="408"/>
      <c r="S78" s="413"/>
      <c r="T78" s="408"/>
    </row>
    <row r="79" spans="14:20" s="34" customFormat="1" ht="15" hidden="1" customHeight="1" x14ac:dyDescent="0.25">
      <c r="N79" s="408"/>
      <c r="O79" s="408"/>
      <c r="P79" s="408"/>
      <c r="Q79" s="408"/>
      <c r="R79" s="408"/>
      <c r="S79" s="413"/>
      <c r="T79" s="408"/>
    </row>
    <row r="80" spans="14:20" s="34" customFormat="1" ht="15" hidden="1" customHeight="1" x14ac:dyDescent="0.25">
      <c r="N80" s="408"/>
      <c r="O80" s="408"/>
      <c r="P80" s="408"/>
      <c r="Q80" s="408"/>
      <c r="R80" s="408"/>
      <c r="S80" s="413"/>
      <c r="T80" s="408"/>
    </row>
    <row r="81" spans="14:20" s="34" customFormat="1" ht="15" hidden="1" customHeight="1" x14ac:dyDescent="0.25">
      <c r="N81" s="408"/>
      <c r="O81" s="408"/>
      <c r="P81" s="408"/>
      <c r="Q81" s="408"/>
      <c r="R81" s="408"/>
      <c r="S81" s="413"/>
      <c r="T81" s="408"/>
    </row>
    <row r="82" spans="14:20" s="34" customFormat="1" ht="15" hidden="1" customHeight="1" x14ac:dyDescent="0.25">
      <c r="N82" s="408"/>
      <c r="O82" s="408"/>
      <c r="P82" s="408"/>
      <c r="Q82" s="408"/>
      <c r="R82" s="408"/>
      <c r="S82" s="413"/>
      <c r="T82" s="408"/>
    </row>
  </sheetData>
  <mergeCells count="66">
    <mergeCell ref="B10:B12"/>
    <mergeCell ref="C10:D12"/>
    <mergeCell ref="E10:E12"/>
    <mergeCell ref="P4:P5"/>
    <mergeCell ref="Q4:Q5"/>
    <mergeCell ref="B6:B9"/>
    <mergeCell ref="C6:D9"/>
    <mergeCell ref="E6:E9"/>
    <mergeCell ref="M4:M5"/>
    <mergeCell ref="B2:R2"/>
    <mergeCell ref="G4:G5"/>
    <mergeCell ref="B3:B5"/>
    <mergeCell ref="F3:F5"/>
    <mergeCell ref="G3:N3"/>
    <mergeCell ref="J4:J5"/>
    <mergeCell ref="K4:K5"/>
    <mergeCell ref="L4:L5"/>
    <mergeCell ref="N4:N5"/>
    <mergeCell ref="H4:I4"/>
    <mergeCell ref="O3:O5"/>
    <mergeCell ref="P3:R3"/>
    <mergeCell ref="R4:R5"/>
    <mergeCell ref="B43:B45"/>
    <mergeCell ref="B28:B30"/>
    <mergeCell ref="B31:B33"/>
    <mergeCell ref="E28:E30"/>
    <mergeCell ref="E31:E33"/>
    <mergeCell ref="G50:N50"/>
    <mergeCell ref="G51:J51"/>
    <mergeCell ref="C52:E52"/>
    <mergeCell ref="B46:B48"/>
    <mergeCell ref="C28:C48"/>
    <mergeCell ref="D28:D30"/>
    <mergeCell ref="D31:D33"/>
    <mergeCell ref="D37:D39"/>
    <mergeCell ref="D40:D42"/>
    <mergeCell ref="D43:D45"/>
    <mergeCell ref="D46:D48"/>
    <mergeCell ref="B37:B39"/>
    <mergeCell ref="E37:E39"/>
    <mergeCell ref="E40:E42"/>
    <mergeCell ref="E43:E45"/>
    <mergeCell ref="B40:B42"/>
    <mergeCell ref="C50:E50"/>
    <mergeCell ref="C51:E51"/>
    <mergeCell ref="C3:D5"/>
    <mergeCell ref="E3:E5"/>
    <mergeCell ref="E46:E48"/>
    <mergeCell ref="C19:D21"/>
    <mergeCell ref="E19:E21"/>
    <mergeCell ref="C22:D24"/>
    <mergeCell ref="E22:E24"/>
    <mergeCell ref="C16:D18"/>
    <mergeCell ref="E16:E18"/>
    <mergeCell ref="C25:D27"/>
    <mergeCell ref="E25:E27"/>
    <mergeCell ref="B13:B15"/>
    <mergeCell ref="C13:D15"/>
    <mergeCell ref="E13:E15"/>
    <mergeCell ref="B34:B36"/>
    <mergeCell ref="D34:D36"/>
    <mergeCell ref="E34:E36"/>
    <mergeCell ref="B19:B21"/>
    <mergeCell ref="B22:B24"/>
    <mergeCell ref="B16:B18"/>
    <mergeCell ref="B25:B27"/>
  </mergeCell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27" max="18" man="1"/>
  </rowBreaks>
  <colBreaks count="1" manualBreakCount="1">
    <brk id="14" max="4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5" tint="0.39997558519241921"/>
  </sheetPr>
  <dimension ref="A1:N162"/>
  <sheetViews>
    <sheetView zoomScale="75" zoomScaleNormal="75" workbookViewId="0"/>
  </sheetViews>
  <sheetFormatPr defaultColWidth="0" defaultRowHeight="0" customHeight="1" zeroHeight="1" x14ac:dyDescent="0.25"/>
  <cols>
    <col min="1" max="1" width="1.7109375" style="928" customWidth="1"/>
    <col min="2" max="2" width="14.7109375" style="928" customWidth="1"/>
    <col min="3" max="3" width="107.42578125" style="928" customWidth="1"/>
    <col min="4" max="13" width="12.7109375" style="928" customWidth="1"/>
    <col min="14" max="14" width="1.7109375" style="928" customWidth="1"/>
    <col min="15" max="16384" width="16.7109375" style="928" hidden="1"/>
  </cols>
  <sheetData>
    <row r="1" spans="1:14" s="974" customFormat="1" ht="30" customHeight="1" x14ac:dyDescent="0.55000000000000004">
      <c r="A1" s="1238" t="s">
        <v>161</v>
      </c>
      <c r="B1" s="1239"/>
      <c r="C1" s="1239"/>
      <c r="D1" s="1239"/>
      <c r="E1" s="1239"/>
      <c r="F1" s="1239"/>
      <c r="G1" s="1239"/>
      <c r="H1" s="1239"/>
      <c r="I1" s="1239"/>
      <c r="J1" s="1239"/>
      <c r="K1" s="1239"/>
      <c r="L1" s="1239"/>
      <c r="M1" s="1239"/>
      <c r="N1" s="520"/>
    </row>
    <row r="2" spans="1:14" s="732" customFormat="1" ht="30" customHeight="1" x14ac:dyDescent="0.3">
      <c r="A2" s="1363" t="s">
        <v>144</v>
      </c>
      <c r="B2" s="1366"/>
      <c r="C2" s="1366"/>
      <c r="D2" s="1366"/>
      <c r="E2" s="1366"/>
      <c r="F2" s="1366"/>
      <c r="G2" s="1366"/>
      <c r="H2" s="1366"/>
      <c r="I2" s="1366"/>
      <c r="J2" s="1366"/>
      <c r="K2" s="1366"/>
      <c r="L2" s="1366"/>
      <c r="M2" s="1366"/>
      <c r="N2" s="1367"/>
    </row>
    <row r="3" spans="1:14" s="769" customFormat="1" ht="15" customHeight="1" x14ac:dyDescent="0.25">
      <c r="A3" s="1369"/>
      <c r="B3" s="1368"/>
      <c r="C3" s="1368"/>
      <c r="D3" s="1368"/>
      <c r="E3" s="1368"/>
      <c r="F3" s="1368"/>
      <c r="G3" s="1368"/>
      <c r="H3" s="1368"/>
      <c r="I3" s="1368"/>
      <c r="J3" s="1368"/>
      <c r="K3" s="1368"/>
      <c r="L3" s="1368"/>
      <c r="M3" s="1368"/>
      <c r="N3" s="1373"/>
    </row>
    <row r="4" spans="1:14" s="769" customFormat="1" ht="15" customHeight="1" x14ac:dyDescent="0.25">
      <c r="A4" s="1369"/>
      <c r="B4" s="1605" t="s">
        <v>64</v>
      </c>
      <c r="C4" s="528" t="s">
        <v>65</v>
      </c>
      <c r="D4" s="1584" t="str">
        <f>CONCATENATE("Column ", LEFT(ADDRESS(ROW('General Info'!C70),COLUMN('General Info'!C70),4), 1))</f>
        <v>Column C</v>
      </c>
      <c r="E4" s="1368"/>
      <c r="F4" s="1433"/>
      <c r="G4" s="1368"/>
      <c r="H4" s="1368"/>
      <c r="I4" s="1368"/>
      <c r="J4" s="1368"/>
      <c r="K4" s="1368"/>
      <c r="L4" s="1368"/>
      <c r="M4" s="1368"/>
      <c r="N4" s="1373"/>
    </row>
    <row r="5" spans="1:14" s="769" customFormat="1" ht="15" customHeight="1" x14ac:dyDescent="0.25">
      <c r="A5" s="1369"/>
      <c r="B5" s="430" t="s">
        <v>315</v>
      </c>
      <c r="C5" s="529" t="str">
        <f>'General Info'!B70</f>
        <v>Check: Tier 1 adjustments should be ≤ additional Tier 1 prior to adjustments</v>
      </c>
      <c r="D5" s="112" t="str">
        <f>'General Info'!C70</f>
        <v>Yes</v>
      </c>
      <c r="E5" s="1368"/>
      <c r="F5" s="1433"/>
      <c r="G5" s="1368"/>
      <c r="H5" s="1368"/>
      <c r="I5" s="1368"/>
      <c r="J5" s="1368"/>
      <c r="K5" s="1368"/>
      <c r="L5" s="1368"/>
      <c r="M5" s="1368"/>
      <c r="N5" s="1373"/>
    </row>
    <row r="6" spans="1:14" s="769" customFormat="1" ht="15" customHeight="1" x14ac:dyDescent="0.25">
      <c r="A6" s="1369"/>
      <c r="B6" s="61" t="s">
        <v>315</v>
      </c>
      <c r="C6" s="530" t="str">
        <f>'General Info'!B75</f>
        <v>Check: Tier 2 adjustments should be ≤ additional Tier 2 prior to adjustments</v>
      </c>
      <c r="D6" s="63" t="str">
        <f>'General Info'!C75</f>
        <v>Yes</v>
      </c>
      <c r="E6" s="1368"/>
      <c r="F6" s="1433"/>
      <c r="G6" s="1368"/>
      <c r="H6" s="1368"/>
      <c r="I6" s="1368"/>
      <c r="J6" s="1368"/>
      <c r="K6" s="1368"/>
      <c r="L6" s="1368"/>
      <c r="M6" s="1368"/>
      <c r="N6" s="1373"/>
    </row>
    <row r="7" spans="1:14" s="769" customFormat="1" ht="15" customHeight="1" x14ac:dyDescent="0.25">
      <c r="A7" s="1369"/>
      <c r="B7" s="1368"/>
      <c r="C7" s="1368"/>
      <c r="D7" s="1368"/>
      <c r="E7" s="1368"/>
      <c r="F7" s="1368"/>
      <c r="G7" s="1368"/>
      <c r="H7" s="1368"/>
      <c r="I7" s="1368"/>
      <c r="J7" s="1368"/>
      <c r="K7" s="1368"/>
      <c r="L7" s="1368"/>
      <c r="M7" s="1368"/>
      <c r="N7" s="1373"/>
    </row>
    <row r="8" spans="1:14" s="732" customFormat="1" ht="30" customHeight="1" x14ac:dyDescent="0.3">
      <c r="A8" s="1363" t="s">
        <v>1421</v>
      </c>
      <c r="B8" s="1366"/>
      <c r="C8" s="1366"/>
      <c r="D8" s="1366"/>
      <c r="E8" s="1366"/>
      <c r="F8" s="1366"/>
      <c r="G8" s="1366"/>
      <c r="H8" s="1366"/>
      <c r="I8" s="1366"/>
      <c r="J8" s="1366"/>
      <c r="K8" s="1366"/>
      <c r="L8" s="1366"/>
      <c r="M8" s="1366"/>
      <c r="N8" s="1367"/>
    </row>
    <row r="9" spans="1:14" s="769" customFormat="1" ht="15" customHeight="1" x14ac:dyDescent="0.25">
      <c r="A9" s="1369"/>
      <c r="B9" s="1368"/>
      <c r="C9" s="1368"/>
      <c r="D9" s="1368"/>
      <c r="E9" s="1368"/>
      <c r="F9" s="1368"/>
      <c r="G9" s="1368"/>
      <c r="H9" s="1368"/>
      <c r="I9" s="1368"/>
      <c r="J9" s="1368"/>
      <c r="K9" s="1368"/>
      <c r="L9" s="1368"/>
      <c r="M9" s="718"/>
      <c r="N9" s="1373"/>
    </row>
    <row r="10" spans="1:14" s="769" customFormat="1" ht="15" customHeight="1" x14ac:dyDescent="0.25">
      <c r="A10" s="1369"/>
      <c r="B10" s="1605" t="s">
        <v>64</v>
      </c>
      <c r="C10" s="528" t="s">
        <v>65</v>
      </c>
      <c r="D10" s="706" t="str">
        <f>CONCATENATE("Column ", LEFT(ADDRESS(ROW('Leverage Ratio'!D1),COLUMN('Leverage Ratio'!D1),4), 1))</f>
        <v>Column D</v>
      </c>
      <c r="E10" s="706" t="str">
        <f>CONCATENATE("Column ", LEFT(ADDRESS(ROW('Leverage Ratio'!E1),COLUMN('Leverage Ratio'!E1),4), 1))</f>
        <v>Column E</v>
      </c>
      <c r="F10" s="706" t="str">
        <f>CONCATENATE("Column ", LEFT(ADDRESS(ROW('Leverage Ratio'!F1),COLUMN('Leverage Ratio'!F1),4), 1))</f>
        <v>Column F</v>
      </c>
      <c r="G10" s="706" t="str">
        <f>CONCATENATE("Column ", LEFT(ADDRESS(ROW('Leverage Ratio'!G1),COLUMN('Leverage Ratio'!G1),4), 1))</f>
        <v>Column G</v>
      </c>
      <c r="H10" s="706" t="str">
        <f>CONCATENATE("Column ", LEFT(ADDRESS(ROW('Leverage Ratio'!H1),COLUMN('Leverage Ratio'!H1),4), 1))</f>
        <v>Column H</v>
      </c>
      <c r="I10" s="706" t="str">
        <f>CONCATENATE("Column ", LEFT(ADDRESS(ROW('Leverage Ratio'!J1),COLUMN('Leverage Ratio'!J1),4), 1))</f>
        <v>Column J</v>
      </c>
      <c r="J10" s="706" t="str">
        <f>CONCATENATE("Column ", LEFT(ADDRESS(ROW('Leverage Ratio'!K1),COLUMN('Leverage Ratio'!K1),4), 1))</f>
        <v>Column K</v>
      </c>
      <c r="K10" s="706" t="str">
        <f>CONCATENATE("Column ", LEFT(ADDRESS(ROW('Leverage Ratio'!L1),COLUMN('Leverage Ratio'!L1),4), 1))</f>
        <v>Column L</v>
      </c>
      <c r="L10" s="706" t="str">
        <f>CONCATENATE("Column ", LEFT(ADDRESS(ROW('Leverage Ratio'!M1),COLUMN('Leverage Ratio'!M1),4), 1))</f>
        <v>Column M</v>
      </c>
      <c r="M10" s="534" t="str">
        <f>CONCATENATE("Column ", LEFT(ADDRESS(ROW('Leverage Ratio'!N1),COLUMN('Leverage Ratio'!N1),4), 1))</f>
        <v>Column N</v>
      </c>
      <c r="N10" s="1373"/>
    </row>
    <row r="11" spans="1:14" s="769" customFormat="1" ht="15" customHeight="1" x14ac:dyDescent="0.25">
      <c r="A11" s="1369"/>
      <c r="B11" s="90" t="s">
        <v>314</v>
      </c>
      <c r="C11" s="91" t="str">
        <f>CONCATENATE('Leverage Ratio'!$H$7, ": ", 'Leverage Ratio'!C10)</f>
        <v>Check: accounting ≤ gross value:    Credit derivatives (protection sold)</v>
      </c>
      <c r="D11" s="535"/>
      <c r="E11" s="535"/>
      <c r="F11" s="535"/>
      <c r="G11" s="535"/>
      <c r="H11" s="536" t="str">
        <f>'Leverage Ratio'!H10</f>
        <v>Yes</v>
      </c>
      <c r="I11" s="535"/>
      <c r="J11" s="535"/>
      <c r="K11" s="535"/>
      <c r="L11" s="535"/>
      <c r="M11" s="537" t="str">
        <f>'Leverage Ratio'!N10</f>
        <v>Yes</v>
      </c>
      <c r="N11" s="1373"/>
    </row>
    <row r="12" spans="1:14" s="769" customFormat="1" ht="15" customHeight="1" x14ac:dyDescent="0.25">
      <c r="A12" s="1369"/>
      <c r="B12" s="433" t="s">
        <v>314</v>
      </c>
      <c r="C12" s="438" t="str">
        <f>CONCATENATE('Leverage Ratio'!$H$7, ": ", 'Leverage Ratio'!C11)</f>
        <v>Check: accounting ≤ gross value:    Credit derivatives (protection bought)</v>
      </c>
      <c r="D12" s="294"/>
      <c r="E12" s="294"/>
      <c r="F12" s="294"/>
      <c r="G12" s="294"/>
      <c r="H12" s="28" t="str">
        <f>'Leverage Ratio'!H11</f>
        <v>Yes</v>
      </c>
      <c r="I12" s="294"/>
      <c r="J12" s="294"/>
      <c r="K12" s="294"/>
      <c r="L12" s="294"/>
      <c r="M12" s="538" t="str">
        <f>'Leverage Ratio'!N11</f>
        <v>Yes</v>
      </c>
      <c r="N12" s="1373"/>
    </row>
    <row r="13" spans="1:14" s="769" customFormat="1" ht="15" customHeight="1" x14ac:dyDescent="0.25">
      <c r="A13" s="1369"/>
      <c r="B13" s="433" t="s">
        <v>314</v>
      </c>
      <c r="C13" s="438" t="str">
        <f>CONCATENATE('Leverage Ratio'!$H$7, ": ", 'Leverage Ratio'!C12)</f>
        <v>Check: accounting ≤ gross value:    Financial derivatives</v>
      </c>
      <c r="D13" s="294"/>
      <c r="E13" s="294"/>
      <c r="F13" s="294"/>
      <c r="G13" s="294"/>
      <c r="H13" s="28" t="str">
        <f>'Leverage Ratio'!H12</f>
        <v>Yes</v>
      </c>
      <c r="I13" s="294"/>
      <c r="J13" s="294"/>
      <c r="K13" s="294"/>
      <c r="L13" s="294"/>
      <c r="M13" s="538" t="str">
        <f>'Leverage Ratio'!N12</f>
        <v>Yes</v>
      </c>
      <c r="N13" s="1373"/>
    </row>
    <row r="14" spans="1:14" s="769" customFormat="1" ht="15" customHeight="1" x14ac:dyDescent="0.25">
      <c r="A14" s="1369"/>
      <c r="B14" s="433" t="s">
        <v>314</v>
      </c>
      <c r="C14" s="438" t="str">
        <f>CONCATENATE('Leverage Ratio'!$H$7, ": ", 'Leverage Ratio'!C16)</f>
        <v>Check: accounting ≤ gross value: SFT agent transactions eligible for the exceptional treatment</v>
      </c>
      <c r="D14" s="294"/>
      <c r="E14" s="294"/>
      <c r="F14" s="294"/>
      <c r="G14" s="294"/>
      <c r="H14" s="28" t="str">
        <f>'Leverage Ratio'!H16</f>
        <v>Yes</v>
      </c>
      <c r="I14" s="294"/>
      <c r="J14" s="294"/>
      <c r="K14" s="294"/>
      <c r="L14" s="294"/>
      <c r="M14" s="538" t="str">
        <f>'Leverage Ratio'!N16</f>
        <v>Yes</v>
      </c>
      <c r="N14" s="1373"/>
    </row>
    <row r="15" spans="1:14" s="769" customFormat="1" ht="15" customHeight="1" x14ac:dyDescent="0.25">
      <c r="A15" s="1369"/>
      <c r="B15" s="433" t="s">
        <v>314</v>
      </c>
      <c r="C15" s="438" t="str">
        <f>CONCATENATE('Leverage Ratio'!$H$7, ": ", 'Leverage Ratio'!C17)</f>
        <v>Check: accounting ≤ gross value: Other SFTs</v>
      </c>
      <c r="D15" s="294"/>
      <c r="E15" s="294"/>
      <c r="F15" s="294"/>
      <c r="G15" s="294"/>
      <c r="H15" s="28" t="str">
        <f>'Leverage Ratio'!H17</f>
        <v>Yes</v>
      </c>
      <c r="I15" s="294"/>
      <c r="J15" s="294"/>
      <c r="K15" s="294"/>
      <c r="L15" s="294"/>
      <c r="M15" s="538" t="str">
        <f>'Leverage Ratio'!N17</f>
        <v>Yes</v>
      </c>
      <c r="N15" s="1373"/>
    </row>
    <row r="16" spans="1:14" s="769" customFormat="1" ht="15" customHeight="1" x14ac:dyDescent="0.25">
      <c r="A16" s="1369"/>
      <c r="B16" s="433" t="s">
        <v>314</v>
      </c>
      <c r="C16" s="438" t="str">
        <f>CONCATENATE('Leverage Ratio'!$H$7, ": ", 'Leverage Ratio'!C19)</f>
        <v>Check: accounting ≤ gross value: Accounting other assets</v>
      </c>
      <c r="D16" s="294"/>
      <c r="E16" s="294"/>
      <c r="F16" s="294"/>
      <c r="G16" s="294"/>
      <c r="H16" s="28" t="str">
        <f>'Leverage Ratio'!H19</f>
        <v>Yes</v>
      </c>
      <c r="I16" s="294"/>
      <c r="J16" s="294"/>
      <c r="K16" s="294"/>
      <c r="L16" s="294"/>
      <c r="M16" s="538" t="str">
        <f>'Leverage Ratio'!N19</f>
        <v>Yes</v>
      </c>
      <c r="N16" s="1373"/>
    </row>
    <row r="17" spans="1:14" s="769" customFormat="1" ht="15" customHeight="1" x14ac:dyDescent="0.25">
      <c r="A17" s="1369"/>
      <c r="B17" s="433" t="s">
        <v>314</v>
      </c>
      <c r="C17" s="439" t="str">
        <f>'Leverage Ratio'!C31:E31</f>
        <v>Check: sum of other assets of which items ≤ other assets</v>
      </c>
      <c r="D17" s="294"/>
      <c r="E17" s="28" t="str">
        <f>'Leverage Ratio'!E31</f>
        <v>Yes</v>
      </c>
      <c r="F17" s="294"/>
      <c r="G17" s="294"/>
      <c r="H17" s="294"/>
      <c r="I17" s="294"/>
      <c r="J17" s="28" t="str">
        <f>'Leverage Ratio'!K31</f>
        <v>Yes</v>
      </c>
      <c r="K17" s="294"/>
      <c r="L17" s="294"/>
      <c r="M17" s="532"/>
      <c r="N17" s="1373"/>
    </row>
    <row r="18" spans="1:14" s="769" customFormat="1" ht="15" customHeight="1" x14ac:dyDescent="0.25">
      <c r="A18" s="1369"/>
      <c r="B18" s="433" t="s">
        <v>315</v>
      </c>
      <c r="C18" s="438" t="str">
        <f>CONCATENATE('Leverage Ratio'!$G$36, ": ", 'Leverage Ratio'!C40)</f>
        <v>Check: notional ≥ accounting value: Credit derivatives (protection sold)</v>
      </c>
      <c r="D18" s="294"/>
      <c r="E18" s="294"/>
      <c r="F18" s="294"/>
      <c r="G18" s="28" t="str">
        <f>'Leverage Ratio'!G40</f>
        <v>Yes</v>
      </c>
      <c r="H18" s="294"/>
      <c r="I18" s="294"/>
      <c r="J18" s="294"/>
      <c r="K18" s="294"/>
      <c r="L18" s="28" t="str">
        <f>'Leverage Ratio'!M40</f>
        <v>Yes</v>
      </c>
      <c r="M18" s="532"/>
      <c r="N18" s="1373"/>
    </row>
    <row r="19" spans="1:14" s="769" customFormat="1" ht="15" customHeight="1" x14ac:dyDescent="0.25">
      <c r="A19" s="1369"/>
      <c r="B19" s="433" t="s">
        <v>315</v>
      </c>
      <c r="C19" s="438" t="str">
        <f>CONCATENATE('Leverage Ratio'!$G$36, ": ", 'Leverage Ratio'!C41)</f>
        <v>Check: notional ≥ accounting value: Credit derivatives (protection bought)</v>
      </c>
      <c r="D19" s="294"/>
      <c r="E19" s="294"/>
      <c r="F19" s="294"/>
      <c r="G19" s="28" t="str">
        <f>'Leverage Ratio'!G41</f>
        <v>Yes</v>
      </c>
      <c r="H19" s="294"/>
      <c r="I19" s="294"/>
      <c r="J19" s="294"/>
      <c r="K19" s="294"/>
      <c r="L19" s="28" t="str">
        <f>'Leverage Ratio'!M41</f>
        <v>Yes</v>
      </c>
      <c r="M19" s="532"/>
      <c r="N19" s="1373"/>
    </row>
    <row r="20" spans="1:14" s="769" customFormat="1" ht="15" customHeight="1" x14ac:dyDescent="0.25">
      <c r="A20" s="1369"/>
      <c r="B20" s="433" t="s">
        <v>315</v>
      </c>
      <c r="C20" s="438" t="str">
        <f>CONCATENATE('Leverage Ratio'!$G$36, ": ", 'Leverage Ratio'!C42)</f>
        <v>Check: notional ≥ accounting value: Financial derivatives</v>
      </c>
      <c r="D20" s="294"/>
      <c r="E20" s="294"/>
      <c r="F20" s="294"/>
      <c r="G20" s="28" t="str">
        <f>'Leverage Ratio'!G42</f>
        <v>Yes</v>
      </c>
      <c r="H20" s="294"/>
      <c r="I20" s="294"/>
      <c r="J20" s="294"/>
      <c r="K20" s="294"/>
      <c r="L20" s="28" t="str">
        <f>'Leverage Ratio'!M42</f>
        <v>Yes</v>
      </c>
      <c r="M20" s="532"/>
      <c r="N20" s="1373"/>
    </row>
    <row r="21" spans="1:14" s="769" customFormat="1" ht="15" customHeight="1" x14ac:dyDescent="0.25">
      <c r="A21" s="1369"/>
      <c r="B21" s="433" t="s">
        <v>315</v>
      </c>
      <c r="C21" s="438" t="str">
        <f>'Leverage Ratio'!C53</f>
        <v>Check: unconditionally cancellable commitments should not exceed off-balance items with a 0% CCF</v>
      </c>
      <c r="D21" s="294"/>
      <c r="E21" s="294"/>
      <c r="F21" s="28" t="str">
        <f>'Leverage Ratio'!F53</f>
        <v>Yes</v>
      </c>
      <c r="G21" s="294"/>
      <c r="H21" s="294"/>
      <c r="I21" s="294"/>
      <c r="J21" s="294"/>
      <c r="K21" s="28" t="str">
        <f>'Leverage Ratio'!L53</f>
        <v>Yes</v>
      </c>
      <c r="L21" s="294"/>
      <c r="M21" s="532"/>
      <c r="N21" s="1373"/>
    </row>
    <row r="22" spans="1:14" s="769" customFormat="1" ht="15" customHeight="1" x14ac:dyDescent="0.25">
      <c r="A22" s="1369"/>
      <c r="B22" s="433" t="s">
        <v>300</v>
      </c>
      <c r="C22" s="438" t="str">
        <f>'Leverage Ratio'!C75</f>
        <v>Check: total equals total accounting values in panel A</v>
      </c>
      <c r="D22" s="28" t="str">
        <f>'Leverage Ratio'!D75</f>
        <v>Yes</v>
      </c>
      <c r="E22" s="294"/>
      <c r="F22" s="294"/>
      <c r="G22" s="294"/>
      <c r="H22" s="294"/>
      <c r="I22" s="28" t="str">
        <f>'Leverage Ratio'!J75</f>
        <v>Yes</v>
      </c>
      <c r="J22" s="294"/>
      <c r="K22" s="294"/>
      <c r="L22" s="294"/>
      <c r="M22" s="532"/>
      <c r="N22" s="1373"/>
    </row>
    <row r="23" spans="1:14" s="769" customFormat="1" ht="15" customHeight="1" x14ac:dyDescent="0.25">
      <c r="A23" s="1369"/>
      <c r="B23" s="433" t="s">
        <v>300</v>
      </c>
      <c r="C23" s="438" t="str">
        <f>'Leverage Ratio'!C81</f>
        <v>Check: total equals total gross values in panel A</v>
      </c>
      <c r="D23" s="28" t="str">
        <f>'Leverage Ratio'!D81</f>
        <v>Yes</v>
      </c>
      <c r="E23" s="294"/>
      <c r="F23" s="294"/>
      <c r="G23" s="294"/>
      <c r="H23" s="294"/>
      <c r="I23" s="28" t="str">
        <f>'Leverage Ratio'!J81</f>
        <v>Yes</v>
      </c>
      <c r="J23" s="294"/>
      <c r="K23" s="294"/>
      <c r="L23" s="294"/>
      <c r="M23" s="532"/>
      <c r="N23" s="1373"/>
    </row>
    <row r="24" spans="1:14" s="769" customFormat="1" ht="15" customHeight="1" x14ac:dyDescent="0.25">
      <c r="A24" s="1369"/>
      <c r="B24" s="433" t="s">
        <v>301</v>
      </c>
      <c r="C24" s="438" t="str">
        <f>'Leverage Ratio'!C92</f>
        <v>Check: credit derivatives (protection sold) should be the same as or less than that in panel B</v>
      </c>
      <c r="D24" s="28" t="str">
        <f>'Leverage Ratio'!D92</f>
        <v>Yes</v>
      </c>
      <c r="E24" s="294"/>
      <c r="F24" s="294"/>
      <c r="G24" s="294"/>
      <c r="H24" s="294"/>
      <c r="I24" s="28" t="str">
        <f>'Leverage Ratio'!J92</f>
        <v>Yes</v>
      </c>
      <c r="J24" s="294"/>
      <c r="K24" s="294"/>
      <c r="L24" s="294"/>
      <c r="M24" s="532"/>
      <c r="N24" s="1373"/>
    </row>
    <row r="25" spans="1:14" s="769" customFormat="1" ht="15" customHeight="1" x14ac:dyDescent="0.25">
      <c r="A25" s="1369"/>
      <c r="B25" s="433" t="s">
        <v>301</v>
      </c>
      <c r="C25" s="438" t="str">
        <f>'Leverage Ratio'!C93</f>
        <v>Check: credit derivatives (protection bought) should be the same as or less than that in panel B</v>
      </c>
      <c r="D25" s="28" t="str">
        <f>'Leverage Ratio'!D93</f>
        <v>Yes</v>
      </c>
      <c r="E25" s="294"/>
      <c r="F25" s="294"/>
      <c r="G25" s="294"/>
      <c r="H25" s="294"/>
      <c r="I25" s="28" t="str">
        <f>'Leverage Ratio'!J93</f>
        <v>Yes</v>
      </c>
      <c r="J25" s="294"/>
      <c r="K25" s="294"/>
      <c r="L25" s="294"/>
      <c r="M25" s="532"/>
      <c r="N25" s="1373"/>
    </row>
    <row r="26" spans="1:14" s="769" customFormat="1" ht="15" customHeight="1" x14ac:dyDescent="0.25">
      <c r="A26" s="1369"/>
      <c r="B26" s="433" t="s">
        <v>301</v>
      </c>
      <c r="C26" s="438" t="str">
        <f>'Leverage Ratio'!C94</f>
        <v>Check: credit derivatives purchased are consistently filled-in (see reporting instructions for more details)</v>
      </c>
      <c r="D26" s="28" t="str">
        <f>'Leverage Ratio'!D94</f>
        <v>Yes</v>
      </c>
      <c r="E26" s="28" t="str">
        <f>'Leverage Ratio'!E94</f>
        <v>Yes</v>
      </c>
      <c r="F26" s="28" t="str">
        <f>'Leverage Ratio'!F94</f>
        <v>Yes</v>
      </c>
      <c r="G26" s="294"/>
      <c r="H26" s="294"/>
      <c r="I26" s="28" t="str">
        <f>'Leverage Ratio'!J94</f>
        <v>Yes</v>
      </c>
      <c r="J26" s="28" t="str">
        <f>'Leverage Ratio'!K94</f>
        <v>Yes</v>
      </c>
      <c r="K26" s="28" t="str">
        <f>'Leverage Ratio'!L94</f>
        <v>Yes</v>
      </c>
      <c r="L26" s="294"/>
      <c r="M26" s="532"/>
      <c r="N26" s="1373"/>
    </row>
    <row r="27" spans="1:14" s="769" customFormat="1" ht="15" customHeight="1" x14ac:dyDescent="0.25">
      <c r="A27" s="1369"/>
      <c r="B27" s="433" t="s">
        <v>636</v>
      </c>
      <c r="C27" s="438" t="s">
        <v>635</v>
      </c>
      <c r="D27" s="294"/>
      <c r="E27" s="28" t="str">
        <f>'Leverage Ratio'!E101</f>
        <v>No</v>
      </c>
      <c r="F27" s="294"/>
      <c r="G27" s="294"/>
      <c r="H27" s="294"/>
      <c r="I27" s="294"/>
      <c r="J27" s="28" t="str">
        <f>'Leverage Ratio'!K101</f>
        <v>No</v>
      </c>
      <c r="K27" s="294"/>
      <c r="L27" s="294"/>
      <c r="M27" s="532"/>
      <c r="N27" s="1373"/>
    </row>
    <row r="28" spans="1:14" s="769" customFormat="1" ht="15" customHeight="1" x14ac:dyDescent="0.25">
      <c r="A28" s="1369"/>
      <c r="B28" s="433" t="s">
        <v>166</v>
      </c>
      <c r="C28" s="438" t="str">
        <f>'Leverage Ratio'!C119</f>
        <v>Check: PFE with netting should not be greater than trade-level gross add-ons</v>
      </c>
      <c r="D28" s="28" t="str">
        <f>'Leverage Ratio'!D119</f>
        <v>Yes</v>
      </c>
      <c r="E28" s="28" t="str">
        <f>'Leverage Ratio'!E119</f>
        <v>Yes</v>
      </c>
      <c r="F28" s="294"/>
      <c r="G28" s="294"/>
      <c r="H28" s="294"/>
      <c r="I28" s="28" t="str">
        <f>'Leverage Ratio'!J119</f>
        <v>Yes</v>
      </c>
      <c r="J28" s="28" t="str">
        <f>'Leverage Ratio'!K119</f>
        <v>Yes</v>
      </c>
      <c r="K28" s="294"/>
      <c r="L28" s="294"/>
      <c r="M28" s="532"/>
      <c r="N28" s="1373"/>
    </row>
    <row r="29" spans="1:14" s="769" customFormat="1" ht="15" customHeight="1" x14ac:dyDescent="0.25">
      <c r="A29" s="1369"/>
      <c r="B29" s="433" t="s">
        <v>909</v>
      </c>
      <c r="C29" s="438" t="str">
        <f>'Leverage Ratio'!C128</f>
        <v>Check: Eligible cash variation margin received under criterion 1 cannot be greater than under Q1 of the FAQs</v>
      </c>
      <c r="D29" s="28" t="str">
        <f>'Leverage Ratio'!D128</f>
        <v>Yes</v>
      </c>
      <c r="E29" s="294"/>
      <c r="F29" s="294"/>
      <c r="G29" s="294"/>
      <c r="H29" s="294"/>
      <c r="I29" s="28" t="str">
        <f>'Leverage Ratio'!J128</f>
        <v>Yes</v>
      </c>
      <c r="J29" s="294"/>
      <c r="K29" s="294"/>
      <c r="L29" s="294"/>
      <c r="M29" s="532"/>
      <c r="N29" s="1373"/>
    </row>
    <row r="30" spans="1:14" s="769" customFormat="1" ht="15" customHeight="1" x14ac:dyDescent="0.25">
      <c r="A30" s="1369"/>
      <c r="B30" s="433" t="s">
        <v>909</v>
      </c>
      <c r="C30" s="438" t="str">
        <f>'Leverage Ratio'!C129</f>
        <v>Check: Eligible cash variation margin received under criterion 2 cannot be greater than under Q1 of the FAQs</v>
      </c>
      <c r="D30" s="28" t="str">
        <f>'Leverage Ratio'!D129</f>
        <v>Yes</v>
      </c>
      <c r="E30" s="294"/>
      <c r="F30" s="294"/>
      <c r="G30" s="294"/>
      <c r="H30" s="294"/>
      <c r="I30" s="28" t="str">
        <f>'Leverage Ratio'!J129</f>
        <v>Yes</v>
      </c>
      <c r="J30" s="294"/>
      <c r="K30" s="294"/>
      <c r="L30" s="294"/>
      <c r="M30" s="532"/>
      <c r="N30" s="1373"/>
    </row>
    <row r="31" spans="1:14" s="769" customFormat="1" ht="15" customHeight="1" x14ac:dyDescent="0.25">
      <c r="A31" s="1369"/>
      <c r="B31" s="433" t="s">
        <v>909</v>
      </c>
      <c r="C31" s="438" t="str">
        <f>'Leverage Ratio'!C130</f>
        <v>Check: Eligible cash variation margin received under criterion 2 cannot be greater than under criterion 1</v>
      </c>
      <c r="D31" s="28" t="str">
        <f>'Leverage Ratio'!D130</f>
        <v>Yes</v>
      </c>
      <c r="E31" s="294"/>
      <c r="F31" s="294"/>
      <c r="G31" s="294"/>
      <c r="H31" s="294"/>
      <c r="I31" s="28" t="str">
        <f>'Leverage Ratio'!J130</f>
        <v>Yes</v>
      </c>
      <c r="J31" s="294"/>
      <c r="K31" s="294"/>
      <c r="L31" s="294"/>
      <c r="M31" s="532"/>
      <c r="N31" s="1373"/>
    </row>
    <row r="32" spans="1:14" s="769" customFormat="1" ht="30" customHeight="1" x14ac:dyDescent="0.25">
      <c r="A32" s="1369"/>
      <c r="B32" s="433" t="s">
        <v>909</v>
      </c>
      <c r="C32" s="438" t="str">
        <f>'Leverage Ratio'!C134</f>
        <v>Check: Amount of receivables for eligible cash variation margin provided under criterion 1 cannot be greater than under Q1 of the FAQs</v>
      </c>
      <c r="D32" s="28" t="str">
        <f>'Leverage Ratio'!D134</f>
        <v>Yes</v>
      </c>
      <c r="E32" s="294"/>
      <c r="F32" s="294"/>
      <c r="G32" s="294"/>
      <c r="H32" s="294"/>
      <c r="I32" s="28" t="str">
        <f>'Leverage Ratio'!J134</f>
        <v>Yes</v>
      </c>
      <c r="J32" s="294"/>
      <c r="K32" s="294"/>
      <c r="L32" s="294"/>
      <c r="M32" s="532"/>
      <c r="N32" s="1373"/>
    </row>
    <row r="33" spans="1:14" s="769" customFormat="1" ht="30" customHeight="1" x14ac:dyDescent="0.25">
      <c r="A33" s="1369"/>
      <c r="B33" s="433" t="s">
        <v>909</v>
      </c>
      <c r="C33" s="438" t="str">
        <f>'Leverage Ratio'!C135</f>
        <v>Check: Amount of receivables for eligible cash variation margin provided under criterion 2 cannot be greater than under Q1 of the FAQs</v>
      </c>
      <c r="D33" s="28" t="str">
        <f>'Leverage Ratio'!D135</f>
        <v>Yes</v>
      </c>
      <c r="E33" s="294"/>
      <c r="F33" s="294"/>
      <c r="G33" s="294"/>
      <c r="H33" s="294"/>
      <c r="I33" s="28" t="str">
        <f>'Leverage Ratio'!J135</f>
        <v>Yes</v>
      </c>
      <c r="J33" s="294"/>
      <c r="K33" s="294"/>
      <c r="L33" s="294"/>
      <c r="M33" s="532"/>
      <c r="N33" s="1373"/>
    </row>
    <row r="34" spans="1:14" s="769" customFormat="1" ht="15" customHeight="1" x14ac:dyDescent="0.25">
      <c r="A34" s="1369"/>
      <c r="B34" s="433" t="s">
        <v>909</v>
      </c>
      <c r="C34" s="438" t="str">
        <f>'Leverage Ratio'!C136</f>
        <v>Check: Eligible cash variation margin provided under criterion 2 cannot be greater than under criterion 1</v>
      </c>
      <c r="D34" s="28" t="str">
        <f>'Leverage Ratio'!D136</f>
        <v>Yes</v>
      </c>
      <c r="E34" s="294"/>
      <c r="F34" s="294"/>
      <c r="G34" s="294"/>
      <c r="H34" s="294"/>
      <c r="I34" s="28" t="str">
        <f>'Leverage Ratio'!J136</f>
        <v>Yes</v>
      </c>
      <c r="J34" s="294"/>
      <c r="K34" s="294"/>
      <c r="L34" s="294"/>
      <c r="M34" s="532"/>
      <c r="N34" s="1373"/>
    </row>
    <row r="35" spans="1:14" s="769" customFormat="1" ht="15" customHeight="1" x14ac:dyDescent="0.25">
      <c r="A35" s="1369"/>
      <c r="B35" s="433" t="s">
        <v>1051</v>
      </c>
      <c r="C35" s="438" t="str">
        <f>'Leverage Ratio'!C169</f>
        <v>Check: PSEs in rows 167 and 168 should be less than or equal to overall PSEs in row 166</v>
      </c>
      <c r="D35" s="294"/>
      <c r="E35" s="294"/>
      <c r="F35" s="294"/>
      <c r="G35" s="294"/>
      <c r="H35" s="294"/>
      <c r="I35" s="28" t="str">
        <f>'Leverage Ratio'!J169</f>
        <v>Yes</v>
      </c>
      <c r="J35" s="294"/>
      <c r="K35" s="294"/>
      <c r="L35" s="294"/>
      <c r="M35" s="532"/>
      <c r="N35" s="1373"/>
    </row>
    <row r="36" spans="1:14" s="769" customFormat="1" ht="15" customHeight="1" x14ac:dyDescent="0.25">
      <c r="A36" s="1369"/>
      <c r="B36" s="433" t="s">
        <v>1051</v>
      </c>
      <c r="C36" s="438" t="str">
        <f>'Leverage Ratio'!C186</f>
        <v>Check: securitisation exposures should be lower than or equal total other exposures</v>
      </c>
      <c r="D36" s="294"/>
      <c r="E36" s="294"/>
      <c r="F36" s="294"/>
      <c r="G36" s="294"/>
      <c r="H36" s="294"/>
      <c r="I36" s="28" t="str">
        <f>'Leverage Ratio'!J186</f>
        <v>Yes</v>
      </c>
      <c r="J36" s="294"/>
      <c r="K36" s="294"/>
      <c r="L36" s="294"/>
      <c r="M36" s="532"/>
      <c r="N36" s="1373"/>
    </row>
    <row r="37" spans="1:14" s="769" customFormat="1" ht="15" customHeight="1" x14ac:dyDescent="0.25">
      <c r="A37" s="1369"/>
      <c r="B37" s="433" t="s">
        <v>1051</v>
      </c>
      <c r="C37" s="438" t="str">
        <f>'Leverage Ratio'!C188</f>
        <v>Check: total value in cell J157 should equal total exposures in panels A, B and E</v>
      </c>
      <c r="D37" s="294"/>
      <c r="E37" s="294"/>
      <c r="F37" s="294"/>
      <c r="G37" s="294"/>
      <c r="H37" s="294"/>
      <c r="I37" s="28" t="str">
        <f>'Leverage Ratio'!J188</f>
        <v>Yes</v>
      </c>
      <c r="J37" s="294"/>
      <c r="K37" s="294"/>
      <c r="L37" s="294"/>
      <c r="M37" s="532"/>
      <c r="N37" s="1373"/>
    </row>
    <row r="38" spans="1:14" s="769" customFormat="1" ht="15" customHeight="1" x14ac:dyDescent="0.25">
      <c r="A38" s="1369"/>
      <c r="B38" s="61" t="s">
        <v>1052</v>
      </c>
      <c r="C38" s="530" t="str">
        <f>'Leverage Ratio'!C197</f>
        <v>Check: notional ≥ OEM value</v>
      </c>
      <c r="D38" s="295"/>
      <c r="E38" s="295"/>
      <c r="F38" s="295"/>
      <c r="G38" s="295"/>
      <c r="H38" s="295"/>
      <c r="I38" s="539" t="str">
        <f>'Leverage Ratio'!J197</f>
        <v>Yes</v>
      </c>
      <c r="J38" s="295"/>
      <c r="K38" s="295"/>
      <c r="L38" s="295"/>
      <c r="M38" s="1580"/>
      <c r="N38" s="1373"/>
    </row>
    <row r="39" spans="1:14" s="769" customFormat="1" ht="15" customHeight="1" x14ac:dyDescent="0.25">
      <c r="A39" s="1369"/>
      <c r="B39" s="1368"/>
      <c r="C39" s="1368"/>
      <c r="D39" s="1368"/>
      <c r="E39" s="1368"/>
      <c r="F39" s="1368"/>
      <c r="G39" s="1368"/>
      <c r="H39" s="1368"/>
      <c r="I39" s="1368"/>
      <c r="J39" s="1368"/>
      <c r="K39" s="1368"/>
      <c r="L39" s="1368"/>
      <c r="M39" s="533"/>
      <c r="N39" s="1373"/>
    </row>
    <row r="40" spans="1:14" s="732" customFormat="1" ht="30" customHeight="1" x14ac:dyDescent="0.3">
      <c r="A40" s="1363" t="s">
        <v>1422</v>
      </c>
      <c r="B40" s="1366"/>
      <c r="C40" s="1366"/>
      <c r="D40" s="1366"/>
      <c r="E40" s="1366"/>
      <c r="F40" s="1366"/>
      <c r="G40" s="1366"/>
      <c r="H40" s="1366"/>
      <c r="I40" s="1366"/>
      <c r="J40" s="1366"/>
      <c r="K40" s="1366"/>
      <c r="L40" s="1366"/>
      <c r="M40" s="1366"/>
      <c r="N40" s="1367"/>
    </row>
    <row r="41" spans="1:14" s="769" customFormat="1" ht="15" customHeight="1" x14ac:dyDescent="0.25">
      <c r="A41" s="1369"/>
      <c r="B41" s="1368"/>
      <c r="C41" s="1368"/>
      <c r="D41" s="1368"/>
      <c r="E41" s="1368"/>
      <c r="F41" s="1368"/>
      <c r="G41" s="1368"/>
      <c r="H41" s="1368"/>
      <c r="I41" s="1368"/>
      <c r="J41" s="1368"/>
      <c r="K41" s="1368"/>
      <c r="L41" s="1368"/>
      <c r="M41" s="1368"/>
      <c r="N41" s="1373"/>
    </row>
    <row r="42" spans="1:14" s="769" customFormat="1" ht="15" customHeight="1" x14ac:dyDescent="0.25">
      <c r="A42" s="1369"/>
      <c r="B42" s="1605" t="s">
        <v>64</v>
      </c>
      <c r="C42" s="528" t="s">
        <v>65</v>
      </c>
      <c r="D42" s="706" t="str">
        <f>CONCATENATE("Column ", LEFT(ADDRESS(ROW(LCR!D1),COLUMN(LCR!D1),4), 1))</f>
        <v>Column D</v>
      </c>
      <c r="E42" s="706" t="str">
        <f>CONCATENATE("Column ", LEFT(ADDRESS(ROW(LCR!E1),COLUMN(LCR!E1),4), 1))</f>
        <v>Column E</v>
      </c>
      <c r="F42" s="706" t="str">
        <f>CONCATENATE("Column ", LEFT(ADDRESS(ROW(LCR!F1),COLUMN(LCR!F1),4), 1))</f>
        <v>Column F</v>
      </c>
      <c r="G42" s="1584" t="str">
        <f>CONCATENATE("Column ", LEFT(ADDRESS(ROW(LCR!G1),COLUMN(LCR!G1),4), 1))</f>
        <v>Column G</v>
      </c>
      <c r="H42" s="1368"/>
      <c r="I42" s="1368"/>
      <c r="J42" s="1368"/>
      <c r="K42" s="1368"/>
      <c r="L42" s="1368"/>
      <c r="M42" s="1368"/>
      <c r="N42" s="1373"/>
    </row>
    <row r="43" spans="1:14" s="769" customFormat="1" ht="15" customHeight="1" x14ac:dyDescent="0.25">
      <c r="A43" s="1369"/>
      <c r="B43" s="90" t="s">
        <v>167</v>
      </c>
      <c r="C43" s="91" t="str">
        <f>LCR!B9</f>
        <v>Check: row 8 ≤ row 7</v>
      </c>
      <c r="D43" s="540" t="str">
        <f>LCR!D9</f>
        <v>Pass</v>
      </c>
      <c r="E43" s="535"/>
      <c r="F43" s="535"/>
      <c r="G43" s="541"/>
      <c r="H43" s="1368"/>
      <c r="I43" s="1368"/>
      <c r="J43" s="1368"/>
      <c r="K43" s="1368"/>
      <c r="L43" s="1368"/>
      <c r="M43" s="1368"/>
      <c r="N43" s="1373"/>
    </row>
    <row r="44" spans="1:14" s="769" customFormat="1" ht="15" customHeight="1" x14ac:dyDescent="0.25">
      <c r="A44" s="1369"/>
      <c r="B44" s="433" t="s">
        <v>168</v>
      </c>
      <c r="C44" s="438" t="str">
        <f>LCR!B59</f>
        <v>Check: row 58 ≤ row 57</v>
      </c>
      <c r="D44" s="164" t="str">
        <f>LCR!D59</f>
        <v>Pass</v>
      </c>
      <c r="E44" s="164" t="str">
        <f>LCR!E59</f>
        <v>Pass</v>
      </c>
      <c r="F44" s="164" t="str">
        <f>LCR!F59</f>
        <v>Pass</v>
      </c>
      <c r="G44" s="359" t="str">
        <f>LCR!G59</f>
        <v>Pass</v>
      </c>
      <c r="H44" s="1368"/>
      <c r="I44" s="1368"/>
      <c r="J44" s="1368"/>
      <c r="K44" s="1368"/>
      <c r="L44" s="1368"/>
      <c r="M44" s="1368"/>
      <c r="N44" s="1373"/>
    </row>
    <row r="45" spans="1:14" s="769" customFormat="1" ht="15" customHeight="1" x14ac:dyDescent="0.25">
      <c r="A45" s="1369"/>
      <c r="B45" s="433" t="s">
        <v>168</v>
      </c>
      <c r="C45" s="438" t="str">
        <f>LCR!B62</f>
        <v>Check: row 61 ≤ row 60</v>
      </c>
      <c r="D45" s="164" t="str">
        <f>LCR!D62</f>
        <v>Pass</v>
      </c>
      <c r="E45" s="164" t="str">
        <f>LCR!E62</f>
        <v>Pass</v>
      </c>
      <c r="F45" s="164" t="str">
        <f>LCR!F62</f>
        <v>Pass</v>
      </c>
      <c r="G45" s="359" t="str">
        <f>LCR!G62</f>
        <v>Pass</v>
      </c>
      <c r="H45" s="1368"/>
      <c r="I45" s="1368"/>
      <c r="J45" s="1368"/>
      <c r="K45" s="1368"/>
      <c r="L45" s="1368"/>
      <c r="M45" s="1368"/>
      <c r="N45" s="1373"/>
    </row>
    <row r="46" spans="1:14" s="769" customFormat="1" ht="15" customHeight="1" x14ac:dyDescent="0.25">
      <c r="A46" s="1369"/>
      <c r="B46" s="433" t="s">
        <v>169</v>
      </c>
      <c r="C46" s="438" t="str">
        <f>LCR!B171</f>
        <v>Check: row 170 ≤ sum of rows 163 and 164</v>
      </c>
      <c r="D46" s="164" t="str">
        <f>LCR!D171</f>
        <v>Pass</v>
      </c>
      <c r="E46" s="294"/>
      <c r="F46" s="294"/>
      <c r="G46" s="532"/>
      <c r="H46" s="1368"/>
      <c r="I46" s="1368"/>
      <c r="J46" s="1368"/>
      <c r="K46" s="1368"/>
      <c r="L46" s="1368"/>
      <c r="M46" s="1368"/>
      <c r="N46" s="1373"/>
    </row>
    <row r="47" spans="1:14" s="769" customFormat="1" ht="15" customHeight="1" x14ac:dyDescent="0.25">
      <c r="A47" s="1369"/>
      <c r="B47" s="433" t="s">
        <v>169</v>
      </c>
      <c r="C47" s="438" t="str">
        <f>LCR!B173</f>
        <v>Check: row 172 ≤ sum of rows 163 and 164</v>
      </c>
      <c r="D47" s="164" t="str">
        <f>LCR!D173</f>
        <v>Pass</v>
      </c>
      <c r="E47" s="294"/>
      <c r="F47" s="294"/>
      <c r="G47" s="532"/>
      <c r="H47" s="1368"/>
      <c r="I47" s="1368"/>
      <c r="J47" s="1368"/>
      <c r="K47" s="1368"/>
      <c r="L47" s="1368"/>
      <c r="M47" s="1368"/>
      <c r="N47" s="1373"/>
    </row>
    <row r="48" spans="1:14" s="769" customFormat="1" ht="15" customHeight="1" x14ac:dyDescent="0.25">
      <c r="A48" s="1369"/>
      <c r="B48" s="433" t="s">
        <v>169</v>
      </c>
      <c r="C48" s="438" t="str">
        <f>LCR!B175</f>
        <v>Check: row 174 ≤ sum of rows 156 to 164</v>
      </c>
      <c r="D48" s="164" t="str">
        <f>LCR!D175</f>
        <v>Pass</v>
      </c>
      <c r="E48" s="294"/>
      <c r="F48" s="294"/>
      <c r="G48" s="532"/>
      <c r="H48" s="1368"/>
      <c r="I48" s="1368"/>
      <c r="J48" s="1368"/>
      <c r="K48" s="1368"/>
      <c r="L48" s="1368"/>
      <c r="M48" s="1368"/>
      <c r="N48" s="1373"/>
    </row>
    <row r="49" spans="1:14" s="769" customFormat="1" ht="15" customHeight="1" x14ac:dyDescent="0.25">
      <c r="A49" s="1369"/>
      <c r="B49" s="433" t="s">
        <v>100</v>
      </c>
      <c r="C49" s="438" t="str">
        <f>LCR!B181</f>
        <v>Check: row 180 ≤ row 179</v>
      </c>
      <c r="D49" s="164" t="str">
        <f>LCR!D181</f>
        <v>Pass</v>
      </c>
      <c r="E49" s="164" t="str">
        <f>LCR!E181</f>
        <v>Pass</v>
      </c>
      <c r="F49" s="294"/>
      <c r="G49" s="532"/>
      <c r="H49" s="1368"/>
      <c r="I49" s="1368"/>
      <c r="J49" s="1368"/>
      <c r="K49" s="1368"/>
      <c r="L49" s="1368"/>
      <c r="M49" s="1368"/>
      <c r="N49" s="1373"/>
    </row>
    <row r="50" spans="1:14" s="769" customFormat="1" ht="15" customHeight="1" x14ac:dyDescent="0.25">
      <c r="A50" s="1369"/>
      <c r="B50" s="433" t="s">
        <v>100</v>
      </c>
      <c r="C50" s="438" t="str">
        <f>LCR!B184</f>
        <v>Check: row 183 ≤ row 182</v>
      </c>
      <c r="D50" s="164" t="str">
        <f>LCR!D184</f>
        <v>Pass</v>
      </c>
      <c r="E50" s="164" t="str">
        <f>LCR!E184</f>
        <v>Pass</v>
      </c>
      <c r="F50" s="294"/>
      <c r="G50" s="532"/>
      <c r="H50" s="1368"/>
      <c r="I50" s="1368"/>
      <c r="J50" s="1368"/>
      <c r="K50" s="1368"/>
      <c r="L50" s="1368"/>
      <c r="M50" s="1368"/>
      <c r="N50" s="1373"/>
    </row>
    <row r="51" spans="1:14" s="769" customFormat="1" ht="15" customHeight="1" x14ac:dyDescent="0.25">
      <c r="A51" s="1369"/>
      <c r="B51" s="433" t="s">
        <v>100</v>
      </c>
      <c r="C51" s="438" t="str">
        <f>LCR!B187</f>
        <v>Check: row 186 ≤ row 185</v>
      </c>
      <c r="D51" s="164" t="str">
        <f>LCR!D187</f>
        <v>Pass</v>
      </c>
      <c r="E51" s="164" t="str">
        <f>LCR!E187</f>
        <v>Pass</v>
      </c>
      <c r="F51" s="294"/>
      <c r="G51" s="532"/>
      <c r="H51" s="1368"/>
      <c r="I51" s="1368"/>
      <c r="J51" s="1368"/>
      <c r="K51" s="1368"/>
      <c r="L51" s="1368"/>
      <c r="M51" s="1368"/>
      <c r="N51" s="1373"/>
    </row>
    <row r="52" spans="1:14" s="769" customFormat="1" ht="15" customHeight="1" x14ac:dyDescent="0.25">
      <c r="A52" s="1369"/>
      <c r="B52" s="433" t="s">
        <v>100</v>
      </c>
      <c r="C52" s="438" t="str">
        <f>LCR!B190</f>
        <v>Check: row 189 ≤ row 188</v>
      </c>
      <c r="D52" s="164" t="str">
        <f>LCR!D190</f>
        <v>Pass</v>
      </c>
      <c r="E52" s="164" t="str">
        <f>LCR!E190</f>
        <v>Pass</v>
      </c>
      <c r="F52" s="294"/>
      <c r="G52" s="532"/>
      <c r="H52" s="1368"/>
      <c r="I52" s="1368"/>
      <c r="J52" s="1368"/>
      <c r="K52" s="1368"/>
      <c r="L52" s="1368"/>
      <c r="M52" s="1368"/>
      <c r="N52" s="1373"/>
    </row>
    <row r="53" spans="1:14" s="769" customFormat="1" ht="15" customHeight="1" x14ac:dyDescent="0.25">
      <c r="A53" s="158"/>
      <c r="B53" s="433" t="s">
        <v>100</v>
      </c>
      <c r="C53" s="438" t="str">
        <f>LCR!B194</f>
        <v>Check: row 193 ≤ row 192</v>
      </c>
      <c r="D53" s="164" t="str">
        <f>LCR!D194</f>
        <v>Pass</v>
      </c>
      <c r="E53" s="164" t="str">
        <f>LCR!E194</f>
        <v>Pass</v>
      </c>
      <c r="F53" s="294"/>
      <c r="G53" s="532"/>
      <c r="H53" s="1433"/>
      <c r="I53" s="1433"/>
      <c r="J53" s="1433"/>
      <c r="K53" s="1433"/>
      <c r="L53" s="1433"/>
      <c r="M53" s="1433"/>
      <c r="N53" s="148"/>
    </row>
    <row r="54" spans="1:14" s="769" customFormat="1" ht="15" customHeight="1" x14ac:dyDescent="0.25">
      <c r="A54" s="158"/>
      <c r="B54" s="433" t="s">
        <v>100</v>
      </c>
      <c r="C54" s="438" t="str">
        <f>LCR!B197</f>
        <v>Check: row 196 ≤ row 195</v>
      </c>
      <c r="D54" s="164" t="str">
        <f>LCR!D197</f>
        <v>Pass</v>
      </c>
      <c r="E54" s="164" t="str">
        <f>LCR!E197</f>
        <v>Pass</v>
      </c>
      <c r="F54" s="294"/>
      <c r="G54" s="532"/>
      <c r="H54" s="1433"/>
      <c r="I54" s="1433"/>
      <c r="J54" s="1433"/>
      <c r="K54" s="1433"/>
      <c r="L54" s="1433"/>
      <c r="M54" s="1433"/>
      <c r="N54" s="148"/>
    </row>
    <row r="55" spans="1:14" s="769" customFormat="1" ht="15" customHeight="1" x14ac:dyDescent="0.25">
      <c r="A55" s="158"/>
      <c r="B55" s="433" t="s">
        <v>100</v>
      </c>
      <c r="C55" s="438" t="str">
        <f>LCR!B200</f>
        <v>Check: row 199 ≤ row 198</v>
      </c>
      <c r="D55" s="164" t="str">
        <f>LCR!D200</f>
        <v>Pass</v>
      </c>
      <c r="E55" s="164" t="str">
        <f>LCR!E200</f>
        <v>Pass</v>
      </c>
      <c r="F55" s="294"/>
      <c r="G55" s="532"/>
      <c r="H55" s="1433"/>
      <c r="I55" s="1433"/>
      <c r="J55" s="1433"/>
      <c r="K55" s="1433"/>
      <c r="L55" s="1433"/>
      <c r="M55" s="1433"/>
      <c r="N55" s="148"/>
    </row>
    <row r="56" spans="1:14" s="769" customFormat="1" ht="15" customHeight="1" x14ac:dyDescent="0.25">
      <c r="A56" s="158"/>
      <c r="B56" s="433" t="s">
        <v>100</v>
      </c>
      <c r="C56" s="438" t="str">
        <f>LCR!B204</f>
        <v>Check: row 203 ≤ row 202</v>
      </c>
      <c r="D56" s="164" t="str">
        <f>LCR!D204</f>
        <v>Pass</v>
      </c>
      <c r="E56" s="164" t="str">
        <f>LCR!E204</f>
        <v>Pass</v>
      </c>
      <c r="F56" s="294"/>
      <c r="G56" s="532"/>
      <c r="H56" s="1433"/>
      <c r="I56" s="1433"/>
      <c r="J56" s="1433"/>
      <c r="K56" s="1433"/>
      <c r="L56" s="1433"/>
      <c r="M56" s="1433"/>
      <c r="N56" s="148"/>
    </row>
    <row r="57" spans="1:14" s="769" customFormat="1" ht="15" customHeight="1" x14ac:dyDescent="0.25">
      <c r="A57" s="158"/>
      <c r="B57" s="433" t="s">
        <v>100</v>
      </c>
      <c r="C57" s="438" t="str">
        <f>LCR!B207</f>
        <v>Check: row 206 ≤ row 205</v>
      </c>
      <c r="D57" s="164" t="str">
        <f>LCR!D207</f>
        <v>Pass</v>
      </c>
      <c r="E57" s="164" t="str">
        <f>LCR!E207</f>
        <v>Pass</v>
      </c>
      <c r="F57" s="294"/>
      <c r="G57" s="532"/>
      <c r="H57" s="1433"/>
      <c r="I57" s="1433"/>
      <c r="J57" s="1433"/>
      <c r="K57" s="1433"/>
      <c r="L57" s="1433"/>
      <c r="M57" s="1433"/>
      <c r="N57" s="148"/>
    </row>
    <row r="58" spans="1:14" s="769" customFormat="1" ht="15" customHeight="1" x14ac:dyDescent="0.25">
      <c r="A58" s="158"/>
      <c r="B58" s="433" t="s">
        <v>101</v>
      </c>
      <c r="C58" s="438" t="str">
        <f>LCR!B278</f>
        <v>Check: row 277 ≤ row 276</v>
      </c>
      <c r="D58" s="164" t="str">
        <f>LCR!D278</f>
        <v>Pass</v>
      </c>
      <c r="E58" s="164" t="str">
        <f>LCR!E278</f>
        <v>Pass</v>
      </c>
      <c r="F58" s="294"/>
      <c r="G58" s="532"/>
      <c r="H58" s="1433"/>
      <c r="I58" s="1433"/>
      <c r="J58" s="1433"/>
      <c r="K58" s="1433"/>
      <c r="L58" s="1433"/>
      <c r="M58" s="1433"/>
      <c r="N58" s="148"/>
    </row>
    <row r="59" spans="1:14" s="769" customFormat="1" ht="15" customHeight="1" x14ac:dyDescent="0.25">
      <c r="A59" s="158"/>
      <c r="B59" s="433" t="s">
        <v>101</v>
      </c>
      <c r="C59" s="438" t="str">
        <f>LCR!B281</f>
        <v>Check: row 280 ≤ row 279</v>
      </c>
      <c r="D59" s="164" t="str">
        <f>LCR!D281</f>
        <v>Pass</v>
      </c>
      <c r="E59" s="164" t="str">
        <f>LCR!E281</f>
        <v>Pass</v>
      </c>
      <c r="F59" s="294"/>
      <c r="G59" s="532"/>
      <c r="H59" s="1433"/>
      <c r="I59" s="1433"/>
      <c r="J59" s="1433"/>
      <c r="K59" s="1433"/>
      <c r="L59" s="1433"/>
      <c r="M59" s="1433"/>
      <c r="N59" s="148"/>
    </row>
    <row r="60" spans="1:14" s="769" customFormat="1" ht="15" customHeight="1" x14ac:dyDescent="0.25">
      <c r="A60" s="158"/>
      <c r="B60" s="433" t="s">
        <v>101</v>
      </c>
      <c r="C60" s="438" t="str">
        <f>LCR!B284</f>
        <v>Check: row 283 ≤ row 282</v>
      </c>
      <c r="D60" s="164" t="str">
        <f>LCR!D284</f>
        <v>Pass</v>
      </c>
      <c r="E60" s="164" t="str">
        <f>LCR!E284</f>
        <v>Pass</v>
      </c>
      <c r="F60" s="294"/>
      <c r="G60" s="532"/>
      <c r="H60" s="1433"/>
      <c r="I60" s="1433"/>
      <c r="J60" s="1433"/>
      <c r="K60" s="1433"/>
      <c r="L60" s="1433"/>
      <c r="M60" s="1433"/>
      <c r="N60" s="148"/>
    </row>
    <row r="61" spans="1:14" s="769" customFormat="1" ht="15" customHeight="1" x14ac:dyDescent="0.25">
      <c r="A61" s="158"/>
      <c r="B61" s="433" t="s">
        <v>101</v>
      </c>
      <c r="C61" s="438" t="str">
        <f>LCR!B287</f>
        <v>Check: row 286 ≤ row 285</v>
      </c>
      <c r="D61" s="164" t="str">
        <f>LCR!D287</f>
        <v>Pass</v>
      </c>
      <c r="E61" s="164" t="str">
        <f>LCR!E287</f>
        <v>Pass</v>
      </c>
      <c r="F61" s="294"/>
      <c r="G61" s="532"/>
      <c r="H61" s="1433"/>
      <c r="I61" s="1433"/>
      <c r="J61" s="1433"/>
      <c r="K61" s="1433"/>
      <c r="L61" s="1433"/>
      <c r="M61" s="1433"/>
      <c r="N61" s="148"/>
    </row>
    <row r="62" spans="1:14" s="769" customFormat="1" ht="15" customHeight="1" x14ac:dyDescent="0.25">
      <c r="A62" s="158"/>
      <c r="B62" s="433" t="s">
        <v>102</v>
      </c>
      <c r="C62" s="438" t="str">
        <f>LCR!B334</f>
        <v>Check: row 333 ≤ row 332</v>
      </c>
      <c r="D62" s="164" t="str">
        <f>LCR!D334</f>
        <v>Pass</v>
      </c>
      <c r="E62" s="164" t="str">
        <f>LCR!E334</f>
        <v>Pass</v>
      </c>
      <c r="F62" s="294"/>
      <c r="G62" s="532"/>
      <c r="H62" s="1433"/>
      <c r="I62" s="1433"/>
      <c r="J62" s="1433"/>
      <c r="K62" s="1433"/>
      <c r="L62" s="1433"/>
      <c r="M62" s="1433"/>
      <c r="N62" s="148"/>
    </row>
    <row r="63" spans="1:14" s="769" customFormat="1" ht="15" customHeight="1" x14ac:dyDescent="0.25">
      <c r="A63" s="158"/>
      <c r="B63" s="433" t="s">
        <v>102</v>
      </c>
      <c r="C63" s="438" t="str">
        <f>LCR!B337</f>
        <v>Check: row 336 ≤ row 335</v>
      </c>
      <c r="D63" s="164" t="str">
        <f>LCR!D337</f>
        <v>Pass</v>
      </c>
      <c r="E63" s="164" t="str">
        <f>LCR!E337</f>
        <v>Pass</v>
      </c>
      <c r="F63" s="294"/>
      <c r="G63" s="532"/>
      <c r="H63" s="1433"/>
      <c r="I63" s="1433"/>
      <c r="J63" s="1433"/>
      <c r="K63" s="1433"/>
      <c r="L63" s="1433"/>
      <c r="M63" s="1433"/>
      <c r="N63" s="148"/>
    </row>
    <row r="64" spans="1:14" s="769" customFormat="1" ht="15" customHeight="1" x14ac:dyDescent="0.25">
      <c r="A64" s="158"/>
      <c r="B64" s="433" t="s">
        <v>102</v>
      </c>
      <c r="C64" s="438" t="str">
        <f>LCR!B340</f>
        <v>Check: row 339 ≤ row 338</v>
      </c>
      <c r="D64" s="164" t="str">
        <f>LCR!D340</f>
        <v>Pass</v>
      </c>
      <c r="E64" s="164" t="str">
        <f>LCR!E340</f>
        <v>Pass</v>
      </c>
      <c r="F64" s="294"/>
      <c r="G64" s="532"/>
      <c r="H64" s="1433"/>
      <c r="I64" s="1433"/>
      <c r="J64" s="1433"/>
      <c r="K64" s="1433"/>
      <c r="L64" s="1433"/>
      <c r="M64" s="1433"/>
      <c r="N64" s="148"/>
    </row>
    <row r="65" spans="1:14" s="769" customFormat="1" ht="15" customHeight="1" x14ac:dyDescent="0.25">
      <c r="A65" s="158"/>
      <c r="B65" s="433" t="s">
        <v>102</v>
      </c>
      <c r="C65" s="438" t="str">
        <f>LCR!B343</f>
        <v>Check: row 342 ≤ row 341</v>
      </c>
      <c r="D65" s="164" t="str">
        <f>LCR!D343</f>
        <v>Pass</v>
      </c>
      <c r="E65" s="164" t="str">
        <f>LCR!E343</f>
        <v>Pass</v>
      </c>
      <c r="F65" s="294"/>
      <c r="G65" s="532"/>
      <c r="H65" s="1433"/>
      <c r="I65" s="1433"/>
      <c r="J65" s="1433"/>
      <c r="K65" s="1433"/>
      <c r="L65" s="1433"/>
      <c r="M65" s="1433"/>
      <c r="N65" s="148"/>
    </row>
    <row r="66" spans="1:14" s="769" customFormat="1" ht="15" customHeight="1" x14ac:dyDescent="0.25">
      <c r="A66" s="158"/>
      <c r="B66" s="433" t="s">
        <v>102</v>
      </c>
      <c r="C66" s="438" t="str">
        <f>LCR!B346</f>
        <v>Check: row 345 ≤ row 344</v>
      </c>
      <c r="D66" s="164" t="str">
        <f>LCR!D346</f>
        <v>Pass</v>
      </c>
      <c r="E66" s="164" t="str">
        <f>LCR!E346</f>
        <v>Pass</v>
      </c>
      <c r="F66" s="294"/>
      <c r="G66" s="532"/>
      <c r="H66" s="1433"/>
      <c r="I66" s="1433"/>
      <c r="J66" s="1433"/>
      <c r="K66" s="1433"/>
      <c r="L66" s="1433"/>
      <c r="M66" s="1433"/>
      <c r="N66" s="148"/>
    </row>
    <row r="67" spans="1:14" s="769" customFormat="1" ht="15" customHeight="1" x14ac:dyDescent="0.25">
      <c r="A67" s="158"/>
      <c r="B67" s="433" t="s">
        <v>102</v>
      </c>
      <c r="C67" s="438" t="str">
        <f>LCR!B349</f>
        <v>Check: row 348 ≤ row 347</v>
      </c>
      <c r="D67" s="164" t="str">
        <f>LCR!D349</f>
        <v>Pass</v>
      </c>
      <c r="E67" s="164" t="str">
        <f>LCR!E349</f>
        <v>Pass</v>
      </c>
      <c r="F67" s="294"/>
      <c r="G67" s="532"/>
      <c r="H67" s="1433"/>
      <c r="I67" s="1433"/>
      <c r="J67" s="1433"/>
      <c r="K67" s="1433"/>
      <c r="L67" s="1433"/>
      <c r="M67" s="1433"/>
      <c r="N67" s="148"/>
    </row>
    <row r="68" spans="1:14" s="769" customFormat="1" ht="15" customHeight="1" x14ac:dyDescent="0.25">
      <c r="A68" s="158"/>
      <c r="B68" s="433" t="s">
        <v>102</v>
      </c>
      <c r="C68" s="438" t="str">
        <f>LCR!B352</f>
        <v>Check: row 351 ≤ row 350</v>
      </c>
      <c r="D68" s="164" t="str">
        <f>LCR!D352</f>
        <v>Pass</v>
      </c>
      <c r="E68" s="164" t="str">
        <f>LCR!E352</f>
        <v>Pass</v>
      </c>
      <c r="F68" s="294"/>
      <c r="G68" s="532"/>
      <c r="H68" s="1433"/>
      <c r="I68" s="1433"/>
      <c r="J68" s="1433"/>
      <c r="K68" s="1433"/>
      <c r="L68" s="1433"/>
      <c r="M68" s="1433"/>
      <c r="N68" s="148"/>
    </row>
    <row r="69" spans="1:14" s="769" customFormat="1" ht="15" customHeight="1" x14ac:dyDescent="0.25">
      <c r="A69" s="158"/>
      <c r="B69" s="433" t="s">
        <v>102</v>
      </c>
      <c r="C69" s="438" t="str">
        <f>LCR!B355</f>
        <v>Check: row 354 ≤ row 353</v>
      </c>
      <c r="D69" s="164" t="str">
        <f>LCR!D355</f>
        <v>Pass</v>
      </c>
      <c r="E69" s="164" t="str">
        <f>LCR!E355</f>
        <v>Pass</v>
      </c>
      <c r="F69" s="294"/>
      <c r="G69" s="532"/>
      <c r="H69" s="1433"/>
      <c r="I69" s="1433"/>
      <c r="J69" s="1433"/>
      <c r="K69" s="1433"/>
      <c r="L69" s="1433"/>
      <c r="M69" s="1433"/>
      <c r="N69" s="148"/>
    </row>
    <row r="70" spans="1:14" s="769" customFormat="1" ht="15" customHeight="1" x14ac:dyDescent="0.25">
      <c r="A70" s="158"/>
      <c r="B70" s="433" t="s">
        <v>102</v>
      </c>
      <c r="C70" s="438" t="str">
        <f>LCR!B358</f>
        <v>Check: row 357 ≤ row 356</v>
      </c>
      <c r="D70" s="164" t="str">
        <f>LCR!D358</f>
        <v>Pass</v>
      </c>
      <c r="E70" s="164" t="str">
        <f>LCR!E358</f>
        <v>Pass</v>
      </c>
      <c r="F70" s="294"/>
      <c r="G70" s="532"/>
      <c r="H70" s="1433"/>
      <c r="I70" s="1433"/>
      <c r="J70" s="1433"/>
      <c r="K70" s="1433"/>
      <c r="L70" s="1433"/>
      <c r="M70" s="1433"/>
      <c r="N70" s="148"/>
    </row>
    <row r="71" spans="1:14" s="769" customFormat="1" ht="15" customHeight="1" x14ac:dyDescent="0.25">
      <c r="A71" s="158"/>
      <c r="B71" s="433" t="s">
        <v>102</v>
      </c>
      <c r="C71" s="438" t="str">
        <f>LCR!B361</f>
        <v>Check: row 360 ≤ row 359</v>
      </c>
      <c r="D71" s="164" t="str">
        <f>LCR!D361</f>
        <v>Pass</v>
      </c>
      <c r="E71" s="164" t="str">
        <f>LCR!E361</f>
        <v>Pass</v>
      </c>
      <c r="F71" s="294"/>
      <c r="G71" s="532"/>
      <c r="H71" s="1433"/>
      <c r="I71" s="1433"/>
      <c r="J71" s="1433"/>
      <c r="K71" s="1433"/>
      <c r="L71" s="1433"/>
      <c r="M71" s="1433"/>
      <c r="N71" s="148"/>
    </row>
    <row r="72" spans="1:14" s="769" customFormat="1" ht="15" customHeight="1" x14ac:dyDescent="0.25">
      <c r="A72" s="158"/>
      <c r="B72" s="433" t="s">
        <v>102</v>
      </c>
      <c r="C72" s="438" t="str">
        <f>LCR!B364</f>
        <v>Check: row 363 ≤ row 362</v>
      </c>
      <c r="D72" s="164" t="str">
        <f>LCR!D364</f>
        <v>Pass</v>
      </c>
      <c r="E72" s="164" t="str">
        <f>LCR!E364</f>
        <v>Pass</v>
      </c>
      <c r="F72" s="294"/>
      <c r="G72" s="532"/>
      <c r="H72" s="1433"/>
      <c r="I72" s="1433"/>
      <c r="J72" s="1433"/>
      <c r="K72" s="1433"/>
      <c r="L72" s="1433"/>
      <c r="M72" s="1433"/>
      <c r="N72" s="148"/>
    </row>
    <row r="73" spans="1:14" s="769" customFormat="1" ht="15" customHeight="1" x14ac:dyDescent="0.25">
      <c r="A73" s="158"/>
      <c r="B73" s="433" t="s">
        <v>102</v>
      </c>
      <c r="C73" s="438" t="str">
        <f>LCR!B367</f>
        <v>Check: row 366 ≤ row 365</v>
      </c>
      <c r="D73" s="164" t="str">
        <f>LCR!D367</f>
        <v>Pass</v>
      </c>
      <c r="E73" s="164" t="str">
        <f>LCR!E367</f>
        <v>Pass</v>
      </c>
      <c r="F73" s="294"/>
      <c r="G73" s="532"/>
      <c r="H73" s="1433"/>
      <c r="I73" s="1433"/>
      <c r="J73" s="1433"/>
      <c r="K73" s="1433"/>
      <c r="L73" s="1433"/>
      <c r="M73" s="1433"/>
      <c r="N73" s="148"/>
    </row>
    <row r="74" spans="1:14" s="769" customFormat="1" ht="15" customHeight="1" x14ac:dyDescent="0.25">
      <c r="A74" s="158"/>
      <c r="B74" s="433" t="s">
        <v>102</v>
      </c>
      <c r="C74" s="438" t="str">
        <f>LCR!B370</f>
        <v>Check: row 369 ≤ row 368</v>
      </c>
      <c r="D74" s="164" t="str">
        <f>LCR!D370</f>
        <v>Pass</v>
      </c>
      <c r="E74" s="164" t="str">
        <f>LCR!E370</f>
        <v>Pass</v>
      </c>
      <c r="F74" s="294"/>
      <c r="G74" s="532"/>
      <c r="H74" s="1433"/>
      <c r="I74" s="1433"/>
      <c r="J74" s="1433"/>
      <c r="K74" s="1433"/>
      <c r="L74" s="1433"/>
      <c r="M74" s="1433"/>
      <c r="N74" s="148"/>
    </row>
    <row r="75" spans="1:14" s="769" customFormat="1" ht="15" customHeight="1" x14ac:dyDescent="0.25">
      <c r="A75" s="158"/>
      <c r="B75" s="433" t="s">
        <v>102</v>
      </c>
      <c r="C75" s="438" t="str">
        <f>LCR!B373</f>
        <v>Check: row 372 ≤ row 371</v>
      </c>
      <c r="D75" s="164" t="str">
        <f>LCR!D373</f>
        <v>Pass</v>
      </c>
      <c r="E75" s="164" t="str">
        <f>LCR!E373</f>
        <v>Pass</v>
      </c>
      <c r="F75" s="294"/>
      <c r="G75" s="532"/>
      <c r="H75" s="1433"/>
      <c r="I75" s="1433"/>
      <c r="J75" s="1433"/>
      <c r="K75" s="1433"/>
      <c r="L75" s="1433"/>
      <c r="M75" s="1433"/>
      <c r="N75" s="148"/>
    </row>
    <row r="76" spans="1:14" s="769" customFormat="1" ht="15" customHeight="1" x14ac:dyDescent="0.25">
      <c r="A76" s="158"/>
      <c r="B76" s="433" t="s">
        <v>102</v>
      </c>
      <c r="C76" s="438" t="str">
        <f>LCR!B376</f>
        <v>Check: row 375 ≤ row 374</v>
      </c>
      <c r="D76" s="164" t="str">
        <f>LCR!D376</f>
        <v>Pass</v>
      </c>
      <c r="E76" s="164" t="str">
        <f>LCR!E376</f>
        <v>Pass</v>
      </c>
      <c r="F76" s="294"/>
      <c r="G76" s="532"/>
      <c r="H76" s="1433"/>
      <c r="I76" s="1433"/>
      <c r="J76" s="1433"/>
      <c r="K76" s="1433"/>
      <c r="L76" s="1433"/>
      <c r="M76" s="1433"/>
      <c r="N76" s="148"/>
    </row>
    <row r="77" spans="1:14" s="769" customFormat="1" ht="15" customHeight="1" x14ac:dyDescent="0.25">
      <c r="A77" s="158"/>
      <c r="B77" s="433" t="s">
        <v>102</v>
      </c>
      <c r="C77" s="438" t="str">
        <f>LCR!B379</f>
        <v>Check: row 378 ≤ row 377</v>
      </c>
      <c r="D77" s="164" t="str">
        <f>LCR!D379</f>
        <v>Pass</v>
      </c>
      <c r="E77" s="164" t="str">
        <f>LCR!E379</f>
        <v>Pass</v>
      </c>
      <c r="F77" s="294"/>
      <c r="G77" s="532"/>
      <c r="H77" s="1433"/>
      <c r="I77" s="1433"/>
      <c r="J77" s="1433"/>
      <c r="K77" s="1433"/>
      <c r="L77" s="1433"/>
      <c r="M77" s="1433"/>
      <c r="N77" s="148"/>
    </row>
    <row r="78" spans="1:14" s="769" customFormat="1" ht="15" customHeight="1" x14ac:dyDescent="0.25">
      <c r="A78" s="158"/>
      <c r="B78" s="433" t="s">
        <v>102</v>
      </c>
      <c r="C78" s="438" t="str">
        <f>LCR!B382</f>
        <v>Check: row 381 ≤ row 380</v>
      </c>
      <c r="D78" s="164" t="str">
        <f>LCR!D382</f>
        <v>Pass</v>
      </c>
      <c r="E78" s="164" t="str">
        <f>LCR!E382</f>
        <v>Pass</v>
      </c>
      <c r="F78" s="294"/>
      <c r="G78" s="532"/>
      <c r="H78" s="1433"/>
      <c r="I78" s="1433"/>
      <c r="J78" s="1433"/>
      <c r="K78" s="1433"/>
      <c r="L78" s="1433"/>
      <c r="M78" s="1433"/>
      <c r="N78" s="148"/>
    </row>
    <row r="79" spans="1:14" s="769" customFormat="1" ht="15" customHeight="1" x14ac:dyDescent="0.25">
      <c r="A79" s="158"/>
      <c r="B79" s="433" t="s">
        <v>102</v>
      </c>
      <c r="C79" s="438" t="str">
        <f>LCR!B385</f>
        <v>Check: row 384 ≤ row 383</v>
      </c>
      <c r="D79" s="164" t="str">
        <f>LCR!D385</f>
        <v>Pass</v>
      </c>
      <c r="E79" s="164" t="str">
        <f>LCR!E385</f>
        <v>Pass</v>
      </c>
      <c r="F79" s="294"/>
      <c r="G79" s="532"/>
      <c r="H79" s="1433"/>
      <c r="I79" s="1433"/>
      <c r="J79" s="1433"/>
      <c r="K79" s="1433"/>
      <c r="L79" s="1433"/>
      <c r="M79" s="1433"/>
      <c r="N79" s="148"/>
    </row>
    <row r="80" spans="1:14" s="769" customFormat="1" ht="15" customHeight="1" x14ac:dyDescent="0.25">
      <c r="A80" s="158"/>
      <c r="B80" s="433" t="s">
        <v>102</v>
      </c>
      <c r="C80" s="438" t="str">
        <f>LCR!B388</f>
        <v>Check: row 387 ≤ row 386</v>
      </c>
      <c r="D80" s="164" t="str">
        <f>LCR!D388</f>
        <v>Pass</v>
      </c>
      <c r="E80" s="164" t="str">
        <f>LCR!E388</f>
        <v>Pass</v>
      </c>
      <c r="F80" s="294"/>
      <c r="G80" s="532"/>
      <c r="H80" s="1433"/>
      <c r="I80" s="1433"/>
      <c r="J80" s="1433"/>
      <c r="K80" s="1433"/>
      <c r="L80" s="1433"/>
      <c r="M80" s="1433"/>
      <c r="N80" s="148"/>
    </row>
    <row r="81" spans="1:14" s="769" customFormat="1" ht="15" customHeight="1" x14ac:dyDescent="0.25">
      <c r="A81" s="158"/>
      <c r="B81" s="433" t="s">
        <v>102</v>
      </c>
      <c r="C81" s="438" t="str">
        <f>LCR!B391</f>
        <v>Check: row 390 ≤ row 389</v>
      </c>
      <c r="D81" s="164" t="str">
        <f>LCR!D391</f>
        <v>Pass</v>
      </c>
      <c r="E81" s="164" t="str">
        <f>LCR!E391</f>
        <v>Pass</v>
      </c>
      <c r="F81" s="294"/>
      <c r="G81" s="532"/>
      <c r="H81" s="1433"/>
      <c r="I81" s="1433"/>
      <c r="J81" s="1433"/>
      <c r="K81" s="1433"/>
      <c r="L81" s="1433"/>
      <c r="M81" s="1433"/>
      <c r="N81" s="148"/>
    </row>
    <row r="82" spans="1:14" s="769" customFormat="1" ht="15" customHeight="1" x14ac:dyDescent="0.25">
      <c r="A82" s="158"/>
      <c r="B82" s="433" t="s">
        <v>102</v>
      </c>
      <c r="C82" s="438" t="str">
        <f>LCR!B394</f>
        <v>Check: row 393 ≤ row 392</v>
      </c>
      <c r="D82" s="164" t="str">
        <f>LCR!D394</f>
        <v>Pass</v>
      </c>
      <c r="E82" s="164" t="str">
        <f>LCR!E394</f>
        <v>Pass</v>
      </c>
      <c r="F82" s="294"/>
      <c r="G82" s="532"/>
      <c r="H82" s="1433"/>
      <c r="I82" s="1433"/>
      <c r="J82" s="1433"/>
      <c r="K82" s="1433"/>
      <c r="L82" s="1433"/>
      <c r="M82" s="1433"/>
      <c r="N82" s="148"/>
    </row>
    <row r="83" spans="1:14" s="769" customFormat="1" ht="15" customHeight="1" x14ac:dyDescent="0.25">
      <c r="A83" s="158"/>
      <c r="B83" s="433" t="s">
        <v>102</v>
      </c>
      <c r="C83" s="438" t="str">
        <f>LCR!B397</f>
        <v>Check: row 396 ≤ row 395</v>
      </c>
      <c r="D83" s="164" t="str">
        <f>LCR!D397</f>
        <v>Pass</v>
      </c>
      <c r="E83" s="164" t="str">
        <f>LCR!E397</f>
        <v>Pass</v>
      </c>
      <c r="F83" s="294"/>
      <c r="G83" s="532"/>
      <c r="H83" s="1433"/>
      <c r="I83" s="1433"/>
      <c r="J83" s="1433"/>
      <c r="K83" s="1433"/>
      <c r="L83" s="1433"/>
      <c r="M83" s="1433"/>
      <c r="N83" s="148"/>
    </row>
    <row r="84" spans="1:14" s="769" customFormat="1" ht="15" customHeight="1" x14ac:dyDescent="0.25">
      <c r="A84" s="158"/>
      <c r="B84" s="433" t="s">
        <v>102</v>
      </c>
      <c r="C84" s="438" t="str">
        <f>LCR!B400</f>
        <v>Check: row 399 ≤ row 398</v>
      </c>
      <c r="D84" s="164" t="str">
        <f>LCR!D400</f>
        <v>Pass</v>
      </c>
      <c r="E84" s="164" t="str">
        <f>LCR!E400</f>
        <v>Pass</v>
      </c>
      <c r="F84" s="294"/>
      <c r="G84" s="532"/>
      <c r="H84" s="1433"/>
      <c r="I84" s="1433"/>
      <c r="J84" s="1433"/>
      <c r="K84" s="1433"/>
      <c r="L84" s="1433"/>
      <c r="M84" s="1433"/>
      <c r="N84" s="148"/>
    </row>
    <row r="85" spans="1:14" s="769" customFormat="1" ht="15" customHeight="1" x14ac:dyDescent="0.25">
      <c r="A85" s="158"/>
      <c r="B85" s="61" t="s">
        <v>102</v>
      </c>
      <c r="C85" s="530" t="str">
        <f>LCR!B403</f>
        <v>Check: row 402 ≤ row 401</v>
      </c>
      <c r="D85" s="196" t="str">
        <f>LCR!D403</f>
        <v>Pass</v>
      </c>
      <c r="E85" s="196" t="str">
        <f>LCR!E403</f>
        <v>Pass</v>
      </c>
      <c r="F85" s="295"/>
      <c r="G85" s="1580"/>
      <c r="H85" s="1433"/>
      <c r="I85" s="1433"/>
      <c r="J85" s="1433"/>
      <c r="K85" s="1433"/>
      <c r="L85" s="1433"/>
      <c r="M85" s="1433"/>
      <c r="N85" s="148"/>
    </row>
    <row r="86" spans="1:14" s="769" customFormat="1" ht="15" customHeight="1" x14ac:dyDescent="0.25">
      <c r="A86" s="1369"/>
      <c r="B86" s="1368"/>
      <c r="C86" s="1368"/>
      <c r="D86" s="1368"/>
      <c r="E86" s="1368"/>
      <c r="F86" s="1368"/>
      <c r="G86" s="1368"/>
      <c r="H86" s="1368"/>
      <c r="I86" s="1368"/>
      <c r="J86" s="1368"/>
      <c r="K86" s="1368"/>
      <c r="L86" s="1400"/>
      <c r="M86" s="1400"/>
      <c r="N86" s="1402"/>
    </row>
    <row r="87" spans="1:14" s="732" customFormat="1" ht="30" customHeight="1" x14ac:dyDescent="0.3">
      <c r="A87" s="1363" t="s">
        <v>1423</v>
      </c>
      <c r="B87" s="1366"/>
      <c r="C87" s="1366"/>
      <c r="D87" s="1366"/>
      <c r="E87" s="1366"/>
      <c r="F87" s="1366"/>
      <c r="G87" s="1366"/>
      <c r="H87" s="1366"/>
      <c r="I87" s="1366"/>
      <c r="J87" s="1366"/>
      <c r="K87" s="1366"/>
      <c r="L87" s="1366"/>
      <c r="M87" s="1366"/>
      <c r="N87" s="1367"/>
    </row>
    <row r="88" spans="1:14" s="769" customFormat="1" ht="15" customHeight="1" x14ac:dyDescent="0.25">
      <c r="A88" s="1369"/>
      <c r="B88" s="1368"/>
      <c r="C88" s="1368"/>
      <c r="D88" s="1368"/>
      <c r="E88" s="1368"/>
      <c r="F88" s="1368"/>
      <c r="G88" s="1368"/>
      <c r="H88" s="1368"/>
      <c r="I88" s="1368"/>
      <c r="J88" s="1368"/>
      <c r="K88" s="1368"/>
      <c r="L88" s="1368"/>
      <c r="M88" s="1368"/>
      <c r="N88" s="1373"/>
    </row>
    <row r="89" spans="1:14" s="769" customFormat="1" ht="30" customHeight="1" x14ac:dyDescent="0.25">
      <c r="A89" s="1369"/>
      <c r="B89" s="1605" t="s">
        <v>64</v>
      </c>
      <c r="C89" s="528" t="s">
        <v>65</v>
      </c>
      <c r="D89" s="1187" t="s">
        <v>699</v>
      </c>
      <c r="E89" s="1188" t="s">
        <v>734</v>
      </c>
      <c r="F89" s="592" t="s">
        <v>396</v>
      </c>
      <c r="G89" s="1368"/>
      <c r="H89" s="1368"/>
      <c r="I89" s="1368"/>
      <c r="J89" s="1368"/>
      <c r="K89" s="1368"/>
      <c r="L89" s="1368"/>
      <c r="M89" s="1368"/>
      <c r="N89" s="1373"/>
    </row>
    <row r="90" spans="1:14" s="769" customFormat="1" ht="15" customHeight="1" x14ac:dyDescent="0.25">
      <c r="A90" s="1369"/>
      <c r="B90" s="90" t="s">
        <v>314</v>
      </c>
      <c r="C90" s="91" t="str">
        <f>NSFR!B7</f>
        <v>Check: row 6 ≤ E65 + E68 + E73 in the General Info worksheet</v>
      </c>
      <c r="D90" s="535"/>
      <c r="E90" s="535"/>
      <c r="F90" s="542" t="str">
        <f>NSFR!F7</f>
        <v>Pass</v>
      </c>
      <c r="G90" s="1368"/>
      <c r="H90" s="1368"/>
      <c r="I90" s="1368"/>
      <c r="J90" s="1368"/>
      <c r="K90" s="1368"/>
      <c r="L90" s="1368"/>
      <c r="M90" s="1368"/>
      <c r="N90" s="1373"/>
    </row>
    <row r="91" spans="1:14" s="769" customFormat="1" ht="15" customHeight="1" x14ac:dyDescent="0.25">
      <c r="A91" s="1369"/>
      <c r="B91" s="433" t="s">
        <v>314</v>
      </c>
      <c r="C91" s="438" t="str">
        <f>NSFR!B10</f>
        <v>Check: row 9 ≥ LCR stable retail and small business customer deposits</v>
      </c>
      <c r="D91" s="164" t="str">
        <f>NSFR!D10</f>
        <v>Pass</v>
      </c>
      <c r="E91" s="294"/>
      <c r="F91" s="532"/>
      <c r="G91" s="1368"/>
      <c r="H91" s="1368"/>
      <c r="I91" s="1368"/>
      <c r="J91" s="1368"/>
      <c r="K91" s="1368"/>
      <c r="L91" s="1368"/>
      <c r="M91" s="1368"/>
      <c r="N91" s="1373"/>
    </row>
    <row r="92" spans="1:14" s="769" customFormat="1" ht="15" customHeight="1" x14ac:dyDescent="0.25">
      <c r="A92" s="1369"/>
      <c r="B92" s="433" t="s">
        <v>314</v>
      </c>
      <c r="C92" s="438" t="str">
        <f>NSFR!B12</f>
        <v>Check: row 11 ≥ LCR less stable retail and small business customer deposits</v>
      </c>
      <c r="D92" s="164" t="str">
        <f>NSFR!D12</f>
        <v>Pass</v>
      </c>
      <c r="E92" s="294"/>
      <c r="F92" s="532"/>
      <c r="G92" s="1368"/>
      <c r="H92" s="1368"/>
      <c r="I92" s="1368"/>
      <c r="J92" s="1368"/>
      <c r="K92" s="1368"/>
      <c r="L92" s="1368"/>
      <c r="M92" s="1368"/>
      <c r="N92" s="1373"/>
    </row>
    <row r="93" spans="1:14" s="769" customFormat="1" ht="15" customHeight="1" x14ac:dyDescent="0.25">
      <c r="A93" s="1369"/>
      <c r="B93" s="433" t="s">
        <v>314</v>
      </c>
      <c r="C93" s="438" t="str">
        <f>NSFR!B17</f>
        <v>Check: row 13 ≥ LCR unsecured funding from non-financial corporates</v>
      </c>
      <c r="D93" s="164" t="str">
        <f>NSFR!D17</f>
        <v>Pass</v>
      </c>
      <c r="E93" s="294"/>
      <c r="F93" s="532"/>
      <c r="G93" s="1368"/>
      <c r="H93" s="1368"/>
      <c r="I93" s="1368"/>
      <c r="J93" s="1368"/>
      <c r="K93" s="1368"/>
      <c r="L93" s="1368"/>
      <c r="M93" s="1368"/>
      <c r="N93" s="1373"/>
    </row>
    <row r="94" spans="1:14" s="769" customFormat="1" ht="15" customHeight="1" x14ac:dyDescent="0.25">
      <c r="A94" s="1369"/>
      <c r="B94" s="433" t="s">
        <v>314</v>
      </c>
      <c r="C94" s="438" t="str">
        <f>NSFR!B18</f>
        <v>Check: row 14 ≥ LCR operational deposits from non-financial corporates</v>
      </c>
      <c r="D94" s="164" t="str">
        <f>NSFR!D18</f>
        <v>Pass</v>
      </c>
      <c r="E94" s="294"/>
      <c r="F94" s="532"/>
      <c r="G94" s="1368"/>
      <c r="H94" s="1368"/>
      <c r="I94" s="1368"/>
      <c r="J94" s="1368"/>
      <c r="K94" s="1368"/>
      <c r="L94" s="1368"/>
      <c r="M94" s="1368"/>
      <c r="N94" s="1373"/>
    </row>
    <row r="95" spans="1:14" s="769" customFormat="1" ht="15" customHeight="1" x14ac:dyDescent="0.25">
      <c r="A95" s="1369"/>
      <c r="B95" s="433" t="s">
        <v>314</v>
      </c>
      <c r="C95" s="438" t="str">
        <f>NSFR!B19</f>
        <v>Check: sum of rows 14 to row 16 = row 13 for each column</v>
      </c>
      <c r="D95" s="164" t="str">
        <f>NSFR!D19</f>
        <v>Pass</v>
      </c>
      <c r="E95" s="164" t="str">
        <f>NSFR!E19</f>
        <v>Pass</v>
      </c>
      <c r="F95" s="359" t="str">
        <f>NSFR!F19</f>
        <v>Pass</v>
      </c>
      <c r="G95" s="1368"/>
      <c r="H95" s="1368"/>
      <c r="I95" s="1368"/>
      <c r="J95" s="1368"/>
      <c r="K95" s="1368"/>
      <c r="L95" s="1368"/>
      <c r="M95" s="1368"/>
      <c r="N95" s="1373"/>
    </row>
    <row r="96" spans="1:14" s="769" customFormat="1" ht="15" customHeight="1" x14ac:dyDescent="0.25">
      <c r="A96" s="1369"/>
      <c r="B96" s="433" t="s">
        <v>314</v>
      </c>
      <c r="C96" s="438" t="str">
        <f>NSFR!B24</f>
        <v>Check: sum of row 21 to row 23 = row 20 for each column</v>
      </c>
      <c r="D96" s="164" t="str">
        <f>NSFR!D24</f>
        <v>Pass</v>
      </c>
      <c r="E96" s="164" t="str">
        <f>NSFR!E24</f>
        <v>Pass</v>
      </c>
      <c r="F96" s="359" t="str">
        <f>NSFR!F24</f>
        <v>Pass</v>
      </c>
      <c r="G96" s="1368"/>
      <c r="H96" s="1368"/>
      <c r="I96" s="1368"/>
      <c r="J96" s="1368"/>
      <c r="K96" s="1368"/>
      <c r="L96" s="1368"/>
      <c r="M96" s="1368"/>
      <c r="N96" s="1373"/>
    </row>
    <row r="97" spans="1:14" s="769" customFormat="1" ht="15" customHeight="1" x14ac:dyDescent="0.25">
      <c r="A97" s="1369"/>
      <c r="B97" s="433" t="s">
        <v>314</v>
      </c>
      <c r="C97" s="438" t="str">
        <f>NSFR!B29</f>
        <v>Check: sum of row 26 to row 28 = row 25 for each column</v>
      </c>
      <c r="D97" s="164" t="str">
        <f>NSFR!D29</f>
        <v>Pass</v>
      </c>
      <c r="E97" s="164" t="str">
        <f>NSFR!E29</f>
        <v>Pass</v>
      </c>
      <c r="F97" s="359" t="str">
        <f>NSFR!F29</f>
        <v>Pass</v>
      </c>
      <c r="G97" s="1368"/>
      <c r="H97" s="1368"/>
      <c r="I97" s="1368"/>
      <c r="J97" s="1368"/>
      <c r="K97" s="1368"/>
      <c r="L97" s="1368"/>
      <c r="M97" s="1368"/>
      <c r="N97" s="1373"/>
    </row>
    <row r="98" spans="1:14" s="769" customFormat="1" ht="15" customHeight="1" x14ac:dyDescent="0.25">
      <c r="A98" s="1369"/>
      <c r="B98" s="433" t="s">
        <v>314</v>
      </c>
      <c r="C98" s="438" t="str">
        <f>NSFR!B30</f>
        <v>Check: sum of row 20 and row 25 ≥ LCR unsecured funding from sovereigns/central banks/PSEs/MDBs</v>
      </c>
      <c r="D98" s="164" t="str">
        <f>NSFR!D30</f>
        <v>Pass</v>
      </c>
      <c r="E98" s="294"/>
      <c r="F98" s="532"/>
      <c r="G98" s="1368"/>
      <c r="H98" s="1368"/>
      <c r="I98" s="1368"/>
      <c r="J98" s="1368"/>
      <c r="K98" s="1368"/>
      <c r="L98" s="1368"/>
      <c r="M98" s="1368"/>
      <c r="N98" s="1373"/>
    </row>
    <row r="99" spans="1:14" s="769" customFormat="1" ht="15" customHeight="1" x14ac:dyDescent="0.25">
      <c r="A99" s="1369"/>
      <c r="B99" s="433" t="s">
        <v>314</v>
      </c>
      <c r="C99" s="438" t="str">
        <f>NSFR!B31</f>
        <v>Check: sum of row 21 and row 26 ≥ LCR operational deposits from sovereigns/central banks/PSEs/MDBs</v>
      </c>
      <c r="D99" s="164" t="str">
        <f>NSFR!D31</f>
        <v>Pass</v>
      </c>
      <c r="E99" s="294"/>
      <c r="F99" s="532"/>
      <c r="G99" s="1368"/>
      <c r="H99" s="1368"/>
      <c r="I99" s="1368"/>
      <c r="J99" s="1368"/>
      <c r="K99" s="1368"/>
      <c r="L99" s="1368"/>
      <c r="M99" s="1368"/>
      <c r="N99" s="1373"/>
    </row>
    <row r="100" spans="1:14" s="769" customFormat="1" ht="15" customHeight="1" x14ac:dyDescent="0.25">
      <c r="A100" s="1369"/>
      <c r="B100" s="433" t="s">
        <v>314</v>
      </c>
      <c r="C100" s="438" t="str">
        <f>NSFR!B36</f>
        <v>Check: row 32 ≥ LCR unsecured funding from other legal entities</v>
      </c>
      <c r="D100" s="164" t="str">
        <f>NSFR!D36</f>
        <v>Pass</v>
      </c>
      <c r="E100" s="294"/>
      <c r="F100" s="532"/>
      <c r="G100" s="1368"/>
      <c r="H100" s="1368"/>
      <c r="I100" s="1368"/>
      <c r="J100" s="1368"/>
      <c r="K100" s="1368"/>
      <c r="L100" s="1368"/>
      <c r="M100" s="1368"/>
      <c r="N100" s="1373"/>
    </row>
    <row r="101" spans="1:14" s="769" customFormat="1" ht="15" customHeight="1" x14ac:dyDescent="0.25">
      <c r="A101" s="1369"/>
      <c r="B101" s="433" t="s">
        <v>314</v>
      </c>
      <c r="C101" s="438" t="str">
        <f>NSFR!B37</f>
        <v>Check: row 33 ≥ LCR operational deposits from other legal entities</v>
      </c>
      <c r="D101" s="164" t="str">
        <f>NSFR!D37</f>
        <v>Pass</v>
      </c>
      <c r="E101" s="294"/>
      <c r="F101" s="532"/>
      <c r="G101" s="1368"/>
      <c r="H101" s="1368"/>
      <c r="I101" s="1368"/>
      <c r="J101" s="1368"/>
      <c r="K101" s="1368"/>
      <c r="L101" s="1368"/>
      <c r="M101" s="1368"/>
      <c r="N101" s="1373"/>
    </row>
    <row r="102" spans="1:14" s="769" customFormat="1" ht="15" customHeight="1" x14ac:dyDescent="0.25">
      <c r="A102" s="1369"/>
      <c r="B102" s="433" t="s">
        <v>314</v>
      </c>
      <c r="C102" s="438" t="str">
        <f>NSFR!B38</f>
        <v>Check: sum of row 33 to row 35 = row 32 for each column</v>
      </c>
      <c r="D102" s="164" t="str">
        <f>NSFR!D38</f>
        <v>Pass</v>
      </c>
      <c r="E102" s="164" t="str">
        <f>NSFR!E38</f>
        <v>Pass</v>
      </c>
      <c r="F102" s="359" t="str">
        <f>NSFR!F38</f>
        <v>Pass</v>
      </c>
      <c r="G102" s="1368"/>
      <c r="H102" s="1368"/>
      <c r="I102" s="1368"/>
      <c r="J102" s="1368"/>
      <c r="K102" s="1368"/>
      <c r="L102" s="1368"/>
      <c r="M102" s="1368"/>
      <c r="N102" s="1373"/>
    </row>
    <row r="103" spans="1:14" s="769" customFormat="1" ht="15" customHeight="1" x14ac:dyDescent="0.25">
      <c r="A103" s="1369"/>
      <c r="B103" s="433" t="s">
        <v>314</v>
      </c>
      <c r="C103" s="438" t="str">
        <f>NSFR!B40</f>
        <v>Check: row 39 ≥ LCR unsecured funding from members of the institutional networks of cooperative banks</v>
      </c>
      <c r="D103" s="164" t="str">
        <f>NSFR!D40</f>
        <v>Pass</v>
      </c>
      <c r="E103" s="294"/>
      <c r="F103" s="532"/>
      <c r="G103" s="1368"/>
      <c r="H103" s="1368"/>
      <c r="I103" s="1368"/>
      <c r="J103" s="1368"/>
      <c r="K103" s="1368"/>
      <c r="L103" s="1368"/>
      <c r="M103" s="1368"/>
      <c r="N103" s="1373"/>
    </row>
    <row r="104" spans="1:14" s="769" customFormat="1" ht="15" customHeight="1" x14ac:dyDescent="0.25">
      <c r="A104" s="1369"/>
      <c r="B104" s="433" t="s">
        <v>314</v>
      </c>
      <c r="C104" s="438" t="str">
        <f>NSFR!B53</f>
        <v>Check: row 49 ≥ sum of rows 51 to 52</v>
      </c>
      <c r="D104" s="294"/>
      <c r="E104" s="294"/>
      <c r="F104" s="359" t="str">
        <f>NSFR!F53</f>
        <v>Pass</v>
      </c>
      <c r="G104" s="1368"/>
      <c r="H104" s="1368"/>
      <c r="I104" s="1368"/>
      <c r="J104" s="1368"/>
      <c r="K104" s="1368"/>
      <c r="L104" s="1368"/>
      <c r="M104" s="1368"/>
      <c r="N104" s="1373"/>
    </row>
    <row r="105" spans="1:14" s="769" customFormat="1" ht="15" customHeight="1" x14ac:dyDescent="0.25">
      <c r="A105" s="1369"/>
      <c r="B105" s="433" t="s">
        <v>314</v>
      </c>
      <c r="C105" s="438" t="str">
        <f>NSFR!B58</f>
        <v>Check: row 54  ≥ sum of rows 56 to 57</v>
      </c>
      <c r="D105" s="294"/>
      <c r="E105" s="294"/>
      <c r="F105" s="359" t="str">
        <f>NSFR!F58</f>
        <v>Pass</v>
      </c>
      <c r="G105" s="1368"/>
      <c r="H105" s="1368"/>
      <c r="I105" s="1368"/>
      <c r="J105" s="1368"/>
      <c r="K105" s="1368"/>
      <c r="L105" s="1368"/>
      <c r="M105" s="1368"/>
      <c r="N105" s="1373"/>
    </row>
    <row r="106" spans="1:14" s="769" customFormat="1" ht="15" customHeight="1" x14ac:dyDescent="0.25">
      <c r="A106" s="1369"/>
      <c r="B106" s="433" t="s">
        <v>314</v>
      </c>
      <c r="C106" s="438" t="str">
        <f>NSFR!B64</f>
        <v>Check: sum of row 61 to row 63 = row 60</v>
      </c>
      <c r="D106" s="294"/>
      <c r="E106" s="294"/>
      <c r="F106" s="359" t="str">
        <f>NSFR!F64</f>
        <v>Pass</v>
      </c>
      <c r="G106" s="1368"/>
      <c r="H106" s="1368"/>
      <c r="I106" s="1368"/>
      <c r="J106" s="1368"/>
      <c r="K106" s="1368"/>
      <c r="L106" s="1368"/>
      <c r="M106" s="1368"/>
      <c r="N106" s="1373"/>
    </row>
    <row r="107" spans="1:14" s="769" customFormat="1" ht="15" customHeight="1" x14ac:dyDescent="0.25">
      <c r="A107" s="1369"/>
      <c r="B107" s="433" t="s">
        <v>314</v>
      </c>
      <c r="C107" s="438" t="str">
        <f>NSFR!B66</f>
        <v>Check: sum of row 65 = row 60</v>
      </c>
      <c r="D107" s="294"/>
      <c r="E107" s="294"/>
      <c r="F107" s="359" t="str">
        <f>NSFR!F66</f>
        <v>Pass</v>
      </c>
      <c r="G107" s="1368"/>
      <c r="H107" s="1368"/>
      <c r="I107" s="1368"/>
      <c r="J107" s="1368"/>
      <c r="K107" s="1368"/>
      <c r="L107" s="1368"/>
      <c r="M107" s="1368"/>
      <c r="N107" s="1373"/>
    </row>
    <row r="108" spans="1:14" s="769" customFormat="1" ht="15" customHeight="1" x14ac:dyDescent="0.25">
      <c r="A108" s="1369"/>
      <c r="B108" s="433" t="s">
        <v>314</v>
      </c>
      <c r="C108" s="438" t="str">
        <f>NSFR!B70</f>
        <v>Check: row 60 ≥ sum of rows 68 to 69</v>
      </c>
      <c r="D108" s="294"/>
      <c r="E108" s="294"/>
      <c r="F108" s="359" t="str">
        <f>NSFR!F70</f>
        <v>Pass</v>
      </c>
      <c r="G108" s="1368"/>
      <c r="H108" s="1368"/>
      <c r="I108" s="1368"/>
      <c r="J108" s="1368"/>
      <c r="K108" s="1368"/>
      <c r="L108" s="1368"/>
      <c r="M108" s="1368"/>
      <c r="N108" s="1373"/>
    </row>
    <row r="109" spans="1:14" s="769" customFormat="1" ht="15" customHeight="1" x14ac:dyDescent="0.25">
      <c r="A109" s="1369"/>
      <c r="B109" s="433" t="s">
        <v>303</v>
      </c>
      <c r="C109" s="438" t="str">
        <f>NSFR!B87</f>
        <v>Check: row 85 ≥ LCR total central bank reserves</v>
      </c>
      <c r="D109" s="164" t="str">
        <f>NSFR!D87</f>
        <v>Pass</v>
      </c>
      <c r="E109" s="294"/>
      <c r="F109" s="532"/>
      <c r="G109" s="1368"/>
      <c r="H109" s="1368"/>
      <c r="I109" s="1368"/>
      <c r="J109" s="1368"/>
      <c r="K109" s="1368"/>
      <c r="L109" s="1368"/>
      <c r="M109" s="1368"/>
      <c r="N109" s="1373"/>
    </row>
    <row r="110" spans="1:14" s="769" customFormat="1" ht="15" customHeight="1" x14ac:dyDescent="0.25">
      <c r="A110" s="1369"/>
      <c r="B110" s="433" t="s">
        <v>303</v>
      </c>
      <c r="C110" s="438" t="str">
        <f>NSFR!B95</f>
        <v>Check: row 94 ≥ LCR deposits at the central institution of an institutional network that receives 25% run-off</v>
      </c>
      <c r="D110" s="164" t="str">
        <f>NSFR!D95</f>
        <v>Pass</v>
      </c>
      <c r="E110" s="294"/>
      <c r="F110" s="532"/>
      <c r="G110" s="1368"/>
      <c r="H110" s="1368"/>
      <c r="I110" s="1368"/>
      <c r="J110" s="1368"/>
      <c r="K110" s="1368"/>
      <c r="L110" s="1368"/>
      <c r="M110" s="1368"/>
      <c r="N110" s="1373"/>
    </row>
    <row r="111" spans="1:14" s="769" customFormat="1" ht="15" customHeight="1" x14ac:dyDescent="0.25">
      <c r="A111" s="1369"/>
      <c r="B111" s="433" t="s">
        <v>303</v>
      </c>
      <c r="C111" s="602" t="str">
        <f>NSFR!B217</f>
        <v>Check: Row 213 ≥ sum of rows 215 to 216</v>
      </c>
      <c r="D111" s="294"/>
      <c r="E111" s="294"/>
      <c r="F111" s="359" t="str">
        <f>NSFR!F217</f>
        <v>Pass</v>
      </c>
      <c r="G111" s="1368"/>
      <c r="H111" s="1368"/>
      <c r="I111" s="1368"/>
      <c r="J111" s="1368"/>
      <c r="K111" s="1368"/>
      <c r="L111" s="1368"/>
      <c r="M111" s="1368"/>
      <c r="N111" s="1373"/>
    </row>
    <row r="112" spans="1:14" s="769" customFormat="1" ht="15" customHeight="1" x14ac:dyDescent="0.25">
      <c r="A112" s="1369"/>
      <c r="B112" s="434" t="s">
        <v>303</v>
      </c>
      <c r="C112" s="602" t="str">
        <f>NSFR!B220</f>
        <v>Check: row 219 is equal to cell L13 in the Leverage Ratio worksheet</v>
      </c>
      <c r="D112" s="294"/>
      <c r="E112" s="294"/>
      <c r="F112" s="359" t="str">
        <f>NSFR!F220</f>
        <v>Pass</v>
      </c>
      <c r="G112" s="1368"/>
      <c r="H112" s="1368"/>
      <c r="I112" s="1368"/>
      <c r="J112" s="1368"/>
      <c r="K112" s="1368"/>
      <c r="L112" s="1368"/>
      <c r="M112" s="1368"/>
      <c r="N112" s="1373"/>
    </row>
    <row r="113" spans="1:14" s="769" customFormat="1" ht="15" customHeight="1" x14ac:dyDescent="0.25">
      <c r="A113" s="1369"/>
      <c r="B113" s="434" t="s">
        <v>303</v>
      </c>
      <c r="C113" s="602" t="str">
        <f>NSFR!B224</f>
        <v>Check: row 219 ≥ sum of rows 222 to 223</v>
      </c>
      <c r="D113" s="294"/>
      <c r="E113" s="294"/>
      <c r="F113" s="359" t="str">
        <f>NSFR!F224</f>
        <v>Pass</v>
      </c>
      <c r="G113" s="1368"/>
      <c r="H113" s="1368"/>
      <c r="I113" s="1368"/>
      <c r="J113" s="1368"/>
      <c r="K113" s="1368"/>
      <c r="L113" s="1368"/>
      <c r="M113" s="1368"/>
      <c r="N113" s="1373"/>
    </row>
    <row r="114" spans="1:14" s="769" customFormat="1" ht="15" customHeight="1" x14ac:dyDescent="0.25">
      <c r="A114" s="1369"/>
      <c r="B114" s="434" t="s">
        <v>303</v>
      </c>
      <c r="C114" s="602" t="str">
        <f>NSFR!B229</f>
        <v>Check: row 225 ≥ sum of rows 227 to 228</v>
      </c>
      <c r="D114" s="294"/>
      <c r="E114" s="294"/>
      <c r="F114" s="359" t="str">
        <f>NSFR!F229</f>
        <v>Pass</v>
      </c>
      <c r="G114" s="1368"/>
      <c r="H114" s="1368"/>
      <c r="I114" s="1368"/>
      <c r="J114" s="1368"/>
      <c r="K114" s="1368"/>
      <c r="L114" s="1368"/>
      <c r="M114" s="1368"/>
      <c r="N114" s="1373"/>
    </row>
    <row r="115" spans="1:14" s="769" customFormat="1" ht="15" customHeight="1" x14ac:dyDescent="0.25">
      <c r="A115" s="1369"/>
      <c r="B115" s="434" t="s">
        <v>303</v>
      </c>
      <c r="C115" s="602" t="str">
        <f>NSFR!B238</f>
        <v>Check: sum of row 234 to row 237 = row 232</v>
      </c>
      <c r="D115" s="600"/>
      <c r="E115" s="600"/>
      <c r="F115" s="359" t="str">
        <f>NSFR!F238</f>
        <v>Pass</v>
      </c>
      <c r="G115" s="1368"/>
      <c r="H115" s="1368"/>
      <c r="I115" s="1368"/>
      <c r="J115" s="1368"/>
      <c r="K115" s="1368"/>
      <c r="L115" s="1368"/>
      <c r="M115" s="1368"/>
      <c r="N115" s="1373"/>
    </row>
    <row r="116" spans="1:14" s="769" customFormat="1" ht="15" customHeight="1" x14ac:dyDescent="0.25">
      <c r="A116" s="1369"/>
      <c r="B116" s="434" t="s">
        <v>303</v>
      </c>
      <c r="C116" s="602" t="str">
        <f>NSFR!B240</f>
        <v>Check: sum of row 239 = sum of rows 234 to 236</v>
      </c>
      <c r="D116" s="600"/>
      <c r="E116" s="600"/>
      <c r="F116" s="359" t="str">
        <f>NSFR!F240</f>
        <v>Pass</v>
      </c>
      <c r="G116" s="1368"/>
      <c r="H116" s="1368"/>
      <c r="I116" s="1368"/>
      <c r="J116" s="1368"/>
      <c r="K116" s="1368"/>
      <c r="L116" s="1368"/>
      <c r="M116" s="1368"/>
      <c r="N116" s="1373"/>
    </row>
    <row r="117" spans="1:14" s="769" customFormat="1" ht="15" customHeight="1" x14ac:dyDescent="0.25">
      <c r="A117" s="1369"/>
      <c r="B117" s="434" t="s">
        <v>303</v>
      </c>
      <c r="C117" s="602" t="str">
        <f>NSFR!B244</f>
        <v>Check: Sum of rows 234 to 236 ≥ sum of rows 242 to 243</v>
      </c>
      <c r="D117" s="600"/>
      <c r="E117" s="600"/>
      <c r="F117" s="359" t="str">
        <f>NSFR!F244</f>
        <v>Pass</v>
      </c>
      <c r="G117" s="1368"/>
      <c r="H117" s="1368"/>
      <c r="I117" s="1368"/>
      <c r="J117" s="1368"/>
      <c r="K117" s="1368"/>
      <c r="L117" s="1368"/>
      <c r="M117" s="1368"/>
      <c r="N117" s="1373"/>
    </row>
    <row r="118" spans="1:14" s="769" customFormat="1" ht="15" customHeight="1" x14ac:dyDescent="0.25">
      <c r="A118" s="1369"/>
      <c r="B118" s="434" t="s">
        <v>303</v>
      </c>
      <c r="C118" s="602" t="str">
        <f>NSFR!B250</f>
        <v>Check: interdependent assets in row 249 = interdependent liabilities above in row 75</v>
      </c>
      <c r="D118" s="164" t="str">
        <f>NSFR!D250</f>
        <v>Pass</v>
      </c>
      <c r="E118" s="164" t="str">
        <f>NSFR!E250</f>
        <v>Pass</v>
      </c>
      <c r="F118" s="359" t="str">
        <f>NSFR!F250</f>
        <v>Pass</v>
      </c>
      <c r="G118" s="1368"/>
      <c r="H118" s="1368"/>
      <c r="I118" s="1368"/>
      <c r="J118" s="1368"/>
      <c r="K118" s="1368"/>
      <c r="L118" s="1368"/>
      <c r="M118" s="1368"/>
      <c r="N118" s="1373"/>
    </row>
    <row r="119" spans="1:14" s="769" customFormat="1" ht="15" customHeight="1" x14ac:dyDescent="0.25">
      <c r="A119" s="1369"/>
      <c r="B119" s="61" t="s">
        <v>300</v>
      </c>
      <c r="C119" s="530" t="str">
        <f>NSFR!B295</f>
        <v>Check: the sum of each of the columns for rows 277 to 294 should equal the corresponding column in row 39</v>
      </c>
      <c r="D119" s="196" t="str">
        <f>NSFR!D295</f>
        <v>Pass</v>
      </c>
      <c r="E119" s="196" t="str">
        <f>NSFR!E295</f>
        <v>Pass</v>
      </c>
      <c r="F119" s="401" t="str">
        <f>NSFR!F295</f>
        <v>Pass</v>
      </c>
      <c r="G119" s="1368"/>
      <c r="H119" s="1368"/>
      <c r="I119" s="1368"/>
      <c r="J119" s="1368"/>
      <c r="K119" s="1368"/>
      <c r="L119" s="1368"/>
      <c r="M119" s="1368"/>
      <c r="N119" s="1373"/>
    </row>
    <row r="120" spans="1:14" s="769" customFormat="1" ht="15" customHeight="1" x14ac:dyDescent="0.25">
      <c r="A120" s="1369"/>
      <c r="B120" s="543"/>
      <c r="C120" s="544"/>
      <c r="D120" s="545"/>
      <c r="E120" s="545"/>
      <c r="F120" s="545"/>
      <c r="G120" s="545"/>
      <c r="H120" s="545"/>
      <c r="I120" s="1433"/>
      <c r="J120" s="1368"/>
      <c r="K120" s="1368"/>
      <c r="L120" s="1368"/>
      <c r="M120" s="1368"/>
      <c r="N120" s="1373"/>
    </row>
    <row r="121" spans="1:14" s="732" customFormat="1" ht="30" customHeight="1" x14ac:dyDescent="0.3">
      <c r="A121" s="1363" t="s">
        <v>1741</v>
      </c>
      <c r="B121" s="1366"/>
      <c r="C121" s="1366"/>
      <c r="D121" s="1366"/>
      <c r="E121" s="1366"/>
      <c r="F121" s="1366"/>
      <c r="G121" s="1366"/>
      <c r="H121" s="1366"/>
      <c r="I121" s="1366"/>
      <c r="J121" s="1366"/>
      <c r="K121" s="1366"/>
      <c r="L121" s="1366"/>
      <c r="M121" s="1366"/>
      <c r="N121" s="1367"/>
    </row>
    <row r="122" spans="1:14" s="769" customFormat="1" ht="30" customHeight="1" x14ac:dyDescent="0.3">
      <c r="A122" s="548" t="s">
        <v>1742</v>
      </c>
      <c r="B122" s="1368"/>
      <c r="C122" s="1368"/>
      <c r="D122" s="1368"/>
      <c r="E122" s="1368"/>
      <c r="F122" s="1368"/>
      <c r="G122" s="1368"/>
      <c r="H122" s="1368"/>
      <c r="I122" s="1368"/>
      <c r="J122" s="1368"/>
      <c r="K122" s="1368"/>
      <c r="L122" s="1368"/>
      <c r="M122" s="1368"/>
      <c r="N122" s="1373"/>
    </row>
    <row r="123" spans="1:14" s="769" customFormat="1" ht="15" customHeight="1" x14ac:dyDescent="0.25">
      <c r="A123" s="1369"/>
      <c r="B123" s="1368"/>
      <c r="C123" s="1368"/>
      <c r="D123" s="1368"/>
      <c r="E123" s="1368"/>
      <c r="F123" s="1368"/>
      <c r="G123" s="1368"/>
      <c r="H123" s="1368"/>
      <c r="I123" s="1368"/>
      <c r="J123" s="1368"/>
      <c r="K123" s="1368"/>
      <c r="L123" s="1368"/>
      <c r="M123" s="1368"/>
      <c r="N123" s="1373"/>
    </row>
    <row r="124" spans="1:14" s="769" customFormat="1" ht="15" customHeight="1" x14ac:dyDescent="0.25">
      <c r="A124" s="1369"/>
      <c r="B124" s="1605" t="s">
        <v>64</v>
      </c>
      <c r="C124" s="528" t="s">
        <v>65</v>
      </c>
      <c r="D124" s="1584" t="str">
        <f>CONCATENATE("Column ", LEFT(ADDRESS(ROW('BB SA general'!G26),COLUMN('BB SA general'!G26),4), 1))</f>
        <v>Column G</v>
      </c>
      <c r="E124" s="1584" t="str">
        <f>CONCATENATE("Column ", LEFT(ADDRESS(ROW('BB SA general'!H26),COLUMN('BB SA general'!H26),4), 1))</f>
        <v>Column H</v>
      </c>
      <c r="F124" s="1584" t="str">
        <f>CONCATENATE("Column ", LEFT(ADDRESS(ROW('BB SA general'!I26),COLUMN('BB SA general'!I26),4), 1))</f>
        <v>Column I</v>
      </c>
      <c r="G124" s="1584" t="str">
        <f>CONCATENATE("Column ", LEFT(ADDRESS(ROW('BB SA general'!J26),COLUMN('BB SA general'!J26),4), 1))</f>
        <v>Column J</v>
      </c>
      <c r="H124" s="1584" t="str">
        <f>CONCATENATE("Column ", LEFT(ADDRESS(ROW('BB SA general'!K26),COLUMN('BB SA general'!K26),4), 1))</f>
        <v>Column K</v>
      </c>
      <c r="I124" s="1584" t="str">
        <f>CONCATENATE("Column ", LEFT(ADDRESS(ROW('BB SA general'!L26),COLUMN('BB SA general'!L26),4), 1))</f>
        <v>Column L</v>
      </c>
      <c r="J124" s="1584" t="str">
        <f>CONCATENATE("Column ", LEFT(ADDRESS(ROW('BB SA general'!M26),COLUMN('BB SA general'!M26),4), 1))</f>
        <v>Column M</v>
      </c>
      <c r="K124" s="1584" t="str">
        <f>CONCATENATE("Column ", LEFT(ADDRESS(ROW('BB SA general'!N26),COLUMN('BB SA general'!N26),4), 1))</f>
        <v>Column N</v>
      </c>
      <c r="L124" s="1584" t="str">
        <f>CONCATENATE("Column ", LEFT(ADDRESS(ROW('BB SA general'!O26),COLUMN('BB SA general'!O26),4), 1))</f>
        <v>Column O</v>
      </c>
      <c r="M124" s="1584" t="str">
        <f>CONCATENATE("Column ", LEFT(ADDRESS(ROW('BB SA general'!P26),COLUMN('BB SA general'!P26),4), 1))</f>
        <v>Column P</v>
      </c>
      <c r="N124" s="1373"/>
    </row>
    <row r="125" spans="1:14" s="769" customFormat="1" ht="15" customHeight="1" x14ac:dyDescent="0.25">
      <c r="A125" s="1369"/>
      <c r="B125" s="430"/>
      <c r="C125" s="1518" t="str">
        <f>'BB SA general'!C26:F26</f>
        <v>Check: Data in rows 54 to 65 should add up to the totals above.</v>
      </c>
      <c r="D125" s="1521" t="str">
        <f>'BB SA general'!G26</f>
        <v>Pass</v>
      </c>
      <c r="E125" s="1521" t="str">
        <f>'BB SA general'!H26</f>
        <v>Pass</v>
      </c>
      <c r="F125" s="1521" t="str">
        <f>'BB SA general'!I26</f>
        <v>Pass</v>
      </c>
      <c r="G125" s="1521" t="str">
        <f>'BB SA general'!J26</f>
        <v>Pass</v>
      </c>
      <c r="H125" s="1521" t="str">
        <f>'BB SA general'!K26</f>
        <v>Pass</v>
      </c>
      <c r="I125" s="1521" t="str">
        <f>'BB SA general'!L26</f>
        <v>Pass</v>
      </c>
      <c r="J125" s="1521" t="str">
        <f>'BB SA general'!M26</f>
        <v>Pass</v>
      </c>
      <c r="K125" s="1521" t="str">
        <f>'BB SA general'!N26</f>
        <v>Pass</v>
      </c>
      <c r="L125" s="1521" t="str">
        <f>'BB SA general'!O26</f>
        <v>Pass</v>
      </c>
      <c r="M125" s="1522" t="str">
        <f>'BB SA general'!P26</f>
        <v>Pass</v>
      </c>
      <c r="N125" s="1373"/>
    </row>
    <row r="126" spans="1:14" s="769" customFormat="1" ht="15" customHeight="1" x14ac:dyDescent="0.25">
      <c r="A126" s="1369"/>
      <c r="B126" s="433"/>
      <c r="C126" s="1519" t="str">
        <f>'BB SA general'!C28:F28</f>
        <v>Check: Data in rows 67 to 78 should add up to the totals above.</v>
      </c>
      <c r="D126" s="164" t="str">
        <f>'BB SA general'!G28</f>
        <v>Pass</v>
      </c>
      <c r="E126" s="164" t="str">
        <f>'BB SA general'!H28</f>
        <v>Pass</v>
      </c>
      <c r="F126" s="164" t="str">
        <f>'BB SA general'!I28</f>
        <v>Pass</v>
      </c>
      <c r="G126" s="164" t="str">
        <f>'BB SA general'!J28</f>
        <v>Pass</v>
      </c>
      <c r="H126" s="164" t="str">
        <f>'BB SA general'!K28</f>
        <v>Pass</v>
      </c>
      <c r="I126" s="164" t="str">
        <f>'BB SA general'!L28</f>
        <v>Pass</v>
      </c>
      <c r="J126" s="164" t="str">
        <f>'BB SA general'!M28</f>
        <v>Pass</v>
      </c>
      <c r="K126" s="164" t="str">
        <f>'BB SA general'!N28</f>
        <v>Pass</v>
      </c>
      <c r="L126" s="164" t="str">
        <f>'BB SA general'!O28</f>
        <v>Pass</v>
      </c>
      <c r="M126" s="359" t="str">
        <f>'BB SA general'!P28</f>
        <v>Pass</v>
      </c>
      <c r="N126" s="1373"/>
    </row>
    <row r="127" spans="1:14" s="769" customFormat="1" ht="15" customHeight="1" x14ac:dyDescent="0.25">
      <c r="A127" s="1369"/>
      <c r="B127" s="433"/>
      <c r="C127" s="1519" t="str">
        <f>'BB SA general'!C30:F30</f>
        <v>Check: Data in rows 80 to 91 should add up to the totals above.</v>
      </c>
      <c r="D127" s="164" t="str">
        <f>'BB SA general'!G30</f>
        <v>Pass</v>
      </c>
      <c r="E127" s="164" t="str">
        <f>'BB SA general'!H30</f>
        <v>Pass</v>
      </c>
      <c r="F127" s="164" t="str">
        <f>'BB SA general'!I30</f>
        <v>Pass</v>
      </c>
      <c r="G127" s="164" t="str">
        <f>'BB SA general'!J30</f>
        <v>Pass</v>
      </c>
      <c r="H127" s="164" t="str">
        <f>'BB SA general'!K30</f>
        <v>Pass</v>
      </c>
      <c r="I127" s="164" t="str">
        <f>'BB SA general'!L30</f>
        <v>Pass</v>
      </c>
      <c r="J127" s="164" t="str">
        <f>'BB SA general'!M30</f>
        <v>Pass</v>
      </c>
      <c r="K127" s="164" t="str">
        <f>'BB SA general'!N30</f>
        <v>Pass</v>
      </c>
      <c r="L127" s="164" t="str">
        <f>'BB SA general'!O30</f>
        <v>Pass</v>
      </c>
      <c r="M127" s="359" t="str">
        <f>'BB SA general'!P30</f>
        <v>Pass</v>
      </c>
      <c r="N127" s="1373"/>
    </row>
    <row r="128" spans="1:14" s="769" customFormat="1" ht="15" customHeight="1" x14ac:dyDescent="0.25">
      <c r="A128" s="1369"/>
      <c r="B128" s="433"/>
      <c r="C128" s="1519" t="str">
        <f>'BB SA general'!C32:F32</f>
        <v>Check: Data in rows 93 to 100 should add up to the totals above.</v>
      </c>
      <c r="D128" s="164" t="str">
        <f>'BB SA general'!G32</f>
        <v>Pass</v>
      </c>
      <c r="E128" s="164" t="str">
        <f>'BB SA general'!H32</f>
        <v>Pass</v>
      </c>
      <c r="F128" s="164" t="str">
        <f>'BB SA general'!I32</f>
        <v>Pass</v>
      </c>
      <c r="G128" s="164" t="str">
        <f>'BB SA general'!J32</f>
        <v>Pass</v>
      </c>
      <c r="H128" s="164" t="str">
        <f>'BB SA general'!K32</f>
        <v>Pass</v>
      </c>
      <c r="I128" s="164" t="str">
        <f>'BB SA general'!L32</f>
        <v>Pass</v>
      </c>
      <c r="J128" s="164" t="str">
        <f>'BB SA general'!M32</f>
        <v>Pass</v>
      </c>
      <c r="K128" s="164" t="str">
        <f>'BB SA general'!N32</f>
        <v>Pass</v>
      </c>
      <c r="L128" s="164" t="str">
        <f>'BB SA general'!O32</f>
        <v>Pass</v>
      </c>
      <c r="M128" s="359" t="str">
        <f>'BB SA general'!P32</f>
        <v>Pass</v>
      </c>
      <c r="N128" s="1373"/>
    </row>
    <row r="129" spans="1:14" s="769" customFormat="1" ht="15" customHeight="1" x14ac:dyDescent="0.25">
      <c r="A129" s="1369"/>
      <c r="B129" s="433"/>
      <c r="C129" s="1519" t="str">
        <f>'BB SA general'!C34:F34</f>
        <v>Check: Data in rows 104 to 535 and 538 to 561 should add up to the totals above.</v>
      </c>
      <c r="D129" s="164" t="str">
        <f>'BB SA general'!G34</f>
        <v>Pass</v>
      </c>
      <c r="E129" s="164" t="str">
        <f>'BB SA general'!H34</f>
        <v>Pass</v>
      </c>
      <c r="F129" s="164" t="str">
        <f>'BB SA general'!I34</f>
        <v>Pass</v>
      </c>
      <c r="G129" s="164" t="str">
        <f>'BB SA general'!J34</f>
        <v>Pass</v>
      </c>
      <c r="H129" s="164" t="str">
        <f>'BB SA general'!K34</f>
        <v>Pass</v>
      </c>
      <c r="I129" s="164" t="str">
        <f>'BB SA general'!L34</f>
        <v>Pass</v>
      </c>
      <c r="J129" s="164" t="str">
        <f>'BB SA general'!M34</f>
        <v>Pass</v>
      </c>
      <c r="K129" s="164" t="str">
        <f>'BB SA general'!N34</f>
        <v>Pass</v>
      </c>
      <c r="L129" s="164" t="str">
        <f>'BB SA general'!O34</f>
        <v>Pass</v>
      </c>
      <c r="M129" s="359" t="str">
        <f>'BB SA general'!P34</f>
        <v>Pass</v>
      </c>
      <c r="N129" s="1373"/>
    </row>
    <row r="130" spans="1:14" s="769" customFormat="1" ht="15" customHeight="1" x14ac:dyDescent="0.25">
      <c r="A130" s="1369"/>
      <c r="B130" s="433"/>
      <c r="C130" s="1519" t="str">
        <f>'BB SA general'!C37:F37</f>
        <v>Check: Data in rows 567 to 734 should add up to the totals above.</v>
      </c>
      <c r="D130" s="164" t="str">
        <f>'BB SA general'!G37</f>
        <v>Pass</v>
      </c>
      <c r="E130" s="164" t="str">
        <f>'BB SA general'!H37</f>
        <v>Pass</v>
      </c>
      <c r="F130" s="164" t="str">
        <f>'BB SA general'!I37</f>
        <v>Pass</v>
      </c>
      <c r="G130" s="164" t="str">
        <f>'BB SA general'!J37</f>
        <v>Pass</v>
      </c>
      <c r="H130" s="164" t="str">
        <f>'BB SA general'!K37</f>
        <v>Pass</v>
      </c>
      <c r="I130" s="164" t="str">
        <f>'BB SA general'!L37</f>
        <v>Pass</v>
      </c>
      <c r="J130" s="164" t="str">
        <f>'BB SA general'!M37</f>
        <v>Pass</v>
      </c>
      <c r="K130" s="164" t="str">
        <f>'BB SA general'!N37</f>
        <v>Pass</v>
      </c>
      <c r="L130" s="164" t="str">
        <f>'BB SA general'!O37</f>
        <v>Pass</v>
      </c>
      <c r="M130" s="359" t="str">
        <f>'BB SA general'!P37</f>
        <v>Pass</v>
      </c>
      <c r="N130" s="1373"/>
    </row>
    <row r="131" spans="1:14" s="769" customFormat="1" ht="15" customHeight="1" x14ac:dyDescent="0.25">
      <c r="A131" s="1369"/>
      <c r="B131" s="433"/>
      <c r="C131" s="1519" t="str">
        <f>'BB SA general'!C38:F38</f>
        <v>Check: Data in rows 737 to 856 should add up to the totals above.</v>
      </c>
      <c r="D131" s="164" t="str">
        <f>'BB SA general'!G38</f>
        <v>Pass</v>
      </c>
      <c r="E131" s="164" t="str">
        <f>'BB SA general'!H38</f>
        <v>Pass</v>
      </c>
      <c r="F131" s="164" t="str">
        <f>'BB SA general'!I38</f>
        <v>Pass</v>
      </c>
      <c r="G131" s="164" t="str">
        <f>'BB SA general'!J38</f>
        <v>Pass</v>
      </c>
      <c r="H131" s="164" t="str">
        <f>'BB SA general'!K38</f>
        <v>Pass</v>
      </c>
      <c r="I131" s="164" t="str">
        <f>'BB SA general'!L38</f>
        <v>Pass</v>
      </c>
      <c r="J131" s="164" t="str">
        <f>'BB SA general'!M38</f>
        <v>Pass</v>
      </c>
      <c r="K131" s="164" t="str">
        <f>'BB SA general'!N38</f>
        <v>Pass</v>
      </c>
      <c r="L131" s="164" t="str">
        <f>'BB SA general'!O38</f>
        <v>Pass</v>
      </c>
      <c r="M131" s="359" t="str">
        <f>'BB SA general'!P38</f>
        <v>Pass</v>
      </c>
      <c r="N131" s="1373"/>
    </row>
    <row r="132" spans="1:14" s="769" customFormat="1" ht="15" customHeight="1" x14ac:dyDescent="0.25">
      <c r="A132" s="1369"/>
      <c r="B132" s="433"/>
      <c r="C132" s="1519" t="str">
        <f>'BB SA general'!C40:F40</f>
        <v>Check: Data in rows 859 to 918 should add up to the totals above.</v>
      </c>
      <c r="D132" s="164" t="str">
        <f>'BB SA general'!G40</f>
        <v>Pass</v>
      </c>
      <c r="E132" s="164" t="str">
        <f>'BB SA general'!H40</f>
        <v>Pass</v>
      </c>
      <c r="F132" s="164" t="str">
        <f>'BB SA general'!I40</f>
        <v>Pass</v>
      </c>
      <c r="G132" s="164" t="str">
        <f>'BB SA general'!J40</f>
        <v>Pass</v>
      </c>
      <c r="H132" s="164" t="str">
        <f>'BB SA general'!K40</f>
        <v>Pass</v>
      </c>
      <c r="I132" s="164" t="str">
        <f>'BB SA general'!L40</f>
        <v>Pass</v>
      </c>
      <c r="J132" s="164" t="str">
        <f>'BB SA general'!M40</f>
        <v>Pass</v>
      </c>
      <c r="K132" s="164" t="str">
        <f>'BB SA general'!N40</f>
        <v>Pass</v>
      </c>
      <c r="L132" s="164" t="str">
        <f>'BB SA general'!O40</f>
        <v>Pass</v>
      </c>
      <c r="M132" s="359" t="str">
        <f>'BB SA general'!P40</f>
        <v>Pass</v>
      </c>
      <c r="N132" s="1373"/>
    </row>
    <row r="133" spans="1:14" s="769" customFormat="1" ht="15" customHeight="1" x14ac:dyDescent="0.25">
      <c r="A133" s="1369"/>
      <c r="B133" s="433"/>
      <c r="C133" s="1519" t="str">
        <f>'BB SA general'!C42:F42</f>
        <v>Check: Data in rows 923 to 1062 should add up to the totals above.</v>
      </c>
      <c r="D133" s="164" t="str">
        <f>'BB SA general'!G42</f>
        <v>Pass</v>
      </c>
      <c r="E133" s="164" t="str">
        <f>'BB SA general'!H42</f>
        <v>Pass</v>
      </c>
      <c r="F133" s="164" t="str">
        <f>'BB SA general'!I42</f>
        <v>Pass</v>
      </c>
      <c r="G133" s="164" t="str">
        <f>'BB SA general'!J42</f>
        <v>Pass</v>
      </c>
      <c r="H133" s="164" t="str">
        <f>'BB SA general'!K42</f>
        <v>Pass</v>
      </c>
      <c r="I133" s="164" t="str">
        <f>'BB SA general'!L42</f>
        <v>Pass</v>
      </c>
      <c r="J133" s="164" t="str">
        <f>'BB SA general'!M42</f>
        <v>Pass</v>
      </c>
      <c r="K133" s="164" t="str">
        <f>'BB SA general'!N42</f>
        <v>Pass</v>
      </c>
      <c r="L133" s="164" t="str">
        <f>'BB SA general'!O42</f>
        <v>Pass</v>
      </c>
      <c r="M133" s="359" t="str">
        <f>'BB SA general'!P42</f>
        <v>Pass</v>
      </c>
      <c r="N133" s="1373"/>
    </row>
    <row r="134" spans="1:14" s="769" customFormat="1" ht="15" customHeight="1" x14ac:dyDescent="0.25">
      <c r="A134" s="1369"/>
      <c r="B134" s="433"/>
      <c r="C134" s="1519" t="str">
        <f>'BB SA general'!C43:F43</f>
        <v>Check: Data in rows 1065 to 1164 should add up to the totals above.</v>
      </c>
      <c r="D134" s="164" t="str">
        <f>'BB SA general'!G43</f>
        <v>Pass</v>
      </c>
      <c r="E134" s="164" t="str">
        <f>'BB SA general'!H43</f>
        <v>Pass</v>
      </c>
      <c r="F134" s="164" t="str">
        <f>'BB SA general'!I43</f>
        <v>Pass</v>
      </c>
      <c r="G134" s="164" t="str">
        <f>'BB SA general'!J43</f>
        <v>Pass</v>
      </c>
      <c r="H134" s="164" t="str">
        <f>'BB SA general'!K43</f>
        <v>Pass</v>
      </c>
      <c r="I134" s="164" t="str">
        <f>'BB SA general'!L43</f>
        <v>Pass</v>
      </c>
      <c r="J134" s="164" t="str">
        <f>'BB SA general'!M43</f>
        <v>Pass</v>
      </c>
      <c r="K134" s="164" t="str">
        <f>'BB SA general'!N43</f>
        <v>Pass</v>
      </c>
      <c r="L134" s="164" t="str">
        <f>'BB SA general'!O43</f>
        <v>Pass</v>
      </c>
      <c r="M134" s="359" t="str">
        <f>'BB SA general'!P43</f>
        <v>Pass</v>
      </c>
      <c r="N134" s="1373"/>
    </row>
    <row r="135" spans="1:14" s="769" customFormat="1" ht="15" customHeight="1" x14ac:dyDescent="0.25">
      <c r="A135" s="1369"/>
      <c r="B135" s="433"/>
      <c r="C135" s="1519" t="str">
        <f>'BB SA general'!C45:F45</f>
        <v>Check: Data in rows 1169 to 1186 should add up to the totals above.</v>
      </c>
      <c r="D135" s="164" t="str">
        <f>'BB SA general'!G45</f>
        <v>Pass</v>
      </c>
      <c r="E135" s="164" t="str">
        <f>'BB SA general'!H45</f>
        <v>Pass</v>
      </c>
      <c r="F135" s="164" t="str">
        <f>'BB SA general'!I45</f>
        <v>Pass</v>
      </c>
      <c r="G135" s="164" t="str">
        <f>'BB SA general'!J45</f>
        <v>Pass</v>
      </c>
      <c r="H135" s="164" t="str">
        <f>'BB SA general'!K45</f>
        <v>Pass</v>
      </c>
      <c r="I135" s="164" t="str">
        <f>'BB SA general'!L45</f>
        <v>Pass</v>
      </c>
      <c r="J135" s="164" t="str">
        <f>'BB SA general'!M45</f>
        <v>Pass</v>
      </c>
      <c r="K135" s="164" t="str">
        <f>'BB SA general'!N45</f>
        <v>Pass</v>
      </c>
      <c r="L135" s="164" t="str">
        <f>'BB SA general'!O45</f>
        <v>Pass</v>
      </c>
      <c r="M135" s="359" t="str">
        <f>'BB SA general'!P45</f>
        <v>Pass</v>
      </c>
      <c r="N135" s="1373"/>
    </row>
    <row r="136" spans="1:14" s="769" customFormat="1" ht="15" customHeight="1" x14ac:dyDescent="0.25">
      <c r="A136" s="1369"/>
      <c r="B136" s="433"/>
      <c r="C136" s="1519" t="str">
        <f>'BB SA general'!C46:F46</f>
        <v>Check: Data in rows 1189 to 1248 should add up to the totals above.</v>
      </c>
      <c r="D136" s="164" t="str">
        <f>'BB SA general'!G46</f>
        <v>Pass</v>
      </c>
      <c r="E136" s="164" t="str">
        <f>'BB SA general'!H46</f>
        <v>Pass</v>
      </c>
      <c r="F136" s="164" t="str">
        <f>'BB SA general'!I46</f>
        <v>Pass</v>
      </c>
      <c r="G136" s="164" t="str">
        <f>'BB SA general'!J46</f>
        <v>Pass</v>
      </c>
      <c r="H136" s="164" t="str">
        <f>'BB SA general'!K46</f>
        <v>Pass</v>
      </c>
      <c r="I136" s="164" t="str">
        <f>'BB SA general'!L46</f>
        <v>Pass</v>
      </c>
      <c r="J136" s="164" t="str">
        <f>'BB SA general'!M46</f>
        <v>Pass</v>
      </c>
      <c r="K136" s="164" t="str">
        <f>'BB SA general'!N46</f>
        <v>Pass</v>
      </c>
      <c r="L136" s="164" t="str">
        <f>'BB SA general'!O46</f>
        <v>Pass</v>
      </c>
      <c r="M136" s="359" t="str">
        <f>'BB SA general'!P46</f>
        <v>Pass</v>
      </c>
      <c r="N136" s="1373"/>
    </row>
    <row r="137" spans="1:14" s="769" customFormat="1" ht="15" customHeight="1" x14ac:dyDescent="0.25">
      <c r="A137" s="1369"/>
      <c r="B137" s="433"/>
      <c r="C137" s="1519" t="str">
        <f>'BB SA general'!C48:F48</f>
        <v>Check: Data in rows 1253 to 1264 should add up to the totals above.</v>
      </c>
      <c r="D137" s="164" t="str">
        <f>'BB SA general'!G48</f>
        <v>Pass</v>
      </c>
      <c r="E137" s="164" t="str">
        <f>'BB SA general'!H48</f>
        <v>Pass</v>
      </c>
      <c r="F137" s="164" t="str">
        <f>'BB SA general'!I48</f>
        <v>Pass</v>
      </c>
      <c r="G137" s="164" t="str">
        <f>'BB SA general'!J48</f>
        <v>Pass</v>
      </c>
      <c r="H137" s="164" t="str">
        <f>'BB SA general'!K48</f>
        <v>Pass</v>
      </c>
      <c r="I137" s="164" t="str">
        <f>'BB SA general'!L48</f>
        <v>Pass</v>
      </c>
      <c r="J137" s="164" t="str">
        <f>'BB SA general'!M48</f>
        <v>Pass</v>
      </c>
      <c r="K137" s="164" t="str">
        <f>'BB SA general'!N48</f>
        <v>Pass</v>
      </c>
      <c r="L137" s="164" t="str">
        <f>'BB SA general'!O48</f>
        <v>Pass</v>
      </c>
      <c r="M137" s="359" t="str">
        <f>'BB SA general'!P48</f>
        <v>Pass</v>
      </c>
      <c r="N137" s="1373"/>
    </row>
    <row r="138" spans="1:14" s="769" customFormat="1" ht="15" customHeight="1" x14ac:dyDescent="0.25">
      <c r="A138" s="1369"/>
      <c r="B138" s="433"/>
      <c r="C138" s="1519" t="str">
        <f>'BB SA general'!C49:F49</f>
        <v>Check: Data in rows 1267 to 1270 should add up to the totals above.</v>
      </c>
      <c r="D138" s="164" t="str">
        <f>'BB SA general'!G49</f>
        <v>Pass</v>
      </c>
      <c r="E138" s="164" t="str">
        <f>'BB SA general'!H49</f>
        <v>Pass</v>
      </c>
      <c r="F138" s="164" t="str">
        <f>'BB SA general'!I49</f>
        <v>Pass</v>
      </c>
      <c r="G138" s="164" t="str">
        <f>'BB SA general'!J49</f>
        <v>Pass</v>
      </c>
      <c r="H138" s="164" t="str">
        <f>'BB SA general'!K49</f>
        <v>Pass</v>
      </c>
      <c r="I138" s="164" t="str">
        <f>'BB SA general'!L49</f>
        <v>Pass</v>
      </c>
      <c r="J138" s="164" t="str">
        <f>'BB SA general'!M49</f>
        <v>Pass</v>
      </c>
      <c r="K138" s="164" t="str">
        <f>'BB SA general'!N49</f>
        <v>Pass</v>
      </c>
      <c r="L138" s="164" t="str">
        <f>'BB SA general'!O49</f>
        <v>Pass</v>
      </c>
      <c r="M138" s="359" t="str">
        <f>'BB SA general'!P49</f>
        <v>Pass</v>
      </c>
      <c r="N138" s="1373"/>
    </row>
    <row r="139" spans="1:14" s="769" customFormat="1" ht="15" customHeight="1" x14ac:dyDescent="0.25">
      <c r="A139" s="1369"/>
      <c r="B139" s="433"/>
      <c r="C139" s="1519" t="str">
        <f>'BB SA general'!C50:F50</f>
        <v>Check: Data in rows 1273 to 1284 should add up to the totals above.</v>
      </c>
      <c r="D139" s="164" t="str">
        <f>'BB SA general'!G50</f>
        <v>Pass</v>
      </c>
      <c r="E139" s="164" t="str">
        <f>'BB SA general'!H50</f>
        <v>Pass</v>
      </c>
      <c r="F139" s="164" t="str">
        <f>'BB SA general'!I50</f>
        <v>Pass</v>
      </c>
      <c r="G139" s="164" t="str">
        <f>'BB SA general'!J50</f>
        <v>Pass</v>
      </c>
      <c r="H139" s="164" t="str">
        <f>'BB SA general'!K50</f>
        <v>Pass</v>
      </c>
      <c r="I139" s="164" t="str">
        <f>'BB SA general'!L50</f>
        <v>Pass</v>
      </c>
      <c r="J139" s="164" t="str">
        <f>'BB SA general'!M50</f>
        <v>Pass</v>
      </c>
      <c r="K139" s="164" t="str">
        <f>'BB SA general'!N50</f>
        <v>Pass</v>
      </c>
      <c r="L139" s="164" t="str">
        <f>'BB SA general'!O50</f>
        <v>Pass</v>
      </c>
      <c r="M139" s="359" t="str">
        <f>'BB SA general'!P50</f>
        <v>Pass</v>
      </c>
      <c r="N139" s="1373"/>
    </row>
    <row r="140" spans="1:14" s="769" customFormat="1" ht="15" customHeight="1" x14ac:dyDescent="0.25">
      <c r="A140" s="1369"/>
      <c r="B140" s="61"/>
      <c r="C140" s="1520" t="str">
        <f>'BB SA general'!C51:F51</f>
        <v>Check: Data in rows 1287 to 1298 should add up to the totals above.</v>
      </c>
      <c r="D140" s="196" t="str">
        <f>'BB SA general'!G51</f>
        <v>Pass</v>
      </c>
      <c r="E140" s="196" t="str">
        <f>'BB SA general'!H51</f>
        <v>Pass</v>
      </c>
      <c r="F140" s="196" t="str">
        <f>'BB SA general'!I51</f>
        <v>Pass</v>
      </c>
      <c r="G140" s="196" t="str">
        <f>'BB SA general'!J51</f>
        <v>Pass</v>
      </c>
      <c r="H140" s="196" t="str">
        <f>'BB SA general'!K51</f>
        <v>Pass</v>
      </c>
      <c r="I140" s="196" t="str">
        <f>'BB SA general'!L51</f>
        <v>Pass</v>
      </c>
      <c r="J140" s="196" t="str">
        <f>'BB SA general'!M51</f>
        <v>Pass</v>
      </c>
      <c r="K140" s="196" t="str">
        <f>'BB SA general'!N51</f>
        <v>Pass</v>
      </c>
      <c r="L140" s="196" t="str">
        <f>'BB SA general'!O51</f>
        <v>Pass</v>
      </c>
      <c r="M140" s="401" t="str">
        <f>'BB SA general'!P51</f>
        <v>Pass</v>
      </c>
      <c r="N140" s="1373"/>
    </row>
    <row r="141" spans="1:14" s="769" customFormat="1" ht="15" customHeight="1" x14ac:dyDescent="0.25">
      <c r="A141" s="1369"/>
      <c r="B141" s="543"/>
      <c r="C141" s="1214"/>
      <c r="D141" s="1215"/>
      <c r="E141" s="1368"/>
      <c r="F141" s="1368"/>
      <c r="G141" s="1368"/>
      <c r="H141" s="1368"/>
      <c r="I141" s="1368"/>
      <c r="J141" s="1368"/>
      <c r="K141" s="1368"/>
      <c r="L141" s="1368"/>
      <c r="M141" s="1368"/>
      <c r="N141" s="1373"/>
    </row>
    <row r="142" spans="1:14" s="732" customFormat="1" ht="30" customHeight="1" x14ac:dyDescent="0.3">
      <c r="A142" s="1363" t="s">
        <v>1738</v>
      </c>
      <c r="B142" s="1366"/>
      <c r="C142" s="1366"/>
      <c r="D142" s="1366"/>
      <c r="E142" s="1366"/>
      <c r="F142" s="1366"/>
      <c r="G142" s="1366"/>
      <c r="H142" s="1366"/>
      <c r="I142" s="1366"/>
      <c r="J142" s="1366"/>
      <c r="K142" s="1366"/>
      <c r="L142" s="1366"/>
      <c r="M142" s="1366"/>
      <c r="N142" s="1367"/>
    </row>
    <row r="143" spans="1:14" s="769" customFormat="1" ht="30" customHeight="1" x14ac:dyDescent="0.3">
      <c r="A143" s="548" t="s">
        <v>1231</v>
      </c>
      <c r="B143" s="1368"/>
      <c r="C143" s="1368"/>
      <c r="D143" s="1368"/>
      <c r="E143" s="1368"/>
      <c r="F143" s="1368"/>
      <c r="G143" s="1368"/>
      <c r="H143" s="1368"/>
      <c r="I143" s="1368"/>
      <c r="J143" s="1368"/>
      <c r="K143" s="1368"/>
      <c r="L143" s="1368"/>
      <c r="M143" s="1368"/>
      <c r="N143" s="1373"/>
    </row>
    <row r="144" spans="1:14" s="769" customFormat="1" ht="15" customHeight="1" x14ac:dyDescent="0.25">
      <c r="A144" s="1369"/>
      <c r="B144" s="1368"/>
      <c r="C144" s="1368"/>
      <c r="D144" s="1368"/>
      <c r="E144" s="1368"/>
      <c r="F144" s="1368"/>
      <c r="G144" s="1368"/>
      <c r="H144" s="1368"/>
      <c r="I144" s="1368"/>
      <c r="J144" s="1368"/>
      <c r="K144" s="1368"/>
      <c r="L144" s="1368"/>
      <c r="M144" s="1368"/>
      <c r="N144" s="1373"/>
    </row>
    <row r="145" spans="1:14" s="769" customFormat="1" ht="15" customHeight="1" x14ac:dyDescent="0.25">
      <c r="A145" s="1369"/>
      <c r="B145" s="1605" t="s">
        <v>64</v>
      </c>
      <c r="C145" s="528" t="s">
        <v>65</v>
      </c>
      <c r="D145" s="1584" t="str">
        <f>CONCATENATE("Column ", LEFT(ADDRESS(ROW('TB general'!C4),COLUMN('TB general'!C4),4), 1))</f>
        <v>Column C</v>
      </c>
      <c r="E145" s="1368"/>
      <c r="F145" s="1368"/>
      <c r="G145" s="1368"/>
      <c r="H145" s="1368"/>
      <c r="I145" s="1368"/>
      <c r="J145" s="1368"/>
      <c r="K145" s="1368"/>
      <c r="L145" s="1368"/>
      <c r="M145" s="1368"/>
      <c r="N145" s="1373"/>
    </row>
    <row r="146" spans="1:14" s="769" customFormat="1" ht="15" customHeight="1" x14ac:dyDescent="0.25">
      <c r="A146" s="1369"/>
      <c r="B146" s="90" t="s">
        <v>314</v>
      </c>
      <c r="C146" s="546" t="str">
        <f>'TB general'!B24</f>
        <v>Check: positive VaR capital charge requires VaR which is positive but smaller than the capital charge</v>
      </c>
      <c r="D146" s="112" t="str">
        <f>'TB general'!C24</f>
        <v>Yes</v>
      </c>
      <c r="E146" s="1368"/>
      <c r="F146" s="1368"/>
      <c r="G146" s="1368"/>
      <c r="H146" s="1368"/>
      <c r="I146" s="1368"/>
      <c r="J146" s="1368"/>
      <c r="K146" s="1368"/>
      <c r="L146" s="1368"/>
      <c r="M146" s="1368"/>
      <c r="N146" s="1373"/>
    </row>
    <row r="147" spans="1:14" s="769" customFormat="1" ht="15" customHeight="1" x14ac:dyDescent="0.25">
      <c r="A147" s="1369"/>
      <c r="B147" s="1560" t="s">
        <v>314</v>
      </c>
      <c r="C147" s="547" t="str">
        <f>'TB general'!B26</f>
        <v>Check: positive Basel 2.5 VaR requires positive Basel 2.5 stressed VaR and vice versa</v>
      </c>
      <c r="D147" s="63" t="str">
        <f>'TB general'!C26</f>
        <v>Yes</v>
      </c>
      <c r="E147" s="1368"/>
      <c r="F147" s="1368"/>
      <c r="G147" s="1368"/>
      <c r="H147" s="1368"/>
      <c r="I147" s="1368"/>
      <c r="J147" s="1368"/>
      <c r="K147" s="1368"/>
      <c r="L147" s="1368"/>
      <c r="M147" s="1368"/>
      <c r="N147" s="1373"/>
    </row>
    <row r="148" spans="1:14" s="769" customFormat="1" ht="15" customHeight="1" x14ac:dyDescent="0.25">
      <c r="A148" s="1369"/>
      <c r="B148" s="543"/>
      <c r="C148" s="1214"/>
      <c r="D148" s="1215"/>
      <c r="E148" s="1368"/>
      <c r="F148" s="1368"/>
      <c r="G148" s="1368"/>
      <c r="H148" s="1368"/>
      <c r="I148" s="1368"/>
      <c r="J148" s="1368"/>
      <c r="K148" s="1368"/>
      <c r="L148" s="1368"/>
      <c r="M148" s="1368"/>
      <c r="N148" s="1373"/>
    </row>
    <row r="149" spans="1:14" s="732" customFormat="1" ht="30" customHeight="1" x14ac:dyDescent="0.3">
      <c r="A149" s="1363" t="s">
        <v>1739</v>
      </c>
      <c r="B149" s="1366"/>
      <c r="C149" s="1366"/>
      <c r="D149" s="1366"/>
      <c r="E149" s="1366"/>
      <c r="F149" s="1366"/>
      <c r="G149" s="1366"/>
      <c r="H149" s="1366"/>
      <c r="I149" s="1366"/>
      <c r="J149" s="1366"/>
      <c r="K149" s="1366"/>
      <c r="L149" s="1366"/>
      <c r="M149" s="1366"/>
      <c r="N149" s="1367"/>
    </row>
    <row r="150" spans="1:14" s="769" customFormat="1" ht="15" customHeight="1" x14ac:dyDescent="0.25">
      <c r="A150" s="1369"/>
      <c r="B150" s="1368"/>
      <c r="C150" s="1368"/>
      <c r="D150" s="1368"/>
      <c r="E150" s="1368"/>
      <c r="F150" s="1368"/>
      <c r="G150" s="1368"/>
      <c r="H150" s="1368"/>
      <c r="I150" s="1368"/>
      <c r="J150" s="1368"/>
      <c r="K150" s="1368"/>
      <c r="L150" s="1368"/>
      <c r="M150" s="1368"/>
      <c r="N150" s="1373"/>
    </row>
    <row r="151" spans="1:14" s="769" customFormat="1" ht="15" customHeight="1" x14ac:dyDescent="0.25">
      <c r="A151" s="1369"/>
      <c r="B151" s="1605" t="s">
        <v>64</v>
      </c>
      <c r="C151" s="528" t="s">
        <v>65</v>
      </c>
      <c r="D151" s="1584" t="str">
        <f>CONCATENATE("Column ", LEFT(ADDRESS(ROW('G-SIB TLAC external'!D50),COLUMN('G-SIB TLAC external'!D50),4), 1))</f>
        <v>Column D</v>
      </c>
      <c r="E151" s="1368"/>
      <c r="F151" s="1368"/>
      <c r="G151" s="1368"/>
      <c r="H151" s="1368"/>
      <c r="I151" s="1368"/>
      <c r="J151" s="1368"/>
      <c r="K151" s="1368"/>
      <c r="L151" s="1368"/>
      <c r="M151" s="1368"/>
      <c r="N151" s="1373"/>
    </row>
    <row r="152" spans="1:14" s="769" customFormat="1" ht="15" customHeight="1" x14ac:dyDescent="0.25">
      <c r="A152" s="1369"/>
      <c r="B152" s="90" t="s">
        <v>300</v>
      </c>
      <c r="C152" s="546" t="str">
        <f>'G-SIB TLAC external'!B51</f>
        <v>Holdings of Common Equity Tier 1 net of short positions</v>
      </c>
      <c r="D152" s="359" t="str">
        <f>'G-SIB TLAC external'!D51</f>
        <v>Pass</v>
      </c>
      <c r="E152" s="1368"/>
      <c r="F152" s="1368"/>
      <c r="G152" s="1368"/>
      <c r="H152" s="1368"/>
      <c r="I152" s="1368"/>
      <c r="J152" s="1368"/>
      <c r="K152" s="1368"/>
      <c r="L152" s="1368"/>
      <c r="M152" s="1368"/>
      <c r="N152" s="1373"/>
    </row>
    <row r="153" spans="1:14" s="769" customFormat="1" ht="15" customHeight="1" x14ac:dyDescent="0.25">
      <c r="A153" s="1369"/>
      <c r="B153" s="1559" t="s">
        <v>300</v>
      </c>
      <c r="C153" s="1216" t="str">
        <f>'G-SIB TLAC external'!B52</f>
        <v xml:space="preserve">Holdings of Additional Tier 1 capital net of short positions </v>
      </c>
      <c r="D153" s="359" t="str">
        <f>'G-SIB TLAC external'!D52</f>
        <v>Pass</v>
      </c>
      <c r="E153" s="1368"/>
      <c r="F153" s="1368"/>
      <c r="G153" s="1368"/>
      <c r="H153" s="1368"/>
      <c r="I153" s="1368"/>
      <c r="J153" s="1368"/>
      <c r="K153" s="1368"/>
      <c r="L153" s="1368"/>
      <c r="M153" s="1368"/>
      <c r="N153" s="1373"/>
    </row>
    <row r="154" spans="1:14" s="769" customFormat="1" ht="15" customHeight="1" x14ac:dyDescent="0.25">
      <c r="A154" s="1369"/>
      <c r="B154" s="1560" t="s">
        <v>300</v>
      </c>
      <c r="C154" s="547" t="str">
        <f>'G-SIB TLAC external'!B53</f>
        <v>Holdings of Tier 2 capital net of short positions</v>
      </c>
      <c r="D154" s="401" t="str">
        <f>'G-SIB TLAC external'!D53</f>
        <v>Pass</v>
      </c>
      <c r="E154" s="1368"/>
      <c r="F154" s="1368"/>
      <c r="G154" s="1368"/>
      <c r="H154" s="1368"/>
      <c r="I154" s="1368"/>
      <c r="J154" s="1368"/>
      <c r="K154" s="1368"/>
      <c r="L154" s="1368"/>
      <c r="M154" s="1368"/>
      <c r="N154" s="1373"/>
    </row>
    <row r="155" spans="1:14" s="769" customFormat="1" ht="15" customHeight="1" x14ac:dyDescent="0.25">
      <c r="A155" s="1369"/>
      <c r="B155" s="543"/>
      <c r="C155" s="1214"/>
      <c r="D155" s="1215"/>
      <c r="E155" s="1368"/>
      <c r="F155" s="1368"/>
      <c r="G155" s="1368"/>
      <c r="H155" s="1368"/>
      <c r="I155" s="1368"/>
      <c r="J155" s="1368"/>
      <c r="K155" s="1368"/>
      <c r="L155" s="1368"/>
      <c r="M155" s="1368"/>
      <c r="N155" s="1373"/>
    </row>
    <row r="156" spans="1:14" s="732" customFormat="1" ht="30" customHeight="1" x14ac:dyDescent="0.3">
      <c r="A156" s="1363" t="s">
        <v>1740</v>
      </c>
      <c r="B156" s="1366"/>
      <c r="C156" s="1366"/>
      <c r="D156" s="1366"/>
      <c r="E156" s="1366"/>
      <c r="F156" s="1366"/>
      <c r="G156" s="1366"/>
      <c r="H156" s="1366"/>
      <c r="I156" s="1366"/>
      <c r="J156" s="1366"/>
      <c r="K156" s="1366"/>
      <c r="L156" s="1366"/>
      <c r="M156" s="1366"/>
      <c r="N156" s="1367"/>
    </row>
    <row r="157" spans="1:14" s="769" customFormat="1" ht="15" customHeight="1" x14ac:dyDescent="0.25">
      <c r="A157" s="1369"/>
      <c r="B157" s="1368"/>
      <c r="C157" s="1368"/>
      <c r="D157" s="1368"/>
      <c r="E157" s="1368"/>
      <c r="F157" s="1368"/>
      <c r="G157" s="1368"/>
      <c r="H157" s="1368"/>
      <c r="I157" s="1368"/>
      <c r="J157" s="1368"/>
      <c r="K157" s="1368"/>
      <c r="L157" s="1368"/>
      <c r="M157" s="1368"/>
      <c r="N157" s="1373"/>
    </row>
    <row r="158" spans="1:14" s="769" customFormat="1" ht="15" customHeight="1" x14ac:dyDescent="0.25">
      <c r="A158" s="1369"/>
      <c r="B158" s="1605" t="s">
        <v>64</v>
      </c>
      <c r="C158" s="528" t="s">
        <v>65</v>
      </c>
      <c r="D158" s="1584" t="str">
        <f>CONCATENATE("Column ", LEFT(ADDRESS(ROW('TLAC holdings'!D11),COLUMN('TLAC holdings'!D11),4), 1))</f>
        <v>Column D</v>
      </c>
      <c r="E158" s="1368"/>
      <c r="F158" s="1368"/>
      <c r="G158" s="1368"/>
      <c r="H158" s="1368"/>
      <c r="I158" s="1368"/>
      <c r="J158" s="1368"/>
      <c r="K158" s="1368"/>
      <c r="L158" s="1368"/>
      <c r="M158" s="1368"/>
      <c r="N158" s="1373"/>
    </row>
    <row r="159" spans="1:14" s="769" customFormat="1" ht="15" customHeight="1" x14ac:dyDescent="0.25">
      <c r="A159" s="1369"/>
      <c r="B159" s="90" t="s">
        <v>303</v>
      </c>
      <c r="C159" s="546" t="str">
        <f>'TLAC holdings'!B12</f>
        <v>Holdings of Common Equity Tier 1 net of short positions</v>
      </c>
      <c r="D159" s="359" t="str">
        <f>'TLAC holdings'!D12</f>
        <v>Pass</v>
      </c>
      <c r="E159" s="1368"/>
      <c r="F159" s="1368"/>
      <c r="G159" s="1368"/>
      <c r="H159" s="1368"/>
      <c r="I159" s="1368"/>
      <c r="J159" s="1368"/>
      <c r="K159" s="1368"/>
      <c r="L159" s="1368"/>
      <c r="M159" s="1368"/>
      <c r="N159" s="1373"/>
    </row>
    <row r="160" spans="1:14" s="769" customFormat="1" ht="15" customHeight="1" x14ac:dyDescent="0.25">
      <c r="A160" s="1369"/>
      <c r="B160" s="1559" t="s">
        <v>303</v>
      </c>
      <c r="C160" s="1216" t="str">
        <f>'TLAC holdings'!B13</f>
        <v xml:space="preserve">Holdings of Additional Tier 1 capital net of short positions </v>
      </c>
      <c r="D160" s="359" t="str">
        <f>'TLAC holdings'!D13</f>
        <v>Pass</v>
      </c>
      <c r="E160" s="1368"/>
      <c r="F160" s="1368"/>
      <c r="G160" s="1368"/>
      <c r="H160" s="1368"/>
      <c r="I160" s="1368"/>
      <c r="J160" s="1368"/>
      <c r="K160" s="1368"/>
      <c r="L160" s="1368"/>
      <c r="M160" s="1368"/>
      <c r="N160" s="1373"/>
    </row>
    <row r="161" spans="1:14" s="769" customFormat="1" ht="15" customHeight="1" x14ac:dyDescent="0.25">
      <c r="A161" s="1369"/>
      <c r="B161" s="1560" t="s">
        <v>303</v>
      </c>
      <c r="C161" s="547" t="str">
        <f>'TLAC holdings'!B14</f>
        <v>Holdings of Tier 2 capital net of short positions</v>
      </c>
      <c r="D161" s="401" t="str">
        <f>'TLAC holdings'!D14</f>
        <v>Pass</v>
      </c>
      <c r="E161" s="1368"/>
      <c r="F161" s="1368"/>
      <c r="G161" s="1368"/>
      <c r="H161" s="1368"/>
      <c r="I161" s="1368"/>
      <c r="J161" s="1368"/>
      <c r="K161" s="1368"/>
      <c r="L161" s="1368"/>
      <c r="M161" s="1368"/>
      <c r="N161" s="1373"/>
    </row>
    <row r="162" spans="1:14" s="769" customFormat="1" ht="15" customHeight="1" x14ac:dyDescent="0.25">
      <c r="A162" s="347"/>
      <c r="B162" s="348"/>
      <c r="C162" s="348"/>
      <c r="D162" s="348"/>
      <c r="E162" s="348"/>
      <c r="F162" s="348"/>
      <c r="G162" s="348"/>
      <c r="H162" s="348"/>
      <c r="I162" s="348"/>
      <c r="J162" s="348"/>
      <c r="K162" s="348"/>
      <c r="L162" s="348"/>
      <c r="M162" s="348"/>
      <c r="N162" s="349"/>
    </row>
  </sheetData>
  <phoneticPr fontId="5" type="noConversion"/>
  <conditionalFormatting sqref="D5:D6 G18:G20 F21 E26:E27 D22:D26 I22:I26 H11:H16 M11:M16 E17 F26 J17 J26:J27 K26 K20:K21 L18:L20 I35:I38 D141">
    <cfRule type="cellIs" dxfId="45" priority="394" stopIfTrue="1" operator="equal">
      <formula>"Yes"</formula>
    </cfRule>
  </conditionalFormatting>
  <conditionalFormatting sqref="D5:D6 G18:G20 F21 E26:E27 D22:D26 I22:I26 H11:H16 M11:M16 E17 F26 J17 J26:J27 K26 K20:K21 L18:L20 I35:I38 D141">
    <cfRule type="cellIs" dxfId="44" priority="393" stopIfTrue="1" operator="equal">
      <formula>"No"</formula>
    </cfRule>
  </conditionalFormatting>
  <conditionalFormatting sqref="D43:D85 E44:G45 E49:E85 F90 D91:D103 D119 E95:F97 E102:F102 E118:F119 D109:D110 F115">
    <cfRule type="cellIs" dxfId="43" priority="397" stopIfTrue="1" operator="equal">
      <formula>"Fail"</formula>
    </cfRule>
    <cfRule type="cellIs" dxfId="42" priority="398" stopIfTrue="1" operator="equal">
      <formula>"Pass"</formula>
    </cfRule>
  </conditionalFormatting>
  <conditionalFormatting sqref="D146:D148">
    <cfRule type="cellIs" dxfId="41" priority="74" stopIfTrue="1" operator="equal">
      <formula>"Yes"</formula>
    </cfRule>
  </conditionalFormatting>
  <conditionalFormatting sqref="D146:D148">
    <cfRule type="cellIs" dxfId="40" priority="73" stopIfTrue="1" operator="equal">
      <formula>"No"</formula>
    </cfRule>
  </conditionalFormatting>
  <conditionalFormatting sqref="E28 D32">
    <cfRule type="cellIs" dxfId="39" priority="70" stopIfTrue="1" operator="equal">
      <formula>"Yes"</formula>
    </cfRule>
  </conditionalFormatting>
  <conditionalFormatting sqref="E28 D32">
    <cfRule type="cellIs" dxfId="38" priority="69" stopIfTrue="1" operator="equal">
      <formula>"No"</formula>
    </cfRule>
  </conditionalFormatting>
  <conditionalFormatting sqref="I28:J28">
    <cfRule type="cellIs" dxfId="37" priority="68" stopIfTrue="1" operator="equal">
      <formula>"Yes"</formula>
    </cfRule>
  </conditionalFormatting>
  <conditionalFormatting sqref="I28:J28">
    <cfRule type="cellIs" dxfId="36" priority="67" stopIfTrue="1" operator="equal">
      <formula>"No"</formula>
    </cfRule>
  </conditionalFormatting>
  <conditionalFormatting sqref="D28:D30">
    <cfRule type="cellIs" dxfId="35" priority="66" stopIfTrue="1" operator="equal">
      <formula>"Yes"</formula>
    </cfRule>
  </conditionalFormatting>
  <conditionalFormatting sqref="D28:D30">
    <cfRule type="cellIs" dxfId="34" priority="65" stopIfTrue="1" operator="equal">
      <formula>"No"</formula>
    </cfRule>
  </conditionalFormatting>
  <conditionalFormatting sqref="D31">
    <cfRule type="cellIs" dxfId="33" priority="62" stopIfTrue="1" operator="equal">
      <formula>"Yes"</formula>
    </cfRule>
  </conditionalFormatting>
  <conditionalFormatting sqref="D31">
    <cfRule type="cellIs" dxfId="32" priority="61" stopIfTrue="1" operator="equal">
      <formula>"No"</formula>
    </cfRule>
  </conditionalFormatting>
  <conditionalFormatting sqref="D33">
    <cfRule type="cellIs" dxfId="31" priority="60" stopIfTrue="1" operator="equal">
      <formula>"Yes"</formula>
    </cfRule>
  </conditionalFormatting>
  <conditionalFormatting sqref="D33">
    <cfRule type="cellIs" dxfId="30" priority="59" stopIfTrue="1" operator="equal">
      <formula>"No"</formula>
    </cfRule>
  </conditionalFormatting>
  <conditionalFormatting sqref="D34">
    <cfRule type="cellIs" dxfId="29" priority="58" stopIfTrue="1" operator="equal">
      <formula>"Yes"</formula>
    </cfRule>
  </conditionalFormatting>
  <conditionalFormatting sqref="D34">
    <cfRule type="cellIs" dxfId="28" priority="57" stopIfTrue="1" operator="equal">
      <formula>"No"</formula>
    </cfRule>
  </conditionalFormatting>
  <conditionalFormatting sqref="I29:I34">
    <cfRule type="cellIs" dxfId="27" priority="46" stopIfTrue="1" operator="equal">
      <formula>"Yes"</formula>
    </cfRule>
  </conditionalFormatting>
  <conditionalFormatting sqref="I29:I34">
    <cfRule type="cellIs" dxfId="26" priority="45" stopIfTrue="1" operator="equal">
      <formula>"No"</formula>
    </cfRule>
  </conditionalFormatting>
  <conditionalFormatting sqref="F106">
    <cfRule type="cellIs" dxfId="25" priority="43" stopIfTrue="1" operator="equal">
      <formula>"Fail"</formula>
    </cfRule>
    <cfRule type="cellIs" dxfId="24" priority="44" stopIfTrue="1" operator="equal">
      <formula>"Pass"</formula>
    </cfRule>
  </conditionalFormatting>
  <conditionalFormatting sqref="D118">
    <cfRule type="cellIs" dxfId="23" priority="41" stopIfTrue="1" operator="equal">
      <formula>"Fail"</formula>
    </cfRule>
    <cfRule type="cellIs" dxfId="22" priority="42" stopIfTrue="1" operator="equal">
      <formula>"Pass"</formula>
    </cfRule>
  </conditionalFormatting>
  <conditionalFormatting sqref="F105">
    <cfRule type="cellIs" dxfId="21" priority="33" stopIfTrue="1" operator="equal">
      <formula>"Fail"</formula>
    </cfRule>
    <cfRule type="cellIs" dxfId="20" priority="34" stopIfTrue="1" operator="equal">
      <formula>"Pass"</formula>
    </cfRule>
  </conditionalFormatting>
  <conditionalFormatting sqref="F104">
    <cfRule type="cellIs" dxfId="19" priority="37" stopIfTrue="1" operator="equal">
      <formula>"Fail"</formula>
    </cfRule>
    <cfRule type="cellIs" dxfId="18" priority="38" stopIfTrue="1" operator="equal">
      <formula>"Pass"</formula>
    </cfRule>
  </conditionalFormatting>
  <conditionalFormatting sqref="F111:F114">
    <cfRule type="cellIs" dxfId="17" priority="19" stopIfTrue="1" operator="equal">
      <formula>"Fail"</formula>
    </cfRule>
    <cfRule type="cellIs" dxfId="16" priority="20" stopIfTrue="1" operator="equal">
      <formula>"Pass"</formula>
    </cfRule>
  </conditionalFormatting>
  <conditionalFormatting sqref="F108">
    <cfRule type="cellIs" dxfId="15" priority="31" stopIfTrue="1" operator="equal">
      <formula>"Fail"</formula>
    </cfRule>
    <cfRule type="cellIs" dxfId="14" priority="32" stopIfTrue="1" operator="equal">
      <formula>"Pass"</formula>
    </cfRule>
  </conditionalFormatting>
  <conditionalFormatting sqref="F107">
    <cfRule type="cellIs" dxfId="13" priority="29" stopIfTrue="1" operator="equal">
      <formula>"Fail"</formula>
    </cfRule>
    <cfRule type="cellIs" dxfId="12" priority="30" stopIfTrue="1" operator="equal">
      <formula>"Pass"</formula>
    </cfRule>
  </conditionalFormatting>
  <conditionalFormatting sqref="F116">
    <cfRule type="cellIs" dxfId="11" priority="15" stopIfTrue="1" operator="equal">
      <formula>"Fail"</formula>
    </cfRule>
    <cfRule type="cellIs" dxfId="10" priority="16" stopIfTrue="1" operator="equal">
      <formula>"Pass"</formula>
    </cfRule>
  </conditionalFormatting>
  <conditionalFormatting sqref="F117">
    <cfRule type="cellIs" dxfId="9" priority="13" stopIfTrue="1" operator="equal">
      <formula>"Fail"</formula>
    </cfRule>
    <cfRule type="cellIs" dxfId="8" priority="14" stopIfTrue="1" operator="equal">
      <formula>"Pass"</formula>
    </cfRule>
  </conditionalFormatting>
  <conditionalFormatting sqref="D155">
    <cfRule type="cellIs" dxfId="7" priority="12" stopIfTrue="1" operator="equal">
      <formula>"Yes"</formula>
    </cfRule>
  </conditionalFormatting>
  <conditionalFormatting sqref="D155">
    <cfRule type="cellIs" dxfId="6" priority="11" stopIfTrue="1" operator="equal">
      <formula>"No"</formula>
    </cfRule>
  </conditionalFormatting>
  <conditionalFormatting sqref="D152:D154">
    <cfRule type="cellIs" dxfId="5" priority="9" stopIfTrue="1" operator="equal">
      <formula>"Fail"</formula>
    </cfRule>
    <cfRule type="cellIs" dxfId="4" priority="10" stopIfTrue="1" operator="equal">
      <formula>"Pass"</formula>
    </cfRule>
  </conditionalFormatting>
  <conditionalFormatting sqref="D159:D161">
    <cfRule type="cellIs" dxfId="3" priority="5" stopIfTrue="1" operator="equal">
      <formula>"Fail"</formula>
    </cfRule>
    <cfRule type="cellIs" dxfId="2" priority="6" stopIfTrue="1" operator="equal">
      <formula>"Pass"</formula>
    </cfRule>
  </conditionalFormatting>
  <conditionalFormatting sqref="D125:M140">
    <cfRule type="cellIs" dxfId="1" priority="1" stopIfTrue="1" operator="equal">
      <formula>"Fail"</formula>
    </cfRule>
    <cfRule type="cellIs" dxfId="0" priority="2" stopIfTrue="1" operator="equal">
      <formula>"Pass"</formula>
    </cfRule>
  </conditionalFormatting>
  <printOptions headings="1"/>
  <pageMargins left="0.59055118110236227" right="0.59055118110236227" top="0.98425196850393704" bottom="0.98425196850393704" header="0.51181102362204722" footer="0.51181102362204722"/>
  <pageSetup paperSize="9" scale="50" fitToHeight="3"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3" manualBreakCount="3">
    <brk id="39" max="13" man="1"/>
    <brk id="86" max="13" man="1"/>
    <brk id="155" max="13" man="1"/>
  </rowBreaks>
  <ignoredErrors>
    <ignoredError sqref="D10:M10 D42:G4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EC72"/>
  </sheetPr>
  <dimension ref="A1:J47"/>
  <sheetViews>
    <sheetView zoomScale="75" zoomScaleNormal="75" workbookViewId="0">
      <pane ySplit="1" topLeftCell="A2" activePane="bottomLeft" state="frozen"/>
      <selection activeCell="G1" sqref="A1:G1048576"/>
      <selection pane="bottomLeft"/>
    </sheetView>
  </sheetViews>
  <sheetFormatPr defaultColWidth="0" defaultRowHeight="0" customHeight="1" zeroHeight="1" x14ac:dyDescent="0.25"/>
  <cols>
    <col min="1" max="1" width="1.7109375" style="769" customWidth="1"/>
    <col min="2" max="2" width="100.7109375" style="769" customWidth="1"/>
    <col min="3" max="3" width="16.7109375" style="769" customWidth="1"/>
    <col min="4" max="8" width="16.7109375" style="736" customWidth="1"/>
    <col min="9" max="9" width="1.7109375" style="736" customWidth="1"/>
    <col min="10" max="10" width="0" style="928" hidden="1" customWidth="1"/>
    <col min="11" max="16384" width="16.7109375" style="928" hidden="1"/>
  </cols>
  <sheetData>
    <row r="1" spans="1:9" ht="30" customHeight="1" x14ac:dyDescent="0.55000000000000004">
      <c r="A1" s="713" t="s">
        <v>761</v>
      </c>
      <c r="B1" s="714"/>
      <c r="C1" s="766"/>
      <c r="D1" s="745"/>
      <c r="E1" s="745"/>
      <c r="F1" s="1511" t="str">
        <f>CONCATENATE("Reporting unit: ", 'General Info'!$C$50, " ", 'General Info'!$C$49)</f>
        <v xml:space="preserve">Reporting unit: 1 </v>
      </c>
      <c r="G1" s="745"/>
      <c r="H1" s="745"/>
      <c r="I1" s="782"/>
    </row>
    <row r="2" spans="1:9" ht="60" customHeight="1" x14ac:dyDescent="0.55000000000000004">
      <c r="A2" s="713"/>
      <c r="B2" s="1678" t="s">
        <v>992</v>
      </c>
      <c r="C2" s="1678"/>
      <c r="D2" s="1678"/>
      <c r="E2" s="1678"/>
      <c r="F2" s="1407"/>
      <c r="G2" s="1407"/>
      <c r="H2" s="1407"/>
      <c r="I2" s="782"/>
    </row>
    <row r="3" spans="1:9" ht="60" customHeight="1" x14ac:dyDescent="0.25">
      <c r="A3" s="834" t="s">
        <v>1640</v>
      </c>
      <c r="B3" s="839"/>
      <c r="C3" s="840"/>
      <c r="D3" s="815"/>
      <c r="E3" s="815"/>
      <c r="F3" s="815"/>
      <c r="G3" s="815"/>
      <c r="H3" s="815"/>
      <c r="I3" s="832"/>
    </row>
    <row r="4" spans="1:9" ht="15" customHeight="1" x14ac:dyDescent="0.25">
      <c r="A4" s="733"/>
      <c r="B4" s="1681"/>
      <c r="C4" s="1683" t="s">
        <v>108</v>
      </c>
      <c r="D4" s="1684"/>
      <c r="E4" s="1684"/>
      <c r="F4" s="1676" t="s">
        <v>141</v>
      </c>
      <c r="G4" s="1677"/>
      <c r="H4" s="1677"/>
      <c r="I4" s="422"/>
    </row>
    <row r="5" spans="1:9" ht="75" customHeight="1" x14ac:dyDescent="0.25">
      <c r="A5" s="835"/>
      <c r="B5" s="1682"/>
      <c r="C5" s="743" t="s">
        <v>111</v>
      </c>
      <c r="D5" s="743" t="s">
        <v>195</v>
      </c>
      <c r="E5" s="739" t="s">
        <v>998</v>
      </c>
      <c r="F5" s="1408" t="s">
        <v>111</v>
      </c>
      <c r="G5" s="1408" t="s">
        <v>195</v>
      </c>
      <c r="H5" s="1406" t="s">
        <v>998</v>
      </c>
      <c r="I5" s="727"/>
    </row>
    <row r="6" spans="1:9" ht="15" customHeight="1" x14ac:dyDescent="0.25">
      <c r="A6" s="730"/>
      <c r="B6" s="841" t="s">
        <v>988</v>
      </c>
      <c r="C6" s="47"/>
      <c r="D6" s="47"/>
      <c r="E6" s="93"/>
      <c r="F6" s="583"/>
      <c r="G6" s="583"/>
      <c r="H6" s="15"/>
      <c r="I6" s="727"/>
    </row>
    <row r="7" spans="1:9" ht="15" customHeight="1" x14ac:dyDescent="0.25">
      <c r="A7" s="730"/>
      <c r="B7" s="842" t="s">
        <v>213</v>
      </c>
      <c r="C7" s="47"/>
      <c r="D7" s="47"/>
      <c r="E7" s="93"/>
      <c r="F7" s="583"/>
      <c r="G7" s="583"/>
      <c r="H7" s="15"/>
      <c r="I7" s="727"/>
    </row>
    <row r="8" spans="1:9" s="1430" customFormat="1" ht="15" customHeight="1" x14ac:dyDescent="0.25">
      <c r="A8" s="730"/>
      <c r="B8" s="1426" t="s">
        <v>1638</v>
      </c>
      <c r="C8" s="1241"/>
      <c r="D8" s="1242"/>
      <c r="E8" s="1242"/>
      <c r="F8" s="1242"/>
      <c r="G8" s="1241"/>
      <c r="H8" s="1242"/>
      <c r="I8" s="727"/>
    </row>
    <row r="9" spans="1:9" s="1430" customFormat="1" ht="15" customHeight="1" x14ac:dyDescent="0.25">
      <c r="A9" s="730"/>
      <c r="B9" s="1427" t="s">
        <v>1639</v>
      </c>
      <c r="C9" s="1241"/>
      <c r="D9" s="1242"/>
      <c r="E9" s="1242"/>
      <c r="F9" s="1242"/>
      <c r="G9" s="1241"/>
      <c r="H9" s="1242"/>
      <c r="I9" s="727"/>
    </row>
    <row r="10" spans="1:9" ht="15" customHeight="1" x14ac:dyDescent="0.25">
      <c r="A10" s="730"/>
      <c r="B10" s="843" t="s">
        <v>103</v>
      </c>
      <c r="C10" s="587"/>
      <c r="D10" s="62"/>
      <c r="E10" s="95"/>
      <c r="F10" s="587"/>
      <c r="G10" s="1428"/>
      <c r="H10" s="1429"/>
      <c r="I10" s="727"/>
    </row>
    <row r="11" spans="1:9" ht="30" customHeight="1" x14ac:dyDescent="0.25">
      <c r="A11" s="836"/>
      <c r="B11" s="734"/>
      <c r="C11" s="734"/>
      <c r="D11" s="735"/>
      <c r="E11" s="735"/>
      <c r="F11" s="735"/>
      <c r="G11" s="735"/>
      <c r="H11" s="735"/>
      <c r="I11" s="422"/>
    </row>
    <row r="12" spans="1:9" ht="15" customHeight="1" x14ac:dyDescent="0.3">
      <c r="A12" s="728"/>
      <c r="B12" s="1409"/>
      <c r="C12" s="1679" t="s">
        <v>108</v>
      </c>
      <c r="D12" s="1676" t="s">
        <v>141</v>
      </c>
      <c r="E12" s="1677"/>
      <c r="F12" s="1677"/>
      <c r="G12" s="1411"/>
      <c r="H12" s="1411"/>
      <c r="I12" s="727"/>
    </row>
    <row r="13" spans="1:9" ht="45" customHeight="1" x14ac:dyDescent="0.3">
      <c r="A13" s="728"/>
      <c r="B13" s="1410"/>
      <c r="C13" s="1680"/>
      <c r="D13" s="739" t="s">
        <v>140</v>
      </c>
      <c r="E13" s="739" t="s">
        <v>993</v>
      </c>
      <c r="F13" s="1406" t="s">
        <v>304</v>
      </c>
      <c r="G13" s="1411"/>
      <c r="H13" s="1411"/>
      <c r="I13" s="727"/>
    </row>
    <row r="14" spans="1:9" ht="15" customHeight="1" x14ac:dyDescent="0.25">
      <c r="A14" s="730"/>
      <c r="B14" s="845" t="s">
        <v>618</v>
      </c>
      <c r="C14" s="851" t="str">
        <f>IF(AND(ISNUMBER(C15),ISNUMBER(C16)),C15+C16,"")</f>
        <v/>
      </c>
      <c r="D14" s="581"/>
      <c r="E14" s="457"/>
      <c r="F14" s="15"/>
      <c r="G14" s="1422"/>
      <c r="H14" s="1422"/>
      <c r="I14" s="771"/>
    </row>
    <row r="15" spans="1:9" ht="15" customHeight="1" x14ac:dyDescent="0.25">
      <c r="A15" s="730"/>
      <c r="B15" s="846" t="s">
        <v>616</v>
      </c>
      <c r="C15" s="440"/>
      <c r="D15" s="583"/>
      <c r="E15" s="15"/>
      <c r="F15" s="15"/>
      <c r="G15" s="1422"/>
      <c r="H15" s="1422"/>
      <c r="I15" s="771"/>
    </row>
    <row r="16" spans="1:9" ht="15" customHeight="1" x14ac:dyDescent="0.25">
      <c r="A16" s="730"/>
      <c r="B16" s="846" t="s">
        <v>617</v>
      </c>
      <c r="C16" s="440"/>
      <c r="D16" s="583"/>
      <c r="E16" s="15"/>
      <c r="F16" s="15"/>
      <c r="G16" s="1422"/>
      <c r="H16" s="1422"/>
      <c r="I16" s="771"/>
    </row>
    <row r="17" spans="1:9" ht="15" customHeight="1" x14ac:dyDescent="0.25">
      <c r="A17" s="730"/>
      <c r="B17" s="847" t="s">
        <v>163</v>
      </c>
      <c r="C17" s="792" t="str">
        <f>IF(AND(ISNUMBER(C18),ISNUMBER(C19)),C18+C19,"")</f>
        <v/>
      </c>
      <c r="D17" s="583"/>
      <c r="E17" s="15"/>
      <c r="F17" s="15"/>
      <c r="G17" s="1422"/>
      <c r="H17" s="1422"/>
      <c r="I17" s="771"/>
    </row>
    <row r="18" spans="1:9" ht="15" customHeight="1" x14ac:dyDescent="0.25">
      <c r="A18" s="730"/>
      <c r="B18" s="848" t="s">
        <v>348</v>
      </c>
      <c r="C18" s="440"/>
      <c r="D18" s="583"/>
      <c r="E18" s="15"/>
      <c r="F18" s="15"/>
      <c r="G18" s="1422"/>
      <c r="H18" s="1422"/>
      <c r="I18" s="771"/>
    </row>
    <row r="19" spans="1:9" ht="15" customHeight="1" x14ac:dyDescent="0.25">
      <c r="A19" s="730"/>
      <c r="B19" s="848" t="s">
        <v>349</v>
      </c>
      <c r="C19" s="440"/>
      <c r="D19" s="27"/>
      <c r="E19" s="31"/>
      <c r="F19" s="15"/>
      <c r="G19" s="1423"/>
      <c r="H19" s="1423"/>
      <c r="I19" s="771"/>
    </row>
    <row r="20" spans="1:9" ht="15" customHeight="1" x14ac:dyDescent="0.25">
      <c r="A20" s="730"/>
      <c r="B20" s="849" t="s">
        <v>989</v>
      </c>
      <c r="C20" s="440"/>
      <c r="D20" s="583"/>
      <c r="E20" s="15"/>
      <c r="F20" s="15"/>
      <c r="G20" s="1422"/>
      <c r="H20" s="1422"/>
      <c r="I20" s="771"/>
    </row>
    <row r="21" spans="1:9" s="1207" customFormat="1" ht="15" customHeight="1" x14ac:dyDescent="0.25">
      <c r="A21" s="730"/>
      <c r="B21" s="1431" t="s">
        <v>1641</v>
      </c>
      <c r="C21" s="583"/>
      <c r="D21" s="583"/>
      <c r="E21" s="15"/>
      <c r="F21" s="1242"/>
      <c r="G21" s="1422"/>
      <c r="H21" s="1422"/>
      <c r="I21" s="771"/>
    </row>
    <row r="22" spans="1:9" s="1207" customFormat="1" ht="15" customHeight="1" x14ac:dyDescent="0.25">
      <c r="A22" s="730"/>
      <c r="B22" s="1432" t="s">
        <v>1642</v>
      </c>
      <c r="C22" s="583"/>
      <c r="D22" s="583"/>
      <c r="E22" s="15"/>
      <c r="F22" s="1242"/>
      <c r="G22" s="1422"/>
      <c r="H22" s="1422"/>
      <c r="I22" s="771"/>
    </row>
    <row r="23" spans="1:9" ht="15" customHeight="1" x14ac:dyDescent="0.25">
      <c r="A23" s="730"/>
      <c r="B23" s="1272" t="s">
        <v>1593</v>
      </c>
      <c r="C23" s="440"/>
      <c r="D23" s="583"/>
      <c r="E23" s="15"/>
      <c r="F23" s="15"/>
      <c r="G23" s="1422"/>
      <c r="H23" s="1422"/>
      <c r="I23" s="771"/>
    </row>
    <row r="24" spans="1:9" ht="15" customHeight="1" x14ac:dyDescent="0.25">
      <c r="A24" s="730"/>
      <c r="B24" s="849" t="s">
        <v>312</v>
      </c>
      <c r="C24" s="440"/>
      <c r="D24" s="583"/>
      <c r="E24" s="15"/>
      <c r="F24" s="15"/>
      <c r="G24" s="1422"/>
      <c r="H24" s="1422"/>
      <c r="I24" s="771"/>
    </row>
    <row r="25" spans="1:9" ht="15" customHeight="1" x14ac:dyDescent="0.25">
      <c r="A25" s="730"/>
      <c r="B25" s="849" t="s">
        <v>313</v>
      </c>
      <c r="C25" s="440"/>
      <c r="D25" s="584"/>
      <c r="E25" s="458"/>
      <c r="F25" s="15"/>
      <c r="G25" s="1422"/>
      <c r="H25" s="1422"/>
      <c r="I25" s="771"/>
    </row>
    <row r="26" spans="1:9" ht="15" customHeight="1" x14ac:dyDescent="0.25">
      <c r="A26" s="730"/>
      <c r="B26" s="850" t="s">
        <v>994</v>
      </c>
      <c r="C26" s="852" t="str">
        <f>IF(AND(ISNUMBER(C6),ISNUMBER(D6),ISNUMBER(E6),ISNUMBER(C14),ISNUMBER(C17), ISNUMBER(C20),ISNUMBER(C23),ISNUMBER(C24),ISNUMBER(C25)),SUM(C6:E6,C14,C17,C20,C23,C24,C25),"")</f>
        <v/>
      </c>
      <c r="D26" s="582"/>
      <c r="E26" s="459"/>
      <c r="F26" s="459"/>
      <c r="G26" s="1422"/>
      <c r="H26" s="1422"/>
      <c r="I26" s="422"/>
    </row>
    <row r="27" spans="1:9" ht="15" customHeight="1" x14ac:dyDescent="0.25">
      <c r="A27" s="837"/>
      <c r="B27" s="795"/>
      <c r="C27" s="795"/>
      <c r="D27" s="795"/>
      <c r="E27" s="795"/>
      <c r="F27" s="795"/>
      <c r="G27" s="795"/>
      <c r="H27" s="795"/>
      <c r="I27" s="456"/>
    </row>
    <row r="28" spans="1:9" ht="60" customHeight="1" x14ac:dyDescent="0.25">
      <c r="A28" s="834" t="s">
        <v>991</v>
      </c>
      <c r="B28" s="839"/>
      <c r="C28" s="840"/>
      <c r="D28" s="815"/>
      <c r="E28" s="815"/>
      <c r="F28" s="815"/>
      <c r="G28" s="815"/>
      <c r="H28" s="815"/>
      <c r="I28" s="832"/>
    </row>
    <row r="29" spans="1:9" ht="15" customHeight="1" x14ac:dyDescent="0.25">
      <c r="A29" s="836"/>
      <c r="B29" s="853"/>
      <c r="C29" s="1676" t="s">
        <v>108</v>
      </c>
      <c r="D29" s="1677"/>
      <c r="E29" s="735"/>
      <c r="F29" s="735"/>
      <c r="G29" s="735"/>
      <c r="H29" s="735"/>
      <c r="I29" s="422"/>
    </row>
    <row r="30" spans="1:9" ht="30" customHeight="1" x14ac:dyDescent="0.25">
      <c r="A30" s="777"/>
      <c r="B30" s="844"/>
      <c r="C30" s="797" t="s">
        <v>923</v>
      </c>
      <c r="D30" s="798" t="s">
        <v>968</v>
      </c>
      <c r="E30" s="423"/>
      <c r="F30" s="423"/>
      <c r="G30" s="423"/>
      <c r="H30" s="423"/>
      <c r="I30" s="771"/>
    </row>
    <row r="31" spans="1:9" ht="15" customHeight="1" x14ac:dyDescent="0.25">
      <c r="A31" s="836"/>
      <c r="B31" s="854" t="s">
        <v>160</v>
      </c>
      <c r="C31" s="460"/>
      <c r="D31" s="580"/>
      <c r="E31" s="5"/>
      <c r="F31" s="423"/>
      <c r="G31" s="423"/>
      <c r="H31" s="423"/>
      <c r="I31" s="422"/>
    </row>
    <row r="32" spans="1:9" ht="15" customHeight="1" x14ac:dyDescent="0.25">
      <c r="A32" s="836"/>
      <c r="B32" s="855" t="s">
        <v>971</v>
      </c>
      <c r="C32" s="579"/>
      <c r="D32" s="864" t="str">
        <f>IF(AND(ISNUMBER(DefCap!F63),ISNUMBER(DefCap!F80),ISNUMBER(DefCap!F99)),DefCap!F63+DefCap!F80+DefCap!F99,"")</f>
        <v/>
      </c>
      <c r="E32" s="5"/>
      <c r="F32" s="423"/>
      <c r="G32" s="423"/>
      <c r="H32" s="423"/>
      <c r="I32" s="422"/>
    </row>
    <row r="33" spans="1:9" ht="15" customHeight="1" x14ac:dyDescent="0.25">
      <c r="A33" s="836"/>
      <c r="B33" s="856" t="s">
        <v>986</v>
      </c>
      <c r="C33" s="27"/>
      <c r="D33" s="580"/>
      <c r="E33" s="501"/>
      <c r="F33" s="423"/>
      <c r="G33" s="423"/>
      <c r="H33" s="423"/>
      <c r="I33" s="422"/>
    </row>
    <row r="34" spans="1:9" ht="15" customHeight="1" x14ac:dyDescent="0.25">
      <c r="A34" s="836"/>
      <c r="B34" s="857" t="s">
        <v>987</v>
      </c>
      <c r="C34" s="33"/>
      <c r="D34" s="497"/>
      <c r="E34" s="501"/>
      <c r="F34" s="423"/>
      <c r="G34" s="423"/>
      <c r="H34" s="423"/>
      <c r="I34" s="422"/>
    </row>
    <row r="35" spans="1:9" ht="15" customHeight="1" x14ac:dyDescent="0.25">
      <c r="A35" s="730"/>
      <c r="B35" s="858"/>
      <c r="C35" s="734"/>
      <c r="D35" s="735"/>
      <c r="E35" s="735"/>
      <c r="F35" s="735"/>
      <c r="G35" s="735"/>
      <c r="H35" s="735"/>
      <c r="I35" s="422"/>
    </row>
    <row r="36" spans="1:9" ht="60" customHeight="1" x14ac:dyDescent="0.25">
      <c r="A36" s="838" t="s">
        <v>990</v>
      </c>
      <c r="B36" s="859"/>
      <c r="C36" s="865"/>
      <c r="D36" s="866"/>
      <c r="E36" s="866"/>
      <c r="F36" s="866"/>
      <c r="G36" s="866"/>
      <c r="H36" s="866"/>
      <c r="I36" s="833"/>
    </row>
    <row r="37" spans="1:9" ht="15" customHeight="1" x14ac:dyDescent="0.25">
      <c r="A37" s="730"/>
      <c r="B37" s="1674"/>
      <c r="C37" s="1676" t="s">
        <v>108</v>
      </c>
      <c r="D37" s="1677"/>
      <c r="E37" s="1677"/>
      <c r="F37" s="1411"/>
      <c r="G37" s="1411"/>
      <c r="H37" s="1411"/>
      <c r="I37" s="422"/>
    </row>
    <row r="38" spans="1:9" ht="30" customHeight="1" x14ac:dyDescent="0.25">
      <c r="A38" s="836"/>
      <c r="B38" s="1675"/>
      <c r="C38" s="742" t="s">
        <v>199</v>
      </c>
      <c r="D38" s="741" t="s">
        <v>972</v>
      </c>
      <c r="E38" s="739" t="s">
        <v>973</v>
      </c>
      <c r="F38" s="1411"/>
      <c r="G38" s="1411"/>
      <c r="H38" s="1411"/>
      <c r="I38" s="422"/>
    </row>
    <row r="39" spans="1:9" ht="15" customHeight="1" x14ac:dyDescent="0.25">
      <c r="A39" s="730"/>
      <c r="B39" s="791" t="s">
        <v>969</v>
      </c>
      <c r="C39" s="462" t="str">
        <f>IF(ISNUMBER(C26),C26,"")</f>
        <v/>
      </c>
      <c r="D39" s="463" t="str">
        <f>IF(AND(ISNUMBER(C26),ISNUMBER(C31),ISNUMBER(C33),ISNUMBER(C34)),C26+C31+C33+C34,"")</f>
        <v/>
      </c>
      <c r="E39" s="463" t="str">
        <f>IF(AND(ISNUMBER(C26),ISNUMBER(C31),ISNUMBER(D32),ISNUMBER(C33),ISNUMBER(C34)),C26+C31+D32+C33+C34,"")</f>
        <v/>
      </c>
      <c r="F39" s="1424"/>
      <c r="G39" s="1424"/>
      <c r="H39" s="1424"/>
      <c r="I39" s="422"/>
    </row>
    <row r="40" spans="1:9" ht="30" customHeight="1" x14ac:dyDescent="0.25">
      <c r="A40" s="836"/>
      <c r="B40" s="734"/>
      <c r="C40" s="734"/>
      <c r="D40" s="735"/>
      <c r="E40" s="735"/>
      <c r="F40" s="735"/>
      <c r="G40" s="735"/>
      <c r="H40" s="735"/>
      <c r="I40" s="422"/>
    </row>
    <row r="41" spans="1:9" ht="15" customHeight="1" x14ac:dyDescent="0.25">
      <c r="A41" s="730"/>
      <c r="B41" s="1668"/>
      <c r="C41" s="1676" t="s">
        <v>347</v>
      </c>
      <c r="D41" s="1677"/>
      <c r="E41" s="1677"/>
      <c r="F41" s="1411"/>
      <c r="G41" s="1411"/>
      <c r="H41" s="1411"/>
      <c r="I41" s="422"/>
    </row>
    <row r="42" spans="1:9" ht="15" customHeight="1" x14ac:dyDescent="0.25">
      <c r="A42" s="730"/>
      <c r="B42" s="1669"/>
      <c r="C42" s="1670" t="s">
        <v>199</v>
      </c>
      <c r="D42" s="1672" t="s">
        <v>972</v>
      </c>
      <c r="E42" s="1672" t="s">
        <v>973</v>
      </c>
      <c r="F42" s="1411"/>
      <c r="G42" s="1411"/>
      <c r="H42" s="1411"/>
      <c r="I42" s="422"/>
    </row>
    <row r="43" spans="1:9" ht="15" customHeight="1" x14ac:dyDescent="0.25">
      <c r="A43" s="730"/>
      <c r="B43" s="860" t="s">
        <v>302</v>
      </c>
      <c r="C43" s="1671"/>
      <c r="D43" s="1673"/>
      <c r="E43" s="1673"/>
      <c r="F43" s="1411"/>
      <c r="G43" s="1411"/>
      <c r="H43" s="1411"/>
      <c r="I43" s="422"/>
    </row>
    <row r="44" spans="1:9" ht="15" customHeight="1" x14ac:dyDescent="0.25">
      <c r="A44" s="730"/>
      <c r="B44" s="861" t="s">
        <v>33</v>
      </c>
      <c r="C44" s="464" t="str">
        <f>IF(AND(ISNUMBER('General Info'!C64),ISNUMBER(C39)),'General Info'!C64/C39,"")</f>
        <v/>
      </c>
      <c r="D44" s="465" t="str">
        <f>IF(AND(ISNUMBER('General Info'!D64),ISNUMBER(D39)),'General Info'!D64/D39,"")</f>
        <v/>
      </c>
      <c r="E44" s="465" t="str">
        <f>IF(AND(ISNUMBER('General Info'!E64),ISNUMBER(E39)),'General Info'!E64/E39,"")</f>
        <v/>
      </c>
      <c r="F44" s="1425"/>
      <c r="G44" s="1425"/>
      <c r="H44" s="1425"/>
      <c r="I44" s="422"/>
    </row>
    <row r="45" spans="1:9" ht="15" customHeight="1" x14ac:dyDescent="0.25">
      <c r="A45" s="730"/>
      <c r="B45" s="862" t="s">
        <v>34</v>
      </c>
      <c r="C45" s="466" t="str">
        <f>IF(AND(ISNUMBER('General Info'!C71),ISNUMBER(C39)),'General Info'!C71/C39,"")</f>
        <v/>
      </c>
      <c r="D45" s="467" t="str">
        <f>IF(AND(ISNUMBER('General Info'!D71),ISNUMBER(D39)),'General Info'!D71/D39,"")</f>
        <v/>
      </c>
      <c r="E45" s="467" t="str">
        <f>IF(AND(ISNUMBER('General Info'!E71),ISNUMBER(E39)),'General Info'!E71/E39,"")</f>
        <v/>
      </c>
      <c r="F45" s="1425"/>
      <c r="G45" s="1425"/>
      <c r="H45" s="1425"/>
      <c r="I45" s="422"/>
    </row>
    <row r="46" spans="1:9" ht="15" customHeight="1" x14ac:dyDescent="0.25">
      <c r="A46" s="730"/>
      <c r="B46" s="863" t="s">
        <v>81</v>
      </c>
      <c r="C46" s="468" t="str">
        <f>IF(AND(ISNUMBER('General Info'!C63),ISNUMBER(C39)),'General Info'!C63/C39,"")</f>
        <v/>
      </c>
      <c r="D46" s="469" t="str">
        <f>IF(AND(ISNUMBER('General Info'!D63),ISNUMBER(D39)),'General Info'!D63/D39,"")</f>
        <v/>
      </c>
      <c r="E46" s="469" t="str">
        <f>IF(AND(ISNUMBER('General Info'!E63),ISNUMBER(E39)),'General Info'!E63/E39,"")</f>
        <v/>
      </c>
      <c r="F46" s="1425"/>
      <c r="G46" s="1425"/>
      <c r="H46" s="1425"/>
      <c r="I46" s="422"/>
    </row>
    <row r="47" spans="1:9" s="1207" customFormat="1" ht="15" customHeight="1" x14ac:dyDescent="0.25">
      <c r="A47" s="1189"/>
      <c r="B47" s="1421"/>
      <c r="C47" s="806"/>
      <c r="D47" s="795"/>
      <c r="E47" s="795"/>
      <c r="F47" s="795"/>
      <c r="G47" s="795"/>
      <c r="H47" s="795"/>
      <c r="I47" s="456"/>
    </row>
  </sheetData>
  <mergeCells count="14">
    <mergeCell ref="B2:E2"/>
    <mergeCell ref="C12:C13"/>
    <mergeCell ref="B4:B5"/>
    <mergeCell ref="C4:E4"/>
    <mergeCell ref="D12:F12"/>
    <mergeCell ref="F4:H4"/>
    <mergeCell ref="B41:B42"/>
    <mergeCell ref="C42:C43"/>
    <mergeCell ref="D42:D43"/>
    <mergeCell ref="B37:B38"/>
    <mergeCell ref="C29:D29"/>
    <mergeCell ref="C37:E37"/>
    <mergeCell ref="E42:E43"/>
    <mergeCell ref="C41:E41"/>
  </mergeCells>
  <conditionalFormatting sqref="C6:E7 C8:H9 D10:E10 C15:C16 C18:C20 C23:C25 D19:E19 F21:F22">
    <cfRule type="cellIs" dxfId="136"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35" max="9" man="1"/>
  </rowBreaks>
  <ignoredErrors>
    <ignoredError sqref="C11:E11 C35:E36 C40:E40 C38 C37 C43:D43 C42 C46 C45 C41" emptyCellReferenc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39997558519241921"/>
  </sheetPr>
  <dimension ref="A1:I357"/>
  <sheetViews>
    <sheetView zoomScale="75" zoomScaleNormal="75" workbookViewId="0"/>
  </sheetViews>
  <sheetFormatPr defaultColWidth="0" defaultRowHeight="0" customHeight="1" zeroHeight="1" x14ac:dyDescent="0.25"/>
  <cols>
    <col min="1" max="1" width="1.7109375" style="1626" customWidth="1"/>
    <col min="2" max="2" width="60.7109375" style="1222" customWidth="1"/>
    <col min="3" max="8" width="14.7109375" style="1222" customWidth="1"/>
    <col min="9" max="9" width="1.7109375" style="1222" customWidth="1"/>
    <col min="10" max="16384" width="11.42578125" style="1222" hidden="1"/>
  </cols>
  <sheetData>
    <row r="1" spans="1:9" s="1224" customFormat="1" ht="30" customHeight="1" x14ac:dyDescent="0.55000000000000004">
      <c r="A1" s="713" t="s">
        <v>117</v>
      </c>
      <c r="B1" s="714"/>
      <c r="C1" s="714"/>
      <c r="D1" s="714"/>
      <c r="E1" s="714"/>
      <c r="F1" s="714"/>
      <c r="G1" s="714"/>
      <c r="H1" s="714"/>
      <c r="I1" s="970"/>
    </row>
    <row r="2" spans="1:9" ht="30" customHeight="1" x14ac:dyDescent="0.3">
      <c r="A2" s="1624" t="s">
        <v>112</v>
      </c>
      <c r="B2" s="734"/>
      <c r="C2" s="734"/>
      <c r="D2" s="734"/>
      <c r="E2" s="734"/>
      <c r="F2" s="734"/>
      <c r="G2" s="734"/>
      <c r="H2" s="734"/>
      <c r="I2" s="771"/>
    </row>
    <row r="3" spans="1:9" ht="15" customHeight="1" x14ac:dyDescent="0.25">
      <c r="A3" s="836"/>
      <c r="B3" s="734"/>
      <c r="C3" s="734"/>
      <c r="D3" s="734"/>
      <c r="E3" s="734"/>
      <c r="F3" s="734"/>
      <c r="G3" s="734"/>
      <c r="H3" s="734"/>
      <c r="I3" s="771"/>
    </row>
    <row r="4" spans="1:9" s="1223" customFormat="1" ht="15" customHeight="1" x14ac:dyDescent="0.25">
      <c r="A4" s="836"/>
      <c r="B4" s="984" t="s">
        <v>106</v>
      </c>
      <c r="C4" s="549">
        <v>3</v>
      </c>
      <c r="D4" s="549">
        <v>0</v>
      </c>
      <c r="E4" s="1270" t="s">
        <v>1836</v>
      </c>
      <c r="F4" s="550">
        <v>0</v>
      </c>
      <c r="G4" s="734"/>
      <c r="H4" s="1666" t="s">
        <v>1837</v>
      </c>
      <c r="I4" s="977"/>
    </row>
    <row r="5" spans="1:9" ht="15" customHeight="1" x14ac:dyDescent="0.25">
      <c r="A5" s="836"/>
      <c r="B5" s="806"/>
      <c r="C5" s="806"/>
      <c r="D5" s="806"/>
      <c r="E5" s="806"/>
      <c r="F5" s="806"/>
      <c r="G5" s="806"/>
      <c r="H5" s="806"/>
      <c r="I5" s="783"/>
    </row>
    <row r="6" spans="1:9" s="1014" customFormat="1" ht="45" customHeight="1" x14ac:dyDescent="0.25">
      <c r="A6" s="780" t="s">
        <v>1727</v>
      </c>
      <c r="B6" s="1012"/>
      <c r="C6" s="1012"/>
      <c r="D6" s="410"/>
      <c r="E6" s="410"/>
      <c r="F6" s="1013"/>
      <c r="G6" s="810"/>
      <c r="H6" s="810"/>
      <c r="I6" s="784"/>
    </row>
    <row r="7" spans="1:9" s="1223" customFormat="1" ht="15" customHeight="1" x14ac:dyDescent="0.25">
      <c r="A7" s="772"/>
      <c r="B7" s="1570" t="s">
        <v>1728</v>
      </c>
      <c r="C7" s="986"/>
      <c r="D7" s="986"/>
      <c r="E7" s="787"/>
      <c r="F7" s="1498" t="s">
        <v>109</v>
      </c>
      <c r="G7" s="732"/>
      <c r="H7" s="732"/>
      <c r="I7" s="979"/>
    </row>
    <row r="8" spans="1:9" s="1223" customFormat="1" ht="15" customHeight="1" x14ac:dyDescent="0.25">
      <c r="A8" s="772"/>
      <c r="B8" s="1573" t="s">
        <v>1729</v>
      </c>
      <c r="C8" s="991"/>
      <c r="D8" s="991"/>
      <c r="E8" s="1500"/>
      <c r="F8" s="1499" t="s">
        <v>109</v>
      </c>
      <c r="G8" s="732"/>
      <c r="H8" s="732"/>
      <c r="I8" s="979"/>
    </row>
    <row r="9" spans="1:9" ht="15" customHeight="1" x14ac:dyDescent="0.25">
      <c r="A9" s="772"/>
      <c r="B9" s="981"/>
      <c r="C9" s="732"/>
      <c r="D9" s="732"/>
      <c r="E9" s="732"/>
      <c r="F9" s="732"/>
      <c r="G9" s="732"/>
      <c r="H9" s="732"/>
      <c r="I9" s="979"/>
    </row>
    <row r="10" spans="1:9" ht="30" customHeight="1" x14ac:dyDescent="0.3">
      <c r="A10" s="767" t="s">
        <v>1724</v>
      </c>
      <c r="B10" s="975"/>
      <c r="C10" s="786"/>
      <c r="D10" s="786"/>
      <c r="E10" s="786"/>
      <c r="F10" s="786"/>
      <c r="G10" s="786"/>
      <c r="H10" s="786"/>
      <c r="I10" s="978"/>
    </row>
    <row r="11" spans="1:9" s="1625" customFormat="1" ht="45" customHeight="1" x14ac:dyDescent="0.25">
      <c r="A11" s="733" t="s">
        <v>189</v>
      </c>
      <c r="B11" s="1010"/>
      <c r="C11" s="1010"/>
      <c r="D11" s="425"/>
      <c r="E11" s="425"/>
      <c r="F11" s="1011"/>
      <c r="G11" s="735"/>
      <c r="H11" s="735"/>
      <c r="I11" s="422"/>
    </row>
    <row r="12" spans="1:9" ht="15" customHeight="1" x14ac:dyDescent="0.25">
      <c r="A12" s="772"/>
      <c r="B12" s="982"/>
      <c r="C12" s="983"/>
      <c r="D12" s="983"/>
      <c r="E12" s="983"/>
      <c r="F12" s="1550" t="s">
        <v>354</v>
      </c>
      <c r="G12" s="732"/>
      <c r="H12" s="732"/>
      <c r="I12" s="979"/>
    </row>
    <row r="13" spans="1:9" s="1223" customFormat="1" ht="15" customHeight="1" x14ac:dyDescent="0.25">
      <c r="A13" s="772"/>
      <c r="B13" s="985" t="s">
        <v>373</v>
      </c>
      <c r="C13" s="986"/>
      <c r="D13" s="986"/>
      <c r="E13" s="986"/>
      <c r="F13" s="531"/>
      <c r="G13" s="732"/>
      <c r="H13" s="732"/>
      <c r="I13" s="979"/>
    </row>
    <row r="14" spans="1:9" s="1223" customFormat="1" ht="15" customHeight="1" x14ac:dyDescent="0.25">
      <c r="A14" s="772"/>
      <c r="B14" s="938" t="s">
        <v>270</v>
      </c>
      <c r="C14" s="987"/>
      <c r="D14" s="987"/>
      <c r="E14" s="987"/>
      <c r="F14" s="532"/>
      <c r="G14" s="732"/>
      <c r="H14" s="732"/>
      <c r="I14" s="979"/>
    </row>
    <row r="15" spans="1:9" s="1223" customFormat="1" ht="15" customHeight="1" x14ac:dyDescent="0.25">
      <c r="A15" s="772"/>
      <c r="B15" s="937" t="s">
        <v>329</v>
      </c>
      <c r="C15" s="987"/>
      <c r="D15" s="987"/>
      <c r="E15" s="987"/>
      <c r="F15" s="551">
        <v>1</v>
      </c>
      <c r="G15" s="732"/>
      <c r="H15" s="732"/>
      <c r="I15" s="979"/>
    </row>
    <row r="16" spans="1:9" s="1223" customFormat="1" ht="15" customHeight="1" x14ac:dyDescent="0.25">
      <c r="A16" s="772"/>
      <c r="B16" s="937" t="s">
        <v>330</v>
      </c>
      <c r="C16" s="987"/>
      <c r="D16" s="987"/>
      <c r="E16" s="987"/>
      <c r="F16" s="551">
        <v>1</v>
      </c>
      <c r="G16" s="732"/>
      <c r="H16" s="732"/>
      <c r="I16" s="979"/>
    </row>
    <row r="17" spans="1:9" s="1223" customFormat="1" ht="15" customHeight="1" x14ac:dyDescent="0.25">
      <c r="A17" s="772"/>
      <c r="B17" s="937" t="s">
        <v>331</v>
      </c>
      <c r="C17" s="987"/>
      <c r="D17" s="987"/>
      <c r="E17" s="987"/>
      <c r="F17" s="551">
        <v>1</v>
      </c>
      <c r="G17" s="732"/>
      <c r="H17" s="732"/>
      <c r="I17" s="979"/>
    </row>
    <row r="18" spans="1:9" s="1223" customFormat="1" ht="15" customHeight="1" x14ac:dyDescent="0.25">
      <c r="A18" s="772"/>
      <c r="B18" s="937" t="s">
        <v>332</v>
      </c>
      <c r="C18" s="987"/>
      <c r="D18" s="987"/>
      <c r="E18" s="987"/>
      <c r="F18" s="551">
        <v>1</v>
      </c>
      <c r="G18" s="732"/>
      <c r="H18" s="732"/>
      <c r="I18" s="979"/>
    </row>
    <row r="19" spans="1:9" s="1223" customFormat="1" ht="15" customHeight="1" x14ac:dyDescent="0.25">
      <c r="A19" s="772"/>
      <c r="B19" s="937" t="s">
        <v>572</v>
      </c>
      <c r="C19" s="987"/>
      <c r="D19" s="987"/>
      <c r="E19" s="987"/>
      <c r="F19" s="551">
        <v>1</v>
      </c>
      <c r="G19" s="732"/>
      <c r="H19" s="732"/>
      <c r="I19" s="979"/>
    </row>
    <row r="20" spans="1:9" s="1223" customFormat="1" ht="15" customHeight="1" x14ac:dyDescent="0.25">
      <c r="A20" s="772"/>
      <c r="B20" s="938" t="s">
        <v>357</v>
      </c>
      <c r="C20" s="987"/>
      <c r="D20" s="987"/>
      <c r="E20" s="987"/>
      <c r="F20" s="67"/>
      <c r="G20" s="732"/>
      <c r="H20" s="732"/>
      <c r="I20" s="979"/>
    </row>
    <row r="21" spans="1:9" s="1223" customFormat="1" ht="30" customHeight="1" x14ac:dyDescent="0.25">
      <c r="A21" s="772"/>
      <c r="B21" s="1980" t="s">
        <v>358</v>
      </c>
      <c r="C21" s="1980"/>
      <c r="D21" s="1980"/>
      <c r="E21" s="1980"/>
      <c r="F21" s="551">
        <v>1</v>
      </c>
      <c r="G21" s="732"/>
      <c r="H21" s="732"/>
      <c r="I21" s="979"/>
    </row>
    <row r="22" spans="1:9" s="1223" customFormat="1" ht="45" customHeight="1" x14ac:dyDescent="0.25">
      <c r="A22" s="772"/>
      <c r="B22" s="1980" t="s">
        <v>573</v>
      </c>
      <c r="C22" s="1980"/>
      <c r="D22" s="1980"/>
      <c r="E22" s="1980"/>
      <c r="F22" s="551">
        <v>1</v>
      </c>
      <c r="G22" s="732"/>
      <c r="H22" s="732"/>
      <c r="I22" s="979"/>
    </row>
    <row r="23" spans="1:9" s="1223" customFormat="1" ht="15" customHeight="1" x14ac:dyDescent="0.25">
      <c r="A23" s="772"/>
      <c r="B23" s="988" t="s">
        <v>574</v>
      </c>
      <c r="C23" s="987"/>
      <c r="D23" s="987"/>
      <c r="E23" s="987"/>
      <c r="F23" s="532"/>
      <c r="G23" s="732"/>
      <c r="H23" s="732"/>
      <c r="I23" s="979"/>
    </row>
    <row r="24" spans="1:9" s="1223" customFormat="1" ht="15" customHeight="1" x14ac:dyDescent="0.25">
      <c r="A24" s="772"/>
      <c r="B24" s="938" t="s">
        <v>364</v>
      </c>
      <c r="C24" s="987"/>
      <c r="D24" s="987"/>
      <c r="E24" s="987"/>
      <c r="F24" s="532"/>
      <c r="G24" s="732"/>
      <c r="H24" s="732"/>
      <c r="I24" s="979"/>
    </row>
    <row r="25" spans="1:9" s="1223" customFormat="1" ht="15" customHeight="1" x14ac:dyDescent="0.25">
      <c r="A25" s="772"/>
      <c r="B25" s="937" t="s">
        <v>329</v>
      </c>
      <c r="C25" s="987"/>
      <c r="D25" s="987"/>
      <c r="E25" s="987"/>
      <c r="F25" s="551">
        <v>0.85</v>
      </c>
      <c r="G25" s="732"/>
      <c r="H25" s="732"/>
      <c r="I25" s="979"/>
    </row>
    <row r="26" spans="1:9" s="1223" customFormat="1" ht="15" customHeight="1" x14ac:dyDescent="0.25">
      <c r="A26" s="772"/>
      <c r="B26" s="937" t="s">
        <v>330</v>
      </c>
      <c r="C26" s="987"/>
      <c r="D26" s="987"/>
      <c r="E26" s="987"/>
      <c r="F26" s="551">
        <v>0.85</v>
      </c>
      <c r="G26" s="732"/>
      <c r="H26" s="732"/>
      <c r="I26" s="979"/>
    </row>
    <row r="27" spans="1:9" s="1223" customFormat="1" ht="15" customHeight="1" x14ac:dyDescent="0.25">
      <c r="A27" s="772"/>
      <c r="B27" s="937" t="s">
        <v>331</v>
      </c>
      <c r="C27" s="987"/>
      <c r="D27" s="987"/>
      <c r="E27" s="987"/>
      <c r="F27" s="551">
        <v>0.85</v>
      </c>
      <c r="G27" s="732"/>
      <c r="H27" s="732"/>
      <c r="I27" s="979"/>
    </row>
    <row r="28" spans="1:9" s="1223" customFormat="1" ht="15" customHeight="1" x14ac:dyDescent="0.25">
      <c r="A28" s="772"/>
      <c r="B28" s="937" t="s">
        <v>332</v>
      </c>
      <c r="C28" s="987"/>
      <c r="D28" s="987"/>
      <c r="E28" s="987"/>
      <c r="F28" s="551">
        <v>0.85</v>
      </c>
      <c r="G28" s="732"/>
      <c r="H28" s="732"/>
      <c r="I28" s="979"/>
    </row>
    <row r="29" spans="1:9" s="1223" customFormat="1" ht="15" customHeight="1" x14ac:dyDescent="0.25">
      <c r="A29" s="772"/>
      <c r="B29" s="937" t="s">
        <v>365</v>
      </c>
      <c r="C29" s="987"/>
      <c r="D29" s="987"/>
      <c r="E29" s="987"/>
      <c r="F29" s="551">
        <v>0.85</v>
      </c>
      <c r="G29" s="732"/>
      <c r="H29" s="732"/>
      <c r="I29" s="979"/>
    </row>
    <row r="30" spans="1:9" s="1223" customFormat="1" ht="15" customHeight="1" x14ac:dyDescent="0.25">
      <c r="A30" s="772"/>
      <c r="B30" s="938" t="s">
        <v>366</v>
      </c>
      <c r="C30" s="987"/>
      <c r="D30" s="987"/>
      <c r="E30" s="987"/>
      <c r="F30" s="551">
        <v>0.85</v>
      </c>
      <c r="G30" s="732"/>
      <c r="H30" s="732"/>
      <c r="I30" s="979"/>
    </row>
    <row r="31" spans="1:9" s="1223" customFormat="1" ht="15" customHeight="1" x14ac:dyDescent="0.25">
      <c r="A31" s="772"/>
      <c r="B31" s="938" t="s">
        <v>367</v>
      </c>
      <c r="C31" s="987"/>
      <c r="D31" s="987"/>
      <c r="E31" s="987"/>
      <c r="F31" s="551">
        <v>0.85</v>
      </c>
      <c r="G31" s="732"/>
      <c r="H31" s="732"/>
      <c r="I31" s="979"/>
    </row>
    <row r="32" spans="1:9" s="1223" customFormat="1" ht="15" customHeight="1" x14ac:dyDescent="0.25">
      <c r="A32" s="772"/>
      <c r="B32" s="938" t="s">
        <v>426</v>
      </c>
      <c r="C32" s="987"/>
      <c r="D32" s="987"/>
      <c r="E32" s="987"/>
      <c r="F32" s="551">
        <v>0.85</v>
      </c>
      <c r="G32" s="732"/>
      <c r="H32" s="732"/>
      <c r="I32" s="979"/>
    </row>
    <row r="33" spans="1:9" s="1223" customFormat="1" ht="15" customHeight="1" x14ac:dyDescent="0.25">
      <c r="A33" s="772"/>
      <c r="B33" s="988" t="s">
        <v>575</v>
      </c>
      <c r="C33" s="987"/>
      <c r="D33" s="987"/>
      <c r="E33" s="987"/>
      <c r="F33" s="532"/>
      <c r="G33" s="732"/>
      <c r="H33" s="732"/>
      <c r="I33" s="979"/>
    </row>
    <row r="34" spans="1:9" s="1223" customFormat="1" ht="15" customHeight="1" x14ac:dyDescent="0.25">
      <c r="A34" s="772"/>
      <c r="B34" s="989" t="s">
        <v>576</v>
      </c>
      <c r="C34" s="987"/>
      <c r="D34" s="987"/>
      <c r="E34" s="987"/>
      <c r="F34" s="551">
        <v>0.75</v>
      </c>
      <c r="G34" s="732"/>
      <c r="H34" s="732"/>
      <c r="I34" s="979"/>
    </row>
    <row r="35" spans="1:9" s="1223" customFormat="1" ht="15" customHeight="1" x14ac:dyDescent="0.25">
      <c r="A35" s="772"/>
      <c r="B35" s="989" t="s">
        <v>577</v>
      </c>
      <c r="C35" s="987"/>
      <c r="D35" s="987"/>
      <c r="E35" s="987"/>
      <c r="F35" s="551">
        <v>0.5</v>
      </c>
      <c r="G35" s="732"/>
      <c r="H35" s="732"/>
      <c r="I35" s="979"/>
    </row>
    <row r="36" spans="1:9" s="1223" customFormat="1" ht="15" customHeight="1" x14ac:dyDescent="0.25">
      <c r="A36" s="772"/>
      <c r="B36" s="989" t="s">
        <v>578</v>
      </c>
      <c r="C36" s="987"/>
      <c r="D36" s="987"/>
      <c r="E36" s="987"/>
      <c r="F36" s="551">
        <v>0.5</v>
      </c>
      <c r="G36" s="732"/>
      <c r="H36" s="732"/>
      <c r="I36" s="979"/>
    </row>
    <row r="37" spans="1:9" s="1223" customFormat="1" ht="15" customHeight="1" x14ac:dyDescent="0.25">
      <c r="A37" s="772"/>
      <c r="B37" s="938" t="s">
        <v>436</v>
      </c>
      <c r="C37" s="987"/>
      <c r="D37" s="987"/>
      <c r="E37" s="987"/>
      <c r="F37" s="551">
        <v>0.75</v>
      </c>
      <c r="G37" s="732"/>
      <c r="H37" s="732"/>
      <c r="I37" s="979"/>
    </row>
    <row r="38" spans="1:9" s="1223" customFormat="1" ht="15" customHeight="1" x14ac:dyDescent="0.25">
      <c r="A38" s="772"/>
      <c r="B38" s="990" t="s">
        <v>440</v>
      </c>
      <c r="C38" s="991"/>
      <c r="D38" s="991"/>
      <c r="E38" s="991"/>
      <c r="F38" s="552">
        <v>0.5</v>
      </c>
      <c r="G38" s="732"/>
      <c r="H38" s="732"/>
      <c r="I38" s="979"/>
    </row>
    <row r="39" spans="1:9" s="1625" customFormat="1" ht="45" customHeight="1" x14ac:dyDescent="0.25">
      <c r="A39" s="733" t="s">
        <v>185</v>
      </c>
      <c r="B39" s="1010"/>
      <c r="C39" s="1010"/>
      <c r="D39" s="425"/>
      <c r="E39" s="425"/>
      <c r="F39" s="1011"/>
      <c r="G39" s="735"/>
      <c r="H39" s="735"/>
      <c r="I39" s="422"/>
    </row>
    <row r="40" spans="1:9" s="1223" customFormat="1" ht="15" customHeight="1" x14ac:dyDescent="0.25">
      <c r="A40" s="836"/>
      <c r="B40" s="907" t="s">
        <v>32</v>
      </c>
      <c r="C40" s="907"/>
      <c r="D40" s="907"/>
      <c r="E40" s="907"/>
      <c r="F40" s="553" t="s">
        <v>110</v>
      </c>
      <c r="G40" s="734"/>
      <c r="H40" s="734"/>
      <c r="I40" s="771"/>
    </row>
    <row r="41" spans="1:9" ht="18" customHeight="1" x14ac:dyDescent="0.25">
      <c r="A41" s="836"/>
      <c r="B41" s="734"/>
      <c r="C41" s="734"/>
      <c r="D41" s="734"/>
      <c r="E41" s="734"/>
      <c r="F41" s="734"/>
      <c r="G41" s="734"/>
      <c r="H41" s="734"/>
      <c r="I41" s="771"/>
    </row>
    <row r="42" spans="1:9" ht="15" customHeight="1" x14ac:dyDescent="0.25">
      <c r="A42" s="836"/>
      <c r="B42" s="907"/>
      <c r="C42" s="907"/>
      <c r="D42" s="907"/>
      <c r="E42" s="907"/>
      <c r="F42" s="1550" t="s">
        <v>354</v>
      </c>
      <c r="G42" s="734"/>
      <c r="H42" s="734"/>
      <c r="I42" s="771"/>
    </row>
    <row r="43" spans="1:9" s="1223" customFormat="1" ht="15" customHeight="1" x14ac:dyDescent="0.25">
      <c r="A43" s="836"/>
      <c r="B43" s="986" t="s">
        <v>23</v>
      </c>
      <c r="C43" s="986"/>
      <c r="D43" s="986"/>
      <c r="E43" s="986"/>
      <c r="F43" s="554">
        <v>0</v>
      </c>
      <c r="G43" s="734"/>
      <c r="H43" s="734"/>
      <c r="I43" s="771"/>
    </row>
    <row r="44" spans="1:9" s="1223" customFormat="1" ht="15" customHeight="1" x14ac:dyDescent="0.25">
      <c r="A44" s="836"/>
      <c r="B44" s="987" t="s">
        <v>579</v>
      </c>
      <c r="C44" s="987"/>
      <c r="D44" s="987"/>
      <c r="E44" s="987"/>
      <c r="F44" s="532"/>
      <c r="G44" s="734"/>
      <c r="H44" s="734"/>
      <c r="I44" s="771"/>
    </row>
    <row r="45" spans="1:9" s="1223" customFormat="1" ht="15" customHeight="1" x14ac:dyDescent="0.25">
      <c r="A45" s="836"/>
      <c r="B45" s="938" t="s">
        <v>373</v>
      </c>
      <c r="C45" s="987"/>
      <c r="D45" s="987"/>
      <c r="E45" s="987"/>
      <c r="F45" s="555">
        <v>0</v>
      </c>
      <c r="G45" s="734"/>
      <c r="H45" s="734"/>
      <c r="I45" s="771"/>
    </row>
    <row r="46" spans="1:9" s="1223" customFormat="1" ht="15" customHeight="1" x14ac:dyDescent="0.25">
      <c r="A46" s="836"/>
      <c r="B46" s="938" t="s">
        <v>374</v>
      </c>
      <c r="C46" s="987"/>
      <c r="D46" s="987"/>
      <c r="E46" s="987"/>
      <c r="F46" s="555">
        <v>0</v>
      </c>
      <c r="G46" s="734"/>
      <c r="H46" s="734"/>
      <c r="I46" s="771"/>
    </row>
    <row r="47" spans="1:9" s="1223" customFormat="1" ht="15" customHeight="1" x14ac:dyDescent="0.25">
      <c r="A47" s="836"/>
      <c r="B47" s="991" t="s">
        <v>22</v>
      </c>
      <c r="C47" s="991"/>
      <c r="D47" s="991"/>
      <c r="E47" s="991"/>
      <c r="F47" s="556">
        <v>0</v>
      </c>
      <c r="G47" s="734"/>
      <c r="H47" s="734"/>
      <c r="I47" s="771"/>
    </row>
    <row r="48" spans="1:9" s="1625" customFormat="1" ht="45" customHeight="1" x14ac:dyDescent="0.25">
      <c r="A48" s="733" t="s">
        <v>186</v>
      </c>
      <c r="B48" s="1010"/>
      <c r="C48" s="1010"/>
      <c r="D48" s="425"/>
      <c r="E48" s="425"/>
      <c r="F48" s="1011"/>
      <c r="G48" s="735"/>
      <c r="H48" s="735"/>
      <c r="I48" s="422"/>
    </row>
    <row r="49" spans="1:9" ht="60" customHeight="1" x14ac:dyDescent="0.25">
      <c r="A49" s="836"/>
      <c r="B49" s="1986"/>
      <c r="C49" s="1986"/>
      <c r="D49" s="1986"/>
      <c r="E49" s="1986"/>
      <c r="F49" s="1549" t="s">
        <v>29</v>
      </c>
      <c r="G49" s="1550" t="s">
        <v>30</v>
      </c>
      <c r="H49" s="734"/>
      <c r="I49" s="771"/>
    </row>
    <row r="50" spans="1:9" s="1223" customFormat="1" ht="15" customHeight="1" x14ac:dyDescent="0.25">
      <c r="A50" s="836"/>
      <c r="B50" s="557" t="s">
        <v>384</v>
      </c>
      <c r="C50" s="38"/>
      <c r="D50" s="558"/>
      <c r="E50" s="558"/>
      <c r="F50" s="559">
        <v>0</v>
      </c>
      <c r="G50" s="554">
        <v>0</v>
      </c>
      <c r="H50" s="734"/>
      <c r="I50" s="771"/>
    </row>
    <row r="51" spans="1:9" s="1223" customFormat="1" ht="15" customHeight="1" x14ac:dyDescent="0.25">
      <c r="A51" s="836"/>
      <c r="B51" s="560" t="s">
        <v>385</v>
      </c>
      <c r="C51" s="67"/>
      <c r="D51" s="561"/>
      <c r="E51" s="561"/>
      <c r="F51" s="562">
        <v>0</v>
      </c>
      <c r="G51" s="555">
        <v>0</v>
      </c>
      <c r="H51" s="734"/>
      <c r="I51" s="771"/>
    </row>
    <row r="52" spans="1:9" s="1223" customFormat="1" ht="15" customHeight="1" x14ac:dyDescent="0.25">
      <c r="A52" s="836"/>
      <c r="B52" s="560" t="s">
        <v>386</v>
      </c>
      <c r="C52" s="67"/>
      <c r="D52" s="561"/>
      <c r="E52" s="561"/>
      <c r="F52" s="562">
        <v>0</v>
      </c>
      <c r="G52" s="555">
        <v>0</v>
      </c>
      <c r="H52" s="734"/>
      <c r="I52" s="771"/>
    </row>
    <row r="53" spans="1:9" s="1223" customFormat="1" ht="15" customHeight="1" x14ac:dyDescent="0.25">
      <c r="A53" s="836"/>
      <c r="B53" s="991" t="s">
        <v>31</v>
      </c>
      <c r="C53" s="992"/>
      <c r="D53" s="991"/>
      <c r="E53" s="991"/>
      <c r="F53" s="563">
        <v>0</v>
      </c>
      <c r="G53" s="556">
        <v>0</v>
      </c>
      <c r="H53" s="734"/>
      <c r="I53" s="771"/>
    </row>
    <row r="54" spans="1:9" s="1625" customFormat="1" ht="45" customHeight="1" x14ac:dyDescent="0.25">
      <c r="A54" s="733" t="s">
        <v>187</v>
      </c>
      <c r="B54" s="1010"/>
      <c r="C54" s="1010"/>
      <c r="D54" s="425"/>
      <c r="E54" s="425"/>
      <c r="F54" s="1011"/>
      <c r="G54" s="735"/>
      <c r="H54" s="735"/>
      <c r="I54" s="422"/>
    </row>
    <row r="55" spans="1:9" ht="15" customHeight="1" x14ac:dyDescent="0.25">
      <c r="A55" s="836"/>
      <c r="B55" s="1986"/>
      <c r="C55" s="1986"/>
      <c r="D55" s="1986"/>
      <c r="E55" s="1986"/>
      <c r="F55" s="1550" t="s">
        <v>354</v>
      </c>
      <c r="G55" s="734"/>
      <c r="H55" s="734"/>
      <c r="I55" s="771"/>
    </row>
    <row r="56" spans="1:9" s="1223" customFormat="1" ht="15" customHeight="1" x14ac:dyDescent="0.25">
      <c r="A56" s="836"/>
      <c r="B56" s="993" t="s">
        <v>505</v>
      </c>
      <c r="C56" s="993"/>
      <c r="D56" s="993"/>
      <c r="E56" s="986"/>
      <c r="F56" s="554">
        <v>0</v>
      </c>
      <c r="G56" s="734"/>
      <c r="H56" s="734"/>
      <c r="I56" s="771"/>
    </row>
    <row r="57" spans="1:9" s="1223" customFormat="1" ht="15" customHeight="1" x14ac:dyDescent="0.25">
      <c r="A57" s="836"/>
      <c r="B57" s="994" t="s">
        <v>275</v>
      </c>
      <c r="C57" s="987"/>
      <c r="D57" s="987"/>
      <c r="E57" s="987"/>
      <c r="F57" s="555">
        <v>0</v>
      </c>
      <c r="G57" s="734"/>
      <c r="H57" s="734"/>
      <c r="I57" s="771"/>
    </row>
    <row r="58" spans="1:9" s="1223" customFormat="1" ht="15" customHeight="1" x14ac:dyDescent="0.25">
      <c r="A58" s="836"/>
      <c r="B58" s="995" t="s">
        <v>506</v>
      </c>
      <c r="C58" s="995"/>
      <c r="D58" s="995"/>
      <c r="E58" s="995"/>
      <c r="F58" s="555">
        <v>0</v>
      </c>
      <c r="G58" s="734"/>
      <c r="H58" s="734"/>
      <c r="I58" s="771"/>
    </row>
    <row r="59" spans="1:9" s="1223" customFormat="1" ht="15" customHeight="1" x14ac:dyDescent="0.25">
      <c r="A59" s="836"/>
      <c r="B59" s="995" t="s">
        <v>507</v>
      </c>
      <c r="C59" s="995"/>
      <c r="D59" s="995"/>
      <c r="E59" s="995"/>
      <c r="F59" s="555">
        <v>0</v>
      </c>
      <c r="G59" s="734"/>
      <c r="H59" s="734"/>
      <c r="I59" s="771"/>
    </row>
    <row r="60" spans="1:9" s="1223" customFormat="1" ht="15" customHeight="1" x14ac:dyDescent="0.25">
      <c r="A60" s="836"/>
      <c r="B60" s="994" t="s">
        <v>11</v>
      </c>
      <c r="C60" s="987"/>
      <c r="D60" s="987"/>
      <c r="E60" s="987"/>
      <c r="F60" s="67"/>
      <c r="G60" s="734"/>
      <c r="H60" s="734"/>
      <c r="I60" s="771"/>
    </row>
    <row r="61" spans="1:9" s="1223" customFormat="1" ht="15" customHeight="1" x14ac:dyDescent="0.25">
      <c r="A61" s="836"/>
      <c r="B61" s="996" t="s">
        <v>12</v>
      </c>
      <c r="C61" s="987"/>
      <c r="D61" s="987"/>
      <c r="E61" s="987"/>
      <c r="F61" s="555">
        <v>0</v>
      </c>
      <c r="G61" s="734"/>
      <c r="H61" s="734"/>
      <c r="I61" s="771"/>
    </row>
    <row r="62" spans="1:9" s="1223" customFormat="1" ht="15" customHeight="1" x14ac:dyDescent="0.25">
      <c r="A62" s="836"/>
      <c r="B62" s="996" t="s">
        <v>13</v>
      </c>
      <c r="C62" s="987"/>
      <c r="D62" s="987"/>
      <c r="E62" s="987"/>
      <c r="F62" s="555">
        <v>0</v>
      </c>
      <c r="G62" s="734"/>
      <c r="H62" s="734"/>
      <c r="I62" s="771"/>
    </row>
    <row r="63" spans="1:9" s="1223" customFormat="1" ht="15" customHeight="1" x14ac:dyDescent="0.25">
      <c r="A63" s="836"/>
      <c r="B63" s="996" t="s">
        <v>409</v>
      </c>
      <c r="C63" s="987"/>
      <c r="D63" s="987"/>
      <c r="E63" s="987"/>
      <c r="F63" s="555">
        <v>0</v>
      </c>
      <c r="G63" s="734"/>
      <c r="H63" s="734"/>
      <c r="I63" s="771"/>
    </row>
    <row r="64" spans="1:9" s="1223" customFormat="1" ht="15" customHeight="1" x14ac:dyDescent="0.25">
      <c r="A64" s="836"/>
      <c r="B64" s="996" t="s">
        <v>14</v>
      </c>
      <c r="C64" s="987"/>
      <c r="D64" s="987"/>
      <c r="E64" s="987"/>
      <c r="F64" s="555">
        <v>0</v>
      </c>
      <c r="G64" s="734"/>
      <c r="H64" s="734"/>
      <c r="I64" s="771"/>
    </row>
    <row r="65" spans="1:9" s="1223" customFormat="1" ht="15" customHeight="1" x14ac:dyDescent="0.25">
      <c r="A65" s="836"/>
      <c r="B65" s="994" t="s">
        <v>15</v>
      </c>
      <c r="C65" s="987"/>
      <c r="D65" s="987"/>
      <c r="E65" s="987"/>
      <c r="F65" s="555">
        <v>0</v>
      </c>
      <c r="G65" s="734"/>
      <c r="H65" s="734"/>
      <c r="I65" s="771"/>
    </row>
    <row r="66" spans="1:9" s="1223" customFormat="1" ht="15" customHeight="1" x14ac:dyDescent="0.25">
      <c r="A66" s="836"/>
      <c r="B66" s="997" t="s">
        <v>508</v>
      </c>
      <c r="C66" s="991"/>
      <c r="D66" s="991"/>
      <c r="E66" s="991"/>
      <c r="F66" s="556">
        <v>0.5</v>
      </c>
      <c r="G66" s="734"/>
      <c r="H66" s="734"/>
      <c r="I66" s="771"/>
    </row>
    <row r="67" spans="1:9" s="1625" customFormat="1" ht="45" customHeight="1" x14ac:dyDescent="0.25">
      <c r="A67" s="733" t="s">
        <v>188</v>
      </c>
      <c r="B67" s="1010"/>
      <c r="C67" s="1010"/>
      <c r="D67" s="425"/>
      <c r="E67" s="425"/>
      <c r="F67" s="1011"/>
      <c r="G67" s="735"/>
      <c r="H67" s="735"/>
      <c r="I67" s="422"/>
    </row>
    <row r="68" spans="1:9" ht="15" customHeight="1" x14ac:dyDescent="0.25">
      <c r="A68" s="836"/>
      <c r="B68" s="1986"/>
      <c r="C68" s="1986"/>
      <c r="D68" s="1986"/>
      <c r="E68" s="1986"/>
      <c r="F68" s="1550" t="s">
        <v>354</v>
      </c>
      <c r="G68" s="734"/>
      <c r="H68" s="734"/>
      <c r="I68" s="771"/>
    </row>
    <row r="69" spans="1:9" ht="15" customHeight="1" x14ac:dyDescent="0.25">
      <c r="A69" s="836"/>
      <c r="B69" s="998" t="s">
        <v>46</v>
      </c>
      <c r="C69" s="907"/>
      <c r="D69" s="907"/>
      <c r="E69" s="907"/>
      <c r="F69" s="564">
        <v>0</v>
      </c>
      <c r="G69" s="734"/>
      <c r="H69" s="734"/>
      <c r="I69" s="771"/>
    </row>
    <row r="70" spans="1:9" s="1625" customFormat="1" ht="45" customHeight="1" x14ac:dyDescent="0.25">
      <c r="A70" s="733" t="s">
        <v>1825</v>
      </c>
      <c r="B70" s="1010"/>
      <c r="C70" s="1010"/>
      <c r="D70" s="425"/>
      <c r="E70" s="425"/>
      <c r="F70" s="1011"/>
      <c r="G70" s="735"/>
      <c r="H70" s="735"/>
      <c r="I70" s="422"/>
    </row>
    <row r="71" spans="1:9" ht="15" customHeight="1" x14ac:dyDescent="0.25">
      <c r="A71" s="836"/>
      <c r="B71" s="1681"/>
      <c r="C71" s="1681"/>
      <c r="D71" s="1681"/>
      <c r="E71" s="1681"/>
      <c r="F71" s="1726" t="s">
        <v>354</v>
      </c>
      <c r="G71" s="1728"/>
      <c r="H71" s="1728"/>
      <c r="I71" s="771"/>
    </row>
    <row r="72" spans="1:9" ht="30" customHeight="1" x14ac:dyDescent="0.25">
      <c r="A72" s="836"/>
      <c r="B72" s="1682"/>
      <c r="C72" s="1682"/>
      <c r="D72" s="1682"/>
      <c r="E72" s="1682"/>
      <c r="F72" s="352" t="s">
        <v>699</v>
      </c>
      <c r="G72" s="352" t="s">
        <v>734</v>
      </c>
      <c r="H72" s="353" t="s">
        <v>700</v>
      </c>
      <c r="I72" s="771"/>
    </row>
    <row r="73" spans="1:9" ht="15" customHeight="1" x14ac:dyDescent="0.25">
      <c r="A73" s="836"/>
      <c r="B73" s="998" t="s">
        <v>1387</v>
      </c>
      <c r="C73" s="907"/>
      <c r="D73" s="907"/>
      <c r="E73" s="907"/>
      <c r="F73" s="1186">
        <v>0</v>
      </c>
      <c r="G73" s="1186">
        <v>0</v>
      </c>
      <c r="H73" s="564">
        <v>0</v>
      </c>
      <c r="I73" s="771"/>
    </row>
    <row r="74" spans="1:9" s="1625" customFormat="1" ht="45" customHeight="1" x14ac:dyDescent="0.25">
      <c r="A74" s="733" t="s">
        <v>1410</v>
      </c>
      <c r="B74" s="1010"/>
      <c r="C74" s="1010"/>
      <c r="D74" s="425"/>
      <c r="E74" s="425"/>
      <c r="F74" s="1011"/>
      <c r="G74" s="735"/>
      <c r="H74" s="735"/>
      <c r="I74" s="422"/>
    </row>
    <row r="75" spans="1:9" ht="15" customHeight="1" x14ac:dyDescent="0.25">
      <c r="A75" s="836"/>
      <c r="B75" s="1986"/>
      <c r="C75" s="1986"/>
      <c r="D75" s="1986"/>
      <c r="E75" s="1986"/>
      <c r="F75" s="1550" t="s">
        <v>354</v>
      </c>
      <c r="G75" s="734"/>
      <c r="H75" s="734"/>
      <c r="I75" s="771"/>
    </row>
    <row r="76" spans="1:9" s="1223" customFormat="1" ht="15" customHeight="1" x14ac:dyDescent="0.25">
      <c r="A76" s="836"/>
      <c r="B76" s="1985" t="s">
        <v>619</v>
      </c>
      <c r="C76" s="1985"/>
      <c r="D76" s="1985"/>
      <c r="E76" s="1982"/>
      <c r="F76" s="554">
        <v>0</v>
      </c>
      <c r="G76" s="734"/>
      <c r="H76" s="734"/>
      <c r="I76" s="771"/>
    </row>
    <row r="77" spans="1:9" s="1223" customFormat="1" ht="15" customHeight="1" x14ac:dyDescent="0.25">
      <c r="A77" s="836"/>
      <c r="B77" s="1975" t="s">
        <v>620</v>
      </c>
      <c r="C77" s="1975"/>
      <c r="D77" s="1975"/>
      <c r="E77" s="1976"/>
      <c r="F77" s="555">
        <v>0</v>
      </c>
      <c r="G77" s="734"/>
      <c r="H77" s="734"/>
      <c r="I77" s="771"/>
    </row>
    <row r="78" spans="1:9" s="1223" customFormat="1" ht="15" customHeight="1" x14ac:dyDescent="0.25">
      <c r="A78" s="836"/>
      <c r="B78" s="1975" t="s">
        <v>506</v>
      </c>
      <c r="C78" s="1975"/>
      <c r="D78" s="1975"/>
      <c r="E78" s="1976"/>
      <c r="F78" s="555">
        <v>0</v>
      </c>
      <c r="G78" s="734"/>
      <c r="H78" s="734"/>
      <c r="I78" s="771"/>
    </row>
    <row r="79" spans="1:9" s="1223" customFormat="1" ht="15" customHeight="1" x14ac:dyDescent="0.25">
      <c r="A79" s="836"/>
      <c r="B79" s="1975" t="s">
        <v>507</v>
      </c>
      <c r="C79" s="1975"/>
      <c r="D79" s="1975"/>
      <c r="E79" s="1976"/>
      <c r="F79" s="555">
        <v>0</v>
      </c>
      <c r="G79" s="734"/>
      <c r="H79" s="734"/>
      <c r="I79" s="771"/>
    </row>
    <row r="80" spans="1:9" s="1223" customFormat="1" ht="15" customHeight="1" x14ac:dyDescent="0.25">
      <c r="A80" s="836"/>
      <c r="B80" s="1975" t="s">
        <v>408</v>
      </c>
      <c r="C80" s="1975"/>
      <c r="D80" s="1975"/>
      <c r="E80" s="1976"/>
      <c r="F80" s="67"/>
      <c r="G80" s="734"/>
      <c r="H80" s="734"/>
      <c r="I80" s="771"/>
    </row>
    <row r="81" spans="1:9" s="1223" customFormat="1" ht="15" customHeight="1" x14ac:dyDescent="0.25">
      <c r="A81" s="836"/>
      <c r="B81" s="1973" t="s">
        <v>274</v>
      </c>
      <c r="C81" s="1973"/>
      <c r="D81" s="1973"/>
      <c r="E81" s="1974"/>
      <c r="F81" s="555">
        <v>0</v>
      </c>
      <c r="G81" s="734"/>
      <c r="H81" s="734"/>
      <c r="I81" s="771"/>
    </row>
    <row r="82" spans="1:9" s="1223" customFormat="1" ht="15" customHeight="1" x14ac:dyDescent="0.25">
      <c r="A82" s="836"/>
      <c r="B82" s="1973" t="s">
        <v>13</v>
      </c>
      <c r="C82" s="1973"/>
      <c r="D82" s="1973"/>
      <c r="E82" s="1974"/>
      <c r="F82" s="555">
        <v>0</v>
      </c>
      <c r="G82" s="734"/>
      <c r="H82" s="734"/>
      <c r="I82" s="771"/>
    </row>
    <row r="83" spans="1:9" s="1223" customFormat="1" ht="15" customHeight="1" x14ac:dyDescent="0.25">
      <c r="A83" s="836"/>
      <c r="B83" s="1973" t="s">
        <v>409</v>
      </c>
      <c r="C83" s="1973"/>
      <c r="D83" s="1973"/>
      <c r="E83" s="1974"/>
      <c r="F83" s="555">
        <v>0</v>
      </c>
      <c r="G83" s="734"/>
      <c r="H83" s="734"/>
      <c r="I83" s="771"/>
    </row>
    <row r="84" spans="1:9" s="1223" customFormat="1" ht="15" customHeight="1" x14ac:dyDescent="0.25">
      <c r="A84" s="836"/>
      <c r="B84" s="1973" t="s">
        <v>14</v>
      </c>
      <c r="C84" s="1973"/>
      <c r="D84" s="1973"/>
      <c r="E84" s="1974"/>
      <c r="F84" s="555">
        <v>0</v>
      </c>
      <c r="G84" s="734"/>
      <c r="H84" s="734"/>
      <c r="I84" s="771"/>
    </row>
    <row r="85" spans="1:9" s="1223" customFormat="1" ht="15" customHeight="1" x14ac:dyDescent="0.25">
      <c r="A85" s="836"/>
      <c r="B85" s="1823" t="s">
        <v>142</v>
      </c>
      <c r="C85" s="1823"/>
      <c r="D85" s="1823"/>
      <c r="E85" s="1984"/>
      <c r="F85" s="556">
        <v>0</v>
      </c>
      <c r="G85" s="734"/>
      <c r="H85" s="734"/>
      <c r="I85" s="771"/>
    </row>
    <row r="86" spans="1:9" s="1625" customFormat="1" ht="45" customHeight="1" x14ac:dyDescent="0.25">
      <c r="A86" s="733" t="s">
        <v>1822</v>
      </c>
      <c r="B86" s="1010"/>
      <c r="C86" s="1010"/>
      <c r="D86" s="425"/>
      <c r="E86" s="425"/>
      <c r="F86" s="1011"/>
      <c r="G86" s="735"/>
      <c r="H86" s="735"/>
      <c r="I86" s="422"/>
    </row>
    <row r="87" spans="1:9" ht="15" customHeight="1" x14ac:dyDescent="0.25">
      <c r="A87" s="836"/>
      <c r="B87" s="1681"/>
      <c r="C87" s="1681"/>
      <c r="D87" s="1681"/>
      <c r="E87" s="1681"/>
      <c r="F87" s="1726" t="s">
        <v>354</v>
      </c>
      <c r="G87" s="1728"/>
      <c r="H87" s="1728"/>
      <c r="I87" s="771"/>
    </row>
    <row r="88" spans="1:9" ht="30" customHeight="1" x14ac:dyDescent="0.25">
      <c r="A88" s="836"/>
      <c r="B88" s="1682"/>
      <c r="C88" s="1682"/>
      <c r="D88" s="1682"/>
      <c r="E88" s="1682"/>
      <c r="F88" s="352" t="s">
        <v>699</v>
      </c>
      <c r="G88" s="352" t="s">
        <v>734</v>
      </c>
      <c r="H88" s="353" t="s">
        <v>700</v>
      </c>
      <c r="I88" s="771"/>
    </row>
    <row r="89" spans="1:9" ht="15" customHeight="1" x14ac:dyDescent="0.25">
      <c r="A89" s="836"/>
      <c r="B89" s="1982" t="str">
        <f>NSFR!B306</f>
        <v>Loans to financial institutions; of which:</v>
      </c>
      <c r="C89" s="1983"/>
      <c r="D89" s="1983"/>
      <c r="E89" s="1983"/>
      <c r="F89" s="37"/>
      <c r="G89" s="37"/>
      <c r="H89" s="38"/>
      <c r="I89" s="771"/>
    </row>
    <row r="90" spans="1:9" ht="30" customHeight="1" x14ac:dyDescent="0.25">
      <c r="A90" s="836"/>
      <c r="B90" s="1974" t="str">
        <f>NSFR!B307</f>
        <v>Secured by Level 1 collateral and where the bank has the ability to freely rehypthecate the received collateral for the life of the loan, of which</v>
      </c>
      <c r="C90" s="1981"/>
      <c r="D90" s="1981"/>
      <c r="E90" s="1981"/>
      <c r="F90" s="48"/>
      <c r="G90" s="48"/>
      <c r="H90" s="67"/>
      <c r="I90" s="771"/>
    </row>
    <row r="91" spans="1:9" ht="15" customHeight="1" x14ac:dyDescent="0.25">
      <c r="A91" s="836"/>
      <c r="B91" s="1969" t="str">
        <f>NSFR!B308</f>
        <v>Encumbered for exceptional central bank liquidity operations; of which:</v>
      </c>
      <c r="C91" s="1970"/>
      <c r="D91" s="1970"/>
      <c r="E91" s="1970"/>
      <c r="F91" s="48"/>
      <c r="G91" s="48"/>
      <c r="H91" s="67"/>
      <c r="I91" s="771"/>
    </row>
    <row r="92" spans="1:9" ht="15" customHeight="1" x14ac:dyDescent="0.25">
      <c r="A92" s="836"/>
      <c r="B92" s="1978" t="str">
        <f>NSFR!B309</f>
        <v>Remaining period of encumbrance ≥ 6 months to &lt; 1 year</v>
      </c>
      <c r="C92" s="1979"/>
      <c r="D92" s="1979"/>
      <c r="E92" s="1979"/>
      <c r="F92" s="562">
        <v>0.5</v>
      </c>
      <c r="G92" s="562">
        <v>0.5</v>
      </c>
      <c r="H92" s="555">
        <v>1</v>
      </c>
      <c r="I92" s="771"/>
    </row>
    <row r="93" spans="1:9" ht="15" customHeight="1" x14ac:dyDescent="0.25">
      <c r="A93" s="836"/>
      <c r="B93" s="1978" t="str">
        <f>NSFR!B310</f>
        <v>Remaining period of encumbrance ≥ 1 year</v>
      </c>
      <c r="C93" s="1979"/>
      <c r="D93" s="1979"/>
      <c r="E93" s="1979"/>
      <c r="F93" s="562">
        <v>1</v>
      </c>
      <c r="G93" s="562">
        <v>1</v>
      </c>
      <c r="H93" s="555">
        <v>1</v>
      </c>
      <c r="I93" s="771"/>
    </row>
    <row r="94" spans="1:9" ht="15" customHeight="1" x14ac:dyDescent="0.25">
      <c r="A94" s="836"/>
      <c r="B94" s="1973" t="str">
        <f>NSFR!B311</f>
        <v>All other secured loans to financial institutions; of which:</v>
      </c>
      <c r="C94" s="1973"/>
      <c r="D94" s="1973"/>
      <c r="E94" s="1974"/>
      <c r="F94" s="48"/>
      <c r="G94" s="48"/>
      <c r="H94" s="67"/>
      <c r="I94" s="771"/>
    </row>
    <row r="95" spans="1:9" ht="15" customHeight="1" x14ac:dyDescent="0.25">
      <c r="A95" s="836"/>
      <c r="B95" s="1980" t="str">
        <f>NSFR!B312</f>
        <v>Encumbered for exceptional central bank liquidity operations; of which:</v>
      </c>
      <c r="C95" s="1980"/>
      <c r="D95" s="1980"/>
      <c r="E95" s="1969"/>
      <c r="F95" s="48"/>
      <c r="G95" s="48"/>
      <c r="H95" s="67"/>
      <c r="I95" s="771"/>
    </row>
    <row r="96" spans="1:9" ht="15" customHeight="1" x14ac:dyDescent="0.25">
      <c r="A96" s="836"/>
      <c r="B96" s="1977" t="str">
        <f>NSFR!B313</f>
        <v>Remaining period of encumbrance ≥ 6 months to &lt; 1 year</v>
      </c>
      <c r="C96" s="1977"/>
      <c r="D96" s="1977"/>
      <c r="E96" s="1978"/>
      <c r="F96" s="562">
        <v>0.5</v>
      </c>
      <c r="G96" s="562">
        <v>0.5</v>
      </c>
      <c r="H96" s="555">
        <v>1</v>
      </c>
      <c r="I96" s="771"/>
    </row>
    <row r="97" spans="1:9" ht="15" customHeight="1" x14ac:dyDescent="0.25">
      <c r="A97" s="836"/>
      <c r="B97" s="1978" t="str">
        <f>NSFR!B314</f>
        <v>Remaining period of encumbrance ≥ 1 year</v>
      </c>
      <c r="C97" s="1979"/>
      <c r="D97" s="1979"/>
      <c r="E97" s="1979"/>
      <c r="F97" s="562">
        <v>1</v>
      </c>
      <c r="G97" s="562">
        <v>1</v>
      </c>
      <c r="H97" s="555">
        <v>1</v>
      </c>
      <c r="I97" s="771"/>
    </row>
    <row r="98" spans="1:9" ht="15" customHeight="1" x14ac:dyDescent="0.25">
      <c r="A98" s="836"/>
      <c r="B98" s="1973" t="str">
        <f>NSFR!B315</f>
        <v>Unsecured, of which:</v>
      </c>
      <c r="C98" s="1973"/>
      <c r="D98" s="1973"/>
      <c r="E98" s="1974"/>
      <c r="F98" s="48"/>
      <c r="G98" s="48"/>
      <c r="H98" s="67"/>
      <c r="I98" s="771"/>
    </row>
    <row r="99" spans="1:9" ht="15" customHeight="1" x14ac:dyDescent="0.25">
      <c r="A99" s="836"/>
      <c r="B99" s="1980" t="str">
        <f>NSFR!B316</f>
        <v>Encumbered for exceptional central bank liquidity operations; of which:</v>
      </c>
      <c r="C99" s="1980"/>
      <c r="D99" s="1980"/>
      <c r="E99" s="1969"/>
      <c r="F99" s="48"/>
      <c r="G99" s="48"/>
      <c r="H99" s="67"/>
      <c r="I99" s="771"/>
    </row>
    <row r="100" spans="1:9" ht="15" customHeight="1" x14ac:dyDescent="0.25">
      <c r="A100" s="836"/>
      <c r="B100" s="1977" t="str">
        <f>NSFR!B317</f>
        <v>Remaining period of encumbrance ≥ 6 months to &lt; 1 year</v>
      </c>
      <c r="C100" s="1977"/>
      <c r="D100" s="1977"/>
      <c r="E100" s="1978"/>
      <c r="F100" s="562">
        <v>0.5</v>
      </c>
      <c r="G100" s="562">
        <v>0.5</v>
      </c>
      <c r="H100" s="555">
        <v>1</v>
      </c>
      <c r="I100" s="771"/>
    </row>
    <row r="101" spans="1:9" ht="15" customHeight="1" x14ac:dyDescent="0.25">
      <c r="A101" s="836"/>
      <c r="B101" s="1978" t="str">
        <f>NSFR!B318</f>
        <v>Remaining period of encumbrance ≥ 1 year</v>
      </c>
      <c r="C101" s="1979"/>
      <c r="D101" s="1979"/>
      <c r="E101" s="1979"/>
      <c r="F101" s="562">
        <v>1</v>
      </c>
      <c r="G101" s="562">
        <v>1</v>
      </c>
      <c r="H101" s="555">
        <v>1</v>
      </c>
      <c r="I101" s="771"/>
    </row>
    <row r="102" spans="1:9" ht="15" customHeight="1" x14ac:dyDescent="0.25">
      <c r="A102" s="836"/>
      <c r="B102" s="1975" t="str">
        <f>NSFR!B319</f>
        <v>Securities eligible as Level 1 HQLA for the LCR, of which:</v>
      </c>
      <c r="C102" s="1975"/>
      <c r="D102" s="1975"/>
      <c r="E102" s="1976"/>
      <c r="F102" s="48"/>
      <c r="G102" s="48"/>
      <c r="H102" s="67"/>
      <c r="I102" s="771"/>
    </row>
    <row r="103" spans="1:9" ht="15" customHeight="1" x14ac:dyDescent="0.25">
      <c r="A103" s="836"/>
      <c r="B103" s="1973" t="str">
        <f>NSFR!B320</f>
        <v>Encumbered for exceptional central bank liquidity operations; of which:</v>
      </c>
      <c r="C103" s="1973"/>
      <c r="D103" s="1973"/>
      <c r="E103" s="1974"/>
      <c r="F103" s="48"/>
      <c r="G103" s="48"/>
      <c r="H103" s="67"/>
      <c r="I103" s="771"/>
    </row>
    <row r="104" spans="1:9" ht="15" customHeight="1" x14ac:dyDescent="0.25">
      <c r="A104" s="836"/>
      <c r="B104" s="1969" t="str">
        <f>NSFR!B321</f>
        <v>Remaining period of encumbrance ≥ 6 months to &lt; 1 year</v>
      </c>
      <c r="C104" s="1970"/>
      <c r="D104" s="1970"/>
      <c r="E104" s="1970"/>
      <c r="F104" s="562">
        <v>0.5</v>
      </c>
      <c r="G104" s="562">
        <v>0.5</v>
      </c>
      <c r="H104" s="555">
        <v>0.5</v>
      </c>
      <c r="I104" s="771"/>
    </row>
    <row r="105" spans="1:9" ht="15" customHeight="1" x14ac:dyDescent="0.25">
      <c r="A105" s="836"/>
      <c r="B105" s="1969" t="str">
        <f>NSFR!B322</f>
        <v>Remaining period of encumbrance ≥ 1 year</v>
      </c>
      <c r="C105" s="1970"/>
      <c r="D105" s="1970"/>
      <c r="E105" s="1970"/>
      <c r="F105" s="562">
        <v>1</v>
      </c>
      <c r="G105" s="562">
        <v>1</v>
      </c>
      <c r="H105" s="555">
        <v>1</v>
      </c>
      <c r="I105" s="771"/>
    </row>
    <row r="106" spans="1:9" ht="15" customHeight="1" x14ac:dyDescent="0.25">
      <c r="A106" s="836"/>
      <c r="B106" s="1975" t="str">
        <f>NSFR!B323</f>
        <v xml:space="preserve">Securities eligible for Level 2A HQLA for the LCR, of which: </v>
      </c>
      <c r="C106" s="1975"/>
      <c r="D106" s="1975"/>
      <c r="E106" s="1976"/>
      <c r="F106" s="48"/>
      <c r="G106" s="48"/>
      <c r="H106" s="67"/>
      <c r="I106" s="771"/>
    </row>
    <row r="107" spans="1:9" ht="15" customHeight="1" x14ac:dyDescent="0.25">
      <c r="A107" s="836"/>
      <c r="B107" s="1973" t="str">
        <f>NSFR!B324</f>
        <v>Encumbered for exceptional central bank liquidity operations; of which:</v>
      </c>
      <c r="C107" s="1973"/>
      <c r="D107" s="1973"/>
      <c r="E107" s="1974"/>
      <c r="F107" s="48"/>
      <c r="G107" s="48"/>
      <c r="H107" s="67"/>
      <c r="I107" s="771"/>
    </row>
    <row r="108" spans="1:9" ht="15" customHeight="1" x14ac:dyDescent="0.25">
      <c r="A108" s="836"/>
      <c r="B108" s="1969" t="str">
        <f>NSFR!B325</f>
        <v>Remaining period of encumbrance ≥ 6 months to &lt; 1 year</v>
      </c>
      <c r="C108" s="1970"/>
      <c r="D108" s="1970"/>
      <c r="E108" s="1970"/>
      <c r="F108" s="562">
        <v>0.5</v>
      </c>
      <c r="G108" s="562">
        <v>0.5</v>
      </c>
      <c r="H108" s="555">
        <v>0.5</v>
      </c>
      <c r="I108" s="771"/>
    </row>
    <row r="109" spans="1:9" ht="15" customHeight="1" x14ac:dyDescent="0.25">
      <c r="A109" s="836"/>
      <c r="B109" s="1969" t="str">
        <f>NSFR!B326</f>
        <v>Remaining period of encumbrance ≥ 1 year</v>
      </c>
      <c r="C109" s="1970"/>
      <c r="D109" s="1970"/>
      <c r="E109" s="1970"/>
      <c r="F109" s="562">
        <v>1</v>
      </c>
      <c r="G109" s="562">
        <v>1</v>
      </c>
      <c r="H109" s="555">
        <v>1</v>
      </c>
      <c r="I109" s="771"/>
    </row>
    <row r="110" spans="1:9" ht="15" customHeight="1" x14ac:dyDescent="0.25">
      <c r="A110" s="836"/>
      <c r="B110" s="1975" t="str">
        <f>NSFR!B327</f>
        <v xml:space="preserve">Securities eligible for Level 2B HQLA for the LCR, of which: </v>
      </c>
      <c r="C110" s="1975"/>
      <c r="D110" s="1975"/>
      <c r="E110" s="1976"/>
      <c r="F110" s="48"/>
      <c r="G110" s="48"/>
      <c r="H110" s="67"/>
      <c r="I110" s="771"/>
    </row>
    <row r="111" spans="1:9" ht="15" customHeight="1" x14ac:dyDescent="0.25">
      <c r="A111" s="836"/>
      <c r="B111" s="1973" t="str">
        <f>NSFR!B328</f>
        <v>Encumbered for exceptional central bank liquidity operations; of which:</v>
      </c>
      <c r="C111" s="1973"/>
      <c r="D111" s="1973"/>
      <c r="E111" s="1974"/>
      <c r="F111" s="48"/>
      <c r="G111" s="48"/>
      <c r="H111" s="67"/>
      <c r="I111" s="771"/>
    </row>
    <row r="112" spans="1:9" ht="15" customHeight="1" x14ac:dyDescent="0.25">
      <c r="A112" s="836"/>
      <c r="B112" s="1969" t="str">
        <f>NSFR!B329</f>
        <v>Remaining period of encumbrance ≥ 6 months to &lt; 1 year</v>
      </c>
      <c r="C112" s="1970"/>
      <c r="D112" s="1970"/>
      <c r="E112" s="1970"/>
      <c r="F112" s="562">
        <v>0.5</v>
      </c>
      <c r="G112" s="562">
        <v>0.5</v>
      </c>
      <c r="H112" s="555">
        <v>0.5</v>
      </c>
      <c r="I112" s="771"/>
    </row>
    <row r="113" spans="1:9" ht="15" customHeight="1" x14ac:dyDescent="0.25">
      <c r="A113" s="836"/>
      <c r="B113" s="1969" t="str">
        <f>NSFR!B330</f>
        <v>Remaining period of encumbrance ≥ 1 year</v>
      </c>
      <c r="C113" s="1970"/>
      <c r="D113" s="1970"/>
      <c r="E113" s="1970"/>
      <c r="F113" s="562">
        <v>1</v>
      </c>
      <c r="G113" s="562">
        <v>1</v>
      </c>
      <c r="H113" s="555">
        <v>1</v>
      </c>
      <c r="I113" s="771"/>
    </row>
    <row r="114" spans="1:9" ht="15" customHeight="1" x14ac:dyDescent="0.25">
      <c r="A114" s="836"/>
      <c r="B114" s="1975" t="str">
        <f>NSFR!B331</f>
        <v>Deposits held at financial institutions for operational purposes; of which:</v>
      </c>
      <c r="C114" s="1975"/>
      <c r="D114" s="1975"/>
      <c r="E114" s="1976"/>
      <c r="F114" s="48"/>
      <c r="G114" s="48"/>
      <c r="H114" s="67"/>
      <c r="I114" s="771"/>
    </row>
    <row r="115" spans="1:9" ht="15" customHeight="1" x14ac:dyDescent="0.25">
      <c r="A115" s="836"/>
      <c r="B115" s="1973" t="str">
        <f>NSFR!B332</f>
        <v>Encumbered for exceptional central bank liquidity operations; of which:</v>
      </c>
      <c r="C115" s="1973"/>
      <c r="D115" s="1973"/>
      <c r="E115" s="1974"/>
      <c r="F115" s="48"/>
      <c r="G115" s="48"/>
      <c r="H115" s="67"/>
      <c r="I115" s="771"/>
    </row>
    <row r="116" spans="1:9" ht="15" customHeight="1" x14ac:dyDescent="0.25">
      <c r="A116" s="836"/>
      <c r="B116" s="1969" t="str">
        <f>NSFR!B333</f>
        <v>Remaining period of encumbrance ≥ 6 months to &lt; 1 year</v>
      </c>
      <c r="C116" s="1970"/>
      <c r="D116" s="1970"/>
      <c r="E116" s="1970"/>
      <c r="F116" s="562">
        <v>0.5</v>
      </c>
      <c r="G116" s="562">
        <v>0.5</v>
      </c>
      <c r="H116" s="555">
        <v>1</v>
      </c>
      <c r="I116" s="771"/>
    </row>
    <row r="117" spans="1:9" ht="15" customHeight="1" x14ac:dyDescent="0.25">
      <c r="A117" s="836"/>
      <c r="B117" s="1969" t="str">
        <f>NSFR!B334</f>
        <v>Remaining period of encumbrance ≥ 1 year</v>
      </c>
      <c r="C117" s="1970"/>
      <c r="D117" s="1970"/>
      <c r="E117" s="1970"/>
      <c r="F117" s="562">
        <v>1</v>
      </c>
      <c r="G117" s="562">
        <v>1</v>
      </c>
      <c r="H117" s="555">
        <v>1</v>
      </c>
      <c r="I117" s="771"/>
    </row>
    <row r="118" spans="1:9" ht="15" customHeight="1" x14ac:dyDescent="0.25">
      <c r="A118" s="836"/>
      <c r="B118" s="1975" t="str">
        <f>NSFR!B335</f>
        <v>Loans to non-financial corporate clients with a residual maturity of less than one year; of which:</v>
      </c>
      <c r="C118" s="1975"/>
      <c r="D118" s="1975"/>
      <c r="E118" s="1976"/>
      <c r="F118" s="48"/>
      <c r="G118" s="48"/>
      <c r="H118" s="67"/>
      <c r="I118" s="771"/>
    </row>
    <row r="119" spans="1:9" ht="15" customHeight="1" x14ac:dyDescent="0.25">
      <c r="A119" s="836"/>
      <c r="B119" s="1973" t="str">
        <f>NSFR!B336</f>
        <v>Encumbered for exceptional central bank liquidity operations; of which:</v>
      </c>
      <c r="C119" s="1973"/>
      <c r="D119" s="1973"/>
      <c r="E119" s="1974"/>
      <c r="F119" s="48"/>
      <c r="G119" s="48"/>
      <c r="H119" s="67"/>
      <c r="I119" s="771"/>
    </row>
    <row r="120" spans="1:9" ht="15" customHeight="1" x14ac:dyDescent="0.25">
      <c r="A120" s="836"/>
      <c r="B120" s="1969" t="str">
        <f>NSFR!B337</f>
        <v>Remaining period of encumbrance ≥ 6 months to &lt; 1 year</v>
      </c>
      <c r="C120" s="1970"/>
      <c r="D120" s="1970"/>
      <c r="E120" s="1970"/>
      <c r="F120" s="562">
        <v>0.5</v>
      </c>
      <c r="G120" s="562">
        <v>0.5</v>
      </c>
      <c r="H120" s="67"/>
      <c r="I120" s="771"/>
    </row>
    <row r="121" spans="1:9" ht="15" customHeight="1" x14ac:dyDescent="0.25">
      <c r="A121" s="836"/>
      <c r="B121" s="1969" t="str">
        <f>NSFR!B338</f>
        <v>Remaining period of encumbrance ≥ 1 year</v>
      </c>
      <c r="C121" s="1970"/>
      <c r="D121" s="1970"/>
      <c r="E121" s="1970"/>
      <c r="F121" s="562">
        <v>1</v>
      </c>
      <c r="G121" s="562">
        <v>1</v>
      </c>
      <c r="H121" s="67"/>
      <c r="I121" s="771"/>
    </row>
    <row r="122" spans="1:9" ht="15" customHeight="1" x14ac:dyDescent="0.25">
      <c r="A122" s="836"/>
      <c r="B122" s="1975" t="str">
        <f>NSFR!B339</f>
        <v>Loans to central banks with a residual maturity of less than one year; of which:</v>
      </c>
      <c r="C122" s="1975"/>
      <c r="D122" s="1975"/>
      <c r="E122" s="1976"/>
      <c r="F122" s="48"/>
      <c r="G122" s="48"/>
      <c r="H122" s="67"/>
      <c r="I122" s="771"/>
    </row>
    <row r="123" spans="1:9" ht="15" customHeight="1" x14ac:dyDescent="0.25">
      <c r="A123" s="836"/>
      <c r="B123" s="1973" t="str">
        <f>NSFR!B340</f>
        <v>Encumbered for exceptional central bank liquidity operations; of which:</v>
      </c>
      <c r="C123" s="1973"/>
      <c r="D123" s="1973"/>
      <c r="E123" s="1974"/>
      <c r="F123" s="48"/>
      <c r="G123" s="48"/>
      <c r="H123" s="67"/>
      <c r="I123" s="771"/>
    </row>
    <row r="124" spans="1:9" ht="15" customHeight="1" x14ac:dyDescent="0.25">
      <c r="A124" s="836"/>
      <c r="B124" s="1969" t="str">
        <f>NSFR!B341</f>
        <v>Remaining period of encumbrance ≥ 6 months to &lt; 1 year</v>
      </c>
      <c r="C124" s="1970"/>
      <c r="D124" s="1970"/>
      <c r="E124" s="1970"/>
      <c r="F124" s="562">
        <v>0.5</v>
      </c>
      <c r="G124" s="562">
        <v>0.5</v>
      </c>
      <c r="H124" s="67"/>
      <c r="I124" s="771"/>
    </row>
    <row r="125" spans="1:9" ht="15" customHeight="1" x14ac:dyDescent="0.25">
      <c r="A125" s="836"/>
      <c r="B125" s="1969" t="str">
        <f>NSFR!B342</f>
        <v>Remaining period of encumbrance ≥ 1 year</v>
      </c>
      <c r="C125" s="1970"/>
      <c r="D125" s="1970"/>
      <c r="E125" s="1970"/>
      <c r="F125" s="562">
        <v>1</v>
      </c>
      <c r="G125" s="562">
        <v>1</v>
      </c>
      <c r="H125" s="67"/>
      <c r="I125" s="771"/>
    </row>
    <row r="126" spans="1:9" ht="15" customHeight="1" x14ac:dyDescent="0.25">
      <c r="A126" s="836"/>
      <c r="B126" s="1975" t="str">
        <f>NSFR!B343</f>
        <v>Loans to sovereigns, PSEs, MDBs and NDBs with a residual maturity of less than one year; of which:</v>
      </c>
      <c r="C126" s="1975"/>
      <c r="D126" s="1975"/>
      <c r="E126" s="1976"/>
      <c r="F126" s="48"/>
      <c r="G126" s="48"/>
      <c r="H126" s="67"/>
      <c r="I126" s="771"/>
    </row>
    <row r="127" spans="1:9" ht="15" customHeight="1" x14ac:dyDescent="0.25">
      <c r="A127" s="836"/>
      <c r="B127" s="1973" t="str">
        <f>NSFR!B344</f>
        <v>Encumbered for exceptional central bank liquidity operations; of which:</v>
      </c>
      <c r="C127" s="1973"/>
      <c r="D127" s="1973"/>
      <c r="E127" s="1974"/>
      <c r="F127" s="48"/>
      <c r="G127" s="48"/>
      <c r="H127" s="67"/>
      <c r="I127" s="771"/>
    </row>
    <row r="128" spans="1:9" ht="15" customHeight="1" x14ac:dyDescent="0.25">
      <c r="A128" s="836"/>
      <c r="B128" s="1969" t="str">
        <f>NSFR!B345</f>
        <v>Remaining period of encumbrance ≥ 6 months to &lt; 1 year</v>
      </c>
      <c r="C128" s="1970"/>
      <c r="D128" s="1970"/>
      <c r="E128" s="1970"/>
      <c r="F128" s="562">
        <v>0.5</v>
      </c>
      <c r="G128" s="562">
        <v>0.5</v>
      </c>
      <c r="H128" s="67"/>
      <c r="I128" s="771"/>
    </row>
    <row r="129" spans="1:9" ht="15" customHeight="1" x14ac:dyDescent="0.25">
      <c r="A129" s="836"/>
      <c r="B129" s="1969" t="str">
        <f>NSFR!B346</f>
        <v>Remaining period of encumbrance ≥ 1 year</v>
      </c>
      <c r="C129" s="1970"/>
      <c r="D129" s="1970"/>
      <c r="E129" s="1970"/>
      <c r="F129" s="562">
        <v>1</v>
      </c>
      <c r="G129" s="562">
        <v>1</v>
      </c>
      <c r="H129" s="67"/>
      <c r="I129" s="771"/>
    </row>
    <row r="130" spans="1:9" ht="30" customHeight="1" x14ac:dyDescent="0.25">
      <c r="A130" s="836"/>
      <c r="B130" s="1975" t="str">
        <f>NSFR!B347</f>
        <v>Residential mortgages of any maturity that would qualify for the 35% or lower risk weight under the Basel II standardised approach for credit risk; of which:</v>
      </c>
      <c r="C130" s="1975"/>
      <c r="D130" s="1975"/>
      <c r="E130" s="1976"/>
      <c r="F130" s="48"/>
      <c r="G130" s="48"/>
      <c r="H130" s="67"/>
      <c r="I130" s="771"/>
    </row>
    <row r="131" spans="1:9" ht="15" customHeight="1" x14ac:dyDescent="0.25">
      <c r="A131" s="836"/>
      <c r="B131" s="1973" t="str">
        <f>NSFR!B348</f>
        <v>Encumbered for exceptional central bank liquidity operations; of which:</v>
      </c>
      <c r="C131" s="1973"/>
      <c r="D131" s="1973"/>
      <c r="E131" s="1974"/>
      <c r="F131" s="48"/>
      <c r="G131" s="48"/>
      <c r="H131" s="67"/>
      <c r="I131" s="771"/>
    </row>
    <row r="132" spans="1:9" ht="15" customHeight="1" x14ac:dyDescent="0.25">
      <c r="A132" s="836"/>
      <c r="B132" s="1969" t="str">
        <f>NSFR!B349</f>
        <v>Remaining period of encumbrance ≥ 6 months to &lt; 1 year</v>
      </c>
      <c r="C132" s="1970"/>
      <c r="D132" s="1970"/>
      <c r="E132" s="1970"/>
      <c r="F132" s="562">
        <v>0.5</v>
      </c>
      <c r="G132" s="562">
        <v>0.5</v>
      </c>
      <c r="H132" s="555">
        <v>0.65</v>
      </c>
      <c r="I132" s="771"/>
    </row>
    <row r="133" spans="1:9" ht="15" customHeight="1" x14ac:dyDescent="0.25">
      <c r="A133" s="836"/>
      <c r="B133" s="1969" t="str">
        <f>NSFR!B350</f>
        <v>Remaining period of encumbrance ≥ 1 year</v>
      </c>
      <c r="C133" s="1970"/>
      <c r="D133" s="1970"/>
      <c r="E133" s="1970"/>
      <c r="F133" s="562">
        <v>1</v>
      </c>
      <c r="G133" s="562">
        <v>1</v>
      </c>
      <c r="H133" s="555">
        <v>1</v>
      </c>
      <c r="I133" s="771"/>
    </row>
    <row r="134" spans="1:9" ht="30" customHeight="1" x14ac:dyDescent="0.25">
      <c r="A134" s="836"/>
      <c r="B134" s="1975" t="str">
        <f>NSFR!B351</f>
        <v>Other loans, excluding loans to financial insitutions, with a residual maturity of one year or greater that would qualify for the 35% or lower risk weight under the Basel II standardised approach for credit risk; of which:</v>
      </c>
      <c r="C134" s="1975"/>
      <c r="D134" s="1975"/>
      <c r="E134" s="1976"/>
      <c r="F134" s="48"/>
      <c r="G134" s="48"/>
      <c r="H134" s="67"/>
      <c r="I134" s="771"/>
    </row>
    <row r="135" spans="1:9" ht="15" customHeight="1" x14ac:dyDescent="0.25">
      <c r="A135" s="836"/>
      <c r="B135" s="1973" t="str">
        <f>NSFR!B352</f>
        <v>Encumbered for exceptional central bank liquidity operations; of which:</v>
      </c>
      <c r="C135" s="1973"/>
      <c r="D135" s="1973"/>
      <c r="E135" s="1974"/>
      <c r="F135" s="48"/>
      <c r="G135" s="48"/>
      <c r="H135" s="67"/>
      <c r="I135" s="771"/>
    </row>
    <row r="136" spans="1:9" ht="15" customHeight="1" x14ac:dyDescent="0.25">
      <c r="A136" s="836"/>
      <c r="B136" s="1969" t="str">
        <f>NSFR!B353</f>
        <v>Remaining period of encumbrance ≥ 6 months to &lt; 1 year</v>
      </c>
      <c r="C136" s="1970"/>
      <c r="D136" s="1970"/>
      <c r="E136" s="1970"/>
      <c r="F136" s="48"/>
      <c r="G136" s="48"/>
      <c r="H136" s="555">
        <v>0.65</v>
      </c>
      <c r="I136" s="771"/>
    </row>
    <row r="137" spans="1:9" ht="15" customHeight="1" x14ac:dyDescent="0.25">
      <c r="A137" s="836"/>
      <c r="B137" s="1969" t="str">
        <f>NSFR!B354</f>
        <v>Remaining period of encumbrance ≥ 1 year</v>
      </c>
      <c r="C137" s="1970"/>
      <c r="D137" s="1970"/>
      <c r="E137" s="1970"/>
      <c r="F137" s="48"/>
      <c r="G137" s="48"/>
      <c r="H137" s="555">
        <v>1</v>
      </c>
      <c r="I137" s="771"/>
    </row>
    <row r="138" spans="1:9" ht="15" customHeight="1" x14ac:dyDescent="0.25">
      <c r="A138" s="836"/>
      <c r="B138" s="1975" t="str">
        <f>NSFR!B355</f>
        <v>Loans to retail and small- and medium-sized entities (SME) (excluding residential mortgages reported above) with a residual maturity of less than one year; of which:</v>
      </c>
      <c r="C138" s="1975"/>
      <c r="D138" s="1975"/>
      <c r="E138" s="1976"/>
      <c r="F138" s="48"/>
      <c r="G138" s="48"/>
      <c r="H138" s="67"/>
      <c r="I138" s="771"/>
    </row>
    <row r="139" spans="1:9" ht="15" customHeight="1" x14ac:dyDescent="0.25">
      <c r="A139" s="836"/>
      <c r="B139" s="1973" t="str">
        <f>NSFR!B356</f>
        <v>Encumbered for exceptional central bank liquidity operations; of which:</v>
      </c>
      <c r="C139" s="1973"/>
      <c r="D139" s="1973"/>
      <c r="E139" s="1974"/>
      <c r="F139" s="48"/>
      <c r="G139" s="48"/>
      <c r="H139" s="67"/>
      <c r="I139" s="771"/>
    </row>
    <row r="140" spans="1:9" ht="15" customHeight="1" x14ac:dyDescent="0.25">
      <c r="A140" s="836"/>
      <c r="B140" s="1969" t="str">
        <f>NSFR!B357</f>
        <v>Remaining period of encumbrance ≥ 6 months to &lt; 1 year</v>
      </c>
      <c r="C140" s="1970"/>
      <c r="D140" s="1970"/>
      <c r="E140" s="1970"/>
      <c r="F140" s="562">
        <v>0.5</v>
      </c>
      <c r="G140" s="562">
        <v>0.5</v>
      </c>
      <c r="H140" s="67"/>
      <c r="I140" s="771"/>
    </row>
    <row r="141" spans="1:9" ht="15" customHeight="1" x14ac:dyDescent="0.25">
      <c r="A141" s="836"/>
      <c r="B141" s="1969" t="str">
        <f>NSFR!B358</f>
        <v>Remaining period of encumbrance ≥ 1 year</v>
      </c>
      <c r="C141" s="1970"/>
      <c r="D141" s="1970"/>
      <c r="E141" s="1970"/>
      <c r="F141" s="562">
        <v>1</v>
      </c>
      <c r="G141" s="562">
        <v>1</v>
      </c>
      <c r="H141" s="67"/>
      <c r="I141" s="771"/>
    </row>
    <row r="142" spans="1:9" ht="15" customHeight="1" x14ac:dyDescent="0.25">
      <c r="A142" s="836"/>
      <c r="B142" s="1975" t="str">
        <f>NSFR!B359</f>
        <v>Performing loans (except loans to financial institutions and loans reported in above categories) with risk weights greater than 35% under the Basel II standardised approach for credit risk; of which:</v>
      </c>
      <c r="C142" s="1975"/>
      <c r="D142" s="1975"/>
      <c r="E142" s="1976"/>
      <c r="F142" s="48"/>
      <c r="G142" s="48"/>
      <c r="H142" s="67"/>
      <c r="I142" s="771"/>
    </row>
    <row r="143" spans="1:9" ht="15" customHeight="1" x14ac:dyDescent="0.25">
      <c r="A143" s="836"/>
      <c r="B143" s="1973" t="str">
        <f>NSFR!B360</f>
        <v>Encumbered for exceptional central bank liquidity operations; of which:</v>
      </c>
      <c r="C143" s="1973"/>
      <c r="D143" s="1973"/>
      <c r="E143" s="1974"/>
      <c r="F143" s="48"/>
      <c r="G143" s="48"/>
      <c r="H143" s="67"/>
      <c r="I143" s="771"/>
    </row>
    <row r="144" spans="1:9" ht="15" customHeight="1" x14ac:dyDescent="0.25">
      <c r="A144" s="836"/>
      <c r="B144" s="1969" t="str">
        <f>NSFR!B361</f>
        <v>Remaining period of encumbrance ≥ 6 months to &lt; 1 year</v>
      </c>
      <c r="C144" s="1970"/>
      <c r="D144" s="1970"/>
      <c r="E144" s="1970"/>
      <c r="F144" s="562">
        <v>0.5</v>
      </c>
      <c r="G144" s="562">
        <v>0.5</v>
      </c>
      <c r="H144" s="555">
        <v>0.85</v>
      </c>
      <c r="I144" s="771"/>
    </row>
    <row r="145" spans="1:9" ht="15" customHeight="1" x14ac:dyDescent="0.25">
      <c r="A145" s="836"/>
      <c r="B145" s="1969" t="str">
        <f>NSFR!B362</f>
        <v>Remaining period of encumbrance ≥ 1 year</v>
      </c>
      <c r="C145" s="1970"/>
      <c r="D145" s="1970"/>
      <c r="E145" s="1970"/>
      <c r="F145" s="562">
        <v>1</v>
      </c>
      <c r="G145" s="562">
        <v>1</v>
      </c>
      <c r="H145" s="555">
        <v>1</v>
      </c>
      <c r="I145" s="771"/>
    </row>
    <row r="146" spans="1:9" ht="15" customHeight="1" x14ac:dyDescent="0.25">
      <c r="A146" s="836"/>
      <c r="B146" s="1975" t="str">
        <f>NSFR!B363</f>
        <v>Non-HQLA exchange traded equities; of which:</v>
      </c>
      <c r="C146" s="1975"/>
      <c r="D146" s="1975"/>
      <c r="E146" s="1976"/>
      <c r="F146" s="48"/>
      <c r="G146" s="48"/>
      <c r="H146" s="67"/>
      <c r="I146" s="771"/>
    </row>
    <row r="147" spans="1:9" ht="15" customHeight="1" x14ac:dyDescent="0.25">
      <c r="A147" s="836"/>
      <c r="B147" s="1973" t="str">
        <f>NSFR!B364</f>
        <v>Encumbered for exceptional central bank liquidity operations; of which:</v>
      </c>
      <c r="C147" s="1973"/>
      <c r="D147" s="1973"/>
      <c r="E147" s="1974"/>
      <c r="F147" s="48"/>
      <c r="G147" s="48"/>
      <c r="H147" s="67"/>
      <c r="I147" s="771"/>
    </row>
    <row r="148" spans="1:9" ht="15" customHeight="1" x14ac:dyDescent="0.25">
      <c r="A148" s="836"/>
      <c r="B148" s="1969" t="str">
        <f>NSFR!B365</f>
        <v>Remaining period of encumbrance ≥ 6 months to &lt; 1 year</v>
      </c>
      <c r="C148" s="1970"/>
      <c r="D148" s="1970"/>
      <c r="E148" s="1970"/>
      <c r="F148" s="48"/>
      <c r="G148" s="48"/>
      <c r="H148" s="555">
        <v>0.85</v>
      </c>
      <c r="I148" s="771"/>
    </row>
    <row r="149" spans="1:9" ht="15" customHeight="1" x14ac:dyDescent="0.25">
      <c r="A149" s="836"/>
      <c r="B149" s="1969" t="str">
        <f>NSFR!B366</f>
        <v>Remaining period of encumbrance ≥ 1 year</v>
      </c>
      <c r="C149" s="1970"/>
      <c r="D149" s="1970"/>
      <c r="E149" s="1970"/>
      <c r="F149" s="48"/>
      <c r="G149" s="48"/>
      <c r="H149" s="555">
        <v>1</v>
      </c>
      <c r="I149" s="771"/>
    </row>
    <row r="150" spans="1:9" ht="15" customHeight="1" x14ac:dyDescent="0.25">
      <c r="A150" s="836"/>
      <c r="B150" s="1975" t="str">
        <f>NSFR!B367</f>
        <v>Non-HQLA securities not in default; of which:</v>
      </c>
      <c r="C150" s="1975"/>
      <c r="D150" s="1975"/>
      <c r="E150" s="1976"/>
      <c r="F150" s="48"/>
      <c r="G150" s="48"/>
      <c r="H150" s="67"/>
      <c r="I150" s="771"/>
    </row>
    <row r="151" spans="1:9" ht="15" customHeight="1" x14ac:dyDescent="0.25">
      <c r="A151" s="836"/>
      <c r="B151" s="1973" t="str">
        <f>NSFR!B368</f>
        <v>Encumbered for exceptional central bank liquidity operations; of which:</v>
      </c>
      <c r="C151" s="1973"/>
      <c r="D151" s="1973"/>
      <c r="E151" s="1974"/>
      <c r="F151" s="48"/>
      <c r="G151" s="48"/>
      <c r="H151" s="67"/>
      <c r="I151" s="771"/>
    </row>
    <row r="152" spans="1:9" ht="15" customHeight="1" x14ac:dyDescent="0.25">
      <c r="A152" s="836"/>
      <c r="B152" s="1969" t="str">
        <f>NSFR!B369</f>
        <v>Remaining period of encumbrance ≥ 6 months to &lt; 1 year</v>
      </c>
      <c r="C152" s="1970"/>
      <c r="D152" s="1970"/>
      <c r="E152" s="1970"/>
      <c r="F152" s="562">
        <v>0.5</v>
      </c>
      <c r="G152" s="562">
        <v>0.5</v>
      </c>
      <c r="H152" s="555">
        <v>0.85</v>
      </c>
      <c r="I152" s="771"/>
    </row>
    <row r="153" spans="1:9" ht="15" customHeight="1" x14ac:dyDescent="0.25">
      <c r="A153" s="836"/>
      <c r="B153" s="1969" t="str">
        <f>NSFR!B370</f>
        <v>Remaining period of encumbrance ≥ 1 year</v>
      </c>
      <c r="C153" s="1970"/>
      <c r="D153" s="1970"/>
      <c r="E153" s="1970"/>
      <c r="F153" s="562">
        <v>1</v>
      </c>
      <c r="G153" s="562">
        <v>1</v>
      </c>
      <c r="H153" s="555">
        <v>1</v>
      </c>
      <c r="I153" s="771"/>
    </row>
    <row r="154" spans="1:9" ht="15" customHeight="1" x14ac:dyDescent="0.25">
      <c r="A154" s="836"/>
      <c r="B154" s="1975" t="str">
        <f>NSFR!B371</f>
        <v>Physical traded commodities including gold; of which:</v>
      </c>
      <c r="C154" s="1975"/>
      <c r="D154" s="1975"/>
      <c r="E154" s="1976"/>
      <c r="F154" s="48"/>
      <c r="G154" s="48"/>
      <c r="H154" s="67"/>
      <c r="I154" s="771"/>
    </row>
    <row r="155" spans="1:9" ht="15" customHeight="1" x14ac:dyDescent="0.25">
      <c r="A155" s="836"/>
      <c r="B155" s="1973" t="str">
        <f>NSFR!B372</f>
        <v>Encumbered for exceptional central bank liquidity operations; of which:</v>
      </c>
      <c r="C155" s="1973"/>
      <c r="D155" s="1973"/>
      <c r="E155" s="1974"/>
      <c r="F155" s="48"/>
      <c r="G155" s="48"/>
      <c r="H155" s="67"/>
      <c r="I155" s="771"/>
    </row>
    <row r="156" spans="1:9" ht="15" customHeight="1" x14ac:dyDescent="0.25">
      <c r="A156" s="836"/>
      <c r="B156" s="1969" t="str">
        <f>NSFR!B373</f>
        <v>Remaining period of encumbrance ≥ 6 months to &lt; 1 year</v>
      </c>
      <c r="C156" s="1970"/>
      <c r="D156" s="1970"/>
      <c r="E156" s="1970"/>
      <c r="F156" s="48"/>
      <c r="G156" s="48"/>
      <c r="H156" s="555">
        <v>0.85</v>
      </c>
      <c r="I156" s="771"/>
    </row>
    <row r="157" spans="1:9" ht="15" customHeight="1" x14ac:dyDescent="0.25">
      <c r="A157" s="836"/>
      <c r="B157" s="1969" t="str">
        <f>NSFR!B374</f>
        <v>Remaining period of encumbrance ≥ 1 year</v>
      </c>
      <c r="C157" s="1970"/>
      <c r="D157" s="1970"/>
      <c r="E157" s="1970"/>
      <c r="F157" s="48"/>
      <c r="G157" s="48"/>
      <c r="H157" s="555">
        <v>1</v>
      </c>
      <c r="I157" s="771"/>
    </row>
    <row r="158" spans="1:9" ht="15" customHeight="1" x14ac:dyDescent="0.25">
      <c r="A158" s="836"/>
      <c r="B158" s="1975" t="str">
        <f>NSFR!B375</f>
        <v xml:space="preserve">Other short-term unsecured instruments and transactions with a residual maturity of less than one year, of which: </v>
      </c>
      <c r="C158" s="1975"/>
      <c r="D158" s="1975"/>
      <c r="E158" s="1976"/>
      <c r="F158" s="48"/>
      <c r="G158" s="48"/>
      <c r="H158" s="67"/>
      <c r="I158" s="771"/>
    </row>
    <row r="159" spans="1:9" ht="15" customHeight="1" x14ac:dyDescent="0.25">
      <c r="A159" s="836"/>
      <c r="B159" s="1973" t="str">
        <f>NSFR!B376</f>
        <v>Encumbered for exceptional central bank liquidity operations; of which:</v>
      </c>
      <c r="C159" s="1973"/>
      <c r="D159" s="1973"/>
      <c r="E159" s="1974"/>
      <c r="F159" s="48"/>
      <c r="G159" s="48"/>
      <c r="H159" s="67"/>
      <c r="I159" s="771"/>
    </row>
    <row r="160" spans="1:9" ht="15" customHeight="1" x14ac:dyDescent="0.25">
      <c r="A160" s="836"/>
      <c r="B160" s="1969" t="str">
        <f>NSFR!B377</f>
        <v>Remaining period of encumbrance ≥ 6 months to &lt; 1 year</v>
      </c>
      <c r="C160" s="1970"/>
      <c r="D160" s="1970"/>
      <c r="E160" s="1970"/>
      <c r="F160" s="562">
        <v>0.5</v>
      </c>
      <c r="G160" s="562">
        <v>0.5</v>
      </c>
      <c r="H160" s="67"/>
      <c r="I160" s="771"/>
    </row>
    <row r="161" spans="1:9" ht="15" customHeight="1" x14ac:dyDescent="0.25">
      <c r="A161" s="836"/>
      <c r="B161" s="1971" t="str">
        <f>NSFR!B378</f>
        <v>Remaining period of encumbrance ≥ 1 year</v>
      </c>
      <c r="C161" s="1972"/>
      <c r="D161" s="1972"/>
      <c r="E161" s="1972"/>
      <c r="F161" s="563">
        <v>1</v>
      </c>
      <c r="G161" s="563">
        <v>1</v>
      </c>
      <c r="H161" s="57"/>
      <c r="I161" s="771"/>
    </row>
    <row r="162" spans="1:9" s="1223" customFormat="1" ht="15" customHeight="1" x14ac:dyDescent="0.25">
      <c r="A162" s="836"/>
      <c r="B162" s="734"/>
      <c r="C162" s="734"/>
      <c r="D162" s="734"/>
      <c r="E162" s="734"/>
      <c r="F162" s="734"/>
      <c r="G162" s="734"/>
      <c r="H162" s="734"/>
      <c r="I162" s="771"/>
    </row>
    <row r="163" spans="1:9" s="1014" customFormat="1" ht="45" customHeight="1" x14ac:dyDescent="0.25">
      <c r="A163" s="780" t="s">
        <v>1725</v>
      </c>
      <c r="B163" s="1012"/>
      <c r="C163" s="1012"/>
      <c r="D163" s="410"/>
      <c r="E163" s="410"/>
      <c r="F163" s="1013"/>
      <c r="G163" s="810"/>
      <c r="H163" s="810"/>
      <c r="I163" s="784"/>
    </row>
    <row r="164" spans="1:9" s="1223" customFormat="1" ht="15" customHeight="1" x14ac:dyDescent="0.25">
      <c r="A164" s="772"/>
      <c r="B164" s="721" t="s">
        <v>778</v>
      </c>
      <c r="C164" s="907"/>
      <c r="D164" s="907"/>
      <c r="E164" s="907"/>
      <c r="F164" s="565">
        <v>0.5</v>
      </c>
      <c r="G164" s="732"/>
      <c r="H164" s="732"/>
      <c r="I164" s="979"/>
    </row>
    <row r="165" spans="1:9" ht="15" customHeight="1" x14ac:dyDescent="0.25">
      <c r="A165" s="772"/>
      <c r="B165" s="981"/>
      <c r="C165" s="732"/>
      <c r="D165" s="732"/>
      <c r="E165" s="732"/>
      <c r="F165" s="732"/>
      <c r="G165" s="732"/>
      <c r="H165" s="732"/>
      <c r="I165" s="979"/>
    </row>
    <row r="166" spans="1:9" s="1014" customFormat="1" ht="45" customHeight="1" x14ac:dyDescent="0.25">
      <c r="A166" s="780" t="s">
        <v>1726</v>
      </c>
      <c r="B166" s="1012"/>
      <c r="C166" s="1012"/>
      <c r="D166" s="410"/>
      <c r="E166" s="410"/>
      <c r="F166" s="1013"/>
      <c r="G166" s="810"/>
      <c r="H166" s="810"/>
      <c r="I166" s="784"/>
    </row>
    <row r="167" spans="1:9" ht="15" customHeight="1" x14ac:dyDescent="0.25">
      <c r="A167" s="836"/>
      <c r="B167" s="999" t="s">
        <v>116</v>
      </c>
      <c r="C167" s="1556">
        <v>1</v>
      </c>
      <c r="D167" s="1578" t="s">
        <v>109</v>
      </c>
      <c r="E167" s="1578"/>
      <c r="F167" s="1578"/>
      <c r="G167" s="734"/>
      <c r="H167" s="734"/>
      <c r="I167" s="771"/>
    </row>
    <row r="168" spans="1:9" ht="15" customHeight="1" x14ac:dyDescent="0.25">
      <c r="A168" s="836"/>
      <c r="B168" s="806"/>
      <c r="C168" s="1557">
        <v>2</v>
      </c>
      <c r="D168" s="959" t="s">
        <v>110</v>
      </c>
      <c r="E168" s="959"/>
      <c r="F168" s="959"/>
      <c r="G168" s="734"/>
      <c r="H168" s="734"/>
      <c r="I168" s="771"/>
    </row>
    <row r="169" spans="1:9" ht="15" customHeight="1" x14ac:dyDescent="0.25">
      <c r="A169" s="836"/>
      <c r="B169" s="1000" t="s">
        <v>92</v>
      </c>
      <c r="C169" s="1001">
        <v>3</v>
      </c>
      <c r="D169" s="721"/>
      <c r="E169" s="721"/>
      <c r="F169" s="721"/>
      <c r="G169" s="734"/>
      <c r="H169" s="734"/>
      <c r="I169" s="771"/>
    </row>
    <row r="170" spans="1:9" ht="15" customHeight="1" x14ac:dyDescent="0.25">
      <c r="A170" s="836"/>
      <c r="B170" s="999" t="s">
        <v>298</v>
      </c>
      <c r="C170" s="1556">
        <v>1</v>
      </c>
      <c r="D170" s="1578">
        <v>1</v>
      </c>
      <c r="E170" s="1578"/>
      <c r="F170" s="1578"/>
      <c r="G170" s="734"/>
      <c r="H170" s="734"/>
      <c r="I170" s="771"/>
    </row>
    <row r="171" spans="1:9" ht="15" customHeight="1" x14ac:dyDescent="0.25">
      <c r="A171" s="836"/>
      <c r="B171" s="806"/>
      <c r="C171" s="1557">
        <v>2</v>
      </c>
      <c r="D171" s="959">
        <v>2</v>
      </c>
      <c r="E171" s="1002"/>
      <c r="F171" s="1002"/>
      <c r="G171" s="734"/>
      <c r="H171" s="734"/>
      <c r="I171" s="771"/>
    </row>
    <row r="172" spans="1:9" ht="15" customHeight="1" x14ac:dyDescent="0.25">
      <c r="A172" s="836"/>
      <c r="B172" s="773" t="s">
        <v>781</v>
      </c>
      <c r="C172" s="1556">
        <v>1</v>
      </c>
      <c r="D172" s="1578">
        <v>1</v>
      </c>
      <c r="E172" s="1543">
        <v>1</v>
      </c>
      <c r="F172" s="809" t="s">
        <v>782</v>
      </c>
      <c r="G172" s="1003"/>
      <c r="H172" s="734"/>
      <c r="I172" s="771"/>
    </row>
    <row r="173" spans="1:9" ht="15" customHeight="1" x14ac:dyDescent="0.25">
      <c r="A173" s="836"/>
      <c r="B173" s="734"/>
      <c r="C173" s="1004">
        <v>2</v>
      </c>
      <c r="D173" s="936">
        <v>1000</v>
      </c>
      <c r="E173" s="1003">
        <v>1000</v>
      </c>
      <c r="F173" s="722" t="s">
        <v>783</v>
      </c>
      <c r="G173" s="1003"/>
      <c r="H173" s="734"/>
      <c r="I173" s="771"/>
    </row>
    <row r="174" spans="1:9" ht="15" customHeight="1" x14ac:dyDescent="0.25">
      <c r="A174" s="836"/>
      <c r="B174" s="734"/>
      <c r="C174" s="1557">
        <v>3</v>
      </c>
      <c r="D174" s="959">
        <v>1000000</v>
      </c>
      <c r="E174" s="1544">
        <v>1000000</v>
      </c>
      <c r="F174" s="1005" t="s">
        <v>784</v>
      </c>
      <c r="G174" s="1003"/>
      <c r="H174" s="734"/>
      <c r="I174" s="771"/>
    </row>
    <row r="175" spans="1:9" ht="15" customHeight="1" x14ac:dyDescent="0.25">
      <c r="A175" s="836"/>
      <c r="B175" s="1006" t="s">
        <v>323</v>
      </c>
      <c r="C175" s="1556">
        <v>1</v>
      </c>
      <c r="D175" s="1578" t="s">
        <v>324</v>
      </c>
      <c r="E175" s="961"/>
      <c r="F175" s="961"/>
      <c r="G175" s="734"/>
      <c r="H175" s="734"/>
      <c r="I175" s="771"/>
    </row>
    <row r="176" spans="1:9" ht="15" customHeight="1" x14ac:dyDescent="0.25">
      <c r="A176" s="836"/>
      <c r="B176" s="734"/>
      <c r="C176" s="1004">
        <v>2</v>
      </c>
      <c r="D176" s="936" t="s">
        <v>325</v>
      </c>
      <c r="E176" s="936"/>
      <c r="F176" s="936"/>
      <c r="G176" s="734"/>
      <c r="H176" s="734"/>
      <c r="I176" s="771"/>
    </row>
    <row r="177" spans="1:9" ht="15" customHeight="1" x14ac:dyDescent="0.25">
      <c r="A177" s="836"/>
      <c r="B177" s="734"/>
      <c r="C177" s="1557">
        <v>3</v>
      </c>
      <c r="D177" s="959" t="s">
        <v>326</v>
      </c>
      <c r="E177" s="959"/>
      <c r="F177" s="959"/>
      <c r="G177" s="734"/>
      <c r="H177" s="734"/>
      <c r="I177" s="771"/>
    </row>
    <row r="178" spans="1:9" ht="15" customHeight="1" x14ac:dyDescent="0.25">
      <c r="A178" s="836"/>
      <c r="B178" s="999" t="s">
        <v>80</v>
      </c>
      <c r="C178" s="1556">
        <v>1</v>
      </c>
      <c r="D178" s="1578" t="s">
        <v>327</v>
      </c>
      <c r="E178" s="1578"/>
      <c r="F178" s="1578"/>
      <c r="G178" s="734"/>
      <c r="H178" s="734"/>
      <c r="I178" s="771"/>
    </row>
    <row r="179" spans="1:9" ht="15" customHeight="1" x14ac:dyDescent="0.25">
      <c r="A179" s="836"/>
      <c r="B179" s="734"/>
      <c r="C179" s="1004">
        <v>2</v>
      </c>
      <c r="D179" s="936" t="s">
        <v>78</v>
      </c>
      <c r="E179" s="936"/>
      <c r="F179" s="936"/>
      <c r="G179" s="734"/>
      <c r="H179" s="734"/>
      <c r="I179" s="771"/>
    </row>
    <row r="180" spans="1:9" ht="15" customHeight="1" x14ac:dyDescent="0.25">
      <c r="A180" s="836"/>
      <c r="B180" s="734"/>
      <c r="C180" s="1004">
        <v>3</v>
      </c>
      <c r="D180" s="936" t="s">
        <v>79</v>
      </c>
      <c r="E180" s="936"/>
      <c r="F180" s="936"/>
      <c r="G180" s="734"/>
      <c r="H180" s="734"/>
      <c r="I180" s="771"/>
    </row>
    <row r="181" spans="1:9" ht="15" customHeight="1" x14ac:dyDescent="0.25">
      <c r="A181" s="836"/>
      <c r="B181" s="806"/>
      <c r="C181" s="1557">
        <v>4</v>
      </c>
      <c r="D181" s="959" t="s">
        <v>326</v>
      </c>
      <c r="E181" s="959"/>
      <c r="F181" s="959"/>
      <c r="G181" s="734"/>
      <c r="H181" s="734"/>
      <c r="I181" s="771"/>
    </row>
    <row r="182" spans="1:9" ht="15" customHeight="1" x14ac:dyDescent="0.25">
      <c r="A182" s="836"/>
      <c r="B182" s="999" t="s">
        <v>790</v>
      </c>
      <c r="C182" s="1556">
        <v>1</v>
      </c>
      <c r="D182" s="936" t="s">
        <v>785</v>
      </c>
      <c r="E182" s="1578"/>
      <c r="F182" s="1578"/>
      <c r="G182" s="734"/>
      <c r="H182" s="734"/>
      <c r="I182" s="771"/>
    </row>
    <row r="183" spans="1:9" ht="15" customHeight="1" x14ac:dyDescent="0.25">
      <c r="A183" s="836"/>
      <c r="B183" s="806"/>
      <c r="C183" s="1007">
        <v>2</v>
      </c>
      <c r="D183" s="1002" t="s">
        <v>786</v>
      </c>
      <c r="E183" s="1002"/>
      <c r="F183" s="1002"/>
      <c r="G183" s="734"/>
      <c r="H183" s="734"/>
      <c r="I183" s="771"/>
    </row>
    <row r="184" spans="1:9" ht="15" customHeight="1" x14ac:dyDescent="0.25">
      <c r="A184" s="836"/>
      <c r="B184" s="999" t="s">
        <v>789</v>
      </c>
      <c r="C184" s="1556">
        <v>1</v>
      </c>
      <c r="D184" s="1578" t="s">
        <v>787</v>
      </c>
      <c r="E184" s="1578"/>
      <c r="F184" s="1578"/>
      <c r="G184" s="734"/>
      <c r="H184" s="734"/>
      <c r="I184" s="771"/>
    </row>
    <row r="185" spans="1:9" ht="15" customHeight="1" x14ac:dyDescent="0.25">
      <c r="A185" s="836"/>
      <c r="B185" s="806"/>
      <c r="C185" s="1557">
        <v>2</v>
      </c>
      <c r="D185" s="959" t="s">
        <v>788</v>
      </c>
      <c r="E185" s="959"/>
      <c r="F185" s="959"/>
      <c r="G185" s="734"/>
      <c r="H185" s="734"/>
      <c r="I185" s="771"/>
    </row>
    <row r="186" spans="1:9" ht="15" customHeight="1" x14ac:dyDescent="0.25">
      <c r="A186" s="836"/>
      <c r="B186" s="999" t="s">
        <v>121</v>
      </c>
      <c r="C186" s="1556">
        <v>0</v>
      </c>
      <c r="D186" s="936" t="s">
        <v>319</v>
      </c>
      <c r="E186" s="1578"/>
      <c r="F186" s="1578"/>
      <c r="G186" s="734"/>
      <c r="H186" s="734"/>
      <c r="I186" s="771"/>
    </row>
    <row r="187" spans="1:9" ht="15" customHeight="1" x14ac:dyDescent="0.25">
      <c r="A187" s="836"/>
      <c r="B187" s="773"/>
      <c r="C187" s="1004">
        <v>1</v>
      </c>
      <c r="D187" s="936" t="s">
        <v>320</v>
      </c>
      <c r="E187" s="936"/>
      <c r="F187" s="936"/>
      <c r="G187" s="734"/>
      <c r="H187" s="734"/>
      <c r="I187" s="771"/>
    </row>
    <row r="188" spans="1:9" ht="15" customHeight="1" x14ac:dyDescent="0.25">
      <c r="A188" s="836"/>
      <c r="B188" s="734"/>
      <c r="C188" s="1004">
        <v>2</v>
      </c>
      <c r="D188" s="936" t="s">
        <v>321</v>
      </c>
      <c r="E188" s="936"/>
      <c r="F188" s="936"/>
      <c r="G188" s="734"/>
      <c r="H188" s="734"/>
      <c r="I188" s="771"/>
    </row>
    <row r="189" spans="1:9" ht="15" customHeight="1" x14ac:dyDescent="0.25">
      <c r="A189" s="836"/>
      <c r="B189" s="734"/>
      <c r="C189" s="1004">
        <v>3</v>
      </c>
      <c r="D189" s="959" t="s">
        <v>322</v>
      </c>
      <c r="E189" s="936"/>
      <c r="F189" s="936"/>
      <c r="G189" s="734"/>
      <c r="H189" s="734"/>
      <c r="I189" s="771"/>
    </row>
    <row r="190" spans="1:9" ht="15" customHeight="1" x14ac:dyDescent="0.25">
      <c r="A190" s="836"/>
      <c r="B190" s="999" t="s">
        <v>307</v>
      </c>
      <c r="C190" s="1556">
        <v>1</v>
      </c>
      <c r="D190" s="1578" t="s">
        <v>111</v>
      </c>
      <c r="E190" s="1578"/>
      <c r="F190" s="1578"/>
      <c r="G190" s="734"/>
      <c r="H190" s="734"/>
      <c r="I190" s="771"/>
    </row>
    <row r="191" spans="1:9" ht="15" customHeight="1" x14ac:dyDescent="0.25">
      <c r="A191" s="836"/>
      <c r="B191" s="806"/>
      <c r="C191" s="1557">
        <v>2</v>
      </c>
      <c r="D191" s="959" t="s">
        <v>308</v>
      </c>
      <c r="E191" s="959"/>
      <c r="F191" s="959"/>
      <c r="G191" s="734"/>
      <c r="H191" s="734"/>
      <c r="I191" s="771"/>
    </row>
    <row r="192" spans="1:9" ht="15" customHeight="1" x14ac:dyDescent="0.25">
      <c r="A192" s="836"/>
      <c r="B192" s="999" t="s">
        <v>35</v>
      </c>
      <c r="C192" s="1556">
        <v>0</v>
      </c>
      <c r="D192" s="936" t="s">
        <v>36</v>
      </c>
      <c r="E192" s="1578"/>
      <c r="F192" s="1578"/>
      <c r="G192" s="734"/>
      <c r="H192" s="734"/>
      <c r="I192" s="771"/>
    </row>
    <row r="193" spans="1:9" ht="15" customHeight="1" x14ac:dyDescent="0.25">
      <c r="A193" s="772"/>
      <c r="B193" s="773"/>
      <c r="C193" s="1004">
        <v>1</v>
      </c>
      <c r="D193" s="936" t="s">
        <v>37</v>
      </c>
      <c r="E193" s="936"/>
      <c r="F193" s="936"/>
      <c r="G193" s="732"/>
      <c r="H193" s="732"/>
      <c r="I193" s="979"/>
    </row>
    <row r="194" spans="1:9" ht="15" customHeight="1" x14ac:dyDescent="0.25">
      <c r="A194" s="772"/>
      <c r="B194" s="734"/>
      <c r="C194" s="1004">
        <v>2</v>
      </c>
      <c r="D194" s="959" t="s">
        <v>38</v>
      </c>
      <c r="E194" s="936"/>
      <c r="F194" s="936"/>
      <c r="G194" s="732"/>
      <c r="H194" s="732"/>
      <c r="I194" s="979"/>
    </row>
    <row r="195" spans="1:9" ht="15" customHeight="1" x14ac:dyDescent="0.25">
      <c r="A195" s="772"/>
      <c r="B195" s="1006" t="s">
        <v>107</v>
      </c>
      <c r="C195" s="1556">
        <v>1</v>
      </c>
      <c r="D195" s="1578" t="s">
        <v>400</v>
      </c>
      <c r="E195" s="1578"/>
      <c r="F195" s="1578"/>
      <c r="G195" s="732"/>
      <c r="H195" s="732"/>
      <c r="I195" s="979"/>
    </row>
    <row r="196" spans="1:9" ht="15" customHeight="1" x14ac:dyDescent="0.25">
      <c r="A196" s="772"/>
      <c r="B196" s="734"/>
      <c r="C196" s="1004">
        <v>2</v>
      </c>
      <c r="D196" s="936" t="s">
        <v>399</v>
      </c>
      <c r="E196" s="936"/>
      <c r="F196" s="936"/>
      <c r="G196" s="732"/>
      <c r="H196" s="732"/>
      <c r="I196" s="979"/>
    </row>
    <row r="197" spans="1:9" ht="15" customHeight="1" x14ac:dyDescent="0.25">
      <c r="A197" s="772"/>
      <c r="B197" s="806"/>
      <c r="C197" s="1557">
        <v>3</v>
      </c>
      <c r="D197" s="959" t="s">
        <v>401</v>
      </c>
      <c r="E197" s="959"/>
      <c r="F197" s="959"/>
      <c r="G197" s="732"/>
      <c r="H197" s="732"/>
      <c r="I197" s="979"/>
    </row>
    <row r="198" spans="1:9" ht="15" customHeight="1" x14ac:dyDescent="0.25">
      <c r="A198" s="772"/>
      <c r="B198" s="773" t="s">
        <v>25</v>
      </c>
      <c r="C198" s="1556">
        <v>1</v>
      </c>
      <c r="D198" s="1578"/>
      <c r="E198" s="1578"/>
      <c r="F198" s="1578"/>
      <c r="G198" s="732"/>
      <c r="H198" s="732"/>
      <c r="I198" s="979"/>
    </row>
    <row r="199" spans="1:9" ht="15" customHeight="1" x14ac:dyDescent="0.25">
      <c r="A199" s="772"/>
      <c r="B199" s="773"/>
      <c r="C199" s="1004">
        <v>2</v>
      </c>
      <c r="D199" s="936"/>
      <c r="E199" s="936"/>
      <c r="F199" s="936"/>
      <c r="G199" s="732"/>
      <c r="H199" s="732"/>
      <c r="I199" s="979"/>
    </row>
    <row r="200" spans="1:9" ht="15" customHeight="1" x14ac:dyDescent="0.25">
      <c r="A200" s="772"/>
      <c r="B200" s="773"/>
      <c r="C200" s="1004">
        <v>4</v>
      </c>
      <c r="D200" s="936"/>
      <c r="E200" s="936"/>
      <c r="F200" s="936"/>
      <c r="G200" s="732"/>
      <c r="H200" s="732"/>
      <c r="I200" s="979"/>
    </row>
    <row r="201" spans="1:9" ht="15" customHeight="1" x14ac:dyDescent="0.25">
      <c r="A201" s="772"/>
      <c r="B201" s="773"/>
      <c r="C201" s="1004">
        <v>5</v>
      </c>
      <c r="D201" s="936"/>
      <c r="E201" s="936"/>
      <c r="F201" s="936"/>
      <c r="G201" s="732"/>
      <c r="H201" s="732"/>
      <c r="I201" s="979"/>
    </row>
    <row r="202" spans="1:9" ht="15" customHeight="1" x14ac:dyDescent="0.25">
      <c r="A202" s="772"/>
      <c r="B202" s="734"/>
      <c r="C202" s="1004">
        <v>6</v>
      </c>
      <c r="D202" s="936"/>
      <c r="E202" s="936"/>
      <c r="F202" s="936"/>
      <c r="G202" s="732"/>
      <c r="H202" s="732"/>
      <c r="I202" s="979"/>
    </row>
    <row r="203" spans="1:9" ht="15" customHeight="1" x14ac:dyDescent="0.25">
      <c r="A203" s="772"/>
      <c r="B203" s="734"/>
      <c r="C203" s="1004">
        <v>7</v>
      </c>
      <c r="D203" s="936"/>
      <c r="E203" s="936"/>
      <c r="F203" s="936"/>
      <c r="G203" s="732"/>
      <c r="H203" s="732"/>
      <c r="I203" s="979"/>
    </row>
    <row r="204" spans="1:9" ht="15" customHeight="1" x14ac:dyDescent="0.25">
      <c r="A204" s="772"/>
      <c r="B204" s="806"/>
      <c r="C204" s="1557">
        <v>8</v>
      </c>
      <c r="D204" s="959"/>
      <c r="E204" s="959"/>
      <c r="F204" s="959"/>
      <c r="G204" s="732"/>
      <c r="H204" s="732"/>
      <c r="I204" s="979"/>
    </row>
    <row r="205" spans="1:9" ht="15" customHeight="1" x14ac:dyDescent="0.25">
      <c r="A205" s="836"/>
      <c r="B205" s="999" t="s">
        <v>621</v>
      </c>
      <c r="C205" s="1556">
        <v>1</v>
      </c>
      <c r="D205" s="961" t="s">
        <v>647</v>
      </c>
      <c r="E205" s="1578"/>
      <c r="F205" s="1578"/>
      <c r="G205" s="734"/>
      <c r="H205" s="734"/>
      <c r="I205" s="771"/>
    </row>
    <row r="206" spans="1:9" ht="15" customHeight="1" x14ac:dyDescent="0.25">
      <c r="A206" s="836"/>
      <c r="B206" s="773"/>
      <c r="C206" s="1008">
        <v>2</v>
      </c>
      <c r="D206" s="936" t="s">
        <v>708</v>
      </c>
      <c r="E206" s="961"/>
      <c r="F206" s="961"/>
      <c r="G206" s="734"/>
      <c r="H206" s="734"/>
      <c r="I206" s="771"/>
    </row>
    <row r="207" spans="1:9" ht="15" customHeight="1" x14ac:dyDescent="0.25">
      <c r="A207" s="836"/>
      <c r="B207" s="773"/>
      <c r="C207" s="1004">
        <v>3</v>
      </c>
      <c r="D207" s="936" t="s">
        <v>648</v>
      </c>
      <c r="E207" s="936"/>
      <c r="F207" s="936"/>
      <c r="G207" s="734"/>
      <c r="H207" s="734"/>
      <c r="I207" s="771"/>
    </row>
    <row r="208" spans="1:9" ht="15" customHeight="1" x14ac:dyDescent="0.25">
      <c r="A208" s="836"/>
      <c r="B208" s="734"/>
      <c r="C208" s="1008">
        <v>4</v>
      </c>
      <c r="D208" s="936" t="s">
        <v>707</v>
      </c>
      <c r="E208" s="936"/>
      <c r="F208" s="936"/>
      <c r="G208" s="734"/>
      <c r="H208" s="734"/>
      <c r="I208" s="771"/>
    </row>
    <row r="209" spans="1:9" ht="15" customHeight="1" x14ac:dyDescent="0.25">
      <c r="A209" s="836"/>
      <c r="B209" s="734"/>
      <c r="C209" s="1004">
        <v>5</v>
      </c>
      <c r="D209" s="936" t="s">
        <v>649</v>
      </c>
      <c r="E209" s="936"/>
      <c r="F209" s="936"/>
      <c r="G209" s="734"/>
      <c r="H209" s="734"/>
      <c r="I209" s="771"/>
    </row>
    <row r="210" spans="1:9" ht="15" customHeight="1" x14ac:dyDescent="0.25">
      <c r="A210" s="836"/>
      <c r="B210" s="734"/>
      <c r="C210" s="1008">
        <v>6</v>
      </c>
      <c r="D210" s="959" t="s">
        <v>62</v>
      </c>
      <c r="E210" s="936"/>
      <c r="F210" s="936"/>
      <c r="G210" s="734"/>
      <c r="H210" s="734"/>
      <c r="I210" s="771"/>
    </row>
    <row r="211" spans="1:9" ht="15" customHeight="1" x14ac:dyDescent="0.25">
      <c r="A211" s="772"/>
      <c r="B211" s="999" t="s">
        <v>652</v>
      </c>
      <c r="C211" s="1556">
        <v>1</v>
      </c>
      <c r="D211" s="1578" t="s">
        <v>653</v>
      </c>
      <c r="E211" s="1578"/>
      <c r="F211" s="1578"/>
      <c r="G211" s="732"/>
      <c r="H211" s="732"/>
      <c r="I211" s="979"/>
    </row>
    <row r="212" spans="1:9" ht="15" customHeight="1" x14ac:dyDescent="0.25">
      <c r="A212" s="772"/>
      <c r="B212" s="732"/>
      <c r="C212" s="1557">
        <v>2</v>
      </c>
      <c r="D212" s="959" t="s">
        <v>654</v>
      </c>
      <c r="E212" s="959"/>
      <c r="F212" s="959"/>
      <c r="G212" s="732"/>
      <c r="H212" s="732"/>
      <c r="I212" s="979"/>
    </row>
    <row r="213" spans="1:9" ht="15" customHeight="1" x14ac:dyDescent="0.25">
      <c r="A213" s="836"/>
      <c r="B213" s="999" t="s">
        <v>651</v>
      </c>
      <c r="C213" s="1556">
        <v>1</v>
      </c>
      <c r="D213" s="1578" t="s">
        <v>276</v>
      </c>
      <c r="E213" s="1578"/>
      <c r="F213" s="1578"/>
      <c r="G213" s="734"/>
      <c r="H213" s="734"/>
      <c r="I213" s="771"/>
    </row>
    <row r="214" spans="1:9" ht="15" customHeight="1" x14ac:dyDescent="0.25">
      <c r="A214" s="836"/>
      <c r="B214" s="773"/>
      <c r="C214" s="1004">
        <v>2</v>
      </c>
      <c r="D214" s="936" t="s">
        <v>709</v>
      </c>
      <c r="E214" s="936"/>
      <c r="F214" s="936"/>
      <c r="G214" s="734"/>
      <c r="H214" s="734"/>
      <c r="I214" s="771"/>
    </row>
    <row r="215" spans="1:9" ht="15" customHeight="1" x14ac:dyDescent="0.25">
      <c r="A215" s="836"/>
      <c r="B215" s="734"/>
      <c r="C215" s="1004">
        <v>3</v>
      </c>
      <c r="D215" s="936" t="s">
        <v>710</v>
      </c>
      <c r="E215" s="936"/>
      <c r="F215" s="936"/>
      <c r="G215" s="734"/>
      <c r="H215" s="734"/>
      <c r="I215" s="771"/>
    </row>
    <row r="216" spans="1:9" ht="15" customHeight="1" x14ac:dyDescent="0.25">
      <c r="A216" s="836"/>
      <c r="B216" s="734"/>
      <c r="C216" s="1004">
        <v>4</v>
      </c>
      <c r="D216" s="936" t="s">
        <v>655</v>
      </c>
      <c r="E216" s="936"/>
      <c r="F216" s="936"/>
      <c r="G216" s="734"/>
      <c r="H216" s="734"/>
      <c r="I216" s="771"/>
    </row>
    <row r="217" spans="1:9" ht="15" customHeight="1" x14ac:dyDescent="0.25">
      <c r="A217" s="836"/>
      <c r="B217" s="806"/>
      <c r="C217" s="1557">
        <v>5</v>
      </c>
      <c r="D217" s="959" t="s">
        <v>711</v>
      </c>
      <c r="E217" s="959"/>
      <c r="F217" s="959"/>
      <c r="G217" s="734"/>
      <c r="H217" s="734"/>
      <c r="I217" s="771"/>
    </row>
    <row r="218" spans="1:9" ht="15" customHeight="1" x14ac:dyDescent="0.25">
      <c r="A218" s="772"/>
      <c r="B218" s="999" t="s">
        <v>760</v>
      </c>
      <c r="C218" s="740">
        <v>0</v>
      </c>
      <c r="D218" s="809"/>
      <c r="E218" s="809"/>
      <c r="F218" s="809"/>
      <c r="G218" s="732"/>
      <c r="H218" s="732"/>
      <c r="I218" s="979"/>
    </row>
    <row r="219" spans="1:9" ht="15" customHeight="1" x14ac:dyDescent="0.25">
      <c r="A219" s="772"/>
      <c r="B219" s="773"/>
      <c r="C219" s="1004">
        <v>1</v>
      </c>
      <c r="D219" s="936"/>
      <c r="E219" s="936"/>
      <c r="F219" s="936"/>
      <c r="G219" s="732"/>
      <c r="H219" s="732"/>
      <c r="I219" s="979"/>
    </row>
    <row r="220" spans="1:9" ht="15" customHeight="1" x14ac:dyDescent="0.25">
      <c r="A220" s="772"/>
      <c r="B220" s="773"/>
      <c r="C220" s="1004">
        <v>2</v>
      </c>
      <c r="D220" s="936"/>
      <c r="E220" s="936"/>
      <c r="F220" s="936"/>
      <c r="G220" s="732"/>
      <c r="H220" s="732"/>
      <c r="I220" s="979"/>
    </row>
    <row r="221" spans="1:9" ht="15" customHeight="1" x14ac:dyDescent="0.25">
      <c r="A221" s="772"/>
      <c r="B221" s="773"/>
      <c r="C221" s="1004">
        <v>3</v>
      </c>
      <c r="D221" s="936"/>
      <c r="E221" s="936"/>
      <c r="F221" s="936"/>
      <c r="G221" s="732"/>
      <c r="H221" s="732"/>
      <c r="I221" s="979"/>
    </row>
    <row r="222" spans="1:9" ht="15" customHeight="1" x14ac:dyDescent="0.25">
      <c r="A222" s="772"/>
      <c r="B222" s="773"/>
      <c r="C222" s="1004">
        <v>4</v>
      </c>
      <c r="D222" s="936"/>
      <c r="E222" s="936"/>
      <c r="F222" s="936"/>
      <c r="G222" s="732"/>
      <c r="H222" s="732"/>
      <c r="I222" s="979"/>
    </row>
    <row r="223" spans="1:9" ht="15" customHeight="1" x14ac:dyDescent="0.25">
      <c r="A223" s="772"/>
      <c r="B223" s="773"/>
      <c r="C223" s="1004">
        <v>5</v>
      </c>
      <c r="D223" s="936"/>
      <c r="E223" s="936"/>
      <c r="F223" s="936"/>
      <c r="G223" s="732"/>
      <c r="H223" s="732"/>
      <c r="I223" s="979"/>
    </row>
    <row r="224" spans="1:9" ht="15" customHeight="1" x14ac:dyDescent="0.25">
      <c r="A224" s="772"/>
      <c r="B224" s="773"/>
      <c r="C224" s="1004">
        <v>6</v>
      </c>
      <c r="D224" s="936"/>
      <c r="E224" s="936"/>
      <c r="F224" s="936"/>
      <c r="G224" s="732"/>
      <c r="H224" s="732"/>
      <c r="I224" s="979"/>
    </row>
    <row r="225" spans="1:9" ht="15" customHeight="1" x14ac:dyDescent="0.25">
      <c r="A225" s="772"/>
      <c r="B225" s="773"/>
      <c r="C225" s="1004">
        <v>7</v>
      </c>
      <c r="D225" s="936"/>
      <c r="E225" s="936"/>
      <c r="F225" s="936"/>
      <c r="G225" s="732"/>
      <c r="H225" s="732"/>
      <c r="I225" s="979"/>
    </row>
    <row r="226" spans="1:9" ht="15" customHeight="1" x14ac:dyDescent="0.25">
      <c r="A226" s="772"/>
      <c r="B226" s="773"/>
      <c r="C226" s="1004">
        <v>8</v>
      </c>
      <c r="D226" s="936"/>
      <c r="E226" s="936"/>
      <c r="F226" s="936"/>
      <c r="G226" s="732"/>
      <c r="H226" s="732"/>
      <c r="I226" s="979"/>
    </row>
    <row r="227" spans="1:9" ht="15" customHeight="1" x14ac:dyDescent="0.25">
      <c r="A227" s="772"/>
      <c r="B227" s="773"/>
      <c r="C227" s="1004">
        <v>9</v>
      </c>
      <c r="D227" s="936"/>
      <c r="E227" s="936"/>
      <c r="F227" s="936"/>
      <c r="G227" s="732"/>
      <c r="H227" s="732"/>
      <c r="I227" s="979"/>
    </row>
    <row r="228" spans="1:9" ht="15" customHeight="1" x14ac:dyDescent="0.25">
      <c r="A228" s="772"/>
      <c r="B228" s="773"/>
      <c r="C228" s="1004">
        <v>10</v>
      </c>
      <c r="D228" s="936"/>
      <c r="E228" s="936"/>
      <c r="F228" s="936"/>
      <c r="G228" s="732"/>
      <c r="H228" s="732"/>
      <c r="I228" s="979"/>
    </row>
    <row r="229" spans="1:9" ht="15" customHeight="1" x14ac:dyDescent="0.25">
      <c r="A229" s="772"/>
      <c r="B229" s="773"/>
      <c r="C229" s="1004">
        <v>11</v>
      </c>
      <c r="D229" s="936"/>
      <c r="E229" s="936"/>
      <c r="F229" s="936"/>
      <c r="G229" s="732"/>
      <c r="H229" s="732"/>
      <c r="I229" s="979"/>
    </row>
    <row r="230" spans="1:9" ht="15" customHeight="1" x14ac:dyDescent="0.25">
      <c r="A230" s="772"/>
      <c r="B230" s="773"/>
      <c r="C230" s="1004">
        <v>12</v>
      </c>
      <c r="D230" s="936"/>
      <c r="E230" s="936"/>
      <c r="F230" s="936"/>
      <c r="G230" s="732"/>
      <c r="H230" s="732"/>
      <c r="I230" s="979"/>
    </row>
    <row r="231" spans="1:9" ht="15" customHeight="1" x14ac:dyDescent="0.25">
      <c r="A231" s="772"/>
      <c r="B231" s="773"/>
      <c r="C231" s="1004">
        <v>13</v>
      </c>
      <c r="D231" s="936"/>
      <c r="E231" s="936"/>
      <c r="F231" s="936"/>
      <c r="G231" s="732"/>
      <c r="H231" s="732"/>
      <c r="I231" s="979"/>
    </row>
    <row r="232" spans="1:9" ht="15" customHeight="1" x14ac:dyDescent="0.25">
      <c r="A232" s="772"/>
      <c r="B232" s="773"/>
      <c r="C232" s="1004">
        <v>14</v>
      </c>
      <c r="D232" s="936"/>
      <c r="E232" s="936"/>
      <c r="F232" s="936"/>
      <c r="G232" s="732"/>
      <c r="H232" s="732"/>
      <c r="I232" s="979"/>
    </row>
    <row r="233" spans="1:9" ht="15" customHeight="1" x14ac:dyDescent="0.25">
      <c r="A233" s="772"/>
      <c r="B233" s="773"/>
      <c r="C233" s="1004">
        <v>15</v>
      </c>
      <c r="D233" s="936"/>
      <c r="E233" s="936"/>
      <c r="F233" s="936"/>
      <c r="G233" s="732"/>
      <c r="H233" s="732"/>
      <c r="I233" s="979"/>
    </row>
    <row r="234" spans="1:9" ht="15" customHeight="1" x14ac:dyDescent="0.25">
      <c r="A234" s="772"/>
      <c r="B234" s="773"/>
      <c r="C234" s="1004">
        <v>16</v>
      </c>
      <c r="D234" s="936"/>
      <c r="E234" s="936"/>
      <c r="F234" s="936"/>
      <c r="G234" s="732"/>
      <c r="H234" s="732"/>
      <c r="I234" s="979"/>
    </row>
    <row r="235" spans="1:9" ht="15" customHeight="1" x14ac:dyDescent="0.25">
      <c r="A235" s="772"/>
      <c r="B235" s="773"/>
      <c r="C235" s="1004">
        <v>17</v>
      </c>
      <c r="D235" s="936"/>
      <c r="E235" s="936"/>
      <c r="F235" s="936"/>
      <c r="G235" s="732"/>
      <c r="H235" s="732"/>
      <c r="I235" s="979"/>
    </row>
    <row r="236" spans="1:9" ht="15" customHeight="1" x14ac:dyDescent="0.25">
      <c r="A236" s="772"/>
      <c r="B236" s="773"/>
      <c r="C236" s="1004">
        <v>18</v>
      </c>
      <c r="D236" s="936"/>
      <c r="E236" s="936"/>
      <c r="F236" s="936"/>
      <c r="G236" s="732"/>
      <c r="H236" s="732"/>
      <c r="I236" s="979"/>
    </row>
    <row r="237" spans="1:9" ht="15" customHeight="1" x14ac:dyDescent="0.25">
      <c r="A237" s="772"/>
      <c r="B237" s="773"/>
      <c r="C237" s="1004">
        <v>19</v>
      </c>
      <c r="D237" s="936"/>
      <c r="E237" s="936"/>
      <c r="F237" s="936"/>
      <c r="G237" s="732"/>
      <c r="H237" s="732"/>
      <c r="I237" s="979"/>
    </row>
    <row r="238" spans="1:9" ht="15" customHeight="1" x14ac:dyDescent="0.25">
      <c r="A238" s="772"/>
      <c r="B238" s="773"/>
      <c r="C238" s="1004">
        <v>20</v>
      </c>
      <c r="D238" s="936"/>
      <c r="E238" s="936"/>
      <c r="F238" s="936"/>
      <c r="G238" s="732"/>
      <c r="H238" s="732"/>
      <c r="I238" s="979"/>
    </row>
    <row r="239" spans="1:9" ht="15" customHeight="1" x14ac:dyDescent="0.25">
      <c r="A239" s="772"/>
      <c r="B239" s="773"/>
      <c r="C239" s="1004">
        <v>21</v>
      </c>
      <c r="D239" s="936"/>
      <c r="E239" s="936"/>
      <c r="F239" s="936"/>
      <c r="G239" s="732"/>
      <c r="H239" s="732"/>
      <c r="I239" s="979"/>
    </row>
    <row r="240" spans="1:9" ht="15" customHeight="1" x14ac:dyDescent="0.25">
      <c r="A240" s="772"/>
      <c r="B240" s="773"/>
      <c r="C240" s="1004">
        <v>22</v>
      </c>
      <c r="D240" s="936"/>
      <c r="E240" s="936"/>
      <c r="F240" s="936"/>
      <c r="G240" s="732"/>
      <c r="H240" s="732"/>
      <c r="I240" s="979"/>
    </row>
    <row r="241" spans="1:9" ht="15" customHeight="1" x14ac:dyDescent="0.25">
      <c r="A241" s="772"/>
      <c r="B241" s="773"/>
      <c r="C241" s="1004">
        <v>23</v>
      </c>
      <c r="D241" s="936"/>
      <c r="E241" s="936"/>
      <c r="F241" s="936"/>
      <c r="G241" s="732"/>
      <c r="H241" s="732"/>
      <c r="I241" s="979"/>
    </row>
    <row r="242" spans="1:9" ht="15" customHeight="1" x14ac:dyDescent="0.25">
      <c r="A242" s="772"/>
      <c r="B242" s="773"/>
      <c r="C242" s="1004">
        <v>24</v>
      </c>
      <c r="D242" s="936"/>
      <c r="E242" s="936"/>
      <c r="F242" s="936"/>
      <c r="G242" s="732"/>
      <c r="H242" s="732"/>
      <c r="I242" s="979"/>
    </row>
    <row r="243" spans="1:9" ht="15" customHeight="1" x14ac:dyDescent="0.25">
      <c r="A243" s="772"/>
      <c r="B243" s="773"/>
      <c r="C243" s="1004">
        <v>25</v>
      </c>
      <c r="D243" s="936"/>
      <c r="E243" s="936"/>
      <c r="F243" s="936"/>
      <c r="G243" s="732"/>
      <c r="H243" s="732"/>
      <c r="I243" s="979"/>
    </row>
    <row r="244" spans="1:9" ht="15" customHeight="1" x14ac:dyDescent="0.25">
      <c r="A244" s="772"/>
      <c r="B244" s="773"/>
      <c r="C244" s="1004">
        <v>26</v>
      </c>
      <c r="D244" s="936"/>
      <c r="E244" s="936"/>
      <c r="F244" s="936"/>
      <c r="G244" s="732"/>
      <c r="H244" s="732"/>
      <c r="I244" s="979"/>
    </row>
    <row r="245" spans="1:9" ht="15" customHeight="1" x14ac:dyDescent="0.25">
      <c r="A245" s="772"/>
      <c r="B245" s="773"/>
      <c r="C245" s="1004">
        <v>27</v>
      </c>
      <c r="D245" s="936"/>
      <c r="E245" s="936"/>
      <c r="F245" s="936"/>
      <c r="G245" s="732"/>
      <c r="H245" s="732"/>
      <c r="I245" s="979"/>
    </row>
    <row r="246" spans="1:9" ht="15" customHeight="1" x14ac:dyDescent="0.25">
      <c r="A246" s="772"/>
      <c r="B246" s="773"/>
      <c r="C246" s="1004">
        <v>28</v>
      </c>
      <c r="D246" s="936"/>
      <c r="E246" s="936"/>
      <c r="F246" s="936"/>
      <c r="G246" s="732"/>
      <c r="H246" s="732"/>
      <c r="I246" s="979"/>
    </row>
    <row r="247" spans="1:9" ht="15" customHeight="1" x14ac:dyDescent="0.25">
      <c r="A247" s="772"/>
      <c r="B247" s="773"/>
      <c r="C247" s="1004">
        <v>29</v>
      </c>
      <c r="D247" s="936"/>
      <c r="E247" s="936"/>
      <c r="F247" s="936"/>
      <c r="G247" s="732"/>
      <c r="H247" s="732"/>
      <c r="I247" s="979"/>
    </row>
    <row r="248" spans="1:9" ht="15" customHeight="1" x14ac:dyDescent="0.25">
      <c r="A248" s="772"/>
      <c r="B248" s="773"/>
      <c r="C248" s="1004">
        <v>30</v>
      </c>
      <c r="D248" s="936"/>
      <c r="E248" s="936"/>
      <c r="F248" s="936"/>
      <c r="G248" s="732"/>
      <c r="H248" s="732"/>
      <c r="I248" s="979"/>
    </row>
    <row r="249" spans="1:9" ht="15" customHeight="1" x14ac:dyDescent="0.25">
      <c r="A249" s="772"/>
      <c r="B249" s="773"/>
      <c r="C249" s="1004">
        <v>31</v>
      </c>
      <c r="D249" s="936"/>
      <c r="E249" s="936"/>
      <c r="F249" s="936"/>
      <c r="G249" s="732"/>
      <c r="H249" s="732"/>
      <c r="I249" s="979"/>
    </row>
    <row r="250" spans="1:9" ht="15" customHeight="1" x14ac:dyDescent="0.25">
      <c r="A250" s="772"/>
      <c r="B250" s="773"/>
      <c r="C250" s="1004">
        <v>32</v>
      </c>
      <c r="D250" s="936"/>
      <c r="E250" s="936"/>
      <c r="F250" s="936"/>
      <c r="G250" s="732"/>
      <c r="H250" s="732"/>
      <c r="I250" s="979"/>
    </row>
    <row r="251" spans="1:9" ht="15" customHeight="1" x14ac:dyDescent="0.25">
      <c r="A251" s="772"/>
      <c r="B251" s="773"/>
      <c r="C251" s="1004">
        <v>33</v>
      </c>
      <c r="D251" s="936"/>
      <c r="E251" s="936"/>
      <c r="F251" s="936"/>
      <c r="G251" s="732"/>
      <c r="H251" s="732"/>
      <c r="I251" s="979"/>
    </row>
    <row r="252" spans="1:9" ht="15" customHeight="1" x14ac:dyDescent="0.25">
      <c r="A252" s="772"/>
      <c r="B252" s="773"/>
      <c r="C252" s="1004">
        <v>34</v>
      </c>
      <c r="D252" s="936"/>
      <c r="E252" s="936"/>
      <c r="F252" s="936"/>
      <c r="G252" s="732"/>
      <c r="H252" s="732"/>
      <c r="I252" s="979"/>
    </row>
    <row r="253" spans="1:9" ht="15" customHeight="1" x14ac:dyDescent="0.25">
      <c r="A253" s="772"/>
      <c r="B253" s="773"/>
      <c r="C253" s="1004">
        <v>35</v>
      </c>
      <c r="D253" s="936"/>
      <c r="E253" s="936"/>
      <c r="F253" s="936"/>
      <c r="G253" s="732"/>
      <c r="H253" s="732"/>
      <c r="I253" s="979"/>
    </row>
    <row r="254" spans="1:9" ht="15" customHeight="1" x14ac:dyDescent="0.25">
      <c r="A254" s="772"/>
      <c r="B254" s="773"/>
      <c r="C254" s="1004">
        <v>36</v>
      </c>
      <c r="D254" s="936"/>
      <c r="E254" s="936"/>
      <c r="F254" s="936"/>
      <c r="G254" s="732"/>
      <c r="H254" s="732"/>
      <c r="I254" s="979"/>
    </row>
    <row r="255" spans="1:9" ht="15" customHeight="1" x14ac:dyDescent="0.25">
      <c r="A255" s="772"/>
      <c r="B255" s="773"/>
      <c r="C255" s="1004">
        <v>37</v>
      </c>
      <c r="D255" s="936"/>
      <c r="E255" s="936"/>
      <c r="F255" s="936"/>
      <c r="G255" s="732"/>
      <c r="H255" s="732"/>
      <c r="I255" s="979"/>
    </row>
    <row r="256" spans="1:9" ht="15" customHeight="1" x14ac:dyDescent="0.25">
      <c r="A256" s="772"/>
      <c r="B256" s="773"/>
      <c r="C256" s="1004">
        <v>38</v>
      </c>
      <c r="D256" s="936"/>
      <c r="E256" s="936"/>
      <c r="F256" s="936"/>
      <c r="G256" s="732"/>
      <c r="H256" s="732"/>
      <c r="I256" s="979"/>
    </row>
    <row r="257" spans="1:9" ht="15" customHeight="1" x14ac:dyDescent="0.25">
      <c r="A257" s="772"/>
      <c r="B257" s="773"/>
      <c r="C257" s="1004">
        <v>39</v>
      </c>
      <c r="D257" s="936"/>
      <c r="E257" s="936"/>
      <c r="F257" s="936"/>
      <c r="G257" s="732"/>
      <c r="H257" s="732"/>
      <c r="I257" s="979"/>
    </row>
    <row r="258" spans="1:9" ht="15" customHeight="1" x14ac:dyDescent="0.25">
      <c r="A258" s="772"/>
      <c r="B258" s="773"/>
      <c r="C258" s="1004">
        <v>40</v>
      </c>
      <c r="D258" s="936"/>
      <c r="E258" s="936"/>
      <c r="F258" s="936"/>
      <c r="G258" s="732"/>
      <c r="H258" s="732"/>
      <c r="I258" s="979"/>
    </row>
    <row r="259" spans="1:9" ht="15" customHeight="1" x14ac:dyDescent="0.25">
      <c r="A259" s="772"/>
      <c r="B259" s="773"/>
      <c r="C259" s="1004">
        <v>41</v>
      </c>
      <c r="D259" s="936"/>
      <c r="E259" s="936"/>
      <c r="F259" s="936"/>
      <c r="G259" s="732"/>
      <c r="H259" s="732"/>
      <c r="I259" s="979"/>
    </row>
    <row r="260" spans="1:9" ht="15" customHeight="1" x14ac:dyDescent="0.25">
      <c r="A260" s="772"/>
      <c r="B260" s="773"/>
      <c r="C260" s="1004">
        <v>42</v>
      </c>
      <c r="D260" s="936"/>
      <c r="E260" s="936"/>
      <c r="F260" s="936"/>
      <c r="G260" s="732"/>
      <c r="H260" s="732"/>
      <c r="I260" s="979"/>
    </row>
    <row r="261" spans="1:9" ht="15" customHeight="1" x14ac:dyDescent="0.25">
      <c r="A261" s="772"/>
      <c r="B261" s="773"/>
      <c r="C261" s="1004">
        <v>43</v>
      </c>
      <c r="D261" s="936"/>
      <c r="E261" s="936"/>
      <c r="F261" s="936"/>
      <c r="G261" s="732"/>
      <c r="H261" s="732"/>
      <c r="I261" s="979"/>
    </row>
    <row r="262" spans="1:9" ht="15" customHeight="1" x14ac:dyDescent="0.25">
      <c r="A262" s="772"/>
      <c r="B262" s="773"/>
      <c r="C262" s="1004">
        <v>44</v>
      </c>
      <c r="D262" s="936"/>
      <c r="E262" s="936"/>
      <c r="F262" s="936"/>
      <c r="G262" s="732"/>
      <c r="H262" s="732"/>
      <c r="I262" s="979"/>
    </row>
    <row r="263" spans="1:9" ht="15" customHeight="1" x14ac:dyDescent="0.25">
      <c r="A263" s="772"/>
      <c r="B263" s="773"/>
      <c r="C263" s="1004">
        <v>45</v>
      </c>
      <c r="D263" s="936"/>
      <c r="E263" s="936"/>
      <c r="F263" s="936"/>
      <c r="G263" s="732"/>
      <c r="H263" s="732"/>
      <c r="I263" s="979"/>
    </row>
    <row r="264" spans="1:9" ht="15" customHeight="1" x14ac:dyDescent="0.25">
      <c r="A264" s="772"/>
      <c r="B264" s="773"/>
      <c r="C264" s="1004">
        <v>46</v>
      </c>
      <c r="D264" s="936"/>
      <c r="E264" s="936"/>
      <c r="F264" s="936"/>
      <c r="G264" s="732"/>
      <c r="H264" s="732"/>
      <c r="I264" s="979"/>
    </row>
    <row r="265" spans="1:9" ht="15" customHeight="1" x14ac:dyDescent="0.25">
      <c r="A265" s="772"/>
      <c r="B265" s="773"/>
      <c r="C265" s="1004">
        <v>47</v>
      </c>
      <c r="D265" s="936"/>
      <c r="E265" s="936"/>
      <c r="F265" s="936"/>
      <c r="G265" s="732"/>
      <c r="H265" s="732"/>
      <c r="I265" s="979"/>
    </row>
    <row r="266" spans="1:9" ht="15" customHeight="1" x14ac:dyDescent="0.25">
      <c r="A266" s="772"/>
      <c r="B266" s="773"/>
      <c r="C266" s="1004">
        <v>48</v>
      </c>
      <c r="D266" s="936"/>
      <c r="E266" s="936"/>
      <c r="F266" s="936"/>
      <c r="G266" s="732"/>
      <c r="H266" s="732"/>
      <c r="I266" s="979"/>
    </row>
    <row r="267" spans="1:9" ht="15" customHeight="1" x14ac:dyDescent="0.25">
      <c r="A267" s="772"/>
      <c r="B267" s="773"/>
      <c r="C267" s="1004">
        <v>49</v>
      </c>
      <c r="D267" s="936"/>
      <c r="E267" s="936"/>
      <c r="F267" s="936"/>
      <c r="G267" s="732"/>
      <c r="H267" s="732"/>
      <c r="I267" s="979"/>
    </row>
    <row r="268" spans="1:9" ht="15" customHeight="1" x14ac:dyDescent="0.25">
      <c r="A268" s="772"/>
      <c r="B268" s="773"/>
      <c r="C268" s="1004">
        <v>50</v>
      </c>
      <c r="D268" s="936"/>
      <c r="E268" s="936"/>
      <c r="F268" s="936"/>
      <c r="G268" s="732"/>
      <c r="H268" s="732"/>
      <c r="I268" s="979"/>
    </row>
    <row r="269" spans="1:9" ht="15" customHeight="1" x14ac:dyDescent="0.25">
      <c r="A269" s="772"/>
      <c r="B269" s="773"/>
      <c r="C269" s="1004">
        <v>51</v>
      </c>
      <c r="D269" s="936"/>
      <c r="E269" s="936"/>
      <c r="F269" s="936"/>
      <c r="G269" s="732"/>
      <c r="H269" s="732"/>
      <c r="I269" s="979"/>
    </row>
    <row r="270" spans="1:9" ht="15" customHeight="1" x14ac:dyDescent="0.25">
      <c r="A270" s="772"/>
      <c r="B270" s="773"/>
      <c r="C270" s="1004">
        <v>52</v>
      </c>
      <c r="D270" s="936"/>
      <c r="E270" s="936"/>
      <c r="F270" s="936"/>
      <c r="G270" s="732"/>
      <c r="H270" s="732"/>
      <c r="I270" s="979"/>
    </row>
    <row r="271" spans="1:9" ht="15" customHeight="1" x14ac:dyDescent="0.25">
      <c r="A271" s="772"/>
      <c r="B271" s="773"/>
      <c r="C271" s="1004">
        <v>53</v>
      </c>
      <c r="D271" s="936"/>
      <c r="E271" s="936"/>
      <c r="F271" s="936"/>
      <c r="G271" s="732"/>
      <c r="H271" s="732"/>
      <c r="I271" s="979"/>
    </row>
    <row r="272" spans="1:9" ht="15" customHeight="1" x14ac:dyDescent="0.25">
      <c r="A272" s="772"/>
      <c r="B272" s="773"/>
      <c r="C272" s="1004">
        <v>54</v>
      </c>
      <c r="D272" s="936"/>
      <c r="E272" s="936"/>
      <c r="F272" s="936"/>
      <c r="G272" s="732"/>
      <c r="H272" s="732"/>
      <c r="I272" s="979"/>
    </row>
    <row r="273" spans="1:9" ht="15" customHeight="1" x14ac:dyDescent="0.25">
      <c r="A273" s="772"/>
      <c r="B273" s="773"/>
      <c r="C273" s="1004">
        <v>55</v>
      </c>
      <c r="D273" s="936"/>
      <c r="E273" s="936"/>
      <c r="F273" s="936"/>
      <c r="G273" s="732"/>
      <c r="H273" s="732"/>
      <c r="I273" s="979"/>
    </row>
    <row r="274" spans="1:9" ht="15" customHeight="1" x14ac:dyDescent="0.25">
      <c r="A274" s="772"/>
      <c r="B274" s="773"/>
      <c r="C274" s="1004">
        <v>56</v>
      </c>
      <c r="D274" s="936"/>
      <c r="E274" s="936"/>
      <c r="F274" s="936"/>
      <c r="G274" s="732"/>
      <c r="H274" s="732"/>
      <c r="I274" s="979"/>
    </row>
    <row r="275" spans="1:9" ht="15" customHeight="1" x14ac:dyDescent="0.25">
      <c r="A275" s="772"/>
      <c r="B275" s="773"/>
      <c r="C275" s="1004">
        <v>57</v>
      </c>
      <c r="D275" s="936"/>
      <c r="E275" s="936"/>
      <c r="F275" s="936"/>
      <c r="G275" s="732"/>
      <c r="H275" s="732"/>
      <c r="I275" s="979"/>
    </row>
    <row r="276" spans="1:9" ht="15" customHeight="1" x14ac:dyDescent="0.25">
      <c r="A276" s="772"/>
      <c r="B276" s="773"/>
      <c r="C276" s="1004">
        <v>58</v>
      </c>
      <c r="D276" s="936"/>
      <c r="E276" s="936"/>
      <c r="F276" s="936"/>
      <c r="G276" s="732"/>
      <c r="H276" s="732"/>
      <c r="I276" s="979"/>
    </row>
    <row r="277" spans="1:9" ht="15" customHeight="1" x14ac:dyDescent="0.25">
      <c r="A277" s="772"/>
      <c r="B277" s="773"/>
      <c r="C277" s="1004">
        <v>59</v>
      </c>
      <c r="D277" s="936"/>
      <c r="E277" s="936"/>
      <c r="F277" s="936"/>
      <c r="G277" s="732"/>
      <c r="H277" s="732"/>
      <c r="I277" s="979"/>
    </row>
    <row r="278" spans="1:9" ht="15" customHeight="1" x14ac:dyDescent="0.25">
      <c r="A278" s="772"/>
      <c r="B278" s="773"/>
      <c r="C278" s="1004">
        <v>60</v>
      </c>
      <c r="D278" s="936"/>
      <c r="E278" s="936"/>
      <c r="F278" s="936"/>
      <c r="G278" s="732"/>
      <c r="H278" s="732"/>
      <c r="I278" s="979"/>
    </row>
    <row r="279" spans="1:9" ht="15" customHeight="1" x14ac:dyDescent="0.25">
      <c r="A279" s="772"/>
      <c r="B279" s="773"/>
      <c r="C279" s="1004">
        <v>61</v>
      </c>
      <c r="D279" s="936"/>
      <c r="E279" s="936"/>
      <c r="F279" s="936"/>
      <c r="G279" s="732"/>
      <c r="H279" s="732"/>
      <c r="I279" s="979"/>
    </row>
    <row r="280" spans="1:9" ht="15" customHeight="1" x14ac:dyDescent="0.25">
      <c r="A280" s="772"/>
      <c r="B280" s="773"/>
      <c r="C280" s="1004">
        <v>62</v>
      </c>
      <c r="D280" s="936"/>
      <c r="E280" s="936"/>
      <c r="F280" s="936"/>
      <c r="G280" s="732"/>
      <c r="H280" s="732"/>
      <c r="I280" s="979"/>
    </row>
    <row r="281" spans="1:9" ht="15" customHeight="1" x14ac:dyDescent="0.25">
      <c r="A281" s="772"/>
      <c r="B281" s="773"/>
      <c r="C281" s="1004">
        <v>63</v>
      </c>
      <c r="D281" s="936"/>
      <c r="E281" s="936"/>
      <c r="F281" s="936"/>
      <c r="G281" s="732"/>
      <c r="H281" s="732"/>
      <c r="I281" s="979"/>
    </row>
    <row r="282" spans="1:9" ht="15" customHeight="1" x14ac:dyDescent="0.25">
      <c r="A282" s="772"/>
      <c r="B282" s="773"/>
      <c r="C282" s="1004">
        <v>64</v>
      </c>
      <c r="D282" s="936"/>
      <c r="E282" s="936"/>
      <c r="F282" s="936"/>
      <c r="G282" s="732"/>
      <c r="H282" s="732"/>
      <c r="I282" s="979"/>
    </row>
    <row r="283" spans="1:9" ht="15" customHeight="1" x14ac:dyDescent="0.25">
      <c r="A283" s="772"/>
      <c r="B283" s="773"/>
      <c r="C283" s="1004">
        <v>65</v>
      </c>
      <c r="D283" s="936"/>
      <c r="E283" s="936"/>
      <c r="F283" s="936"/>
      <c r="G283" s="732"/>
      <c r="H283" s="732"/>
      <c r="I283" s="979"/>
    </row>
    <row r="284" spans="1:9" ht="15" customHeight="1" x14ac:dyDescent="0.25">
      <c r="A284" s="772"/>
      <c r="B284" s="773"/>
      <c r="C284" s="1004">
        <v>66</v>
      </c>
      <c r="D284" s="936"/>
      <c r="E284" s="936"/>
      <c r="F284" s="936"/>
      <c r="G284" s="732"/>
      <c r="H284" s="732"/>
      <c r="I284" s="979"/>
    </row>
    <row r="285" spans="1:9" ht="15" customHeight="1" x14ac:dyDescent="0.25">
      <c r="A285" s="772"/>
      <c r="B285" s="773"/>
      <c r="C285" s="1004">
        <v>67</v>
      </c>
      <c r="D285" s="936"/>
      <c r="E285" s="936"/>
      <c r="F285" s="936"/>
      <c r="G285" s="732"/>
      <c r="H285" s="732"/>
      <c r="I285" s="979"/>
    </row>
    <row r="286" spans="1:9" ht="15" customHeight="1" x14ac:dyDescent="0.25">
      <c r="A286" s="772"/>
      <c r="B286" s="773"/>
      <c r="C286" s="1004">
        <v>68</v>
      </c>
      <c r="D286" s="936"/>
      <c r="E286" s="936"/>
      <c r="F286" s="936"/>
      <c r="G286" s="732"/>
      <c r="H286" s="732"/>
      <c r="I286" s="979"/>
    </row>
    <row r="287" spans="1:9" ht="15" customHeight="1" x14ac:dyDescent="0.25">
      <c r="A287" s="772"/>
      <c r="B287" s="773"/>
      <c r="C287" s="1004">
        <v>69</v>
      </c>
      <c r="D287" s="936"/>
      <c r="E287" s="936"/>
      <c r="F287" s="936"/>
      <c r="G287" s="732"/>
      <c r="H287" s="732"/>
      <c r="I287" s="979"/>
    </row>
    <row r="288" spans="1:9" ht="15" customHeight="1" x14ac:dyDescent="0.25">
      <c r="A288" s="772"/>
      <c r="B288" s="773"/>
      <c r="C288" s="1004">
        <v>70</v>
      </c>
      <c r="D288" s="936"/>
      <c r="E288" s="936"/>
      <c r="F288" s="936"/>
      <c r="G288" s="732"/>
      <c r="H288" s="732"/>
      <c r="I288" s="979"/>
    </row>
    <row r="289" spans="1:9" ht="15" customHeight="1" x14ac:dyDescent="0.25">
      <c r="A289" s="772"/>
      <c r="B289" s="773"/>
      <c r="C289" s="1004">
        <v>71</v>
      </c>
      <c r="D289" s="936"/>
      <c r="E289" s="936"/>
      <c r="F289" s="936"/>
      <c r="G289" s="732"/>
      <c r="H289" s="732"/>
      <c r="I289" s="979"/>
    </row>
    <row r="290" spans="1:9" ht="15" customHeight="1" x14ac:dyDescent="0.25">
      <c r="A290" s="772"/>
      <c r="B290" s="773"/>
      <c r="C290" s="1004">
        <v>72</v>
      </c>
      <c r="D290" s="936"/>
      <c r="E290" s="936"/>
      <c r="F290" s="936"/>
      <c r="G290" s="732"/>
      <c r="H290" s="732"/>
      <c r="I290" s="979"/>
    </row>
    <row r="291" spans="1:9" ht="15" customHeight="1" x14ac:dyDescent="0.25">
      <c r="A291" s="772"/>
      <c r="B291" s="773"/>
      <c r="C291" s="1004">
        <v>73</v>
      </c>
      <c r="D291" s="936"/>
      <c r="E291" s="936"/>
      <c r="F291" s="936"/>
      <c r="G291" s="732"/>
      <c r="H291" s="732"/>
      <c r="I291" s="979"/>
    </row>
    <row r="292" spans="1:9" ht="15" customHeight="1" x14ac:dyDescent="0.25">
      <c r="A292" s="772"/>
      <c r="B292" s="773"/>
      <c r="C292" s="1004">
        <v>74</v>
      </c>
      <c r="D292" s="936"/>
      <c r="E292" s="936"/>
      <c r="F292" s="936"/>
      <c r="G292" s="732"/>
      <c r="H292" s="732"/>
      <c r="I292" s="979"/>
    </row>
    <row r="293" spans="1:9" ht="15" customHeight="1" x14ac:dyDescent="0.25">
      <c r="A293" s="772"/>
      <c r="B293" s="773"/>
      <c r="C293" s="1004">
        <v>75</v>
      </c>
      <c r="D293" s="936"/>
      <c r="E293" s="936"/>
      <c r="F293" s="936"/>
      <c r="G293" s="732"/>
      <c r="H293" s="732"/>
      <c r="I293" s="979"/>
    </row>
    <row r="294" spans="1:9" ht="15" customHeight="1" x14ac:dyDescent="0.25">
      <c r="A294" s="772"/>
      <c r="B294" s="773"/>
      <c r="C294" s="1004">
        <v>76</v>
      </c>
      <c r="D294" s="936"/>
      <c r="E294" s="936"/>
      <c r="F294" s="936"/>
      <c r="G294" s="732"/>
      <c r="H294" s="732"/>
      <c r="I294" s="979"/>
    </row>
    <row r="295" spans="1:9" ht="15" customHeight="1" x14ac:dyDescent="0.25">
      <c r="A295" s="772"/>
      <c r="B295" s="773"/>
      <c r="C295" s="1004">
        <v>77</v>
      </c>
      <c r="D295" s="936"/>
      <c r="E295" s="936"/>
      <c r="F295" s="936"/>
      <c r="G295" s="732"/>
      <c r="H295" s="732"/>
      <c r="I295" s="979"/>
    </row>
    <row r="296" spans="1:9" ht="15" customHeight="1" x14ac:dyDescent="0.25">
      <c r="A296" s="772"/>
      <c r="B296" s="773"/>
      <c r="C296" s="1004">
        <v>78</v>
      </c>
      <c r="D296" s="936"/>
      <c r="E296" s="936"/>
      <c r="F296" s="936"/>
      <c r="G296" s="732"/>
      <c r="H296" s="732"/>
      <c r="I296" s="979"/>
    </row>
    <row r="297" spans="1:9" ht="15" customHeight="1" x14ac:dyDescent="0.25">
      <c r="A297" s="772"/>
      <c r="B297" s="773"/>
      <c r="C297" s="1004">
        <v>79</v>
      </c>
      <c r="D297" s="936"/>
      <c r="E297" s="936"/>
      <c r="F297" s="936"/>
      <c r="G297" s="732"/>
      <c r="H297" s="732"/>
      <c r="I297" s="979"/>
    </row>
    <row r="298" spans="1:9" ht="15" customHeight="1" x14ac:dyDescent="0.25">
      <c r="A298" s="772"/>
      <c r="B298" s="773"/>
      <c r="C298" s="1004">
        <v>80</v>
      </c>
      <c r="D298" s="936"/>
      <c r="E298" s="936"/>
      <c r="F298" s="936"/>
      <c r="G298" s="732"/>
      <c r="H298" s="732"/>
      <c r="I298" s="979"/>
    </row>
    <row r="299" spans="1:9" ht="15" customHeight="1" x14ac:dyDescent="0.25">
      <c r="A299" s="772"/>
      <c r="B299" s="773"/>
      <c r="C299" s="1004">
        <v>81</v>
      </c>
      <c r="D299" s="936"/>
      <c r="E299" s="936"/>
      <c r="F299" s="936"/>
      <c r="G299" s="732"/>
      <c r="H299" s="732"/>
      <c r="I299" s="979"/>
    </row>
    <row r="300" spans="1:9" ht="15" customHeight="1" x14ac:dyDescent="0.25">
      <c r="A300" s="772"/>
      <c r="B300" s="732"/>
      <c r="C300" s="1004">
        <v>82</v>
      </c>
      <c r="D300" s="936"/>
      <c r="E300" s="936"/>
      <c r="F300" s="936"/>
      <c r="G300" s="732"/>
      <c r="H300" s="732"/>
      <c r="I300" s="979"/>
    </row>
    <row r="301" spans="1:9" ht="15" customHeight="1" x14ac:dyDescent="0.25">
      <c r="A301" s="772"/>
      <c r="B301" s="732"/>
      <c r="C301" s="1004">
        <v>83</v>
      </c>
      <c r="D301" s="936"/>
      <c r="E301" s="936"/>
      <c r="F301" s="936"/>
      <c r="G301" s="732"/>
      <c r="H301" s="732"/>
      <c r="I301" s="979"/>
    </row>
    <row r="302" spans="1:9" ht="15" customHeight="1" x14ac:dyDescent="0.25">
      <c r="A302" s="772"/>
      <c r="B302" s="732"/>
      <c r="C302" s="1004">
        <v>84</v>
      </c>
      <c r="D302" s="936"/>
      <c r="E302" s="936"/>
      <c r="F302" s="936"/>
      <c r="G302" s="732"/>
      <c r="H302" s="732"/>
      <c r="I302" s="979"/>
    </row>
    <row r="303" spans="1:9" ht="15" customHeight="1" x14ac:dyDescent="0.25">
      <c r="A303" s="772"/>
      <c r="B303" s="732"/>
      <c r="C303" s="1004">
        <v>85</v>
      </c>
      <c r="D303" s="936"/>
      <c r="E303" s="936"/>
      <c r="F303" s="936"/>
      <c r="G303" s="732"/>
      <c r="H303" s="732"/>
      <c r="I303" s="979"/>
    </row>
    <row r="304" spans="1:9" ht="15" customHeight="1" x14ac:dyDescent="0.25">
      <c r="A304" s="772"/>
      <c r="B304" s="732"/>
      <c r="C304" s="1004">
        <v>86</v>
      </c>
      <c r="D304" s="936"/>
      <c r="E304" s="936"/>
      <c r="F304" s="936"/>
      <c r="G304" s="732"/>
      <c r="H304" s="732"/>
      <c r="I304" s="979"/>
    </row>
    <row r="305" spans="1:9" ht="15" customHeight="1" x14ac:dyDescent="0.25">
      <c r="A305" s="772"/>
      <c r="B305" s="732"/>
      <c r="C305" s="1004">
        <v>87</v>
      </c>
      <c r="D305" s="936"/>
      <c r="E305" s="936"/>
      <c r="F305" s="936"/>
      <c r="G305" s="732"/>
      <c r="H305" s="732"/>
      <c r="I305" s="979"/>
    </row>
    <row r="306" spans="1:9" ht="15" customHeight="1" x14ac:dyDescent="0.25">
      <c r="A306" s="772"/>
      <c r="B306" s="732"/>
      <c r="C306" s="1004">
        <v>88</v>
      </c>
      <c r="D306" s="936"/>
      <c r="E306" s="936"/>
      <c r="F306" s="936"/>
      <c r="G306" s="732"/>
      <c r="H306" s="732"/>
      <c r="I306" s="979"/>
    </row>
    <row r="307" spans="1:9" ht="15" customHeight="1" x14ac:dyDescent="0.25">
      <c r="A307" s="772"/>
      <c r="B307" s="732"/>
      <c r="C307" s="1004">
        <v>89</v>
      </c>
      <c r="D307" s="936"/>
      <c r="E307" s="936"/>
      <c r="F307" s="936"/>
      <c r="G307" s="732"/>
      <c r="H307" s="732"/>
      <c r="I307" s="979"/>
    </row>
    <row r="308" spans="1:9" ht="15" customHeight="1" x14ac:dyDescent="0.25">
      <c r="A308" s="772"/>
      <c r="B308" s="732"/>
      <c r="C308" s="1004">
        <v>90</v>
      </c>
      <c r="D308" s="936"/>
      <c r="E308" s="936"/>
      <c r="F308" s="936"/>
      <c r="G308" s="732"/>
      <c r="H308" s="732"/>
      <c r="I308" s="979"/>
    </row>
    <row r="309" spans="1:9" ht="15" customHeight="1" x14ac:dyDescent="0.25">
      <c r="A309" s="772"/>
      <c r="B309" s="732"/>
      <c r="C309" s="1004">
        <v>91</v>
      </c>
      <c r="D309" s="936"/>
      <c r="E309" s="936"/>
      <c r="F309" s="936"/>
      <c r="G309" s="732"/>
      <c r="H309" s="732"/>
      <c r="I309" s="979"/>
    </row>
    <row r="310" spans="1:9" ht="15" customHeight="1" x14ac:dyDescent="0.25">
      <c r="A310" s="772"/>
      <c r="B310" s="732"/>
      <c r="C310" s="1004">
        <v>92</v>
      </c>
      <c r="D310" s="936"/>
      <c r="E310" s="936"/>
      <c r="F310" s="936"/>
      <c r="G310" s="732"/>
      <c r="H310" s="732"/>
      <c r="I310" s="979"/>
    </row>
    <row r="311" spans="1:9" ht="15" customHeight="1" x14ac:dyDescent="0.25">
      <c r="A311" s="772"/>
      <c r="B311" s="732"/>
      <c r="C311" s="1004">
        <v>93</v>
      </c>
      <c r="D311" s="936"/>
      <c r="E311" s="936"/>
      <c r="F311" s="936"/>
      <c r="G311" s="732"/>
      <c r="H311" s="732"/>
      <c r="I311" s="979"/>
    </row>
    <row r="312" spans="1:9" ht="15" customHeight="1" x14ac:dyDescent="0.25">
      <c r="A312" s="772"/>
      <c r="B312" s="732"/>
      <c r="C312" s="1004">
        <v>94</v>
      </c>
      <c r="D312" s="936"/>
      <c r="E312" s="936"/>
      <c r="F312" s="936"/>
      <c r="G312" s="732"/>
      <c r="H312" s="732"/>
      <c r="I312" s="979"/>
    </row>
    <row r="313" spans="1:9" ht="15" customHeight="1" x14ac:dyDescent="0.25">
      <c r="A313" s="772"/>
      <c r="B313" s="732"/>
      <c r="C313" s="1004">
        <v>95</v>
      </c>
      <c r="D313" s="936"/>
      <c r="E313" s="936"/>
      <c r="F313" s="936"/>
      <c r="G313" s="732"/>
      <c r="H313" s="732"/>
      <c r="I313" s="979"/>
    </row>
    <row r="314" spans="1:9" ht="15" customHeight="1" x14ac:dyDescent="0.25">
      <c r="A314" s="772"/>
      <c r="B314" s="732"/>
      <c r="C314" s="1004">
        <v>96</v>
      </c>
      <c r="D314" s="936"/>
      <c r="E314" s="936"/>
      <c r="F314" s="936"/>
      <c r="G314" s="732"/>
      <c r="H314" s="732"/>
      <c r="I314" s="979"/>
    </row>
    <row r="315" spans="1:9" ht="15" customHeight="1" x14ac:dyDescent="0.25">
      <c r="A315" s="772"/>
      <c r="B315" s="732"/>
      <c r="C315" s="1004">
        <v>97</v>
      </c>
      <c r="D315" s="936"/>
      <c r="E315" s="936"/>
      <c r="F315" s="936"/>
      <c r="G315" s="732"/>
      <c r="H315" s="732"/>
      <c r="I315" s="979"/>
    </row>
    <row r="316" spans="1:9" ht="15" customHeight="1" x14ac:dyDescent="0.25">
      <c r="A316" s="772"/>
      <c r="B316" s="732"/>
      <c r="C316" s="1004">
        <v>98</v>
      </c>
      <c r="D316" s="936"/>
      <c r="E316" s="936"/>
      <c r="F316" s="936"/>
      <c r="G316" s="732"/>
      <c r="H316" s="732"/>
      <c r="I316" s="979"/>
    </row>
    <row r="317" spans="1:9" ht="15" customHeight="1" x14ac:dyDescent="0.25">
      <c r="A317" s="772"/>
      <c r="B317" s="732"/>
      <c r="C317" s="1004">
        <v>99</v>
      </c>
      <c r="D317" s="936"/>
      <c r="E317" s="936"/>
      <c r="F317" s="936"/>
      <c r="G317" s="732"/>
      <c r="H317" s="732"/>
      <c r="I317" s="979"/>
    </row>
    <row r="318" spans="1:9" ht="15" customHeight="1" x14ac:dyDescent="0.25">
      <c r="A318" s="772"/>
      <c r="B318" s="1009"/>
      <c r="C318" s="1557">
        <v>100</v>
      </c>
      <c r="D318" s="959"/>
      <c r="E318" s="959"/>
      <c r="F318" s="959"/>
      <c r="G318" s="732"/>
      <c r="H318" s="732"/>
      <c r="I318" s="979"/>
    </row>
    <row r="319" spans="1:9" ht="15" customHeight="1" x14ac:dyDescent="0.25">
      <c r="A319" s="772"/>
      <c r="B319" s="999" t="s">
        <v>815</v>
      </c>
      <c r="C319" s="1556">
        <v>1</v>
      </c>
      <c r="D319" s="1578" t="s">
        <v>794</v>
      </c>
      <c r="E319" s="1578"/>
      <c r="F319" s="1578"/>
      <c r="G319" s="732"/>
      <c r="H319" s="732"/>
      <c r="I319" s="979"/>
    </row>
    <row r="320" spans="1:9" ht="15" customHeight="1" x14ac:dyDescent="0.25">
      <c r="A320" s="772"/>
      <c r="B320" s="732"/>
      <c r="C320" s="1004">
        <v>2</v>
      </c>
      <c r="D320" s="936" t="s">
        <v>795</v>
      </c>
      <c r="E320" s="936"/>
      <c r="F320" s="936"/>
      <c r="G320" s="732"/>
      <c r="H320" s="732"/>
      <c r="I320" s="979"/>
    </row>
    <row r="321" spans="1:9" ht="15" customHeight="1" x14ac:dyDescent="0.25">
      <c r="A321" s="772"/>
      <c r="B321" s="732"/>
      <c r="C321" s="1004">
        <v>3</v>
      </c>
      <c r="D321" s="936" t="s">
        <v>796</v>
      </c>
      <c r="E321" s="936"/>
      <c r="F321" s="936"/>
      <c r="G321" s="732"/>
      <c r="H321" s="732"/>
      <c r="I321" s="979"/>
    </row>
    <row r="322" spans="1:9" ht="15" customHeight="1" x14ac:dyDescent="0.25">
      <c r="A322" s="772"/>
      <c r="B322" s="732"/>
      <c r="C322" s="1004">
        <v>4</v>
      </c>
      <c r="D322" s="936" t="s">
        <v>797</v>
      </c>
      <c r="E322" s="936"/>
      <c r="F322" s="936"/>
      <c r="G322" s="732"/>
      <c r="H322" s="732"/>
      <c r="I322" s="979"/>
    </row>
    <row r="323" spans="1:9" ht="15" customHeight="1" x14ac:dyDescent="0.25">
      <c r="A323" s="772"/>
      <c r="B323" s="732"/>
      <c r="C323" s="1004">
        <v>5</v>
      </c>
      <c r="D323" s="936" t="s">
        <v>798</v>
      </c>
      <c r="E323" s="936"/>
      <c r="F323" s="936"/>
      <c r="G323" s="732"/>
      <c r="H323" s="732"/>
      <c r="I323" s="979"/>
    </row>
    <row r="324" spans="1:9" ht="15" customHeight="1" x14ac:dyDescent="0.25">
      <c r="A324" s="772"/>
      <c r="B324" s="732"/>
      <c r="C324" s="1004">
        <v>6</v>
      </c>
      <c r="D324" s="936" t="s">
        <v>799</v>
      </c>
      <c r="E324" s="936"/>
      <c r="F324" s="936"/>
      <c r="G324" s="732"/>
      <c r="H324" s="732"/>
      <c r="I324" s="979"/>
    </row>
    <row r="325" spans="1:9" ht="15" customHeight="1" x14ac:dyDescent="0.25">
      <c r="A325" s="772"/>
      <c r="B325" s="732"/>
      <c r="C325" s="1004">
        <v>7</v>
      </c>
      <c r="D325" s="936" t="s">
        <v>800</v>
      </c>
      <c r="E325" s="936"/>
      <c r="F325" s="936"/>
      <c r="G325" s="732"/>
      <c r="H325" s="732"/>
      <c r="I325" s="979"/>
    </row>
    <row r="326" spans="1:9" ht="15" customHeight="1" x14ac:dyDescent="0.25">
      <c r="A326" s="772"/>
      <c r="B326" s="732"/>
      <c r="C326" s="1004">
        <v>8</v>
      </c>
      <c r="D326" s="936" t="s">
        <v>801</v>
      </c>
      <c r="E326" s="936"/>
      <c r="F326" s="936"/>
      <c r="G326" s="732"/>
      <c r="H326" s="732"/>
      <c r="I326" s="979"/>
    </row>
    <row r="327" spans="1:9" ht="15" customHeight="1" x14ac:dyDescent="0.25">
      <c r="A327" s="772"/>
      <c r="B327" s="732"/>
      <c r="C327" s="1004">
        <v>9</v>
      </c>
      <c r="D327" s="936" t="s">
        <v>802</v>
      </c>
      <c r="E327" s="936"/>
      <c r="F327" s="936"/>
      <c r="G327" s="732"/>
      <c r="H327" s="732"/>
      <c r="I327" s="979"/>
    </row>
    <row r="328" spans="1:9" ht="15" customHeight="1" x14ac:dyDescent="0.25">
      <c r="A328" s="772"/>
      <c r="B328" s="732"/>
      <c r="C328" s="1004">
        <v>10</v>
      </c>
      <c r="D328" s="936" t="s">
        <v>803</v>
      </c>
      <c r="E328" s="936"/>
      <c r="F328" s="936"/>
      <c r="G328" s="732"/>
      <c r="H328" s="732"/>
      <c r="I328" s="979"/>
    </row>
    <row r="329" spans="1:9" ht="15" customHeight="1" x14ac:dyDescent="0.25">
      <c r="A329" s="772"/>
      <c r="B329" s="732"/>
      <c r="C329" s="1004">
        <v>11</v>
      </c>
      <c r="D329" s="936" t="s">
        <v>804</v>
      </c>
      <c r="E329" s="936"/>
      <c r="F329" s="936"/>
      <c r="G329" s="732"/>
      <c r="H329" s="732"/>
      <c r="I329" s="979"/>
    </row>
    <row r="330" spans="1:9" ht="15" customHeight="1" x14ac:dyDescent="0.25">
      <c r="A330" s="772"/>
      <c r="B330" s="732"/>
      <c r="C330" s="1004">
        <v>12</v>
      </c>
      <c r="D330" s="936" t="s">
        <v>805</v>
      </c>
      <c r="E330" s="936"/>
      <c r="F330" s="936"/>
      <c r="G330" s="732"/>
      <c r="H330" s="732"/>
      <c r="I330" s="979"/>
    </row>
    <row r="331" spans="1:9" ht="15" customHeight="1" x14ac:dyDescent="0.25">
      <c r="A331" s="772"/>
      <c r="B331" s="732"/>
      <c r="C331" s="1004">
        <v>13</v>
      </c>
      <c r="D331" s="936" t="s">
        <v>806</v>
      </c>
      <c r="E331" s="936"/>
      <c r="F331" s="936"/>
      <c r="G331" s="732"/>
      <c r="H331" s="732"/>
      <c r="I331" s="979"/>
    </row>
    <row r="332" spans="1:9" ht="15" customHeight="1" x14ac:dyDescent="0.25">
      <c r="A332" s="772"/>
      <c r="B332" s="732"/>
      <c r="C332" s="1004">
        <v>14</v>
      </c>
      <c r="D332" s="936" t="s">
        <v>807</v>
      </c>
      <c r="E332" s="936"/>
      <c r="F332" s="936"/>
      <c r="G332" s="732"/>
      <c r="H332" s="732"/>
      <c r="I332" s="979"/>
    </row>
    <row r="333" spans="1:9" ht="15" customHeight="1" x14ac:dyDescent="0.25">
      <c r="A333" s="772"/>
      <c r="B333" s="732"/>
      <c r="C333" s="1004">
        <v>15</v>
      </c>
      <c r="D333" s="936" t="s">
        <v>808</v>
      </c>
      <c r="E333" s="936"/>
      <c r="F333" s="936"/>
      <c r="G333" s="732"/>
      <c r="H333" s="732"/>
      <c r="I333" s="979"/>
    </row>
    <row r="334" spans="1:9" ht="15" customHeight="1" x14ac:dyDescent="0.25">
      <c r="A334" s="772"/>
      <c r="B334" s="732"/>
      <c r="C334" s="1004">
        <v>16</v>
      </c>
      <c r="D334" s="936" t="s">
        <v>809</v>
      </c>
      <c r="E334" s="936"/>
      <c r="F334" s="936"/>
      <c r="G334" s="732"/>
      <c r="H334" s="732"/>
      <c r="I334" s="979"/>
    </row>
    <row r="335" spans="1:9" ht="15" customHeight="1" x14ac:dyDescent="0.25">
      <c r="A335" s="772"/>
      <c r="B335" s="732"/>
      <c r="C335" s="1004">
        <v>17</v>
      </c>
      <c r="D335" s="936" t="s">
        <v>810</v>
      </c>
      <c r="E335" s="936"/>
      <c r="F335" s="936"/>
      <c r="G335" s="732"/>
      <c r="H335" s="732"/>
      <c r="I335" s="979"/>
    </row>
    <row r="336" spans="1:9" ht="15" customHeight="1" x14ac:dyDescent="0.25">
      <c r="A336" s="772"/>
      <c r="B336" s="732"/>
      <c r="C336" s="1004">
        <v>18</v>
      </c>
      <c r="D336" s="936" t="s">
        <v>811</v>
      </c>
      <c r="E336" s="936"/>
      <c r="F336" s="936"/>
      <c r="G336" s="732"/>
      <c r="H336" s="732"/>
      <c r="I336" s="979"/>
    </row>
    <row r="337" spans="1:9" ht="15" customHeight="1" x14ac:dyDescent="0.25">
      <c r="A337" s="772"/>
      <c r="B337" s="732"/>
      <c r="C337" s="1004">
        <v>19</v>
      </c>
      <c r="D337" s="936" t="s">
        <v>812</v>
      </c>
      <c r="E337" s="936"/>
      <c r="F337" s="936"/>
      <c r="G337" s="732"/>
      <c r="H337" s="732"/>
      <c r="I337" s="979"/>
    </row>
    <row r="338" spans="1:9" ht="15" customHeight="1" x14ac:dyDescent="0.25">
      <c r="A338" s="772"/>
      <c r="B338" s="732"/>
      <c r="C338" s="1004">
        <v>20</v>
      </c>
      <c r="D338" s="936" t="s">
        <v>813</v>
      </c>
      <c r="E338" s="936"/>
      <c r="F338" s="936"/>
      <c r="G338" s="732"/>
      <c r="H338" s="732"/>
      <c r="I338" s="979"/>
    </row>
    <row r="339" spans="1:9" ht="15" customHeight="1" x14ac:dyDescent="0.25">
      <c r="A339" s="772"/>
      <c r="B339" s="775"/>
      <c r="C339" s="1557">
        <v>21</v>
      </c>
      <c r="D339" s="959" t="s">
        <v>814</v>
      </c>
      <c r="E339" s="959"/>
      <c r="F339" s="959"/>
      <c r="G339" s="732"/>
      <c r="H339" s="732"/>
      <c r="I339" s="979"/>
    </row>
    <row r="340" spans="1:9" ht="15" customHeight="1" x14ac:dyDescent="0.25">
      <c r="A340" s="772"/>
      <c r="B340" s="1230" t="s">
        <v>1494</v>
      </c>
      <c r="C340" s="1556">
        <v>1</v>
      </c>
      <c r="D340" s="1578" t="s">
        <v>1491</v>
      </c>
      <c r="E340" s="1578"/>
      <c r="F340" s="1578"/>
      <c r="G340" s="732"/>
      <c r="H340" s="732"/>
      <c r="I340" s="979"/>
    </row>
    <row r="341" spans="1:9" ht="15" customHeight="1" x14ac:dyDescent="0.25">
      <c r="A341" s="772"/>
      <c r="B341" s="1231"/>
      <c r="C341" s="1004">
        <v>2</v>
      </c>
      <c r="D341" s="936" t="s">
        <v>1492</v>
      </c>
      <c r="E341" s="936"/>
      <c r="F341" s="936"/>
      <c r="G341" s="732"/>
      <c r="H341" s="732"/>
      <c r="I341" s="979"/>
    </row>
    <row r="342" spans="1:9" ht="15" customHeight="1" x14ac:dyDescent="0.25">
      <c r="A342" s="772"/>
      <c r="B342" s="1009"/>
      <c r="C342" s="1557">
        <v>3</v>
      </c>
      <c r="D342" s="959" t="s">
        <v>1493</v>
      </c>
      <c r="E342" s="959"/>
      <c r="F342" s="959"/>
      <c r="G342" s="732"/>
      <c r="H342" s="732"/>
      <c r="I342" s="979"/>
    </row>
    <row r="343" spans="1:9" ht="15" customHeight="1" x14ac:dyDescent="0.25">
      <c r="A343" s="772"/>
      <c r="B343" s="1230" t="s">
        <v>1684</v>
      </c>
      <c r="C343" s="1556">
        <v>1</v>
      </c>
      <c r="D343" s="1570" t="s">
        <v>1687</v>
      </c>
      <c r="E343" s="1578"/>
      <c r="F343" s="1578"/>
      <c r="G343" s="732"/>
      <c r="H343" s="732"/>
      <c r="I343" s="979"/>
    </row>
    <row r="344" spans="1:9" ht="15" customHeight="1" x14ac:dyDescent="0.25">
      <c r="A344" s="772"/>
      <c r="B344" s="1231"/>
      <c r="C344" s="1004">
        <v>2</v>
      </c>
      <c r="D344" s="1571" t="s">
        <v>1685</v>
      </c>
      <c r="E344" s="936"/>
      <c r="F344" s="936"/>
      <c r="G344" s="732"/>
      <c r="H344" s="732"/>
      <c r="I344" s="979"/>
    </row>
    <row r="345" spans="1:9" ht="15" customHeight="1" x14ac:dyDescent="0.25">
      <c r="A345" s="772"/>
      <c r="B345" s="1009"/>
      <c r="C345" s="1557">
        <v>3</v>
      </c>
      <c r="D345" s="1573" t="s">
        <v>1686</v>
      </c>
      <c r="E345" s="959"/>
      <c r="F345" s="959"/>
      <c r="G345" s="732"/>
      <c r="H345" s="732"/>
      <c r="I345" s="979"/>
    </row>
    <row r="346" spans="1:9" ht="15" customHeight="1" x14ac:dyDescent="0.25">
      <c r="A346" s="774"/>
      <c r="B346" s="775"/>
      <c r="C346" s="775"/>
      <c r="D346" s="775"/>
      <c r="E346" s="775"/>
      <c r="F346" s="775"/>
      <c r="G346" s="775"/>
      <c r="H346" s="775"/>
      <c r="I346" s="980"/>
    </row>
    <row r="347" spans="1:9" ht="15" hidden="1" customHeight="1" x14ac:dyDescent="0.25"/>
    <row r="348" spans="1:9" ht="15" hidden="1" customHeight="1" x14ac:dyDescent="0.25"/>
    <row r="349" spans="1:9" ht="15" hidden="1" customHeight="1" x14ac:dyDescent="0.25"/>
    <row r="350" spans="1:9" ht="15" hidden="1" customHeight="1" x14ac:dyDescent="0.25"/>
    <row r="351" spans="1:9" ht="15" hidden="1" customHeight="1" x14ac:dyDescent="0.25"/>
    <row r="352" spans="1:9" ht="15" hidden="1" customHeight="1" x14ac:dyDescent="0.25"/>
    <row r="353" s="1626" customFormat="1" ht="15" hidden="1" customHeight="1" x14ac:dyDescent="0.25"/>
    <row r="354" s="1626" customFormat="1" ht="15" hidden="1" customHeight="1" x14ac:dyDescent="0.25"/>
    <row r="355" s="1626" customFormat="1" ht="15" hidden="1" customHeight="1" x14ac:dyDescent="0.25"/>
    <row r="356" s="1626" customFormat="1" ht="15" hidden="1" customHeight="1" x14ac:dyDescent="0.25"/>
    <row r="357" s="1626" customFormat="1" ht="15" hidden="1" customHeight="1" x14ac:dyDescent="0.25"/>
  </sheetData>
  <sortState ref="E94:F96">
    <sortCondition ref="E94:E96"/>
  </sortState>
  <mergeCells count="93">
    <mergeCell ref="B21:E21"/>
    <mergeCell ref="B22:E22"/>
    <mergeCell ref="B76:E76"/>
    <mergeCell ref="B77:E77"/>
    <mergeCell ref="B78:E78"/>
    <mergeCell ref="B49:E49"/>
    <mergeCell ref="B55:E55"/>
    <mergeCell ref="B68:E68"/>
    <mergeCell ref="B75:E75"/>
    <mergeCell ref="F71:H71"/>
    <mergeCell ref="B71:E72"/>
    <mergeCell ref="B87:E88"/>
    <mergeCell ref="F87:H87"/>
    <mergeCell ref="B89:E89"/>
    <mergeCell ref="B84:E84"/>
    <mergeCell ref="B85:E85"/>
    <mergeCell ref="B79:E79"/>
    <mergeCell ref="B80:E80"/>
    <mergeCell ref="B81:E81"/>
    <mergeCell ref="B82:E82"/>
    <mergeCell ref="B83:E83"/>
    <mergeCell ref="B90:E90"/>
    <mergeCell ref="B91:E91"/>
    <mergeCell ref="B92:E92"/>
    <mergeCell ref="B93:E93"/>
    <mergeCell ref="B94:E94"/>
    <mergeCell ref="B95:E95"/>
    <mergeCell ref="B96:E96"/>
    <mergeCell ref="B97:E97"/>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49:E149"/>
    <mergeCell ref="B150:E150"/>
    <mergeCell ref="B151:E151"/>
    <mergeCell ref="B152:E152"/>
    <mergeCell ref="B153:E153"/>
    <mergeCell ref="B154:E154"/>
    <mergeCell ref="B160:E160"/>
    <mergeCell ref="B161:E161"/>
    <mergeCell ref="B155:E155"/>
    <mergeCell ref="B156:E156"/>
    <mergeCell ref="B157:E157"/>
    <mergeCell ref="B158:E158"/>
    <mergeCell ref="B159:E159"/>
  </mergeCells>
  <phoneticPr fontId="5" type="noConversion"/>
  <dataValidations xWindow="734" yWindow="271" count="2">
    <dataValidation type="list" showInputMessage="1" showErrorMessage="1" sqref="F40">
      <formula1>YesNo</formula1>
    </dataValidation>
    <dataValidation type="list" allowBlank="1" showInputMessage="1" showErrorMessage="1" sqref="F7:F8">
      <formula1>YesNo</formula1>
    </dataValidation>
  </dataValidations>
  <printOptions headings="1"/>
  <pageMargins left="0.59055118110236227" right="0.59055118110236227" top="0.98425196850393704" bottom="0.98425196850393704" header="0.51181102362204722" footer="0.51181102362204722"/>
  <pageSetup paperSize="9" scale="50" fitToHeight="3"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2" manualBreakCount="2">
    <brk id="47" max="8" man="1"/>
    <brk id="165"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EC72"/>
  </sheetPr>
  <dimension ref="A1:K113"/>
  <sheetViews>
    <sheetView zoomScale="75" zoomScaleNormal="75" workbookViewId="0">
      <pane ySplit="4" topLeftCell="A5" activePane="bottomLeft" state="frozen"/>
      <selection pane="bottomLeft"/>
    </sheetView>
  </sheetViews>
  <sheetFormatPr defaultColWidth="0" defaultRowHeight="0" customHeight="1" zeroHeight="1" x14ac:dyDescent="0.25"/>
  <cols>
    <col min="1" max="1" width="1.7109375" style="821" customWidth="1"/>
    <col min="2" max="2" width="10.7109375" style="1368" customWidth="1"/>
    <col min="3" max="3" width="150.7109375" style="1368" customWidth="1"/>
    <col min="4" max="6" width="16.7109375" style="1368" customWidth="1"/>
    <col min="7" max="7" width="1.7109375" style="716" customWidth="1"/>
    <col min="8" max="16384" width="16.7109375" style="716" hidden="1"/>
  </cols>
  <sheetData>
    <row r="1" spans="1:7" s="725" customFormat="1" ht="30" customHeight="1" x14ac:dyDescent="0.55000000000000004">
      <c r="A1" s="867" t="s">
        <v>915</v>
      </c>
      <c r="B1" s="868"/>
      <c r="C1" s="868"/>
      <c r="D1" s="1511" t="str">
        <f>CONCATENATE("Reporting unit: ", 'General Info'!$C$50, " ", 'General Info'!$C$49)</f>
        <v xml:space="preserve">Reporting unit: 1 </v>
      </c>
      <c r="E1" s="869"/>
      <c r="F1" s="869"/>
      <c r="G1" s="782"/>
    </row>
    <row r="2" spans="1:7" s="735" customFormat="1" ht="15" customHeight="1" x14ac:dyDescent="0.25">
      <c r="A2" s="1503"/>
      <c r="B2" s="1504"/>
      <c r="C2" s="1504"/>
      <c r="D2" s="1505"/>
      <c r="E2" s="1505"/>
      <c r="F2" s="1506"/>
      <c r="G2" s="422"/>
    </row>
    <row r="3" spans="1:7" s="735" customFormat="1" ht="15" customHeight="1" x14ac:dyDescent="0.25">
      <c r="A3" s="418"/>
      <c r="B3" s="1510"/>
      <c r="C3" s="1507" t="s">
        <v>1730</v>
      </c>
      <c r="D3" s="1508" t="str">
        <f>Parameters!$F$7</f>
        <v>Yes</v>
      </c>
      <c r="E3" s="1508" t="str">
        <f>Parameters!$F$8</f>
        <v>Yes</v>
      </c>
      <c r="F3" s="1509" t="str">
        <f>Parameters!$F$8</f>
        <v>Yes</v>
      </c>
      <c r="G3" s="422"/>
    </row>
    <row r="4" spans="1:7" s="735" customFormat="1" ht="15" customHeight="1" x14ac:dyDescent="0.25">
      <c r="A4" s="1503"/>
      <c r="B4" s="1504"/>
      <c r="C4" s="1504"/>
      <c r="D4" s="1505"/>
      <c r="E4" s="1505"/>
      <c r="F4" s="1506"/>
      <c r="G4" s="422"/>
    </row>
    <row r="5" spans="1:7" s="412" customFormat="1" ht="60" customHeight="1" x14ac:dyDescent="0.25">
      <c r="A5" s="409" t="s">
        <v>916</v>
      </c>
      <c r="B5" s="410"/>
      <c r="C5" s="410"/>
      <c r="D5" s="410"/>
      <c r="E5" s="410"/>
      <c r="F5" s="499"/>
      <c r="G5" s="411"/>
    </row>
    <row r="6" spans="1:7" ht="30" customHeight="1" x14ac:dyDescent="0.25">
      <c r="B6" s="870" t="s">
        <v>126</v>
      </c>
      <c r="C6" s="871" t="s">
        <v>125</v>
      </c>
      <c r="D6" s="798" t="s">
        <v>923</v>
      </c>
      <c r="E6" s="798" t="s">
        <v>968</v>
      </c>
      <c r="F6" s="500"/>
      <c r="G6" s="727"/>
    </row>
    <row r="7" spans="1:7" s="735" customFormat="1" ht="15" customHeight="1" x14ac:dyDescent="0.25">
      <c r="A7" s="418"/>
      <c r="B7" s="1501"/>
      <c r="C7" s="1502" t="s">
        <v>162</v>
      </c>
      <c r="D7" s="44"/>
      <c r="E7" s="44"/>
      <c r="F7" s="500"/>
      <c r="G7" s="422"/>
    </row>
    <row r="8" spans="1:7" s="735" customFormat="1" ht="30" customHeight="1" x14ac:dyDescent="0.25">
      <c r="A8" s="418"/>
      <c r="B8" s="1575">
        <v>73</v>
      </c>
      <c r="C8" s="1601" t="s">
        <v>917</v>
      </c>
      <c r="D8" s="107"/>
      <c r="E8" s="44"/>
      <c r="F8" s="500"/>
      <c r="G8" s="422"/>
    </row>
    <row r="9" spans="1:7" s="735" customFormat="1" ht="30" customHeight="1" x14ac:dyDescent="0.25">
      <c r="A9" s="418"/>
      <c r="B9" s="1575">
        <v>73</v>
      </c>
      <c r="C9" s="1601" t="s">
        <v>918</v>
      </c>
      <c r="D9" s="107"/>
      <c r="E9" s="44"/>
      <c r="F9" s="500"/>
      <c r="G9" s="422"/>
    </row>
    <row r="10" spans="1:7" s="735" customFormat="1" ht="30" customHeight="1" x14ac:dyDescent="0.25">
      <c r="A10" s="418"/>
      <c r="B10" s="1575" t="s">
        <v>919</v>
      </c>
      <c r="C10" s="1601" t="s">
        <v>974</v>
      </c>
      <c r="D10" s="1175"/>
      <c r="E10" s="44"/>
      <c r="F10" s="500"/>
      <c r="G10" s="422"/>
    </row>
    <row r="11" spans="1:7" s="735" customFormat="1" ht="30" customHeight="1" x14ac:dyDescent="0.25">
      <c r="A11" s="418"/>
      <c r="B11" s="1575" t="s">
        <v>919</v>
      </c>
      <c r="C11" s="1601" t="s">
        <v>975</v>
      </c>
      <c r="D11" s="1175"/>
      <c r="E11" s="44"/>
      <c r="F11" s="500"/>
      <c r="G11" s="422"/>
    </row>
    <row r="12" spans="1:7" s="735" customFormat="1" ht="15" customHeight="1" x14ac:dyDescent="0.25">
      <c r="A12" s="418"/>
      <c r="B12" s="414"/>
      <c r="C12" s="1601" t="s">
        <v>214</v>
      </c>
      <c r="D12" s="107"/>
      <c r="E12" s="107"/>
      <c r="G12" s="422"/>
    </row>
    <row r="13" spans="1:7" s="735" customFormat="1" ht="15" customHeight="1" x14ac:dyDescent="0.25">
      <c r="A13" s="418"/>
      <c r="B13" s="1575">
        <v>61</v>
      </c>
      <c r="C13" s="1601" t="s">
        <v>215</v>
      </c>
      <c r="D13" s="107"/>
      <c r="E13" s="44"/>
      <c r="G13" s="422"/>
    </row>
    <row r="14" spans="1:7" s="735" customFormat="1" ht="15" customHeight="1" x14ac:dyDescent="0.25">
      <c r="A14" s="418"/>
      <c r="B14" s="414"/>
      <c r="C14" s="1601" t="s">
        <v>216</v>
      </c>
      <c r="D14" s="107"/>
      <c r="E14" s="107"/>
      <c r="G14" s="422"/>
    </row>
    <row r="15" spans="1:7" s="735" customFormat="1" ht="15" customHeight="1" x14ac:dyDescent="0.25">
      <c r="A15" s="418"/>
      <c r="B15" s="414"/>
      <c r="C15" s="872" t="s">
        <v>63</v>
      </c>
      <c r="D15" s="67"/>
      <c r="E15" s="44"/>
      <c r="G15" s="422"/>
    </row>
    <row r="16" spans="1:7" s="735" customFormat="1" ht="15" customHeight="1" x14ac:dyDescent="0.25">
      <c r="A16" s="418"/>
      <c r="B16" s="1575">
        <v>60</v>
      </c>
      <c r="C16" s="1601" t="s">
        <v>159</v>
      </c>
      <c r="D16" s="107"/>
      <c r="E16" s="44"/>
      <c r="G16" s="422"/>
    </row>
    <row r="17" spans="1:7" s="735" customFormat="1" ht="15" customHeight="1" x14ac:dyDescent="0.25">
      <c r="A17" s="418"/>
      <c r="B17" s="1575">
        <v>60</v>
      </c>
      <c r="C17" s="1601" t="s">
        <v>217</v>
      </c>
      <c r="D17" s="107"/>
      <c r="E17" s="44"/>
      <c r="G17" s="422"/>
    </row>
    <row r="18" spans="1:7" s="735" customFormat="1" ht="15" customHeight="1" x14ac:dyDescent="0.25">
      <c r="A18" s="418"/>
      <c r="B18" s="414"/>
      <c r="C18" s="1601" t="s">
        <v>218</v>
      </c>
      <c r="D18" s="107"/>
      <c r="E18" s="44"/>
      <c r="G18" s="422"/>
    </row>
    <row r="19" spans="1:7" s="735" customFormat="1" ht="15" customHeight="1" x14ac:dyDescent="0.25">
      <c r="A19" s="418"/>
      <c r="B19" s="414"/>
      <c r="C19" s="872" t="s">
        <v>60</v>
      </c>
      <c r="D19" s="67"/>
      <c r="E19" s="44"/>
      <c r="G19" s="422"/>
    </row>
    <row r="20" spans="1:7" s="735" customFormat="1" ht="15" customHeight="1" x14ac:dyDescent="0.25">
      <c r="A20" s="418"/>
      <c r="B20" s="414"/>
      <c r="C20" s="1601" t="s">
        <v>159</v>
      </c>
      <c r="D20" s="107"/>
      <c r="E20" s="44"/>
      <c r="G20" s="422"/>
    </row>
    <row r="21" spans="1:7" s="735" customFormat="1" ht="15" customHeight="1" x14ac:dyDescent="0.25">
      <c r="A21" s="418"/>
      <c r="B21" s="414"/>
      <c r="C21" s="1601" t="s">
        <v>217</v>
      </c>
      <c r="D21" s="107"/>
      <c r="E21" s="44"/>
      <c r="G21" s="422"/>
    </row>
    <row r="22" spans="1:7" s="735" customFormat="1" ht="15" customHeight="1" x14ac:dyDescent="0.25">
      <c r="A22" s="418"/>
      <c r="B22" s="414"/>
      <c r="C22" s="1601" t="s">
        <v>219</v>
      </c>
      <c r="D22" s="107"/>
      <c r="E22" s="59"/>
      <c r="G22" s="422"/>
    </row>
    <row r="23" spans="1:7" s="735" customFormat="1" ht="15" customHeight="1" x14ac:dyDescent="0.25">
      <c r="A23" s="418"/>
      <c r="B23" s="416"/>
      <c r="C23" s="417" t="s">
        <v>920</v>
      </c>
      <c r="D23" s="487" t="str">
        <f>IF(AND(ISNUMBER(D14),ISNUMBER(D18),ISNUMBER(D22)),D14+D18+D22,"")</f>
        <v/>
      </c>
      <c r="E23" s="75"/>
      <c r="F23" s="500"/>
      <c r="G23" s="422"/>
    </row>
    <row r="24" spans="1:7" s="735" customFormat="1" ht="15" customHeight="1" x14ac:dyDescent="0.25">
      <c r="A24" s="418"/>
      <c r="B24" s="419"/>
      <c r="C24" s="420"/>
      <c r="D24" s="421"/>
      <c r="E24" s="421"/>
      <c r="F24" s="421"/>
      <c r="G24" s="422"/>
    </row>
    <row r="25" spans="1:7" s="412" customFormat="1" ht="60" customHeight="1" x14ac:dyDescent="0.25">
      <c r="A25" s="409" t="s">
        <v>921</v>
      </c>
      <c r="B25" s="410"/>
      <c r="C25" s="410"/>
      <c r="D25" s="410"/>
      <c r="E25" s="410"/>
      <c r="F25" s="410"/>
      <c r="G25" s="411"/>
    </row>
    <row r="26" spans="1:7" s="412" customFormat="1" ht="30" customHeight="1" x14ac:dyDescent="0.25">
      <c r="A26" s="1642" t="s">
        <v>922</v>
      </c>
      <c r="B26" s="425"/>
      <c r="C26" s="425"/>
      <c r="D26" s="425"/>
      <c r="E26" s="425"/>
      <c r="F26" s="425"/>
      <c r="G26" s="426"/>
    </row>
    <row r="27" spans="1:7" ht="30" customHeight="1" x14ac:dyDescent="0.25">
      <c r="B27" s="822" t="s">
        <v>126</v>
      </c>
      <c r="C27" s="823" t="s">
        <v>125</v>
      </c>
      <c r="D27" s="824" t="s">
        <v>923</v>
      </c>
      <c r="E27" s="825" t="s">
        <v>968</v>
      </c>
      <c r="F27" s="425"/>
      <c r="G27" s="727"/>
    </row>
    <row r="28" spans="1:7" s="735" customFormat="1" ht="60" customHeight="1" x14ac:dyDescent="0.25">
      <c r="A28" s="418"/>
      <c r="B28" s="826" t="s">
        <v>343</v>
      </c>
      <c r="C28" s="873" t="s">
        <v>924</v>
      </c>
      <c r="D28" s="431"/>
      <c r="E28" s="432"/>
      <c r="F28" s="425"/>
      <c r="G28" s="422"/>
    </row>
    <row r="29" spans="1:7" s="735" customFormat="1" ht="15" customHeight="1" x14ac:dyDescent="0.25">
      <c r="A29" s="418"/>
      <c r="B29" s="829" t="s">
        <v>343</v>
      </c>
      <c r="C29" s="817" t="s">
        <v>925</v>
      </c>
      <c r="D29" s="60"/>
      <c r="E29" s="107"/>
      <c r="F29" s="425"/>
      <c r="G29" s="422"/>
    </row>
    <row r="30" spans="1:7" s="735" customFormat="1" ht="15" customHeight="1" x14ac:dyDescent="0.25">
      <c r="A30" s="418"/>
      <c r="B30" s="414"/>
      <c r="C30" s="817" t="s">
        <v>926</v>
      </c>
      <c r="D30" s="71"/>
      <c r="E30" s="415"/>
      <c r="F30" s="425"/>
      <c r="G30" s="422"/>
    </row>
    <row r="31" spans="1:7" s="735" customFormat="1" ht="15" customHeight="1" x14ac:dyDescent="0.25">
      <c r="A31" s="418"/>
      <c r="B31" s="414"/>
      <c r="C31" s="830" t="s">
        <v>212</v>
      </c>
      <c r="D31" s="831" t="str">
        <f>IF(AND(ISNUMBER(D28),ISNUMBER(D29),ISNUMBER(D30)),SUM(D28:D30),"")</f>
        <v/>
      </c>
      <c r="E31" s="792" t="str">
        <f>IF(AND(ISNUMBER(E28),ISNUMBER(E29),ISNUMBER(E30)),SUM(E28:E30),"")</f>
        <v/>
      </c>
      <c r="F31" s="425"/>
      <c r="G31" s="422"/>
    </row>
    <row r="32" spans="1:7" s="735" customFormat="1" ht="15" customHeight="1" x14ac:dyDescent="0.25">
      <c r="A32" s="418"/>
      <c r="B32" s="827" t="s">
        <v>344</v>
      </c>
      <c r="C32" s="820" t="s">
        <v>927</v>
      </c>
      <c r="D32" s="489"/>
      <c r="E32" s="490"/>
      <c r="F32" s="425"/>
      <c r="G32" s="422"/>
    </row>
    <row r="33" spans="1:7" s="735" customFormat="1" ht="15" customHeight="1" x14ac:dyDescent="0.25">
      <c r="A33" s="418"/>
      <c r="B33" s="416"/>
      <c r="C33" s="435" t="s">
        <v>127</v>
      </c>
      <c r="D33" s="486" t="str">
        <f>IF(AND(ISNUMBER(D31),ISNUMBER(D32)),SUM(D31:D32),"")</f>
        <v/>
      </c>
      <c r="E33" s="487" t="str">
        <f>IF(AND(ISNUMBER(E31),ISNUMBER(E32)),SUM(E31:E32),"")</f>
        <v/>
      </c>
      <c r="F33" s="425"/>
      <c r="G33" s="422"/>
    </row>
    <row r="34" spans="1:7" s="412" customFormat="1" ht="45" customHeight="1" x14ac:dyDescent="0.25">
      <c r="A34" s="424" t="s">
        <v>928</v>
      </c>
      <c r="B34" s="425"/>
      <c r="C34" s="425"/>
      <c r="D34" s="425"/>
      <c r="E34" s="425"/>
      <c r="F34" s="425"/>
      <c r="G34" s="426"/>
    </row>
    <row r="35" spans="1:7" ht="30" customHeight="1" x14ac:dyDescent="0.25">
      <c r="B35" s="822" t="s">
        <v>126</v>
      </c>
      <c r="C35" s="823" t="s">
        <v>125</v>
      </c>
      <c r="D35" s="824" t="s">
        <v>923</v>
      </c>
      <c r="E35" s="825" t="s">
        <v>968</v>
      </c>
      <c r="F35" s="798" t="s">
        <v>970</v>
      </c>
      <c r="G35" s="727"/>
    </row>
    <row r="36" spans="1:7" s="735" customFormat="1" ht="15" customHeight="1" x14ac:dyDescent="0.25">
      <c r="A36" s="418"/>
      <c r="B36" s="1576" t="s">
        <v>346</v>
      </c>
      <c r="C36" s="874" t="s">
        <v>929</v>
      </c>
      <c r="D36" s="431"/>
      <c r="E36" s="432"/>
      <c r="F36" s="432"/>
      <c r="G36" s="422"/>
    </row>
    <row r="37" spans="1:7" s="735" customFormat="1" ht="15" customHeight="1" x14ac:dyDescent="0.25">
      <c r="A37" s="418"/>
      <c r="B37" s="1575" t="s">
        <v>346</v>
      </c>
      <c r="C37" s="816" t="s">
        <v>930</v>
      </c>
      <c r="D37" s="60"/>
      <c r="E37" s="107"/>
      <c r="F37" s="107"/>
      <c r="G37" s="422"/>
    </row>
    <row r="38" spans="1:7" s="735" customFormat="1" ht="15" customHeight="1" x14ac:dyDescent="0.25">
      <c r="A38" s="418"/>
      <c r="B38" s="1575">
        <v>69</v>
      </c>
      <c r="C38" s="828" t="s">
        <v>931</v>
      </c>
      <c r="D38" s="60"/>
      <c r="E38" s="107"/>
      <c r="F38" s="107"/>
      <c r="G38" s="422"/>
    </row>
    <row r="39" spans="1:7" s="735" customFormat="1" ht="15" customHeight="1" x14ac:dyDescent="0.25">
      <c r="A39" s="418"/>
      <c r="B39" s="1575">
        <v>78</v>
      </c>
      <c r="C39" s="828" t="s">
        <v>932</v>
      </c>
      <c r="D39" s="60"/>
      <c r="E39" s="107"/>
      <c r="F39" s="107"/>
      <c r="G39" s="422"/>
    </row>
    <row r="40" spans="1:7" s="735" customFormat="1" ht="15" customHeight="1" x14ac:dyDescent="0.25">
      <c r="A40" s="418"/>
      <c r="B40" s="1575">
        <v>79</v>
      </c>
      <c r="C40" s="828" t="s">
        <v>933</v>
      </c>
      <c r="D40" s="71"/>
      <c r="E40" s="415"/>
      <c r="F40" s="107"/>
      <c r="G40" s="422"/>
    </row>
    <row r="41" spans="1:7" s="735" customFormat="1" ht="15" customHeight="1" x14ac:dyDescent="0.25">
      <c r="A41" s="418"/>
      <c r="B41" s="875">
        <v>73</v>
      </c>
      <c r="C41" s="817" t="s">
        <v>934</v>
      </c>
      <c r="D41" s="819" t="str">
        <f>IF(ISNUMBER(D12),D12,"")</f>
        <v/>
      </c>
      <c r="E41" s="819" t="str">
        <f>IF(ISNUMBER(E12),E12,"")</f>
        <v/>
      </c>
      <c r="F41" s="107"/>
      <c r="G41" s="422"/>
    </row>
    <row r="42" spans="1:7" s="735" customFormat="1" ht="15" customHeight="1" x14ac:dyDescent="0.25">
      <c r="A42" s="418"/>
      <c r="B42" s="875" t="s">
        <v>935</v>
      </c>
      <c r="C42" s="744" t="s">
        <v>936</v>
      </c>
      <c r="D42" s="71"/>
      <c r="E42" s="415"/>
      <c r="F42" s="107"/>
      <c r="G42" s="422"/>
    </row>
    <row r="43" spans="1:7" s="735" customFormat="1" ht="30" customHeight="1" x14ac:dyDescent="0.25">
      <c r="A43" s="418"/>
      <c r="B43" s="1575">
        <v>75</v>
      </c>
      <c r="C43" s="876" t="s">
        <v>937</v>
      </c>
      <c r="D43" s="71"/>
      <c r="E43" s="415"/>
      <c r="F43" s="107"/>
      <c r="G43" s="422"/>
    </row>
    <row r="44" spans="1:7" s="735" customFormat="1" ht="15" customHeight="1" x14ac:dyDescent="0.25">
      <c r="A44" s="418"/>
      <c r="B44" s="875" t="s">
        <v>938</v>
      </c>
      <c r="C44" s="877" t="s">
        <v>939</v>
      </c>
      <c r="D44" s="71"/>
      <c r="E44" s="415"/>
      <c r="F44" s="107"/>
      <c r="G44" s="422"/>
    </row>
    <row r="45" spans="1:7" s="735" customFormat="1" ht="15" customHeight="1" x14ac:dyDescent="0.25">
      <c r="A45" s="418"/>
      <c r="B45" s="1575">
        <v>74</v>
      </c>
      <c r="C45" s="816" t="s">
        <v>940</v>
      </c>
      <c r="D45" s="71"/>
      <c r="E45" s="415"/>
      <c r="F45" s="107"/>
      <c r="G45" s="422"/>
    </row>
    <row r="46" spans="1:7" s="735" customFormat="1" ht="15" customHeight="1" x14ac:dyDescent="0.25">
      <c r="A46" s="418"/>
      <c r="B46" s="1286" t="s">
        <v>1636</v>
      </c>
      <c r="C46" s="816" t="s">
        <v>941</v>
      </c>
      <c r="D46" s="71"/>
      <c r="E46" s="71"/>
      <c r="F46" s="107"/>
      <c r="G46" s="422"/>
    </row>
    <row r="47" spans="1:7" s="735" customFormat="1" ht="15" customHeight="1" x14ac:dyDescent="0.25">
      <c r="A47" s="418"/>
      <c r="B47" s="1575" t="s">
        <v>919</v>
      </c>
      <c r="C47" s="816" t="s">
        <v>976</v>
      </c>
      <c r="D47" s="47"/>
      <c r="E47" s="67"/>
      <c r="F47" s="792" t="str">
        <f>IF(ISNUMBER(D47),12.5*D47,"")</f>
        <v/>
      </c>
      <c r="G47" s="422"/>
    </row>
    <row r="48" spans="1:7" s="735" customFormat="1" ht="15" customHeight="1" x14ac:dyDescent="0.25">
      <c r="A48" s="418"/>
      <c r="B48" s="1575" t="s">
        <v>919</v>
      </c>
      <c r="C48" s="816" t="s">
        <v>977</v>
      </c>
      <c r="D48" s="47"/>
      <c r="E48" s="67"/>
      <c r="F48" s="792" t="str">
        <f>IF(ISNUMBER(D48),12.5*D48,"")</f>
        <v/>
      </c>
      <c r="G48" s="422"/>
    </row>
    <row r="49" spans="1:7" s="735" customFormat="1" ht="15" customHeight="1" x14ac:dyDescent="0.25">
      <c r="A49" s="418"/>
      <c r="B49" s="1575" t="s">
        <v>919</v>
      </c>
      <c r="C49" s="816" t="s">
        <v>978</v>
      </c>
      <c r="D49" s="47"/>
      <c r="E49" s="67"/>
      <c r="F49" s="792" t="str">
        <f>IF(ISNUMBER(D49),12.5*D49,"")</f>
        <v/>
      </c>
      <c r="G49" s="422"/>
    </row>
    <row r="50" spans="1:7" s="735" customFormat="1" ht="15" customHeight="1" x14ac:dyDescent="0.25">
      <c r="A50" s="418"/>
      <c r="B50" s="1575" t="s">
        <v>919</v>
      </c>
      <c r="C50" s="816" t="s">
        <v>979</v>
      </c>
      <c r="D50" s="47"/>
      <c r="E50" s="67"/>
      <c r="F50" s="792" t="str">
        <f>IF(ISNUMBER(D50),12.5*D50,"")</f>
        <v/>
      </c>
      <c r="G50" s="422"/>
    </row>
    <row r="51" spans="1:7" s="735" customFormat="1" ht="15" customHeight="1" x14ac:dyDescent="0.25">
      <c r="A51" s="418"/>
      <c r="B51" s="414"/>
      <c r="C51" s="1273" t="s">
        <v>1597</v>
      </c>
      <c r="D51" s="442"/>
      <c r="E51" s="69"/>
      <c r="F51" s="1175"/>
      <c r="G51" s="422"/>
    </row>
    <row r="52" spans="1:7" s="735" customFormat="1" ht="15" customHeight="1" x14ac:dyDescent="0.25">
      <c r="A52" s="418"/>
      <c r="B52" s="414"/>
      <c r="C52" s="1620" t="s">
        <v>87</v>
      </c>
      <c r="D52" s="495" t="str">
        <f>IF(AND(ISNUMBER(D33),ISNUMBER(D36),ISNUMBER(D37),ISNUMBER(D38),ISNUMBER(D39),ISNUMBER(D40),ISNUMBER(D41),ISNUMBER(D42),ISNUMBER(D43),ISNUMBER(D44),ISNUMBER(D45),ISNUMBER(D46)),D33-SUM(D36:D51),"")</f>
        <v/>
      </c>
      <c r="E52" s="496" t="str">
        <f>IF(AND(ISNUMBER(E33),ISNUMBER(E36),ISNUMBER(E37),ISNUMBER(E38),ISNUMBER(E39),ISNUMBER(E40),ISNUMBER(E41),ISNUMBER(E42),ISNUMBER(E43),ISNUMBER(E44),ISNUMBER(E45),ISNUMBER(E46)),E33-SUM(E36:E46),"")</f>
        <v/>
      </c>
      <c r="F52" s="496" t="str">
        <f>IF(AND(ISNUMBER(F36),ISNUMBER(F37),ISNUMBER(F38),ISNUMBER(F39),ISNUMBER(F40),ISNUMBER(F41),ISNUMBER(F42),ISNUMBER(F43),ISNUMBER(F44),ISNUMBER(F45),ISNUMBER(F46)),SUM(F36:F51),"")</f>
        <v/>
      </c>
      <c r="G52" s="422"/>
    </row>
    <row r="53" spans="1:7" s="735" customFormat="1" ht="28.5" x14ac:dyDescent="0.25">
      <c r="A53" s="418"/>
      <c r="B53" s="1575" t="s">
        <v>943</v>
      </c>
      <c r="C53" s="817" t="s">
        <v>944</v>
      </c>
      <c r="D53" s="489"/>
      <c r="E53" s="490"/>
      <c r="F53" s="525"/>
      <c r="G53" s="422"/>
    </row>
    <row r="54" spans="1:7" s="735" customFormat="1" ht="15" customHeight="1" x14ac:dyDescent="0.25">
      <c r="A54" s="418"/>
      <c r="B54" s="414"/>
      <c r="C54" s="1620" t="s">
        <v>87</v>
      </c>
      <c r="D54" s="495" t="str">
        <f>IF(AND(ISNUMBER(D52),ISNUMBER(D53)),D52-D53,"")</f>
        <v/>
      </c>
      <c r="E54" s="496" t="str">
        <f>IF(AND(ISNUMBER(E52),ISNUMBER(E53)),E52-E53,"")</f>
        <v/>
      </c>
      <c r="F54" s="496" t="str">
        <f>IF(AND(ISNUMBER(F52),ISNUMBER(F53)),F52+F53,"")</f>
        <v/>
      </c>
      <c r="G54" s="422"/>
    </row>
    <row r="55" spans="1:7" s="735" customFormat="1" ht="42.75" x14ac:dyDescent="0.25">
      <c r="A55" s="418"/>
      <c r="B55" s="1575" t="s">
        <v>945</v>
      </c>
      <c r="C55" s="817" t="s">
        <v>946</v>
      </c>
      <c r="D55" s="71"/>
      <c r="E55" s="415"/>
      <c r="F55" s="525"/>
      <c r="G55" s="422"/>
    </row>
    <row r="56" spans="1:7" s="735" customFormat="1" ht="15" customHeight="1" x14ac:dyDescent="0.25">
      <c r="A56" s="418"/>
      <c r="B56" s="1575">
        <v>87</v>
      </c>
      <c r="C56" s="744" t="s">
        <v>947</v>
      </c>
      <c r="D56" s="71"/>
      <c r="E56" s="415"/>
      <c r="F56" s="525"/>
      <c r="G56" s="422"/>
    </row>
    <row r="57" spans="1:7" s="735" customFormat="1" ht="15" customHeight="1" x14ac:dyDescent="0.25">
      <c r="A57" s="418"/>
      <c r="B57" s="414"/>
      <c r="C57" s="744" t="s">
        <v>948</v>
      </c>
      <c r="D57" s="71"/>
      <c r="E57" s="415"/>
      <c r="F57" s="525"/>
      <c r="G57" s="422"/>
    </row>
    <row r="58" spans="1:7" s="735" customFormat="1" ht="15" customHeight="1" x14ac:dyDescent="0.25">
      <c r="A58" s="418"/>
      <c r="B58" s="414"/>
      <c r="C58" s="1620" t="s">
        <v>88</v>
      </c>
      <c r="D58" s="495" t="str">
        <f>IF(AND(ISNUMBER(D54),ISNUMBER(D55),ISNUMBER(D56),ISNUMBER(D57)),D54-SUM(D55:D57),"")</f>
        <v/>
      </c>
      <c r="E58" s="496" t="str">
        <f>IF(AND(ISNUMBER(E54),ISNUMBER(E55),ISNUMBER(E56),ISNUMBER(E57)), E54-SUM(E55:E57),"")</f>
        <v/>
      </c>
      <c r="F58" s="496" t="str">
        <f>IF(AND(ISNUMBER(F54),ISNUMBER(F55),ISNUMBER(F56),ISNUMBER(F57)), F54+SUM(F55:F57),"")</f>
        <v/>
      </c>
      <c r="G58" s="422"/>
    </row>
    <row r="59" spans="1:7" s="735" customFormat="1" ht="15" customHeight="1" x14ac:dyDescent="0.25">
      <c r="A59" s="418"/>
      <c r="B59" s="414"/>
      <c r="C59" s="817" t="s">
        <v>128</v>
      </c>
      <c r="D59" s="818" t="str">
        <f>IF(AND(ISNUMBER(D80),ISNUMBER(D81)),D80-D81,"")</f>
        <v/>
      </c>
      <c r="E59" s="819" t="str">
        <f>IF(AND(ISNUMBER(E80),ISNUMBER(E81)),E80-E81,"")</f>
        <v/>
      </c>
      <c r="F59" s="67"/>
      <c r="G59" s="422"/>
    </row>
    <row r="60" spans="1:7" s="735" customFormat="1" ht="15" customHeight="1" x14ac:dyDescent="0.25">
      <c r="A60" s="418"/>
      <c r="B60" s="441"/>
      <c r="C60" s="820" t="s">
        <v>949</v>
      </c>
      <c r="D60" s="489"/>
      <c r="E60" s="490"/>
      <c r="F60" s="525"/>
      <c r="G60" s="422"/>
    </row>
    <row r="61" spans="1:7" s="735" customFormat="1" ht="15" customHeight="1" x14ac:dyDescent="0.25">
      <c r="A61" s="418"/>
      <c r="B61" s="738" t="s">
        <v>919</v>
      </c>
      <c r="C61" s="820" t="s">
        <v>1383</v>
      </c>
      <c r="D61" s="442"/>
      <c r="E61" s="67"/>
      <c r="F61" s="792" t="str">
        <f>IF(ISNUMBER(D61),-12.5*D61,"")</f>
        <v/>
      </c>
      <c r="G61" s="422"/>
    </row>
    <row r="62" spans="1:7" s="735" customFormat="1" ht="15" customHeight="1" x14ac:dyDescent="0.25">
      <c r="A62" s="418"/>
      <c r="B62" s="441"/>
      <c r="C62" s="1358" t="s">
        <v>942</v>
      </c>
      <c r="D62" s="442"/>
      <c r="E62" s="69"/>
      <c r="F62" s="95"/>
      <c r="G62" s="422"/>
    </row>
    <row r="63" spans="1:7" s="735" customFormat="1" ht="15" customHeight="1" x14ac:dyDescent="0.25">
      <c r="A63" s="418"/>
      <c r="B63" s="571"/>
      <c r="C63" s="572" t="s">
        <v>950</v>
      </c>
      <c r="D63" s="482" t="str">
        <f>IF(AND(ISNUMBER(D33),ISNUMBER(D64)),D33-D64,"")</f>
        <v/>
      </c>
      <c r="E63" s="483" t="str">
        <f>IF(AND(ISNUMBER(E33),ISNUMBER(E64)),E33-E64,"")</f>
        <v/>
      </c>
      <c r="F63" s="483" t="str">
        <f>IF(AND(ISNUMBER(F58),ISNUMBER(F60)),SUM(F58,F60:F62),"")</f>
        <v/>
      </c>
      <c r="G63" s="422"/>
    </row>
    <row r="64" spans="1:7" s="735" customFormat="1" ht="15" customHeight="1" x14ac:dyDescent="0.25">
      <c r="A64" s="418"/>
      <c r="B64" s="443"/>
      <c r="C64" s="573" t="s">
        <v>951</v>
      </c>
      <c r="D64" s="484" t="str">
        <f>IF(AND(ISNUMBER(D58),ISNUMBER(D59),ISNUMBER(D60)),D58-SUM(D59:D62),"")</f>
        <v/>
      </c>
      <c r="E64" s="485" t="str">
        <f>IF(AND(ISNUMBER(E58),ISNUMBER(E59),ISNUMBER(E60)),E58-SUM(E59:E60),"")</f>
        <v/>
      </c>
      <c r="F64" s="57"/>
      <c r="G64" s="422"/>
    </row>
    <row r="65" spans="1:7" s="735" customFormat="1" ht="15" customHeight="1" x14ac:dyDescent="0.25">
      <c r="A65" s="418"/>
      <c r="B65" s="444"/>
      <c r="C65" s="444"/>
      <c r="D65" s="446"/>
      <c r="E65" s="446"/>
      <c r="F65" s="446"/>
      <c r="G65" s="422"/>
    </row>
    <row r="66" spans="1:7" s="412" customFormat="1" ht="60" customHeight="1" x14ac:dyDescent="0.25">
      <c r="A66" s="409" t="s">
        <v>952</v>
      </c>
      <c r="B66" s="410"/>
      <c r="C66" s="410"/>
      <c r="D66" s="410"/>
      <c r="E66" s="410"/>
      <c r="F66" s="410"/>
      <c r="G66" s="411"/>
    </row>
    <row r="67" spans="1:7" s="412" customFormat="1" ht="30" customHeight="1" x14ac:dyDescent="0.25">
      <c r="A67" s="1642" t="s">
        <v>953</v>
      </c>
      <c r="B67" s="425"/>
      <c r="C67" s="425"/>
      <c r="D67" s="425"/>
      <c r="E67" s="425"/>
      <c r="F67" s="425"/>
      <c r="G67" s="426"/>
    </row>
    <row r="68" spans="1:7" ht="30" customHeight="1" x14ac:dyDescent="0.25">
      <c r="B68" s="427" t="s">
        <v>126</v>
      </c>
      <c r="C68" s="428" t="s">
        <v>125</v>
      </c>
      <c r="D68" s="429" t="s">
        <v>923</v>
      </c>
      <c r="E68" s="491" t="s">
        <v>968</v>
      </c>
      <c r="F68" s="425"/>
      <c r="G68" s="727"/>
    </row>
    <row r="69" spans="1:7" s="735" customFormat="1" ht="30" customHeight="1" x14ac:dyDescent="0.25">
      <c r="A69" s="418"/>
      <c r="B69" s="430" t="s">
        <v>345</v>
      </c>
      <c r="C69" s="1591" t="s">
        <v>405</v>
      </c>
      <c r="D69" s="447"/>
      <c r="E69" s="448"/>
      <c r="F69" s="425"/>
      <c r="G69" s="422"/>
    </row>
    <row r="70" spans="1:7" s="735" customFormat="1" ht="15" customHeight="1" x14ac:dyDescent="0.25">
      <c r="A70" s="418"/>
      <c r="B70" s="434" t="s">
        <v>344</v>
      </c>
      <c r="C70" s="1596" t="s">
        <v>1595</v>
      </c>
      <c r="D70" s="71"/>
      <c r="E70" s="415"/>
      <c r="F70" s="425"/>
      <c r="G70" s="422"/>
    </row>
    <row r="71" spans="1:7" s="735" customFormat="1" ht="15" customHeight="1" x14ac:dyDescent="0.25">
      <c r="A71" s="418"/>
      <c r="B71" s="416"/>
      <c r="C71" s="417" t="s">
        <v>1594</v>
      </c>
      <c r="D71" s="486" t="str">
        <f>IF(AND(ISNUMBER(D69),ISNUMBER(D70)),SUM(D69:D70),"")</f>
        <v/>
      </c>
      <c r="E71" s="487" t="str">
        <f>IF(AND(ISNUMBER(E69),ISNUMBER(E70)),SUM(E69:E70),"")</f>
        <v/>
      </c>
      <c r="F71" s="425"/>
      <c r="G71" s="422"/>
    </row>
    <row r="72" spans="1:7" s="412" customFormat="1" ht="45" customHeight="1" x14ac:dyDescent="0.25">
      <c r="A72" s="424" t="s">
        <v>954</v>
      </c>
      <c r="B72" s="425"/>
      <c r="C72" s="425"/>
      <c r="D72" s="425"/>
      <c r="E72" s="425"/>
      <c r="F72" s="425"/>
      <c r="G72" s="426"/>
    </row>
    <row r="73" spans="1:7" ht="30" customHeight="1" x14ac:dyDescent="0.25">
      <c r="B73" s="427" t="s">
        <v>126</v>
      </c>
      <c r="C73" s="428" t="s">
        <v>125</v>
      </c>
      <c r="D73" s="429" t="s">
        <v>923</v>
      </c>
      <c r="E73" s="491" t="s">
        <v>968</v>
      </c>
      <c r="F73" s="1359" t="s">
        <v>970</v>
      </c>
      <c r="G73" s="727"/>
    </row>
    <row r="74" spans="1:7" s="735" customFormat="1" ht="15" customHeight="1" x14ac:dyDescent="0.25">
      <c r="A74" s="418"/>
      <c r="B74" s="1590">
        <v>78</v>
      </c>
      <c r="C74" s="449" t="s">
        <v>980</v>
      </c>
      <c r="D74" s="447"/>
      <c r="E74" s="448"/>
      <c r="F74" s="448"/>
      <c r="G74" s="422"/>
    </row>
    <row r="75" spans="1:7" s="735" customFormat="1" ht="15" customHeight="1" x14ac:dyDescent="0.25">
      <c r="A75" s="418"/>
      <c r="B75" s="1585">
        <v>79</v>
      </c>
      <c r="C75" s="437" t="s">
        <v>963</v>
      </c>
      <c r="D75" s="71"/>
      <c r="E75" s="415"/>
      <c r="F75" s="415"/>
      <c r="G75" s="422"/>
    </row>
    <row r="76" spans="1:7" s="735" customFormat="1" ht="30" customHeight="1" x14ac:dyDescent="0.25">
      <c r="A76" s="418"/>
      <c r="B76" s="1585" t="s">
        <v>943</v>
      </c>
      <c r="C76" s="1586" t="s">
        <v>944</v>
      </c>
      <c r="D76" s="71"/>
      <c r="E76" s="415"/>
      <c r="F76" s="415"/>
      <c r="G76" s="422"/>
    </row>
    <row r="77" spans="1:7" s="735" customFormat="1" ht="30" customHeight="1" x14ac:dyDescent="0.25">
      <c r="A77" s="418"/>
      <c r="B77" s="1585" t="s">
        <v>945</v>
      </c>
      <c r="C77" s="1586" t="s">
        <v>946</v>
      </c>
      <c r="D77" s="71"/>
      <c r="E77" s="415"/>
      <c r="F77" s="415"/>
      <c r="G77" s="422"/>
    </row>
    <row r="78" spans="1:7" s="735" customFormat="1" ht="15" customHeight="1" x14ac:dyDescent="0.25">
      <c r="A78" s="418"/>
      <c r="B78" s="414"/>
      <c r="C78" s="436" t="s">
        <v>956</v>
      </c>
      <c r="D78" s="442"/>
      <c r="E78" s="69"/>
      <c r="F78" s="1175"/>
      <c r="G78" s="422"/>
    </row>
    <row r="79" spans="1:7" s="735" customFormat="1" ht="15" customHeight="1" x14ac:dyDescent="0.25">
      <c r="A79" s="418"/>
      <c r="B79" s="441"/>
      <c r="C79" s="493" t="s">
        <v>155</v>
      </c>
      <c r="D79" s="1199" t="str">
        <f>IF(AND(ISNUMBER(D99),ISNUMBER(D100)),D99-D100,"")</f>
        <v/>
      </c>
      <c r="E79" s="109" t="str">
        <f>IF(AND(ISNUMBER(E99),ISNUMBER(E100)),E99-E100,"")</f>
        <v/>
      </c>
      <c r="F79" s="67"/>
      <c r="G79" s="422"/>
    </row>
    <row r="80" spans="1:7" s="735" customFormat="1" ht="15" customHeight="1" x14ac:dyDescent="0.25">
      <c r="A80" s="418"/>
      <c r="B80" s="450"/>
      <c r="C80" s="451" t="s">
        <v>89</v>
      </c>
      <c r="D80" s="482" t="str">
        <f>IF(AND(ISNUMBER(D74),ISNUMBER(D75),ISNUMBER(D76),ISNUMBER(D77),ISNUMBER(D79)),SUM(D74:D79),"")</f>
        <v/>
      </c>
      <c r="E80" s="483" t="str">
        <f>IF(AND(ISNUMBER(E74),ISNUMBER(E75),ISNUMBER(E76),ISNUMBER(E77),ISNUMBER(E79)),SUM(E74:E77,E79),"")</f>
        <v/>
      </c>
      <c r="F80" s="483" t="str">
        <f>IF(AND(ISNUMBER(F74),ISNUMBER(F75),ISNUMBER(F76),ISNUMBER(F77)),SUM(F74:F78),"")</f>
        <v/>
      </c>
      <c r="G80" s="422"/>
    </row>
    <row r="81" spans="1:7" s="735" customFormat="1" ht="15" customHeight="1" x14ac:dyDescent="0.25">
      <c r="A81" s="418"/>
      <c r="B81" s="441"/>
      <c r="C81" s="574" t="s">
        <v>156</v>
      </c>
      <c r="D81" s="575" t="str">
        <f>IF(AND(ISNUMBER(D71),ISNUMBER(D80)),MIN(D71,D80),"")</f>
        <v/>
      </c>
      <c r="E81" s="576" t="str">
        <f>IF(AND(ISNUMBER(E71),ISNUMBER(E80)),MIN(E71,E80),"")</f>
        <v/>
      </c>
      <c r="F81" s="69"/>
      <c r="G81" s="422"/>
    </row>
    <row r="82" spans="1:7" s="735" customFormat="1" ht="15" customHeight="1" x14ac:dyDescent="0.25">
      <c r="A82" s="418"/>
      <c r="B82" s="443"/>
      <c r="C82" s="573" t="s">
        <v>957</v>
      </c>
      <c r="D82" s="484" t="str">
        <f>IF(AND(ISNUMBER(D71),ISNUMBER(D81)),D71-D81,"")</f>
        <v/>
      </c>
      <c r="E82" s="485" t="str">
        <f>IF(AND(ISNUMBER(E71),ISNUMBER(E81)),E71-E81,"")</f>
        <v/>
      </c>
      <c r="F82" s="57"/>
      <c r="G82" s="422"/>
    </row>
    <row r="83" spans="1:7" s="735" customFormat="1" ht="15" customHeight="1" x14ac:dyDescent="0.25">
      <c r="A83" s="418"/>
      <c r="B83" s="444"/>
      <c r="C83" s="445"/>
      <c r="D83" s="446"/>
      <c r="E83" s="446"/>
      <c r="F83" s="446"/>
      <c r="G83" s="422"/>
    </row>
    <row r="84" spans="1:7" s="412" customFormat="1" ht="60" customHeight="1" x14ac:dyDescent="0.25">
      <c r="A84" s="409" t="s">
        <v>958</v>
      </c>
      <c r="B84" s="410"/>
      <c r="C84" s="410"/>
      <c r="D84" s="410"/>
      <c r="E84" s="410"/>
      <c r="F84" s="410"/>
      <c r="G84" s="411"/>
    </row>
    <row r="85" spans="1:7" s="412" customFormat="1" ht="30" customHeight="1" x14ac:dyDescent="0.25">
      <c r="A85" s="1642" t="s">
        <v>959</v>
      </c>
      <c r="B85" s="425"/>
      <c r="C85" s="425"/>
      <c r="D85" s="425"/>
      <c r="E85" s="425"/>
      <c r="F85" s="425"/>
      <c r="G85" s="426"/>
    </row>
    <row r="86" spans="1:7" ht="30" customHeight="1" x14ac:dyDescent="0.25">
      <c r="B86" s="427" t="s">
        <v>126</v>
      </c>
      <c r="C86" s="428" t="s">
        <v>125</v>
      </c>
      <c r="D86" s="429" t="s">
        <v>923</v>
      </c>
      <c r="E86" s="491" t="s">
        <v>968</v>
      </c>
      <c r="F86" s="425"/>
      <c r="G86" s="727"/>
    </row>
    <row r="87" spans="1:7" s="735" customFormat="1" ht="30" customHeight="1" x14ac:dyDescent="0.25">
      <c r="A87" s="418"/>
      <c r="B87" s="433" t="s">
        <v>157</v>
      </c>
      <c r="C87" s="1586" t="s">
        <v>406</v>
      </c>
      <c r="D87" s="71"/>
      <c r="E87" s="415"/>
      <c r="F87" s="425"/>
      <c r="G87" s="422"/>
    </row>
    <row r="88" spans="1:7" s="735" customFormat="1" ht="15" customHeight="1" x14ac:dyDescent="0.25">
      <c r="A88" s="418"/>
      <c r="B88" s="433" t="s">
        <v>344</v>
      </c>
      <c r="C88" s="1586" t="s">
        <v>960</v>
      </c>
      <c r="D88" s="71"/>
      <c r="E88" s="415"/>
      <c r="F88" s="425"/>
      <c r="G88" s="422"/>
    </row>
    <row r="89" spans="1:7" s="735" customFormat="1" ht="15" customHeight="1" x14ac:dyDescent="0.25">
      <c r="A89" s="418"/>
      <c r="B89" s="66"/>
      <c r="C89" s="488" t="s">
        <v>317</v>
      </c>
      <c r="D89" s="85" t="str">
        <f>IF(ISNUMBER($D23),$D23,"")</f>
        <v/>
      </c>
      <c r="E89" s="19" t="str">
        <f>IF(ISNUMBER($D23),$D23,"")</f>
        <v/>
      </c>
      <c r="F89" s="425"/>
      <c r="G89" s="422"/>
    </row>
    <row r="90" spans="1:7" s="735" customFormat="1" ht="15" customHeight="1" x14ac:dyDescent="0.25">
      <c r="A90" s="418"/>
      <c r="B90" s="569"/>
      <c r="C90" s="570" t="s">
        <v>985</v>
      </c>
      <c r="D90" s="62"/>
      <c r="E90" s="95"/>
      <c r="F90" s="4"/>
      <c r="G90" s="422"/>
    </row>
    <row r="91" spans="1:7" s="735" customFormat="1" ht="15" customHeight="1" x14ac:dyDescent="0.25">
      <c r="A91" s="418"/>
      <c r="B91" s="416"/>
      <c r="C91" s="435" t="s">
        <v>961</v>
      </c>
      <c r="D91" s="567" t="str">
        <f>IF(AND(ISNUMBER(D87),ISNUMBER(D88),ISNUMBER(D89)),SUM(D87:D90),"")</f>
        <v/>
      </c>
      <c r="E91" s="568" t="str">
        <f>IF(AND(ISNUMBER(E87),ISNUMBER(E88),ISNUMBER(E89)),SUM(E87:E90),"")</f>
        <v/>
      </c>
      <c r="F91" s="425"/>
      <c r="G91" s="422"/>
    </row>
    <row r="92" spans="1:7" s="412" customFormat="1" ht="45" customHeight="1" x14ac:dyDescent="0.25">
      <c r="A92" s="424" t="s">
        <v>962</v>
      </c>
      <c r="B92" s="425"/>
      <c r="C92" s="425"/>
      <c r="D92" s="425"/>
      <c r="E92" s="425"/>
      <c r="F92" s="425"/>
      <c r="G92" s="426"/>
    </row>
    <row r="93" spans="1:7" ht="30" customHeight="1" x14ac:dyDescent="0.25">
      <c r="B93" s="427" t="s">
        <v>126</v>
      </c>
      <c r="C93" s="428" t="s">
        <v>125</v>
      </c>
      <c r="D93" s="429" t="s">
        <v>923</v>
      </c>
      <c r="E93" s="491" t="s">
        <v>968</v>
      </c>
      <c r="F93" s="1359" t="s">
        <v>970</v>
      </c>
      <c r="G93" s="727"/>
    </row>
    <row r="94" spans="1:7" s="735" customFormat="1" ht="15" customHeight="1" x14ac:dyDescent="0.25">
      <c r="A94" s="418"/>
      <c r="B94" s="1590">
        <v>78</v>
      </c>
      <c r="C94" s="449" t="s">
        <v>981</v>
      </c>
      <c r="D94" s="447"/>
      <c r="E94" s="448"/>
      <c r="F94" s="448"/>
      <c r="G94" s="422"/>
    </row>
    <row r="95" spans="1:7" s="735" customFormat="1" ht="15" customHeight="1" x14ac:dyDescent="0.25">
      <c r="A95" s="418"/>
      <c r="B95" s="1585">
        <v>79</v>
      </c>
      <c r="C95" s="437" t="s">
        <v>955</v>
      </c>
      <c r="D95" s="71"/>
      <c r="E95" s="415"/>
      <c r="F95" s="415"/>
      <c r="G95" s="422"/>
    </row>
    <row r="96" spans="1:7" s="735" customFormat="1" ht="30" customHeight="1" x14ac:dyDescent="0.25">
      <c r="A96" s="418"/>
      <c r="B96" s="1585" t="s">
        <v>943</v>
      </c>
      <c r="C96" s="1586" t="s">
        <v>944</v>
      </c>
      <c r="D96" s="71"/>
      <c r="E96" s="415"/>
      <c r="F96" s="415"/>
      <c r="G96" s="422"/>
    </row>
    <row r="97" spans="1:11" s="735" customFormat="1" ht="45" customHeight="1" x14ac:dyDescent="0.25">
      <c r="A97" s="418"/>
      <c r="B97" s="1585" t="s">
        <v>945</v>
      </c>
      <c r="C97" s="1586" t="s">
        <v>946</v>
      </c>
      <c r="D97" s="71"/>
      <c r="E97" s="415"/>
      <c r="F97" s="415"/>
      <c r="G97" s="422"/>
    </row>
    <row r="98" spans="1:11" s="735" customFormat="1" ht="15" customHeight="1" x14ac:dyDescent="0.25">
      <c r="A98" s="418"/>
      <c r="B98" s="414"/>
      <c r="C98" s="436" t="s">
        <v>964</v>
      </c>
      <c r="D98" s="442"/>
      <c r="E98" s="69"/>
      <c r="F98" s="415"/>
      <c r="G98" s="422"/>
    </row>
    <row r="99" spans="1:11" s="735" customFormat="1" ht="15" customHeight="1" x14ac:dyDescent="0.25">
      <c r="A99" s="418"/>
      <c r="B99" s="450"/>
      <c r="C99" s="451" t="s">
        <v>965</v>
      </c>
      <c r="D99" s="482" t="str">
        <f>IF(AND(ISNUMBER(D94),ISNUMBER(D95),ISNUMBER(D96),ISNUMBER(D97)),SUM(D94:D98),"")</f>
        <v/>
      </c>
      <c r="E99" s="483" t="str">
        <f>IF(AND(ISNUMBER(E94),ISNUMBER(E95),ISNUMBER(E96),ISNUMBER(E97)),SUM(E94:E97),"")</f>
        <v/>
      </c>
      <c r="F99" s="498" t="str">
        <f>IF(AND(ISNUMBER(F94),ISNUMBER(F95),ISNUMBER(F96),ISNUMBER(F97),ISNUMBER(F98)), SUM(F94:F98), "")</f>
        <v/>
      </c>
      <c r="G99" s="422"/>
    </row>
    <row r="100" spans="1:11" s="735" customFormat="1" ht="15" customHeight="1" x14ac:dyDescent="0.25">
      <c r="A100" s="418"/>
      <c r="B100" s="441"/>
      <c r="C100" s="577" t="s">
        <v>966</v>
      </c>
      <c r="D100" s="575" t="str">
        <f>IF(AND(ISNUMBER(D91),ISNUMBER(D99)),MIN(D91,D99),"")</f>
        <v/>
      </c>
      <c r="E100" s="576" t="str">
        <f>IF(AND(ISNUMBER(E91),ISNUMBER(E99)),MIN(E91,E99),"")</f>
        <v/>
      </c>
      <c r="F100" s="69"/>
      <c r="G100" s="422"/>
    </row>
    <row r="101" spans="1:11" s="735" customFormat="1" ht="15" customHeight="1" x14ac:dyDescent="0.25">
      <c r="A101" s="418"/>
      <c r="B101" s="443"/>
      <c r="C101" s="578" t="s">
        <v>967</v>
      </c>
      <c r="D101" s="484" t="str">
        <f>IF(AND(ISNUMBER(D91),ISNUMBER(D100)),D91-D100,"")</f>
        <v/>
      </c>
      <c r="E101" s="485" t="str">
        <f>IF(AND(ISNUMBER(E91),ISNUMBER(E100)),E91-E100,"")</f>
        <v/>
      </c>
      <c r="F101" s="57"/>
      <c r="G101" s="422"/>
    </row>
    <row r="102" spans="1:11" s="735" customFormat="1" ht="15" customHeight="1" x14ac:dyDescent="0.25">
      <c r="A102" s="418"/>
      <c r="B102" s="444"/>
      <c r="C102" s="445"/>
      <c r="D102" s="446"/>
      <c r="E102" s="446"/>
      <c r="F102" s="446"/>
      <c r="G102" s="422"/>
    </row>
    <row r="103" spans="1:11" s="412" customFormat="1" ht="60" customHeight="1" x14ac:dyDescent="0.25">
      <c r="A103" s="1685" t="s">
        <v>1637</v>
      </c>
      <c r="B103" s="1686"/>
      <c r="C103" s="1686"/>
      <c r="D103" s="1686"/>
      <c r="E103" s="1686"/>
      <c r="F103" s="1686"/>
      <c r="G103" s="411"/>
    </row>
    <row r="104" spans="1:11" s="1368" customFormat="1" ht="30" customHeight="1" x14ac:dyDescent="0.25">
      <c r="A104" s="187"/>
      <c r="B104" s="427" t="s">
        <v>126</v>
      </c>
      <c r="C104" s="1566"/>
      <c r="D104" s="429" t="s">
        <v>923</v>
      </c>
      <c r="E104" s="491" t="s">
        <v>968</v>
      </c>
      <c r="G104" s="1373"/>
      <c r="K104" s="1373"/>
    </row>
    <row r="105" spans="1:11" s="1368" customFormat="1" ht="15" customHeight="1" x14ac:dyDescent="0.25">
      <c r="A105" s="187"/>
      <c r="B105" s="571"/>
      <c r="C105" s="1210" t="s">
        <v>1721</v>
      </c>
      <c r="D105" s="38"/>
      <c r="E105" s="38"/>
      <c r="G105" s="1373"/>
      <c r="K105" s="1373"/>
    </row>
    <row r="106" spans="1:11" s="1368" customFormat="1" ht="15" customHeight="1" x14ac:dyDescent="0.25">
      <c r="A106" s="187"/>
      <c r="B106" s="414"/>
      <c r="C106" s="1388" t="s">
        <v>1483</v>
      </c>
      <c r="D106" s="107"/>
      <c r="E106" s="107"/>
      <c r="G106" s="1373"/>
      <c r="K106" s="1373"/>
    </row>
    <row r="107" spans="1:11" s="1368" customFormat="1" ht="15" customHeight="1" x14ac:dyDescent="0.25">
      <c r="A107" s="187"/>
      <c r="B107" s="414"/>
      <c r="C107" s="1388" t="s">
        <v>1484</v>
      </c>
      <c r="D107" s="107"/>
      <c r="E107" s="107"/>
      <c r="G107" s="1373"/>
      <c r="K107" s="1373"/>
    </row>
    <row r="108" spans="1:11" s="1368" customFormat="1" ht="15" customHeight="1" x14ac:dyDescent="0.25">
      <c r="A108" s="187"/>
      <c r="B108" s="443"/>
      <c r="C108" s="32" t="s">
        <v>1485</v>
      </c>
      <c r="D108" s="504"/>
      <c r="E108" s="504"/>
      <c r="G108" s="1373"/>
      <c r="K108" s="1373"/>
    </row>
    <row r="109" spans="1:11" s="412" customFormat="1" ht="15" customHeight="1" x14ac:dyDescent="0.25">
      <c r="A109" s="424"/>
      <c r="B109" s="571"/>
      <c r="C109" s="1210" t="s">
        <v>1722</v>
      </c>
      <c r="D109" s="38"/>
      <c r="E109" s="38"/>
      <c r="F109" s="425"/>
      <c r="G109" s="426"/>
    </row>
    <row r="110" spans="1:11" s="412" customFormat="1" ht="15" customHeight="1" x14ac:dyDescent="0.25">
      <c r="A110" s="424"/>
      <c r="B110" s="414"/>
      <c r="C110" s="1388" t="s">
        <v>1483</v>
      </c>
      <c r="D110" s="107"/>
      <c r="E110" s="107"/>
      <c r="F110" s="425"/>
      <c r="G110" s="426"/>
    </row>
    <row r="111" spans="1:11" s="412" customFormat="1" ht="15" customHeight="1" x14ac:dyDescent="0.25">
      <c r="A111" s="424"/>
      <c r="B111" s="414"/>
      <c r="C111" s="1388" t="s">
        <v>1484</v>
      </c>
      <c r="D111" s="107"/>
      <c r="E111" s="107"/>
      <c r="F111" s="425"/>
      <c r="G111" s="426"/>
    </row>
    <row r="112" spans="1:11" s="412" customFormat="1" ht="15" customHeight="1" x14ac:dyDescent="0.25">
      <c r="A112" s="424"/>
      <c r="B112" s="443"/>
      <c r="C112" s="32" t="s">
        <v>1485</v>
      </c>
      <c r="D112" s="504"/>
      <c r="E112" s="504"/>
      <c r="F112" s="425"/>
      <c r="G112" s="426"/>
    </row>
    <row r="113" spans="1:7" s="735" customFormat="1" ht="15" customHeight="1" x14ac:dyDescent="0.25">
      <c r="A113" s="452"/>
      <c r="B113" s="453"/>
      <c r="C113" s="454"/>
      <c r="D113" s="455"/>
      <c r="E113" s="455"/>
      <c r="F113" s="455"/>
      <c r="G113" s="456"/>
    </row>
  </sheetData>
  <dataConsolidate/>
  <mergeCells count="1">
    <mergeCell ref="A103:F103"/>
  </mergeCells>
  <conditionalFormatting sqref="D9:D14 E12 E14 D16:D18 D20:D22 D28:E29 D32:E32 D36:E40 D44:E46 D47:D51 D53:E53 D55:E57 D60:E60 D61:D62 D69:E70 D74:E77 D78 D87:E88 D90:E90 D94:E97 D98 D106:E108 D110:E112">
    <cfRule type="cellIs" dxfId="135" priority="2"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3" manualBreakCount="3">
    <brk id="33" max="5" man="1"/>
    <brk id="65" max="5" man="1"/>
    <brk id="8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sheetPr>
  <dimension ref="A1:AI32"/>
  <sheetViews>
    <sheetView zoomScale="75" zoomScaleNormal="75" workbookViewId="0"/>
  </sheetViews>
  <sheetFormatPr defaultColWidth="0" defaultRowHeight="15" customHeight="1" zeroHeight="1" x14ac:dyDescent="0.25"/>
  <cols>
    <col min="1" max="1" width="1.7109375" style="1362" customWidth="1"/>
    <col min="2" max="2" width="10.7109375" style="1362" customWidth="1"/>
    <col min="3" max="3" width="200.7109375" style="1362" customWidth="1"/>
    <col min="4" max="34" width="16.7109375" style="1362" customWidth="1"/>
    <col min="35" max="35" width="1.7109375" style="1362" customWidth="1"/>
    <col min="36" max="16384" width="16.7109375" style="1362" hidden="1"/>
  </cols>
  <sheetData>
    <row r="1" spans="1:35" ht="30" customHeight="1" x14ac:dyDescent="0.55000000000000004">
      <c r="A1" s="1238" t="s">
        <v>1632</v>
      </c>
      <c r="B1" s="1239"/>
      <c r="C1" s="1239"/>
      <c r="D1" s="1511" t="str">
        <f>CONCATENATE("Reporting unit: ", 'General Info'!$C$50, " ", 'General Info'!$C$49)</f>
        <v xml:space="preserve">Reporting unit: 1 </v>
      </c>
      <c r="E1" s="1360"/>
      <c r="F1" s="1360"/>
      <c r="G1" s="1360"/>
      <c r="H1" s="1360"/>
      <c r="I1" s="1360"/>
      <c r="J1" s="1360"/>
      <c r="K1" s="1360"/>
      <c r="L1" s="1360"/>
      <c r="M1" s="1360"/>
      <c r="N1" s="1360"/>
      <c r="O1" s="1360"/>
      <c r="P1" s="1360"/>
      <c r="Q1" s="1360"/>
      <c r="R1" s="1360"/>
      <c r="S1" s="1360"/>
      <c r="T1" s="1360"/>
      <c r="U1" s="1360"/>
      <c r="V1" s="1360"/>
      <c r="W1" s="1360"/>
      <c r="X1" s="1360"/>
      <c r="Y1" s="1360"/>
      <c r="Z1" s="1360"/>
      <c r="AA1" s="1360"/>
      <c r="AB1" s="1360"/>
      <c r="AC1" s="1360"/>
      <c r="AD1" s="1360"/>
      <c r="AE1" s="1360"/>
      <c r="AF1" s="1360"/>
      <c r="AG1" s="1360"/>
      <c r="AH1" s="1360"/>
      <c r="AI1" s="1361"/>
    </row>
    <row r="2" spans="1:35" s="1368" customFormat="1" ht="30" customHeight="1" x14ac:dyDescent="0.3">
      <c r="A2" s="1363" t="s">
        <v>1823</v>
      </c>
      <c r="B2" s="1364"/>
      <c r="C2" s="1365"/>
      <c r="D2" s="1365"/>
      <c r="E2" s="1365"/>
      <c r="F2" s="1366"/>
      <c r="G2" s="1366"/>
      <c r="H2" s="1366"/>
      <c r="I2" s="1366"/>
      <c r="J2" s="1366"/>
      <c r="K2" s="1366"/>
      <c r="L2" s="1366"/>
      <c r="M2" s="1366"/>
      <c r="N2" s="1366"/>
      <c r="O2" s="1366"/>
      <c r="P2" s="1366"/>
      <c r="Q2" s="1366"/>
      <c r="R2" s="1366"/>
      <c r="S2" s="1366"/>
      <c r="T2" s="1366"/>
      <c r="U2" s="1366"/>
      <c r="V2" s="1366"/>
      <c r="W2" s="1366"/>
      <c r="X2" s="1366"/>
      <c r="Y2" s="1366"/>
      <c r="Z2" s="1366"/>
      <c r="AA2" s="1366"/>
      <c r="AB2" s="1366"/>
      <c r="AC2" s="1366"/>
      <c r="AD2" s="1366"/>
      <c r="AE2" s="1366"/>
      <c r="AF2" s="1366"/>
      <c r="AG2" s="1366"/>
      <c r="AH2" s="1366"/>
      <c r="AI2" s="1367"/>
    </row>
    <row r="3" spans="1:35" ht="45" customHeight="1" x14ac:dyDescent="0.25">
      <c r="A3" s="1369"/>
      <c r="B3" s="1370" t="s">
        <v>193</v>
      </c>
      <c r="C3" s="1371"/>
      <c r="D3" s="1370"/>
      <c r="E3" s="1372"/>
      <c r="F3" s="1368"/>
      <c r="G3" s="1368"/>
      <c r="H3" s="1368"/>
      <c r="I3" s="1368"/>
      <c r="J3" s="1368"/>
      <c r="K3" s="1368"/>
      <c r="L3" s="1368"/>
      <c r="M3" s="1368"/>
      <c r="N3" s="1368"/>
      <c r="O3" s="1368"/>
      <c r="P3" s="1368"/>
      <c r="Q3" s="1368"/>
      <c r="R3" s="1368"/>
      <c r="S3" s="1368"/>
      <c r="T3" s="1368"/>
      <c r="U3" s="1368"/>
      <c r="V3" s="1368"/>
      <c r="W3" s="1368"/>
      <c r="X3" s="1368"/>
      <c r="Y3" s="1368"/>
      <c r="Z3" s="1368"/>
      <c r="AA3" s="1368"/>
      <c r="AB3" s="1368"/>
      <c r="AC3" s="1368"/>
      <c r="AD3" s="1368"/>
      <c r="AE3" s="1368"/>
      <c r="AF3" s="1368"/>
      <c r="AG3" s="1368"/>
      <c r="AH3" s="1368"/>
      <c r="AI3" s="1373"/>
    </row>
    <row r="4" spans="1:35" ht="30" customHeight="1" x14ac:dyDescent="0.25">
      <c r="A4" s="1369"/>
      <c r="B4" s="1374" t="s">
        <v>126</v>
      </c>
      <c r="C4" s="1374" t="s">
        <v>125</v>
      </c>
      <c r="D4" s="1375" t="s">
        <v>342</v>
      </c>
      <c r="E4" s="470">
        <v>1</v>
      </c>
      <c r="F4" s="470">
        <v>2</v>
      </c>
      <c r="G4" s="470">
        <v>3</v>
      </c>
      <c r="H4" s="470">
        <v>4</v>
      </c>
      <c r="I4" s="470">
        <v>5</v>
      </c>
      <c r="J4" s="470">
        <v>6</v>
      </c>
      <c r="K4" s="470">
        <v>7</v>
      </c>
      <c r="L4" s="470">
        <v>8</v>
      </c>
      <c r="M4" s="470">
        <v>9</v>
      </c>
      <c r="N4" s="470">
        <v>10</v>
      </c>
      <c r="O4" s="470">
        <v>11</v>
      </c>
      <c r="P4" s="470">
        <v>12</v>
      </c>
      <c r="Q4" s="470">
        <v>13</v>
      </c>
      <c r="R4" s="470">
        <v>14</v>
      </c>
      <c r="S4" s="470">
        <v>15</v>
      </c>
      <c r="T4" s="470">
        <v>16</v>
      </c>
      <c r="U4" s="470">
        <v>17</v>
      </c>
      <c r="V4" s="470">
        <v>18</v>
      </c>
      <c r="W4" s="470">
        <v>19</v>
      </c>
      <c r="X4" s="470">
        <v>20</v>
      </c>
      <c r="Y4" s="470">
        <v>21</v>
      </c>
      <c r="Z4" s="470">
        <v>22</v>
      </c>
      <c r="AA4" s="470">
        <v>23</v>
      </c>
      <c r="AB4" s="470">
        <v>24</v>
      </c>
      <c r="AC4" s="470">
        <v>25</v>
      </c>
      <c r="AD4" s="470">
        <v>26</v>
      </c>
      <c r="AE4" s="470">
        <v>27</v>
      </c>
      <c r="AF4" s="470">
        <v>28</v>
      </c>
      <c r="AG4" s="470">
        <v>29</v>
      </c>
      <c r="AH4" s="471">
        <v>30</v>
      </c>
      <c r="AI4" s="1373"/>
    </row>
    <row r="5" spans="1:35" s="1380" customFormat="1" ht="30" customHeight="1" x14ac:dyDescent="0.25">
      <c r="A5" s="1376"/>
      <c r="B5" s="1377">
        <v>62</v>
      </c>
      <c r="C5" s="1378" t="s">
        <v>402</v>
      </c>
      <c r="D5" s="472"/>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1177"/>
      <c r="AI5" s="1379"/>
    </row>
    <row r="6" spans="1:35" s="1380" customFormat="1" ht="15" customHeight="1" x14ac:dyDescent="0.25">
      <c r="A6" s="1376"/>
      <c r="B6" s="1381">
        <v>62</v>
      </c>
      <c r="C6" s="1382" t="s">
        <v>70</v>
      </c>
      <c r="D6" s="473"/>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1175"/>
      <c r="AI6" s="1379"/>
    </row>
    <row r="7" spans="1:35" s="1380" customFormat="1" ht="15" customHeight="1" x14ac:dyDescent="0.25">
      <c r="A7" s="1376"/>
      <c r="B7" s="1381">
        <v>62</v>
      </c>
      <c r="C7" s="1382" t="s">
        <v>71</v>
      </c>
      <c r="D7" s="473"/>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75"/>
      <c r="AI7" s="1379"/>
    </row>
    <row r="8" spans="1:35" s="1380" customFormat="1" ht="15" customHeight="1" x14ac:dyDescent="0.25">
      <c r="A8" s="1376"/>
      <c r="B8" s="1381">
        <v>63</v>
      </c>
      <c r="C8" s="1383" t="s">
        <v>403</v>
      </c>
      <c r="D8" s="473"/>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1175"/>
      <c r="AI8" s="1379"/>
    </row>
    <row r="9" spans="1:35" s="1380" customFormat="1" ht="15" customHeight="1" x14ac:dyDescent="0.25">
      <c r="A9" s="1376"/>
      <c r="B9" s="1381">
        <v>63</v>
      </c>
      <c r="C9" s="1382" t="s">
        <v>70</v>
      </c>
      <c r="D9" s="473"/>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1175"/>
      <c r="AI9" s="1379"/>
    </row>
    <row r="10" spans="1:35" s="1380" customFormat="1" ht="15" customHeight="1" x14ac:dyDescent="0.25">
      <c r="A10" s="1376"/>
      <c r="B10" s="1381">
        <v>63</v>
      </c>
      <c r="C10" s="1382" t="s">
        <v>71</v>
      </c>
      <c r="D10" s="473"/>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1175"/>
      <c r="AI10" s="1379"/>
    </row>
    <row r="11" spans="1:35" s="1380" customFormat="1" ht="15" customHeight="1" x14ac:dyDescent="0.25">
      <c r="A11" s="1376"/>
      <c r="B11" s="1381">
        <v>64</v>
      </c>
      <c r="C11" s="1383" t="s">
        <v>404</v>
      </c>
      <c r="D11" s="473"/>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1175"/>
      <c r="AI11" s="1379"/>
    </row>
    <row r="12" spans="1:35" s="1380" customFormat="1" ht="15" customHeight="1" x14ac:dyDescent="0.25">
      <c r="A12" s="1376"/>
      <c r="B12" s="1381">
        <v>64</v>
      </c>
      <c r="C12" s="1382" t="s">
        <v>70</v>
      </c>
      <c r="D12" s="473"/>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1175"/>
      <c r="AI12" s="1379"/>
    </row>
    <row r="13" spans="1:35" s="1380" customFormat="1" ht="15" customHeight="1" x14ac:dyDescent="0.25">
      <c r="A13" s="1376"/>
      <c r="B13" s="1381">
        <v>64</v>
      </c>
      <c r="C13" s="1382" t="s">
        <v>71</v>
      </c>
      <c r="D13" s="473"/>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75"/>
      <c r="AI13" s="1379"/>
    </row>
    <row r="14" spans="1:35" s="1380" customFormat="1" ht="15" customHeight="1" x14ac:dyDescent="0.25">
      <c r="A14" s="1376"/>
      <c r="B14" s="1381" t="s">
        <v>344</v>
      </c>
      <c r="C14" s="1383" t="s">
        <v>261</v>
      </c>
      <c r="D14" s="473"/>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1175"/>
      <c r="AI14" s="1379"/>
    </row>
    <row r="15" spans="1:35" s="1380" customFormat="1" ht="15" customHeight="1" x14ac:dyDescent="0.25">
      <c r="A15" s="1376"/>
      <c r="B15" s="1381" t="s">
        <v>344</v>
      </c>
      <c r="C15" s="1384" t="s">
        <v>271</v>
      </c>
      <c r="D15" s="473"/>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1175"/>
      <c r="AI15" s="1379"/>
    </row>
    <row r="16" spans="1:35" s="1380" customFormat="1" ht="15" customHeight="1" x14ac:dyDescent="0.25">
      <c r="A16" s="1376"/>
      <c r="B16" s="474"/>
      <c r="C16" s="1384" t="s">
        <v>272</v>
      </c>
      <c r="D16" s="473"/>
      <c r="E16" s="1385">
        <f>MIN(E14,E15)</f>
        <v>0</v>
      </c>
      <c r="F16" s="1385">
        <f>MIN(F14,F15)</f>
        <v>0</v>
      </c>
      <c r="G16" s="1385">
        <f t="shared" ref="G16:AH16" si="0">MIN(G14,G15)</f>
        <v>0</v>
      </c>
      <c r="H16" s="1385">
        <f t="shared" si="0"/>
        <v>0</v>
      </c>
      <c r="I16" s="1385">
        <f t="shared" si="0"/>
        <v>0</v>
      </c>
      <c r="J16" s="1385">
        <f t="shared" si="0"/>
        <v>0</v>
      </c>
      <c r="K16" s="1385">
        <f t="shared" si="0"/>
        <v>0</v>
      </c>
      <c r="L16" s="1385">
        <f t="shared" si="0"/>
        <v>0</v>
      </c>
      <c r="M16" s="1385">
        <f t="shared" si="0"/>
        <v>0</v>
      </c>
      <c r="N16" s="1385">
        <f t="shared" si="0"/>
        <v>0</v>
      </c>
      <c r="O16" s="1385">
        <f t="shared" si="0"/>
        <v>0</v>
      </c>
      <c r="P16" s="1385">
        <f t="shared" si="0"/>
        <v>0</v>
      </c>
      <c r="Q16" s="1385">
        <f t="shared" si="0"/>
        <v>0</v>
      </c>
      <c r="R16" s="1385">
        <f t="shared" si="0"/>
        <v>0</v>
      </c>
      <c r="S16" s="1385">
        <f t="shared" si="0"/>
        <v>0</v>
      </c>
      <c r="T16" s="1385">
        <f t="shared" si="0"/>
        <v>0</v>
      </c>
      <c r="U16" s="1385">
        <f t="shared" si="0"/>
        <v>0</v>
      </c>
      <c r="V16" s="1385">
        <f t="shared" si="0"/>
        <v>0</v>
      </c>
      <c r="W16" s="1385">
        <f t="shared" si="0"/>
        <v>0</v>
      </c>
      <c r="X16" s="1385">
        <f t="shared" si="0"/>
        <v>0</v>
      </c>
      <c r="Y16" s="1385">
        <f t="shared" si="0"/>
        <v>0</v>
      </c>
      <c r="Z16" s="1385">
        <f t="shared" si="0"/>
        <v>0</v>
      </c>
      <c r="AA16" s="1385">
        <f t="shared" si="0"/>
        <v>0</v>
      </c>
      <c r="AB16" s="1385">
        <f t="shared" si="0"/>
        <v>0</v>
      </c>
      <c r="AC16" s="1385">
        <f t="shared" si="0"/>
        <v>0</v>
      </c>
      <c r="AD16" s="1385">
        <f t="shared" si="0"/>
        <v>0</v>
      </c>
      <c r="AE16" s="1385">
        <f t="shared" si="0"/>
        <v>0</v>
      </c>
      <c r="AF16" s="1385">
        <f t="shared" si="0"/>
        <v>0</v>
      </c>
      <c r="AG16" s="1385">
        <f t="shared" si="0"/>
        <v>0</v>
      </c>
      <c r="AH16" s="1386">
        <f t="shared" si="0"/>
        <v>0</v>
      </c>
      <c r="AI16" s="1379"/>
    </row>
    <row r="17" spans="1:35" s="1380" customFormat="1" ht="15" customHeight="1" x14ac:dyDescent="0.25">
      <c r="A17" s="1376"/>
      <c r="B17" s="474"/>
      <c r="C17" s="1387" t="s">
        <v>225</v>
      </c>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5"/>
      <c r="AI17" s="1379"/>
    </row>
    <row r="18" spans="1:35" s="1380" customFormat="1" ht="15" customHeight="1" x14ac:dyDescent="0.25">
      <c r="A18" s="1376"/>
      <c r="B18" s="474"/>
      <c r="C18" s="1384" t="s">
        <v>232</v>
      </c>
      <c r="D18" s="473"/>
      <c r="E18" s="1385">
        <f>MAX(0,E5-0.07*E16)</f>
        <v>0</v>
      </c>
      <c r="F18" s="1385">
        <f>MAX(0,F5-0.07*F16)</f>
        <v>0</v>
      </c>
      <c r="G18" s="1385">
        <f t="shared" ref="G18:AF18" si="1">MAX(0,G5-0.07*G16)</f>
        <v>0</v>
      </c>
      <c r="H18" s="1385">
        <f t="shared" si="1"/>
        <v>0</v>
      </c>
      <c r="I18" s="1385">
        <f t="shared" si="1"/>
        <v>0</v>
      </c>
      <c r="J18" s="1385">
        <f t="shared" si="1"/>
        <v>0</v>
      </c>
      <c r="K18" s="1385">
        <f t="shared" si="1"/>
        <v>0</v>
      </c>
      <c r="L18" s="1385">
        <f t="shared" si="1"/>
        <v>0</v>
      </c>
      <c r="M18" s="1385">
        <f t="shared" si="1"/>
        <v>0</v>
      </c>
      <c r="N18" s="1385">
        <f t="shared" si="1"/>
        <v>0</v>
      </c>
      <c r="O18" s="1385">
        <f t="shared" si="1"/>
        <v>0</v>
      </c>
      <c r="P18" s="1385">
        <f t="shared" si="1"/>
        <v>0</v>
      </c>
      <c r="Q18" s="1385">
        <f t="shared" si="1"/>
        <v>0</v>
      </c>
      <c r="R18" s="1385">
        <f t="shared" si="1"/>
        <v>0</v>
      </c>
      <c r="S18" s="1385">
        <f t="shared" si="1"/>
        <v>0</v>
      </c>
      <c r="T18" s="1385">
        <f t="shared" si="1"/>
        <v>0</v>
      </c>
      <c r="U18" s="1385">
        <f t="shared" si="1"/>
        <v>0</v>
      </c>
      <c r="V18" s="1385">
        <f t="shared" si="1"/>
        <v>0</v>
      </c>
      <c r="W18" s="1385">
        <f t="shared" si="1"/>
        <v>0</v>
      </c>
      <c r="X18" s="1385">
        <f t="shared" si="1"/>
        <v>0</v>
      </c>
      <c r="Y18" s="1385">
        <f t="shared" si="1"/>
        <v>0</v>
      </c>
      <c r="Z18" s="1385">
        <f t="shared" si="1"/>
        <v>0</v>
      </c>
      <c r="AA18" s="1385">
        <f t="shared" si="1"/>
        <v>0</v>
      </c>
      <c r="AB18" s="1385">
        <f t="shared" si="1"/>
        <v>0</v>
      </c>
      <c r="AC18" s="1385">
        <f t="shared" si="1"/>
        <v>0</v>
      </c>
      <c r="AD18" s="1385">
        <f t="shared" si="1"/>
        <v>0</v>
      </c>
      <c r="AE18" s="1385">
        <f t="shared" si="1"/>
        <v>0</v>
      </c>
      <c r="AF18" s="1385">
        <f t="shared" si="1"/>
        <v>0</v>
      </c>
      <c r="AG18" s="1385">
        <f>MAX(0,AG5-0.07*AG16)</f>
        <v>0</v>
      </c>
      <c r="AH18" s="1386">
        <f>MAX(0,AH5-0.07*AH16)</f>
        <v>0</v>
      </c>
      <c r="AI18" s="1379"/>
    </row>
    <row r="19" spans="1:35" s="1380" customFormat="1" ht="15" customHeight="1" x14ac:dyDescent="0.25">
      <c r="A19" s="1376"/>
      <c r="B19" s="474"/>
      <c r="C19" s="1388" t="s">
        <v>194</v>
      </c>
      <c r="D19" s="473"/>
      <c r="E19" s="1385">
        <f>IF(E6+E7&gt;0, E18*E7/(E6+E7), 0)</f>
        <v>0</v>
      </c>
      <c r="F19" s="1385">
        <f t="shared" ref="F19:AH19" si="2">IF(F6+F7&gt;0, F18*F7/(F6+F7), 0)</f>
        <v>0</v>
      </c>
      <c r="G19" s="1385">
        <f t="shared" si="2"/>
        <v>0</v>
      </c>
      <c r="H19" s="1385">
        <f t="shared" si="2"/>
        <v>0</v>
      </c>
      <c r="I19" s="1385">
        <f t="shared" si="2"/>
        <v>0</v>
      </c>
      <c r="J19" s="1385">
        <f t="shared" si="2"/>
        <v>0</v>
      </c>
      <c r="K19" s="1385">
        <f t="shared" si="2"/>
        <v>0</v>
      </c>
      <c r="L19" s="1385">
        <f t="shared" si="2"/>
        <v>0</v>
      </c>
      <c r="M19" s="1385">
        <f t="shared" si="2"/>
        <v>0</v>
      </c>
      <c r="N19" s="1385">
        <f t="shared" si="2"/>
        <v>0</v>
      </c>
      <c r="O19" s="1385">
        <f t="shared" si="2"/>
        <v>0</v>
      </c>
      <c r="P19" s="1385">
        <f t="shared" si="2"/>
        <v>0</v>
      </c>
      <c r="Q19" s="1385">
        <f t="shared" si="2"/>
        <v>0</v>
      </c>
      <c r="R19" s="1385">
        <f t="shared" si="2"/>
        <v>0</v>
      </c>
      <c r="S19" s="1385">
        <f t="shared" si="2"/>
        <v>0</v>
      </c>
      <c r="T19" s="1385">
        <f t="shared" si="2"/>
        <v>0</v>
      </c>
      <c r="U19" s="1385">
        <f t="shared" si="2"/>
        <v>0</v>
      </c>
      <c r="V19" s="1385">
        <f t="shared" si="2"/>
        <v>0</v>
      </c>
      <c r="W19" s="1385">
        <f t="shared" si="2"/>
        <v>0</v>
      </c>
      <c r="X19" s="1385">
        <f t="shared" si="2"/>
        <v>0</v>
      </c>
      <c r="Y19" s="1385">
        <f t="shared" si="2"/>
        <v>0</v>
      </c>
      <c r="Z19" s="1385">
        <f t="shared" si="2"/>
        <v>0</v>
      </c>
      <c r="AA19" s="1385">
        <f t="shared" si="2"/>
        <v>0</v>
      </c>
      <c r="AB19" s="1385">
        <f t="shared" si="2"/>
        <v>0</v>
      </c>
      <c r="AC19" s="1385">
        <f t="shared" si="2"/>
        <v>0</v>
      </c>
      <c r="AD19" s="1385">
        <f t="shared" si="2"/>
        <v>0</v>
      </c>
      <c r="AE19" s="1385">
        <f t="shared" si="2"/>
        <v>0</v>
      </c>
      <c r="AF19" s="1385">
        <f t="shared" si="2"/>
        <v>0</v>
      </c>
      <c r="AG19" s="1385">
        <f t="shared" si="2"/>
        <v>0</v>
      </c>
      <c r="AH19" s="1386">
        <f t="shared" si="2"/>
        <v>0</v>
      </c>
      <c r="AI19" s="1379"/>
    </row>
    <row r="20" spans="1:35" s="1380" customFormat="1" ht="15" customHeight="1" x14ac:dyDescent="0.25">
      <c r="A20" s="1376"/>
      <c r="B20" s="474"/>
      <c r="C20" s="1389" t="s">
        <v>226</v>
      </c>
      <c r="D20" s="473"/>
      <c r="E20" s="1385">
        <f>E7-E19</f>
        <v>0</v>
      </c>
      <c r="F20" s="1385">
        <f>F7-F19</f>
        <v>0</v>
      </c>
      <c r="G20" s="1385">
        <f t="shared" ref="G20:AH20" si="3">G7-G19</f>
        <v>0</v>
      </c>
      <c r="H20" s="1385">
        <f t="shared" si="3"/>
        <v>0</v>
      </c>
      <c r="I20" s="1385">
        <f t="shared" si="3"/>
        <v>0</v>
      </c>
      <c r="J20" s="1385">
        <f t="shared" si="3"/>
        <v>0</v>
      </c>
      <c r="K20" s="1385">
        <f t="shared" si="3"/>
        <v>0</v>
      </c>
      <c r="L20" s="1385">
        <f t="shared" si="3"/>
        <v>0</v>
      </c>
      <c r="M20" s="1385">
        <f t="shared" si="3"/>
        <v>0</v>
      </c>
      <c r="N20" s="1385">
        <f t="shared" si="3"/>
        <v>0</v>
      </c>
      <c r="O20" s="1385">
        <f t="shared" si="3"/>
        <v>0</v>
      </c>
      <c r="P20" s="1385">
        <f t="shared" si="3"/>
        <v>0</v>
      </c>
      <c r="Q20" s="1385">
        <f t="shared" si="3"/>
        <v>0</v>
      </c>
      <c r="R20" s="1385">
        <f t="shared" si="3"/>
        <v>0</v>
      </c>
      <c r="S20" s="1385">
        <f t="shared" si="3"/>
        <v>0</v>
      </c>
      <c r="T20" s="1385">
        <f t="shared" si="3"/>
        <v>0</v>
      </c>
      <c r="U20" s="1385">
        <f t="shared" si="3"/>
        <v>0</v>
      </c>
      <c r="V20" s="1385">
        <f t="shared" si="3"/>
        <v>0</v>
      </c>
      <c r="W20" s="1385">
        <f t="shared" si="3"/>
        <v>0</v>
      </c>
      <c r="X20" s="1385">
        <f t="shared" si="3"/>
        <v>0</v>
      </c>
      <c r="Y20" s="1385">
        <f t="shared" si="3"/>
        <v>0</v>
      </c>
      <c r="Z20" s="1385">
        <f t="shared" si="3"/>
        <v>0</v>
      </c>
      <c r="AA20" s="1385">
        <f t="shared" si="3"/>
        <v>0</v>
      </c>
      <c r="AB20" s="1385">
        <f t="shared" si="3"/>
        <v>0</v>
      </c>
      <c r="AC20" s="1385">
        <f t="shared" si="3"/>
        <v>0</v>
      </c>
      <c r="AD20" s="1385">
        <f t="shared" si="3"/>
        <v>0</v>
      </c>
      <c r="AE20" s="1385">
        <f t="shared" si="3"/>
        <v>0</v>
      </c>
      <c r="AF20" s="1385">
        <f t="shared" si="3"/>
        <v>0</v>
      </c>
      <c r="AG20" s="1385">
        <f t="shared" si="3"/>
        <v>0</v>
      </c>
      <c r="AH20" s="1386">
        <f t="shared" si="3"/>
        <v>0</v>
      </c>
      <c r="AI20" s="1379"/>
    </row>
    <row r="21" spans="1:35" s="1380" customFormat="1" ht="15" customHeight="1" x14ac:dyDescent="0.25">
      <c r="A21" s="1376"/>
      <c r="B21" s="474"/>
      <c r="C21" s="1390" t="s">
        <v>227</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5"/>
      <c r="AI21" s="1379"/>
    </row>
    <row r="22" spans="1:35" s="1380" customFormat="1" ht="15" customHeight="1" x14ac:dyDescent="0.25">
      <c r="A22" s="1376"/>
      <c r="B22" s="474"/>
      <c r="C22" s="1384" t="s">
        <v>228</v>
      </c>
      <c r="D22" s="473"/>
      <c r="E22" s="1385">
        <f>MAX(0,E8-0.085*E16)</f>
        <v>0</v>
      </c>
      <c r="F22" s="1385">
        <f>MAX(0,F8-0.085*F16)</f>
        <v>0</v>
      </c>
      <c r="G22" s="1385">
        <f t="shared" ref="G22:AF22" si="4">MAX(0,G8-0.085*G16)</f>
        <v>0</v>
      </c>
      <c r="H22" s="1385">
        <f t="shared" si="4"/>
        <v>0</v>
      </c>
      <c r="I22" s="1385">
        <f t="shared" si="4"/>
        <v>0</v>
      </c>
      <c r="J22" s="1385">
        <f t="shared" si="4"/>
        <v>0</v>
      </c>
      <c r="K22" s="1385">
        <f t="shared" si="4"/>
        <v>0</v>
      </c>
      <c r="L22" s="1385">
        <f t="shared" si="4"/>
        <v>0</v>
      </c>
      <c r="M22" s="1385">
        <f t="shared" si="4"/>
        <v>0</v>
      </c>
      <c r="N22" s="1385">
        <f t="shared" si="4"/>
        <v>0</v>
      </c>
      <c r="O22" s="1385">
        <f t="shared" si="4"/>
        <v>0</v>
      </c>
      <c r="P22" s="1385">
        <f t="shared" si="4"/>
        <v>0</v>
      </c>
      <c r="Q22" s="1385">
        <f t="shared" si="4"/>
        <v>0</v>
      </c>
      <c r="R22" s="1385">
        <f t="shared" si="4"/>
        <v>0</v>
      </c>
      <c r="S22" s="1385">
        <f t="shared" si="4"/>
        <v>0</v>
      </c>
      <c r="T22" s="1385">
        <f t="shared" si="4"/>
        <v>0</v>
      </c>
      <c r="U22" s="1385">
        <f t="shared" si="4"/>
        <v>0</v>
      </c>
      <c r="V22" s="1385">
        <f t="shared" si="4"/>
        <v>0</v>
      </c>
      <c r="W22" s="1385">
        <f t="shared" si="4"/>
        <v>0</v>
      </c>
      <c r="X22" s="1385">
        <f t="shared" si="4"/>
        <v>0</v>
      </c>
      <c r="Y22" s="1385">
        <f t="shared" si="4"/>
        <v>0</v>
      </c>
      <c r="Z22" s="1385">
        <f t="shared" si="4"/>
        <v>0</v>
      </c>
      <c r="AA22" s="1385">
        <f t="shared" si="4"/>
        <v>0</v>
      </c>
      <c r="AB22" s="1385">
        <f t="shared" si="4"/>
        <v>0</v>
      </c>
      <c r="AC22" s="1385">
        <f t="shared" si="4"/>
        <v>0</v>
      </c>
      <c r="AD22" s="1385">
        <f t="shared" si="4"/>
        <v>0</v>
      </c>
      <c r="AE22" s="1385">
        <f t="shared" si="4"/>
        <v>0</v>
      </c>
      <c r="AF22" s="1385">
        <f t="shared" si="4"/>
        <v>0</v>
      </c>
      <c r="AG22" s="1385">
        <f>MAX(0,AG8-0.085*AG16)</f>
        <v>0</v>
      </c>
      <c r="AH22" s="1386">
        <f>MAX(0,AH8-0.085*AH16)</f>
        <v>0</v>
      </c>
      <c r="AI22" s="1379"/>
    </row>
    <row r="23" spans="1:35" s="1380" customFormat="1" ht="15" customHeight="1" x14ac:dyDescent="0.25">
      <c r="A23" s="1376"/>
      <c r="B23" s="474"/>
      <c r="C23" s="1388" t="s">
        <v>194</v>
      </c>
      <c r="D23" s="473"/>
      <c r="E23" s="1385">
        <f>IF(E9+E10&gt;0, E22*E10/(E9+E10), 0)</f>
        <v>0</v>
      </c>
      <c r="F23" s="1385">
        <f t="shared" ref="F23:AH23" si="5">IF(F9+F10&gt;0, F22*F10/(F9+F10), 0)</f>
        <v>0</v>
      </c>
      <c r="G23" s="1385">
        <f t="shared" si="5"/>
        <v>0</v>
      </c>
      <c r="H23" s="1385">
        <f t="shared" si="5"/>
        <v>0</v>
      </c>
      <c r="I23" s="1385">
        <f t="shared" si="5"/>
        <v>0</v>
      </c>
      <c r="J23" s="1385">
        <f t="shared" si="5"/>
        <v>0</v>
      </c>
      <c r="K23" s="1385">
        <f t="shared" si="5"/>
        <v>0</v>
      </c>
      <c r="L23" s="1385">
        <f t="shared" si="5"/>
        <v>0</v>
      </c>
      <c r="M23" s="1385">
        <f t="shared" si="5"/>
        <v>0</v>
      </c>
      <c r="N23" s="1385">
        <f t="shared" si="5"/>
        <v>0</v>
      </c>
      <c r="O23" s="1385">
        <f t="shared" si="5"/>
        <v>0</v>
      </c>
      <c r="P23" s="1385">
        <f t="shared" si="5"/>
        <v>0</v>
      </c>
      <c r="Q23" s="1385">
        <f t="shared" si="5"/>
        <v>0</v>
      </c>
      <c r="R23" s="1385">
        <f t="shared" si="5"/>
        <v>0</v>
      </c>
      <c r="S23" s="1385">
        <f t="shared" si="5"/>
        <v>0</v>
      </c>
      <c r="T23" s="1385">
        <f t="shared" si="5"/>
        <v>0</v>
      </c>
      <c r="U23" s="1385">
        <f t="shared" si="5"/>
        <v>0</v>
      </c>
      <c r="V23" s="1385">
        <f t="shared" si="5"/>
        <v>0</v>
      </c>
      <c r="W23" s="1385">
        <f t="shared" si="5"/>
        <v>0</v>
      </c>
      <c r="X23" s="1385">
        <f t="shared" si="5"/>
        <v>0</v>
      </c>
      <c r="Y23" s="1385">
        <f t="shared" si="5"/>
        <v>0</v>
      </c>
      <c r="Z23" s="1385">
        <f t="shared" si="5"/>
        <v>0</v>
      </c>
      <c r="AA23" s="1385">
        <f t="shared" si="5"/>
        <v>0</v>
      </c>
      <c r="AB23" s="1385">
        <f t="shared" si="5"/>
        <v>0</v>
      </c>
      <c r="AC23" s="1385">
        <f t="shared" si="5"/>
        <v>0</v>
      </c>
      <c r="AD23" s="1385">
        <f t="shared" si="5"/>
        <v>0</v>
      </c>
      <c r="AE23" s="1385">
        <f t="shared" si="5"/>
        <v>0</v>
      </c>
      <c r="AF23" s="1385">
        <f t="shared" si="5"/>
        <v>0</v>
      </c>
      <c r="AG23" s="1385">
        <f t="shared" si="5"/>
        <v>0</v>
      </c>
      <c r="AH23" s="1386">
        <f t="shared" si="5"/>
        <v>0</v>
      </c>
      <c r="AI23" s="1379"/>
    </row>
    <row r="24" spans="1:35" s="1380" customFormat="1" ht="15" customHeight="1" x14ac:dyDescent="0.25">
      <c r="A24" s="1376"/>
      <c r="B24" s="474"/>
      <c r="C24" s="1389" t="s">
        <v>229</v>
      </c>
      <c r="D24" s="473"/>
      <c r="E24" s="1385">
        <f>E10-E23</f>
        <v>0</v>
      </c>
      <c r="F24" s="1385">
        <f>F10-F23</f>
        <v>0</v>
      </c>
      <c r="G24" s="1385">
        <f t="shared" ref="G24:AH24" si="6">G10-G23</f>
        <v>0</v>
      </c>
      <c r="H24" s="1385">
        <f t="shared" si="6"/>
        <v>0</v>
      </c>
      <c r="I24" s="1385">
        <f t="shared" si="6"/>
        <v>0</v>
      </c>
      <c r="J24" s="1385">
        <f t="shared" si="6"/>
        <v>0</v>
      </c>
      <c r="K24" s="1385">
        <f t="shared" si="6"/>
        <v>0</v>
      </c>
      <c r="L24" s="1385">
        <f t="shared" si="6"/>
        <v>0</v>
      </c>
      <c r="M24" s="1385">
        <f t="shared" si="6"/>
        <v>0</v>
      </c>
      <c r="N24" s="1385">
        <f t="shared" si="6"/>
        <v>0</v>
      </c>
      <c r="O24" s="1385">
        <f t="shared" si="6"/>
        <v>0</v>
      </c>
      <c r="P24" s="1385">
        <f t="shared" si="6"/>
        <v>0</v>
      </c>
      <c r="Q24" s="1385">
        <f t="shared" si="6"/>
        <v>0</v>
      </c>
      <c r="R24" s="1385">
        <f t="shared" si="6"/>
        <v>0</v>
      </c>
      <c r="S24" s="1385">
        <f t="shared" si="6"/>
        <v>0</v>
      </c>
      <c r="T24" s="1385">
        <f t="shared" si="6"/>
        <v>0</v>
      </c>
      <c r="U24" s="1385">
        <f t="shared" si="6"/>
        <v>0</v>
      </c>
      <c r="V24" s="1385">
        <f t="shared" si="6"/>
        <v>0</v>
      </c>
      <c r="W24" s="1385">
        <f t="shared" si="6"/>
        <v>0</v>
      </c>
      <c r="X24" s="1385">
        <f t="shared" si="6"/>
        <v>0</v>
      </c>
      <c r="Y24" s="1385">
        <f t="shared" si="6"/>
        <v>0</v>
      </c>
      <c r="Z24" s="1385">
        <f t="shared" si="6"/>
        <v>0</v>
      </c>
      <c r="AA24" s="1385">
        <f t="shared" si="6"/>
        <v>0</v>
      </c>
      <c r="AB24" s="1385">
        <f t="shared" si="6"/>
        <v>0</v>
      </c>
      <c r="AC24" s="1385">
        <f t="shared" si="6"/>
        <v>0</v>
      </c>
      <c r="AD24" s="1385">
        <f t="shared" si="6"/>
        <v>0</v>
      </c>
      <c r="AE24" s="1385">
        <f t="shared" si="6"/>
        <v>0</v>
      </c>
      <c r="AF24" s="1385">
        <f t="shared" si="6"/>
        <v>0</v>
      </c>
      <c r="AG24" s="1385">
        <f t="shared" si="6"/>
        <v>0</v>
      </c>
      <c r="AH24" s="1386">
        <f t="shared" si="6"/>
        <v>0</v>
      </c>
      <c r="AI24" s="1379"/>
    </row>
    <row r="25" spans="1:35" s="1380" customFormat="1" ht="15" customHeight="1" x14ac:dyDescent="0.25">
      <c r="A25" s="1376"/>
      <c r="B25" s="474"/>
      <c r="C25" s="1390" t="s">
        <v>230</v>
      </c>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5"/>
      <c r="AI25" s="1379"/>
    </row>
    <row r="26" spans="1:35" s="1380" customFormat="1" ht="15" customHeight="1" x14ac:dyDescent="0.25">
      <c r="A26" s="1376"/>
      <c r="B26" s="474"/>
      <c r="C26" s="1384" t="s">
        <v>231</v>
      </c>
      <c r="D26" s="473"/>
      <c r="E26" s="1385">
        <f>MAX(0,E11-0.105*E16)</f>
        <v>0</v>
      </c>
      <c r="F26" s="1385">
        <f>MAX(0,F11-0.105*F16)</f>
        <v>0</v>
      </c>
      <c r="G26" s="1385">
        <f t="shared" ref="G26:AF26" si="7">MAX(0,G11-0.105*G16)</f>
        <v>0</v>
      </c>
      <c r="H26" s="1385">
        <f t="shared" si="7"/>
        <v>0</v>
      </c>
      <c r="I26" s="1385">
        <f t="shared" si="7"/>
        <v>0</v>
      </c>
      <c r="J26" s="1385">
        <f t="shared" si="7"/>
        <v>0</v>
      </c>
      <c r="K26" s="1385">
        <f t="shared" si="7"/>
        <v>0</v>
      </c>
      <c r="L26" s="1385">
        <f t="shared" si="7"/>
        <v>0</v>
      </c>
      <c r="M26" s="1385">
        <f t="shared" si="7"/>
        <v>0</v>
      </c>
      <c r="N26" s="1385">
        <f t="shared" si="7"/>
        <v>0</v>
      </c>
      <c r="O26" s="1385">
        <f t="shared" si="7"/>
        <v>0</v>
      </c>
      <c r="P26" s="1385">
        <f t="shared" si="7"/>
        <v>0</v>
      </c>
      <c r="Q26" s="1385">
        <f t="shared" si="7"/>
        <v>0</v>
      </c>
      <c r="R26" s="1385">
        <f t="shared" si="7"/>
        <v>0</v>
      </c>
      <c r="S26" s="1385">
        <f t="shared" si="7"/>
        <v>0</v>
      </c>
      <c r="T26" s="1385">
        <f t="shared" si="7"/>
        <v>0</v>
      </c>
      <c r="U26" s="1385">
        <f t="shared" si="7"/>
        <v>0</v>
      </c>
      <c r="V26" s="1385">
        <f t="shared" si="7"/>
        <v>0</v>
      </c>
      <c r="W26" s="1385">
        <f t="shared" si="7"/>
        <v>0</v>
      </c>
      <c r="X26" s="1385">
        <f t="shared" si="7"/>
        <v>0</v>
      </c>
      <c r="Y26" s="1385">
        <f t="shared" si="7"/>
        <v>0</v>
      </c>
      <c r="Z26" s="1385">
        <f t="shared" si="7"/>
        <v>0</v>
      </c>
      <c r="AA26" s="1385">
        <f t="shared" si="7"/>
        <v>0</v>
      </c>
      <c r="AB26" s="1385">
        <f t="shared" si="7"/>
        <v>0</v>
      </c>
      <c r="AC26" s="1385">
        <f t="shared" si="7"/>
        <v>0</v>
      </c>
      <c r="AD26" s="1385">
        <f t="shared" si="7"/>
        <v>0</v>
      </c>
      <c r="AE26" s="1385">
        <f t="shared" si="7"/>
        <v>0</v>
      </c>
      <c r="AF26" s="1385">
        <f t="shared" si="7"/>
        <v>0</v>
      </c>
      <c r="AG26" s="1385">
        <f>MAX(0,AG11-0.105*AG16)</f>
        <v>0</v>
      </c>
      <c r="AH26" s="1386">
        <f>MAX(0,AH11-0.105*AH16)</f>
        <v>0</v>
      </c>
      <c r="AI26" s="1379"/>
    </row>
    <row r="27" spans="1:35" s="1380" customFormat="1" ht="15" customHeight="1" x14ac:dyDescent="0.25">
      <c r="A27" s="1376"/>
      <c r="B27" s="474"/>
      <c r="C27" s="1388" t="s">
        <v>194</v>
      </c>
      <c r="D27" s="473"/>
      <c r="E27" s="1385">
        <f>IF(E12+E13&gt;0, E26*E13/(E12+E13), 0)</f>
        <v>0</v>
      </c>
      <c r="F27" s="1385">
        <f t="shared" ref="F27:AH27" si="8">IF(F12+F13&gt;0, F26*F13/(F12+F13), 0)</f>
        <v>0</v>
      </c>
      <c r="G27" s="1385">
        <f t="shared" si="8"/>
        <v>0</v>
      </c>
      <c r="H27" s="1385">
        <f t="shared" si="8"/>
        <v>0</v>
      </c>
      <c r="I27" s="1385">
        <f t="shared" si="8"/>
        <v>0</v>
      </c>
      <c r="J27" s="1385">
        <f t="shared" si="8"/>
        <v>0</v>
      </c>
      <c r="K27" s="1385">
        <f t="shared" si="8"/>
        <v>0</v>
      </c>
      <c r="L27" s="1385">
        <f t="shared" si="8"/>
        <v>0</v>
      </c>
      <c r="M27" s="1385">
        <f t="shared" si="8"/>
        <v>0</v>
      </c>
      <c r="N27" s="1385">
        <f t="shared" si="8"/>
        <v>0</v>
      </c>
      <c r="O27" s="1385">
        <f t="shared" si="8"/>
        <v>0</v>
      </c>
      <c r="P27" s="1385">
        <f t="shared" si="8"/>
        <v>0</v>
      </c>
      <c r="Q27" s="1385">
        <f t="shared" si="8"/>
        <v>0</v>
      </c>
      <c r="R27" s="1385">
        <f t="shared" si="8"/>
        <v>0</v>
      </c>
      <c r="S27" s="1385">
        <f t="shared" si="8"/>
        <v>0</v>
      </c>
      <c r="T27" s="1385">
        <f t="shared" si="8"/>
        <v>0</v>
      </c>
      <c r="U27" s="1385">
        <f t="shared" si="8"/>
        <v>0</v>
      </c>
      <c r="V27" s="1385">
        <f t="shared" si="8"/>
        <v>0</v>
      </c>
      <c r="W27" s="1385">
        <f t="shared" si="8"/>
        <v>0</v>
      </c>
      <c r="X27" s="1385">
        <f t="shared" si="8"/>
        <v>0</v>
      </c>
      <c r="Y27" s="1385">
        <f t="shared" si="8"/>
        <v>0</v>
      </c>
      <c r="Z27" s="1385">
        <f t="shared" si="8"/>
        <v>0</v>
      </c>
      <c r="AA27" s="1385">
        <f t="shared" si="8"/>
        <v>0</v>
      </c>
      <c r="AB27" s="1385">
        <f t="shared" si="8"/>
        <v>0</v>
      </c>
      <c r="AC27" s="1385">
        <f t="shared" si="8"/>
        <v>0</v>
      </c>
      <c r="AD27" s="1385">
        <f t="shared" si="8"/>
        <v>0</v>
      </c>
      <c r="AE27" s="1385">
        <f t="shared" si="8"/>
        <v>0</v>
      </c>
      <c r="AF27" s="1385">
        <f t="shared" si="8"/>
        <v>0</v>
      </c>
      <c r="AG27" s="1385">
        <f t="shared" si="8"/>
        <v>0</v>
      </c>
      <c r="AH27" s="1386">
        <f t="shared" si="8"/>
        <v>0</v>
      </c>
      <c r="AI27" s="1379"/>
    </row>
    <row r="28" spans="1:35" s="1380" customFormat="1" ht="15" customHeight="1" x14ac:dyDescent="0.25">
      <c r="A28" s="1376"/>
      <c r="B28" s="476"/>
      <c r="C28" s="1391" t="s">
        <v>206</v>
      </c>
      <c r="D28" s="477"/>
      <c r="E28" s="1392">
        <f>E13-E27</f>
        <v>0</v>
      </c>
      <c r="F28" s="1392">
        <f>F13-F27</f>
        <v>0</v>
      </c>
      <c r="G28" s="1392">
        <f t="shared" ref="G28:AH28" si="9">G13-G27</f>
        <v>0</v>
      </c>
      <c r="H28" s="1392">
        <f t="shared" si="9"/>
        <v>0</v>
      </c>
      <c r="I28" s="1392">
        <f t="shared" si="9"/>
        <v>0</v>
      </c>
      <c r="J28" s="1392">
        <f t="shared" si="9"/>
        <v>0</v>
      </c>
      <c r="K28" s="1392">
        <f t="shared" si="9"/>
        <v>0</v>
      </c>
      <c r="L28" s="1392">
        <f t="shared" si="9"/>
        <v>0</v>
      </c>
      <c r="M28" s="1392">
        <f t="shared" si="9"/>
        <v>0</v>
      </c>
      <c r="N28" s="1392">
        <f t="shared" si="9"/>
        <v>0</v>
      </c>
      <c r="O28" s="1392">
        <f t="shared" si="9"/>
        <v>0</v>
      </c>
      <c r="P28" s="1392">
        <f t="shared" si="9"/>
        <v>0</v>
      </c>
      <c r="Q28" s="1392">
        <f t="shared" si="9"/>
        <v>0</v>
      </c>
      <c r="R28" s="1392">
        <f t="shared" si="9"/>
        <v>0</v>
      </c>
      <c r="S28" s="1392">
        <f t="shared" si="9"/>
        <v>0</v>
      </c>
      <c r="T28" s="1392">
        <f t="shared" si="9"/>
        <v>0</v>
      </c>
      <c r="U28" s="1392">
        <f t="shared" si="9"/>
        <v>0</v>
      </c>
      <c r="V28" s="1392">
        <f t="shared" si="9"/>
        <v>0</v>
      </c>
      <c r="W28" s="1392">
        <f t="shared" si="9"/>
        <v>0</v>
      </c>
      <c r="X28" s="1392">
        <f t="shared" si="9"/>
        <v>0</v>
      </c>
      <c r="Y28" s="1392">
        <f t="shared" si="9"/>
        <v>0</v>
      </c>
      <c r="Z28" s="1392">
        <f t="shared" si="9"/>
        <v>0</v>
      </c>
      <c r="AA28" s="1392">
        <f t="shared" si="9"/>
        <v>0</v>
      </c>
      <c r="AB28" s="1392">
        <f t="shared" si="9"/>
        <v>0</v>
      </c>
      <c r="AC28" s="1392">
        <f t="shared" si="9"/>
        <v>0</v>
      </c>
      <c r="AD28" s="1392">
        <f t="shared" si="9"/>
        <v>0</v>
      </c>
      <c r="AE28" s="1392">
        <f t="shared" si="9"/>
        <v>0</v>
      </c>
      <c r="AF28" s="1392">
        <f t="shared" si="9"/>
        <v>0</v>
      </c>
      <c r="AG28" s="1392">
        <f t="shared" si="9"/>
        <v>0</v>
      </c>
      <c r="AH28" s="1393">
        <f t="shared" si="9"/>
        <v>0</v>
      </c>
      <c r="AI28" s="1379"/>
    </row>
    <row r="29" spans="1:35" s="1380" customFormat="1" ht="15" customHeight="1" x14ac:dyDescent="0.25">
      <c r="A29" s="1376"/>
      <c r="B29" s="478"/>
      <c r="C29" s="1394" t="s">
        <v>233</v>
      </c>
      <c r="D29" s="479">
        <f>SUM(E29:AH29)</f>
        <v>0</v>
      </c>
      <c r="E29" s="1395">
        <f>MAX(0,E20)</f>
        <v>0</v>
      </c>
      <c r="F29" s="1395">
        <f t="shared" ref="F29:AH29" si="10">MAX(0,F20)</f>
        <v>0</v>
      </c>
      <c r="G29" s="1395">
        <f t="shared" si="10"/>
        <v>0</v>
      </c>
      <c r="H29" s="1395">
        <f t="shared" si="10"/>
        <v>0</v>
      </c>
      <c r="I29" s="1395">
        <f t="shared" si="10"/>
        <v>0</v>
      </c>
      <c r="J29" s="1395">
        <f t="shared" si="10"/>
        <v>0</v>
      </c>
      <c r="K29" s="1395">
        <f t="shared" si="10"/>
        <v>0</v>
      </c>
      <c r="L29" s="1395">
        <f t="shared" si="10"/>
        <v>0</v>
      </c>
      <c r="M29" s="1395">
        <f t="shared" si="10"/>
        <v>0</v>
      </c>
      <c r="N29" s="1395">
        <f t="shared" si="10"/>
        <v>0</v>
      </c>
      <c r="O29" s="1395">
        <f t="shared" si="10"/>
        <v>0</v>
      </c>
      <c r="P29" s="1395">
        <f t="shared" si="10"/>
        <v>0</v>
      </c>
      <c r="Q29" s="1395">
        <f t="shared" si="10"/>
        <v>0</v>
      </c>
      <c r="R29" s="1395">
        <f t="shared" si="10"/>
        <v>0</v>
      </c>
      <c r="S29" s="1395">
        <f t="shared" si="10"/>
        <v>0</v>
      </c>
      <c r="T29" s="1395">
        <f t="shared" si="10"/>
        <v>0</v>
      </c>
      <c r="U29" s="1395">
        <f t="shared" si="10"/>
        <v>0</v>
      </c>
      <c r="V29" s="1395">
        <f t="shared" si="10"/>
        <v>0</v>
      </c>
      <c r="W29" s="1395">
        <f t="shared" si="10"/>
        <v>0</v>
      </c>
      <c r="X29" s="1395">
        <f t="shared" si="10"/>
        <v>0</v>
      </c>
      <c r="Y29" s="1395">
        <f t="shared" si="10"/>
        <v>0</v>
      </c>
      <c r="Z29" s="1395">
        <f t="shared" si="10"/>
        <v>0</v>
      </c>
      <c r="AA29" s="1395">
        <f t="shared" si="10"/>
        <v>0</v>
      </c>
      <c r="AB29" s="1395">
        <f t="shared" si="10"/>
        <v>0</v>
      </c>
      <c r="AC29" s="1395">
        <f t="shared" si="10"/>
        <v>0</v>
      </c>
      <c r="AD29" s="1395">
        <f t="shared" si="10"/>
        <v>0</v>
      </c>
      <c r="AE29" s="1395">
        <f t="shared" si="10"/>
        <v>0</v>
      </c>
      <c r="AF29" s="1395">
        <f t="shared" si="10"/>
        <v>0</v>
      </c>
      <c r="AG29" s="1395">
        <f t="shared" si="10"/>
        <v>0</v>
      </c>
      <c r="AH29" s="1396">
        <f t="shared" si="10"/>
        <v>0</v>
      </c>
      <c r="AI29" s="1379"/>
    </row>
    <row r="30" spans="1:35" s="1380" customFormat="1" ht="15" customHeight="1" x14ac:dyDescent="0.25">
      <c r="A30" s="1376"/>
      <c r="B30" s="474"/>
      <c r="C30" s="1397" t="s">
        <v>234</v>
      </c>
      <c r="D30" s="480">
        <f>SUM(E30:AH30)</f>
        <v>0</v>
      </c>
      <c r="E30" s="1385">
        <f>MAX(0,E24-E29)</f>
        <v>0</v>
      </c>
      <c r="F30" s="1385">
        <f t="shared" ref="F30:AH30" si="11">MAX(0,F24-F29)</f>
        <v>0</v>
      </c>
      <c r="G30" s="1385">
        <f t="shared" si="11"/>
        <v>0</v>
      </c>
      <c r="H30" s="1385">
        <f t="shared" si="11"/>
        <v>0</v>
      </c>
      <c r="I30" s="1385">
        <f t="shared" si="11"/>
        <v>0</v>
      </c>
      <c r="J30" s="1385">
        <f t="shared" si="11"/>
        <v>0</v>
      </c>
      <c r="K30" s="1385">
        <f t="shared" si="11"/>
        <v>0</v>
      </c>
      <c r="L30" s="1385">
        <f t="shared" si="11"/>
        <v>0</v>
      </c>
      <c r="M30" s="1385">
        <f t="shared" si="11"/>
        <v>0</v>
      </c>
      <c r="N30" s="1385">
        <f t="shared" si="11"/>
        <v>0</v>
      </c>
      <c r="O30" s="1385">
        <f t="shared" si="11"/>
        <v>0</v>
      </c>
      <c r="P30" s="1385">
        <f t="shared" si="11"/>
        <v>0</v>
      </c>
      <c r="Q30" s="1385">
        <f t="shared" si="11"/>
        <v>0</v>
      </c>
      <c r="R30" s="1385">
        <f t="shared" si="11"/>
        <v>0</v>
      </c>
      <c r="S30" s="1385">
        <f t="shared" si="11"/>
        <v>0</v>
      </c>
      <c r="T30" s="1385">
        <f t="shared" si="11"/>
        <v>0</v>
      </c>
      <c r="U30" s="1385">
        <f t="shared" si="11"/>
        <v>0</v>
      </c>
      <c r="V30" s="1385">
        <f t="shared" si="11"/>
        <v>0</v>
      </c>
      <c r="W30" s="1385">
        <f t="shared" si="11"/>
        <v>0</v>
      </c>
      <c r="X30" s="1385">
        <f t="shared" si="11"/>
        <v>0</v>
      </c>
      <c r="Y30" s="1385">
        <f t="shared" si="11"/>
        <v>0</v>
      </c>
      <c r="Z30" s="1385">
        <f t="shared" si="11"/>
        <v>0</v>
      </c>
      <c r="AA30" s="1385">
        <f t="shared" si="11"/>
        <v>0</v>
      </c>
      <c r="AB30" s="1385">
        <f t="shared" si="11"/>
        <v>0</v>
      </c>
      <c r="AC30" s="1385">
        <f t="shared" si="11"/>
        <v>0</v>
      </c>
      <c r="AD30" s="1385">
        <f t="shared" si="11"/>
        <v>0</v>
      </c>
      <c r="AE30" s="1385">
        <f t="shared" si="11"/>
        <v>0</v>
      </c>
      <c r="AF30" s="1385">
        <f t="shared" si="11"/>
        <v>0</v>
      </c>
      <c r="AG30" s="1385">
        <f t="shared" si="11"/>
        <v>0</v>
      </c>
      <c r="AH30" s="1386">
        <f t="shared" si="11"/>
        <v>0</v>
      </c>
      <c r="AI30" s="1379"/>
    </row>
    <row r="31" spans="1:35" s="1380" customFormat="1" ht="15" customHeight="1" x14ac:dyDescent="0.25">
      <c r="A31" s="1376"/>
      <c r="B31" s="476"/>
      <c r="C31" s="1398" t="s">
        <v>235</v>
      </c>
      <c r="D31" s="481">
        <f>SUM(E31:AH31)</f>
        <v>0</v>
      </c>
      <c r="E31" s="1392">
        <f>MAX(0,E28-E29-E30)</f>
        <v>0</v>
      </c>
      <c r="F31" s="1392">
        <f t="shared" ref="F31:AH31" si="12">MAX(0,F28-F29-F30)</f>
        <v>0</v>
      </c>
      <c r="G31" s="1392">
        <f t="shared" si="12"/>
        <v>0</v>
      </c>
      <c r="H31" s="1392">
        <f t="shared" si="12"/>
        <v>0</v>
      </c>
      <c r="I31" s="1392">
        <f t="shared" si="12"/>
        <v>0</v>
      </c>
      <c r="J31" s="1392">
        <f t="shared" si="12"/>
        <v>0</v>
      </c>
      <c r="K31" s="1392">
        <f t="shared" si="12"/>
        <v>0</v>
      </c>
      <c r="L31" s="1392">
        <f t="shared" si="12"/>
        <v>0</v>
      </c>
      <c r="M31" s="1392">
        <f t="shared" si="12"/>
        <v>0</v>
      </c>
      <c r="N31" s="1392">
        <f t="shared" si="12"/>
        <v>0</v>
      </c>
      <c r="O31" s="1392">
        <f t="shared" si="12"/>
        <v>0</v>
      </c>
      <c r="P31" s="1392">
        <f t="shared" si="12"/>
        <v>0</v>
      </c>
      <c r="Q31" s="1392">
        <f t="shared" si="12"/>
        <v>0</v>
      </c>
      <c r="R31" s="1392">
        <f t="shared" si="12"/>
        <v>0</v>
      </c>
      <c r="S31" s="1392">
        <f t="shared" si="12"/>
        <v>0</v>
      </c>
      <c r="T31" s="1392">
        <f t="shared" si="12"/>
        <v>0</v>
      </c>
      <c r="U31" s="1392">
        <f t="shared" si="12"/>
        <v>0</v>
      </c>
      <c r="V31" s="1392">
        <f t="shared" si="12"/>
        <v>0</v>
      </c>
      <c r="W31" s="1392">
        <f t="shared" si="12"/>
        <v>0</v>
      </c>
      <c r="X31" s="1392">
        <f t="shared" si="12"/>
        <v>0</v>
      </c>
      <c r="Y31" s="1392">
        <f t="shared" si="12"/>
        <v>0</v>
      </c>
      <c r="Z31" s="1392">
        <f t="shared" si="12"/>
        <v>0</v>
      </c>
      <c r="AA31" s="1392">
        <f t="shared" si="12"/>
        <v>0</v>
      </c>
      <c r="AB31" s="1392">
        <f t="shared" si="12"/>
        <v>0</v>
      </c>
      <c r="AC31" s="1392">
        <f t="shared" si="12"/>
        <v>0</v>
      </c>
      <c r="AD31" s="1392">
        <f t="shared" si="12"/>
        <v>0</v>
      </c>
      <c r="AE31" s="1392">
        <f t="shared" si="12"/>
        <v>0</v>
      </c>
      <c r="AF31" s="1392">
        <f t="shared" si="12"/>
        <v>0</v>
      </c>
      <c r="AG31" s="1392">
        <f t="shared" si="12"/>
        <v>0</v>
      </c>
      <c r="AH31" s="1393">
        <f t="shared" si="12"/>
        <v>0</v>
      </c>
      <c r="AI31" s="1379"/>
    </row>
    <row r="32" spans="1:35" ht="15" customHeight="1" x14ac:dyDescent="0.25">
      <c r="A32" s="1399"/>
      <c r="B32" s="1400"/>
      <c r="C32" s="1400"/>
      <c r="D32" s="1400"/>
      <c r="E32" s="1401"/>
      <c r="F32" s="1400"/>
      <c r="G32" s="1400"/>
      <c r="H32" s="1400"/>
      <c r="I32" s="1400"/>
      <c r="J32" s="1400"/>
      <c r="K32" s="1400"/>
      <c r="L32" s="1400"/>
      <c r="M32" s="1400"/>
      <c r="N32" s="1400"/>
      <c r="O32" s="1400"/>
      <c r="P32" s="1400"/>
      <c r="Q32" s="1400"/>
      <c r="R32" s="1400"/>
      <c r="S32" s="1400"/>
      <c r="T32" s="1400"/>
      <c r="U32" s="1400"/>
      <c r="V32" s="1400"/>
      <c r="W32" s="1400"/>
      <c r="X32" s="1400"/>
      <c r="Y32" s="1400"/>
      <c r="Z32" s="1400"/>
      <c r="AA32" s="1400"/>
      <c r="AB32" s="1400"/>
      <c r="AC32" s="1400"/>
      <c r="AD32" s="1400"/>
      <c r="AE32" s="1400"/>
      <c r="AF32" s="1400"/>
      <c r="AG32" s="1400"/>
      <c r="AH32" s="1400"/>
      <c r="AI32" s="1402"/>
    </row>
  </sheetData>
  <dataConsolidate/>
  <conditionalFormatting sqref="E5:AH15">
    <cfRule type="cellIs" dxfId="134"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EC72"/>
  </sheetPr>
  <dimension ref="A1:H59"/>
  <sheetViews>
    <sheetView zoomScale="75" zoomScaleNormal="75" workbookViewId="0">
      <pane ySplit="1" topLeftCell="A2" activePane="bottomLeft" state="frozen"/>
      <selection pane="bottomLeft"/>
    </sheetView>
  </sheetViews>
  <sheetFormatPr defaultColWidth="0" defaultRowHeight="0" customHeight="1" zeroHeight="1" x14ac:dyDescent="0.25"/>
  <cols>
    <col min="1" max="1" width="1.7109375" style="772" customWidth="1"/>
    <col min="2" max="2" width="100.7109375" style="732" customWidth="1"/>
    <col min="3" max="3" width="16.7109375" style="732" customWidth="1"/>
    <col min="4" max="7" width="16.7109375" style="716" customWidth="1"/>
    <col min="8" max="8" width="1.7109375" style="716" customWidth="1"/>
    <col min="9" max="16384" width="16.7109375" style="716" hidden="1"/>
  </cols>
  <sheetData>
    <row r="1" spans="1:8" s="725" customFormat="1" ht="30" customHeight="1" x14ac:dyDescent="0.55000000000000004">
      <c r="A1" s="713" t="s">
        <v>1016</v>
      </c>
      <c r="B1" s="714"/>
      <c r="C1" s="1511" t="str">
        <f>CONCATENATE("Reporting unit: ", 'General Info'!$C$50, " ", 'General Info'!$C$49)</f>
        <v xml:space="preserve">Reporting unit: 1 </v>
      </c>
      <c r="D1" s="745"/>
      <c r="E1" s="745"/>
      <c r="F1" s="745"/>
      <c r="G1" s="745"/>
      <c r="H1" s="782"/>
    </row>
    <row r="2" spans="1:8" s="412" customFormat="1" ht="60" customHeight="1" x14ac:dyDescent="0.25">
      <c r="A2" s="424" t="s">
        <v>1764</v>
      </c>
      <c r="B2" s="425"/>
      <c r="C2" s="425"/>
      <c r="D2" s="425"/>
      <c r="E2" s="425"/>
      <c r="F2" s="425"/>
      <c r="G2" s="425"/>
      <c r="H2" s="590"/>
    </row>
    <row r="3" spans="1:8" s="412" customFormat="1" ht="30" customHeight="1" x14ac:dyDescent="0.25">
      <c r="A3" s="1642" t="s">
        <v>997</v>
      </c>
      <c r="B3" s="425"/>
      <c r="C3" s="425"/>
      <c r="D3" s="425"/>
      <c r="E3" s="425"/>
      <c r="F3" s="425"/>
      <c r="G3" s="425"/>
      <c r="H3" s="590"/>
    </row>
    <row r="4" spans="1:8" ht="15" customHeight="1" x14ac:dyDescent="0.25">
      <c r="B4" s="768"/>
      <c r="C4" s="1687" t="s">
        <v>108</v>
      </c>
      <c r="D4" s="1676"/>
      <c r="H4" s="727"/>
    </row>
    <row r="5" spans="1:8" ht="75" customHeight="1" x14ac:dyDescent="0.25">
      <c r="B5" s="775"/>
      <c r="C5" s="1548" t="s">
        <v>996</v>
      </c>
      <c r="D5" s="1546" t="s">
        <v>995</v>
      </c>
      <c r="H5" s="727"/>
    </row>
    <row r="6" spans="1:8" ht="15" customHeight="1" x14ac:dyDescent="0.25">
      <c r="B6" s="1416" t="s">
        <v>213</v>
      </c>
      <c r="C6" s="585"/>
      <c r="D6" s="585"/>
      <c r="H6" s="727"/>
    </row>
    <row r="7" spans="1:8" ht="15" customHeight="1" x14ac:dyDescent="0.25">
      <c r="B7" s="878" t="s">
        <v>1000</v>
      </c>
      <c r="C7" s="882" t="str">
        <f>IF(ISNUMBER(Requirements!D7),Requirements!D7,"")</f>
        <v/>
      </c>
      <c r="D7" s="883" t="str">
        <f>IF(ISNUMBER(Requirements!E7),Requirements!E7,"")</f>
        <v/>
      </c>
      <c r="H7" s="727"/>
    </row>
    <row r="8" spans="1:8" ht="15" customHeight="1" x14ac:dyDescent="0.25">
      <c r="B8" s="879" t="s">
        <v>999</v>
      </c>
      <c r="C8" s="1248"/>
      <c r="D8" s="1243"/>
      <c r="H8" s="727"/>
    </row>
    <row r="9" spans="1:8" s="412" customFormat="1" ht="45" customHeight="1" x14ac:dyDescent="0.25">
      <c r="A9" s="424" t="s">
        <v>1001</v>
      </c>
      <c r="B9" s="425"/>
      <c r="C9" s="425"/>
      <c r="D9" s="425"/>
      <c r="E9" s="425"/>
      <c r="F9" s="425"/>
      <c r="G9" s="425"/>
      <c r="H9" s="590"/>
    </row>
    <row r="10" spans="1:8" ht="15" customHeight="1" x14ac:dyDescent="0.25">
      <c r="B10" s="768"/>
      <c r="C10" s="1546" t="s">
        <v>108</v>
      </c>
      <c r="H10" s="727"/>
    </row>
    <row r="11" spans="1:8" ht="15" customHeight="1" x14ac:dyDescent="0.25">
      <c r="B11" s="1417" t="s">
        <v>1002</v>
      </c>
      <c r="C11" s="457"/>
      <c r="H11" s="727"/>
    </row>
    <row r="12" spans="1:8" ht="15" customHeight="1" x14ac:dyDescent="0.25">
      <c r="B12" s="846" t="s">
        <v>1003</v>
      </c>
      <c r="C12" s="883" t="str">
        <f>IF(ISNUMBER(Requirements!D10),Requirements!D10,"")</f>
        <v/>
      </c>
      <c r="H12" s="727"/>
    </row>
    <row r="13" spans="1:8" ht="15" customHeight="1" x14ac:dyDescent="0.25">
      <c r="B13" s="846" t="s">
        <v>1004</v>
      </c>
      <c r="C13" s="883" t="str">
        <f>IF(ISNUMBER(Requirements!E10),Requirements!E10,"")</f>
        <v/>
      </c>
      <c r="H13" s="727"/>
    </row>
    <row r="14" spans="1:8" ht="15" customHeight="1" x14ac:dyDescent="0.25">
      <c r="B14" s="842" t="s">
        <v>1005</v>
      </c>
      <c r="C14" s="1242"/>
      <c r="H14" s="727"/>
    </row>
    <row r="15" spans="1:8" ht="15" customHeight="1" x14ac:dyDescent="0.25">
      <c r="B15" s="1418" t="s">
        <v>1006</v>
      </c>
      <c r="C15" s="884" t="str">
        <f>IF(AND(ISNUMBER(C16),ISNUMBER(C17),ISNUMBER(C18)),C16+C17+C18,"")</f>
        <v/>
      </c>
      <c r="H15" s="727"/>
    </row>
    <row r="16" spans="1:8" ht="15" customHeight="1" x14ac:dyDescent="0.25">
      <c r="B16" s="1419" t="s">
        <v>195</v>
      </c>
      <c r="C16" s="1242"/>
      <c r="H16" s="727"/>
    </row>
    <row r="17" spans="1:8" ht="15" customHeight="1" x14ac:dyDescent="0.25">
      <c r="B17" s="846" t="s">
        <v>1007</v>
      </c>
      <c r="C17" s="1242"/>
      <c r="H17" s="727"/>
    </row>
    <row r="18" spans="1:8" ht="15" customHeight="1" x14ac:dyDescent="0.25">
      <c r="B18" s="846" t="s">
        <v>1008</v>
      </c>
      <c r="C18" s="1242"/>
      <c r="H18" s="727"/>
    </row>
    <row r="19" spans="1:8" ht="15" customHeight="1" x14ac:dyDescent="0.25">
      <c r="B19" s="880" t="s">
        <v>1009</v>
      </c>
      <c r="C19" s="1243"/>
      <c r="H19" s="727"/>
    </row>
    <row r="20" spans="1:8" s="412" customFormat="1" ht="45" customHeight="1" x14ac:dyDescent="0.25">
      <c r="A20" s="424" t="s">
        <v>1010</v>
      </c>
      <c r="B20" s="425"/>
      <c r="C20" s="425"/>
      <c r="D20" s="425"/>
      <c r="E20" s="425"/>
      <c r="F20" s="425"/>
      <c r="G20" s="425"/>
      <c r="H20" s="590"/>
    </row>
    <row r="21" spans="1:8" ht="15" customHeight="1" x14ac:dyDescent="0.25">
      <c r="B21" s="768"/>
      <c r="C21" s="1593" t="s">
        <v>108</v>
      </c>
      <c r="H21" s="727"/>
    </row>
    <row r="22" spans="1:8" ht="15" customHeight="1" x14ac:dyDescent="0.25">
      <c r="B22" s="1574" t="s">
        <v>1012</v>
      </c>
      <c r="C22" s="457"/>
      <c r="H22" s="727"/>
    </row>
    <row r="23" spans="1:8" ht="15" customHeight="1" x14ac:dyDescent="0.25">
      <c r="B23" s="878" t="s">
        <v>1013</v>
      </c>
      <c r="C23" s="883" t="str">
        <f>IF(ISNUMBER(Requirements!C15),Requirements!C15,"")</f>
        <v/>
      </c>
      <c r="H23" s="727"/>
    </row>
    <row r="24" spans="1:8" ht="15" customHeight="1" x14ac:dyDescent="0.25">
      <c r="B24" s="879" t="s">
        <v>1014</v>
      </c>
      <c r="C24" s="1243"/>
      <c r="H24" s="727"/>
    </row>
    <row r="25" spans="1:8" s="412" customFormat="1" ht="45" customHeight="1" x14ac:dyDescent="0.25">
      <c r="A25" s="424" t="s">
        <v>1011</v>
      </c>
      <c r="B25" s="425"/>
      <c r="C25" s="425"/>
      <c r="D25" s="425"/>
      <c r="E25" s="425"/>
      <c r="F25" s="425"/>
      <c r="G25" s="425"/>
      <c r="H25" s="590"/>
    </row>
    <row r="26" spans="1:8" ht="45" customHeight="1" x14ac:dyDescent="0.25">
      <c r="B26" s="881"/>
      <c r="C26" s="1548" t="s">
        <v>108</v>
      </c>
      <c r="D26" s="1546" t="s">
        <v>140</v>
      </c>
      <c r="E26" s="1546" t="s">
        <v>993</v>
      </c>
      <c r="F26" s="1569"/>
      <c r="G26" s="1569"/>
      <c r="H26" s="727"/>
    </row>
    <row r="27" spans="1:8" ht="15" customHeight="1" x14ac:dyDescent="0.25">
      <c r="B27" s="1420" t="s">
        <v>1015</v>
      </c>
      <c r="C27" s="589"/>
      <c r="D27" s="589"/>
      <c r="E27" s="457"/>
      <c r="F27" s="1569"/>
      <c r="G27" s="1569"/>
      <c r="H27" s="727"/>
    </row>
    <row r="28" spans="1:8" ht="15" customHeight="1" x14ac:dyDescent="0.25">
      <c r="B28" s="846" t="s">
        <v>1013</v>
      </c>
      <c r="C28" s="885" t="str">
        <f>IF(ISNUMBER(Requirements!C17),Requirements!C17,"")</f>
        <v/>
      </c>
      <c r="D28" s="282"/>
      <c r="E28" s="15"/>
      <c r="F28" s="1569"/>
      <c r="G28" s="1569"/>
      <c r="H28" s="727"/>
    </row>
    <row r="29" spans="1:8" ht="15" customHeight="1" x14ac:dyDescent="0.25">
      <c r="B29" s="879" t="s">
        <v>1014</v>
      </c>
      <c r="C29" s="1248"/>
      <c r="D29" s="1248"/>
      <c r="E29" s="1243"/>
      <c r="F29" s="1569"/>
      <c r="G29" s="1569"/>
      <c r="H29" s="727"/>
    </row>
    <row r="30" spans="1:8" s="749" customFormat="1" ht="15" customHeight="1" x14ac:dyDescent="0.25">
      <c r="A30" s="774"/>
      <c r="B30" s="775"/>
      <c r="C30" s="775"/>
      <c r="D30" s="1457"/>
      <c r="E30" s="1457"/>
      <c r="F30" s="1457"/>
      <c r="G30" s="1457"/>
      <c r="H30" s="1457"/>
    </row>
    <row r="31" spans="1:8" s="412" customFormat="1" ht="60" customHeight="1" x14ac:dyDescent="0.25">
      <c r="A31" s="424" t="s">
        <v>1765</v>
      </c>
      <c r="B31" s="425"/>
      <c r="C31" s="425"/>
      <c r="D31" s="1223"/>
      <c r="E31" s="1223"/>
      <c r="F31" s="1223"/>
      <c r="G31" s="1223"/>
      <c r="H31" s="1223"/>
    </row>
    <row r="32" spans="1:8" s="412" customFormat="1" ht="30" customHeight="1" x14ac:dyDescent="0.25">
      <c r="A32" s="1642" t="s">
        <v>1766</v>
      </c>
      <c r="B32" s="425"/>
      <c r="C32" s="425"/>
      <c r="D32" s="1223"/>
      <c r="E32" s="1223"/>
      <c r="F32" s="1223"/>
      <c r="G32" s="1223"/>
      <c r="H32" s="1223"/>
    </row>
    <row r="33" spans="1:8" s="412" customFormat="1" ht="45" customHeight="1" x14ac:dyDescent="0.25">
      <c r="A33" s="424"/>
      <c r="B33" s="881"/>
      <c r="C33" s="1546" t="s">
        <v>108</v>
      </c>
      <c r="D33" s="1223"/>
      <c r="E33" s="1223"/>
      <c r="F33" s="1223"/>
      <c r="G33" s="1223"/>
      <c r="H33" s="1223"/>
    </row>
    <row r="34" spans="1:8" s="412" customFormat="1" ht="15" customHeight="1" x14ac:dyDescent="0.25">
      <c r="A34" s="424"/>
      <c r="B34" s="1547" t="s">
        <v>1018</v>
      </c>
      <c r="C34" s="792" t="str">
        <f>IF(AND(ISNUMBER(C35),ISNUMBER(C36),ISNUMBER(C37),ISNUMBER(C38)),SUM(C35:C38),"")</f>
        <v/>
      </c>
      <c r="D34" s="1223"/>
      <c r="E34" s="1223"/>
      <c r="F34" s="1223"/>
      <c r="G34" s="1223"/>
      <c r="H34" s="1223"/>
    </row>
    <row r="35" spans="1:8" s="412" customFormat="1" ht="15" customHeight="1" x14ac:dyDescent="0.25">
      <c r="A35" s="424"/>
      <c r="B35" s="848" t="s">
        <v>1019</v>
      </c>
      <c r="C35" s="1175"/>
      <c r="D35" s="1223"/>
      <c r="E35" s="1223"/>
      <c r="F35" s="1223"/>
      <c r="G35" s="1223"/>
      <c r="H35" s="1223"/>
    </row>
    <row r="36" spans="1:8" s="412" customFormat="1" ht="15" customHeight="1" x14ac:dyDescent="0.25">
      <c r="A36" s="424"/>
      <c r="B36" s="848" t="s">
        <v>1020</v>
      </c>
      <c r="C36" s="1175"/>
      <c r="D36" s="1223"/>
      <c r="E36" s="1223"/>
      <c r="F36" s="1223"/>
      <c r="G36" s="1223"/>
      <c r="H36" s="1223"/>
    </row>
    <row r="37" spans="1:8" s="412" customFormat="1" ht="15" customHeight="1" x14ac:dyDescent="0.25">
      <c r="A37" s="424"/>
      <c r="B37" s="848" t="s">
        <v>1021</v>
      </c>
      <c r="C37" s="1175"/>
      <c r="D37" s="1223"/>
      <c r="E37" s="1223"/>
      <c r="F37" s="1223"/>
      <c r="G37" s="1223"/>
      <c r="H37" s="1223"/>
    </row>
    <row r="38" spans="1:8" s="412" customFormat="1" ht="15" customHeight="1" x14ac:dyDescent="0.25">
      <c r="A38" s="424"/>
      <c r="B38" s="879" t="s">
        <v>1022</v>
      </c>
      <c r="C38" s="95"/>
      <c r="D38" s="1223"/>
      <c r="E38" s="1223"/>
      <c r="F38" s="1223"/>
      <c r="G38" s="1223"/>
      <c r="H38" s="1223"/>
    </row>
    <row r="39" spans="1:8" s="412" customFormat="1" ht="45" customHeight="1" x14ac:dyDescent="0.25">
      <c r="A39" s="424" t="s">
        <v>1767</v>
      </c>
      <c r="B39" s="425"/>
      <c r="C39" s="425"/>
      <c r="D39" s="1223"/>
      <c r="E39" s="1223"/>
      <c r="F39" s="1223"/>
      <c r="G39" s="1223"/>
      <c r="H39" s="1223"/>
    </row>
    <row r="40" spans="1:8" s="412" customFormat="1" ht="30" customHeight="1" x14ac:dyDescent="0.25">
      <c r="A40" s="1642" t="s">
        <v>1768</v>
      </c>
      <c r="B40" s="425"/>
      <c r="C40" s="425"/>
      <c r="D40" s="1223"/>
      <c r="E40" s="1223"/>
      <c r="F40" s="1223"/>
      <c r="G40" s="1223"/>
      <c r="H40" s="1223"/>
    </row>
    <row r="41" spans="1:8" s="412" customFormat="1" ht="15" customHeight="1" x14ac:dyDescent="0.25">
      <c r="A41" s="424"/>
      <c r="B41" s="1579" t="s">
        <v>1770</v>
      </c>
      <c r="C41" s="1546">
        <v>2010</v>
      </c>
      <c r="D41" s="1546">
        <v>2011</v>
      </c>
      <c r="E41" s="1546">
        <v>2012</v>
      </c>
      <c r="F41" s="1546">
        <v>2013</v>
      </c>
      <c r="G41" s="1546">
        <v>2014</v>
      </c>
      <c r="H41" s="1223"/>
    </row>
    <row r="42" spans="1:8" s="412" customFormat="1" ht="15" customHeight="1" x14ac:dyDescent="0.25">
      <c r="A42" s="424"/>
      <c r="B42" s="1606" t="s">
        <v>1771</v>
      </c>
      <c r="C42" s="1607"/>
      <c r="D42" s="1607"/>
      <c r="E42" s="1607"/>
      <c r="F42" s="1607"/>
      <c r="G42" s="1607"/>
      <c r="H42" s="1223"/>
    </row>
    <row r="43" spans="1:8" s="412" customFormat="1" ht="15" customHeight="1" x14ac:dyDescent="0.25">
      <c r="A43" s="424"/>
      <c r="B43" s="1547" t="s">
        <v>1772</v>
      </c>
      <c r="C43" s="1242"/>
      <c r="D43" s="1242"/>
      <c r="E43" s="1242"/>
      <c r="F43" s="1242"/>
      <c r="G43" s="1242"/>
      <c r="H43" s="1223"/>
    </row>
    <row r="44" spans="1:8" s="412" customFormat="1" ht="15" customHeight="1" x14ac:dyDescent="0.25">
      <c r="A44" s="424"/>
      <c r="B44" s="863" t="s">
        <v>1773</v>
      </c>
      <c r="C44" s="1243"/>
      <c r="D44" s="1243"/>
      <c r="E44" s="1243"/>
      <c r="F44" s="1243"/>
      <c r="G44" s="1243"/>
      <c r="H44" s="1223"/>
    </row>
    <row r="45" spans="1:8" s="412" customFormat="1" ht="45" customHeight="1" x14ac:dyDescent="0.25">
      <c r="A45" s="424" t="s">
        <v>1769</v>
      </c>
      <c r="B45" s="425"/>
      <c r="C45" s="425"/>
      <c r="D45" s="1223"/>
      <c r="E45" s="1223"/>
      <c r="F45" s="1223"/>
      <c r="G45" s="1223"/>
      <c r="H45" s="1223"/>
    </row>
    <row r="46" spans="1:8" s="412" customFormat="1" ht="15" customHeight="1" x14ac:dyDescent="0.25">
      <c r="A46" s="424"/>
      <c r="B46" s="1579" t="s">
        <v>1770</v>
      </c>
      <c r="C46" s="1546">
        <v>2010</v>
      </c>
      <c r="D46" s="1546">
        <v>2011</v>
      </c>
      <c r="E46" s="1546">
        <v>2012</v>
      </c>
      <c r="F46" s="1546">
        <v>2013</v>
      </c>
      <c r="G46" s="1546">
        <v>2014</v>
      </c>
      <c r="H46" s="1223"/>
    </row>
    <row r="47" spans="1:8" s="412" customFormat="1" ht="15" customHeight="1" x14ac:dyDescent="0.25">
      <c r="A47" s="424"/>
      <c r="B47" s="1608" t="s">
        <v>1774</v>
      </c>
      <c r="C47" s="1250"/>
      <c r="D47" s="1250"/>
      <c r="E47" s="1250"/>
      <c r="F47" s="1250"/>
      <c r="G47" s="1250"/>
      <c r="H47" s="1223"/>
    </row>
    <row r="48" spans="1:8" s="412" customFormat="1" ht="15" customHeight="1" x14ac:dyDescent="0.25">
      <c r="A48" s="424"/>
      <c r="B48" s="1547" t="s">
        <v>1775</v>
      </c>
      <c r="C48" s="1242"/>
      <c r="D48" s="1242"/>
      <c r="E48" s="1242"/>
      <c r="F48" s="1242"/>
      <c r="G48" s="1242"/>
      <c r="H48" s="1223"/>
    </row>
    <row r="49" spans="1:8" s="412" customFormat="1" ht="15" customHeight="1" x14ac:dyDescent="0.25">
      <c r="A49" s="424"/>
      <c r="B49" s="1547" t="s">
        <v>1776</v>
      </c>
      <c r="C49" s="1242"/>
      <c r="D49" s="1242"/>
      <c r="E49" s="1242"/>
      <c r="F49" s="1242"/>
      <c r="G49" s="1242"/>
      <c r="H49" s="1223"/>
    </row>
    <row r="50" spans="1:8" s="412" customFormat="1" ht="15" customHeight="1" x14ac:dyDescent="0.25">
      <c r="A50" s="424"/>
      <c r="B50" s="1547" t="s">
        <v>1777</v>
      </c>
      <c r="C50" s="1242"/>
      <c r="D50" s="1242"/>
      <c r="E50" s="1242"/>
      <c r="F50" s="1242"/>
      <c r="G50" s="1242"/>
      <c r="H50" s="1223"/>
    </row>
    <row r="51" spans="1:8" s="412" customFormat="1" ht="15" customHeight="1" x14ac:dyDescent="0.25">
      <c r="A51" s="424"/>
      <c r="B51" s="1547" t="s">
        <v>1778</v>
      </c>
      <c r="C51" s="1242"/>
      <c r="D51" s="1242"/>
      <c r="E51" s="1242"/>
      <c r="F51" s="1242"/>
      <c r="G51" s="1242"/>
      <c r="H51" s="1223"/>
    </row>
    <row r="52" spans="1:8" s="412" customFormat="1" ht="15" customHeight="1" x14ac:dyDescent="0.25">
      <c r="A52" s="424"/>
      <c r="B52" s="1547" t="s">
        <v>1779</v>
      </c>
      <c r="C52" s="1242"/>
      <c r="D52" s="1242"/>
      <c r="E52" s="1242"/>
      <c r="F52" s="1242"/>
      <c r="G52" s="1242"/>
      <c r="H52" s="1223"/>
    </row>
    <row r="53" spans="1:8" s="412" customFormat="1" ht="15" customHeight="1" x14ac:dyDescent="0.25">
      <c r="A53" s="424"/>
      <c r="B53" s="1547" t="s">
        <v>1780</v>
      </c>
      <c r="C53" s="1242"/>
      <c r="D53" s="1242"/>
      <c r="E53" s="1242"/>
      <c r="F53" s="1242"/>
      <c r="G53" s="1242"/>
      <c r="H53" s="1223"/>
    </row>
    <row r="54" spans="1:8" s="412" customFormat="1" ht="15" customHeight="1" x14ac:dyDescent="0.25">
      <c r="A54" s="424"/>
      <c r="B54" s="1547" t="s">
        <v>1781</v>
      </c>
      <c r="C54" s="1242"/>
      <c r="D54" s="1242"/>
      <c r="E54" s="1242"/>
      <c r="F54" s="1242"/>
      <c r="G54" s="1242"/>
      <c r="H54" s="1223"/>
    </row>
    <row r="55" spans="1:8" s="412" customFormat="1" ht="15" customHeight="1" x14ac:dyDescent="0.25">
      <c r="A55" s="424"/>
      <c r="B55" s="1431" t="s">
        <v>1784</v>
      </c>
      <c r="C55" s="1242"/>
      <c r="D55" s="1242"/>
      <c r="E55" s="1242"/>
      <c r="F55" s="1242"/>
      <c r="G55" s="1242"/>
      <c r="H55" s="1223"/>
    </row>
    <row r="56" spans="1:8" s="412" customFormat="1" ht="15" customHeight="1" x14ac:dyDescent="0.25">
      <c r="A56" s="424"/>
      <c r="B56" s="1547" t="s">
        <v>1782</v>
      </c>
      <c r="C56" s="1242"/>
      <c r="D56" s="1242"/>
      <c r="E56" s="1242"/>
      <c r="F56" s="1242"/>
      <c r="G56" s="1242"/>
      <c r="H56" s="1223"/>
    </row>
    <row r="57" spans="1:8" s="412" customFormat="1" ht="15" customHeight="1" x14ac:dyDescent="0.25">
      <c r="A57" s="424"/>
      <c r="B57" s="1431" t="s">
        <v>1784</v>
      </c>
      <c r="C57" s="1242"/>
      <c r="D57" s="1242"/>
      <c r="E57" s="1242"/>
      <c r="F57" s="1242"/>
      <c r="G57" s="1242"/>
      <c r="H57" s="1223"/>
    </row>
    <row r="58" spans="1:8" s="412" customFormat="1" ht="15" customHeight="1" x14ac:dyDescent="0.25">
      <c r="A58" s="424"/>
      <c r="B58" s="863" t="s">
        <v>1783</v>
      </c>
      <c r="C58" s="1243"/>
      <c r="D58" s="1243"/>
      <c r="E58" s="1243"/>
      <c r="F58" s="1243"/>
      <c r="G58" s="1243"/>
      <c r="H58" s="1223"/>
    </row>
    <row r="59" spans="1:8" ht="15" customHeight="1" x14ac:dyDescent="0.25">
      <c r="A59" s="774"/>
      <c r="B59" s="775"/>
      <c r="C59" s="775"/>
      <c r="D59" s="1457"/>
      <c r="E59" s="1457"/>
      <c r="F59" s="1457"/>
      <c r="G59" s="1457"/>
      <c r="H59" s="1457"/>
    </row>
  </sheetData>
  <mergeCells count="1">
    <mergeCell ref="C4:D4"/>
  </mergeCells>
  <conditionalFormatting sqref="C42:G44 C47:G51 C54:G58 C35:C38 C29:E29 C24 C16:C19 C14 C8:D8">
    <cfRule type="cellIs" dxfId="133"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EC72"/>
  </sheetPr>
  <dimension ref="A1:P199"/>
  <sheetViews>
    <sheetView zoomScale="75" zoomScaleNormal="75" zoomScaleSheetLayoutView="75" workbookViewId="0">
      <pane ySplit="1" topLeftCell="A2" activePane="bottomLeft" state="frozen"/>
      <selection activeCell="A2" sqref="A2:XFD2"/>
      <selection pane="bottomLeft"/>
    </sheetView>
  </sheetViews>
  <sheetFormatPr defaultColWidth="0" defaultRowHeight="15" customHeight="1" zeroHeight="1" x14ac:dyDescent="0.25"/>
  <cols>
    <col min="1" max="1" width="1.7109375" style="736" customWidth="1"/>
    <col min="2" max="2" width="12.7109375" style="736" customWidth="1"/>
    <col min="3" max="3" width="83.140625" style="736" customWidth="1"/>
    <col min="4" max="8" width="16.7109375" style="736" customWidth="1"/>
    <col min="9" max="9" width="1.7109375" style="736" customWidth="1"/>
    <col min="10" max="14" width="16.7109375" style="736" customWidth="1"/>
    <col min="15" max="15" width="1.7109375" style="736" customWidth="1"/>
    <col min="16" max="16" width="0" style="928" hidden="1" customWidth="1"/>
    <col min="17" max="16384" width="16.7109375" style="928" hidden="1"/>
  </cols>
  <sheetData>
    <row r="1" spans="1:15" ht="30" customHeight="1" x14ac:dyDescent="0.55000000000000004">
      <c r="A1" s="713" t="s">
        <v>341</v>
      </c>
      <c r="B1" s="714"/>
      <c r="C1" s="724"/>
      <c r="D1" s="1511" t="str">
        <f>CONCATENATE("Reporting unit: ", 'General Info'!$C$50, " ", 'General Info'!$C$49)</f>
        <v xml:space="preserve">Reporting unit: 1 </v>
      </c>
      <c r="E1" s="724"/>
      <c r="F1" s="724"/>
      <c r="G1" s="724"/>
      <c r="H1" s="724"/>
      <c r="I1" s="724"/>
      <c r="J1" s="724"/>
      <c r="K1" s="724"/>
      <c r="L1" s="724"/>
      <c r="M1" s="724"/>
      <c r="N1" s="724"/>
      <c r="O1" s="715"/>
    </row>
    <row r="2" spans="1:15" ht="30" customHeight="1" x14ac:dyDescent="0.3">
      <c r="A2" s="886" t="s">
        <v>236</v>
      </c>
      <c r="B2" s="887"/>
      <c r="C2" s="725"/>
      <c r="D2" s="725"/>
      <c r="E2" s="725"/>
      <c r="F2" s="725"/>
      <c r="G2" s="725"/>
      <c r="H2" s="725"/>
      <c r="I2" s="725"/>
      <c r="J2" s="725"/>
      <c r="K2" s="725"/>
      <c r="L2" s="725"/>
      <c r="M2" s="725"/>
      <c r="N2" s="725"/>
      <c r="O2" s="784"/>
    </row>
    <row r="3" spans="1:15" ht="15" customHeight="1" x14ac:dyDescent="0.25">
      <c r="A3" s="418"/>
      <c r="B3" s="734"/>
      <c r="C3" s="734"/>
      <c r="D3" s="734"/>
      <c r="E3" s="734"/>
      <c r="F3" s="734"/>
      <c r="G3" s="734"/>
      <c r="H3" s="734"/>
      <c r="I3" s="734"/>
      <c r="J3" s="734"/>
      <c r="K3" s="734"/>
      <c r="L3" s="734"/>
      <c r="M3" s="734"/>
      <c r="N3" s="734"/>
      <c r="O3" s="422"/>
    </row>
    <row r="4" spans="1:15" ht="15" customHeight="1" x14ac:dyDescent="0.25">
      <c r="A4" s="418"/>
      <c r="B4" s="734"/>
      <c r="C4" s="734" t="s">
        <v>237</v>
      </c>
      <c r="D4" s="734"/>
      <c r="E4" s="734"/>
      <c r="F4" s="734"/>
      <c r="G4" s="734"/>
      <c r="H4" s="734"/>
      <c r="I4" s="734"/>
      <c r="J4" s="734"/>
      <c r="K4" s="734"/>
      <c r="L4" s="734"/>
      <c r="M4" s="734"/>
      <c r="N4" s="734"/>
      <c r="O4" s="422"/>
    </row>
    <row r="5" spans="1:15" ht="15" customHeight="1" x14ac:dyDescent="0.25">
      <c r="A5" s="418"/>
      <c r="B5" s="734"/>
      <c r="C5" s="734"/>
      <c r="D5" s="734"/>
      <c r="E5" s="734"/>
      <c r="F5" s="734"/>
      <c r="G5" s="734"/>
      <c r="H5" s="734"/>
      <c r="I5" s="734"/>
      <c r="J5" s="734"/>
      <c r="K5" s="734"/>
      <c r="L5" s="734"/>
      <c r="M5" s="734"/>
      <c r="N5" s="734"/>
      <c r="O5" s="422"/>
    </row>
    <row r="6" spans="1:15" ht="15" customHeight="1" x14ac:dyDescent="0.25">
      <c r="A6" s="418"/>
      <c r="B6" s="1717" t="s">
        <v>637</v>
      </c>
      <c r="C6" s="1715"/>
      <c r="D6" s="1726" t="s">
        <v>297</v>
      </c>
      <c r="E6" s="1728"/>
      <c r="F6" s="1728"/>
      <c r="G6" s="1728"/>
      <c r="H6" s="1728"/>
      <c r="I6" s="735"/>
      <c r="J6" s="1728" t="s">
        <v>67</v>
      </c>
      <c r="K6" s="1728"/>
      <c r="L6" s="1728"/>
      <c r="M6" s="1728"/>
      <c r="N6" s="1728"/>
      <c r="O6" s="422"/>
    </row>
    <row r="7" spans="1:15" ht="60" customHeight="1" x14ac:dyDescent="0.25">
      <c r="A7" s="418"/>
      <c r="B7" s="1718"/>
      <c r="C7" s="1716"/>
      <c r="D7" s="1549" t="s">
        <v>238</v>
      </c>
      <c r="E7" s="1549" t="s">
        <v>638</v>
      </c>
      <c r="F7" s="1549" t="s">
        <v>627</v>
      </c>
      <c r="G7" s="1549" t="s">
        <v>642</v>
      </c>
      <c r="H7" s="888" t="s">
        <v>143</v>
      </c>
      <c r="I7" s="735"/>
      <c r="J7" s="1551" t="s">
        <v>238</v>
      </c>
      <c r="K7" s="1549" t="s">
        <v>638</v>
      </c>
      <c r="L7" s="1549" t="s">
        <v>627</v>
      </c>
      <c r="M7" s="1549" t="s">
        <v>642</v>
      </c>
      <c r="N7" s="888" t="s">
        <v>143</v>
      </c>
      <c r="O7" s="422"/>
    </row>
    <row r="8" spans="1:15" ht="15" customHeight="1" x14ac:dyDescent="0.25">
      <c r="A8" s="418"/>
      <c r="B8" s="826" t="s">
        <v>628</v>
      </c>
      <c r="C8" s="889" t="s">
        <v>239</v>
      </c>
      <c r="D8" s="895" t="str">
        <f>IF(AND(ISNUMBER(D10),ISNUMBER(D11),ISNUMBER(D12)),SUM(D10:D12),"")</f>
        <v/>
      </c>
      <c r="E8" s="895" t="str">
        <f>IF(AND(ISNUMBER(E10),ISNUMBER(E11),ISNUMBER(E12)),SUM(E10:E12),"")</f>
        <v/>
      </c>
      <c r="F8" s="895" t="str">
        <f>IF(AND(ISNUMBER(F9),ISNUMBER(F13),ISNUMBER(F14)),F9-F13-F14,"")</f>
        <v/>
      </c>
      <c r="G8" s="37"/>
      <c r="H8" s="38"/>
      <c r="I8" s="4"/>
      <c r="J8" s="903" t="str">
        <f>IF(AND(ISNUMBER(J10),ISNUMBER(J11),ISNUMBER(J12)),SUM(J10:J12),"")</f>
        <v/>
      </c>
      <c r="K8" s="895" t="str">
        <f>IF(AND(ISNUMBER(K10),ISNUMBER(K11),ISNUMBER(K12)),SUM(K10:K12),"")</f>
        <v/>
      </c>
      <c r="L8" s="895" t="str">
        <f>IF(AND(ISNUMBER(L9),ISNUMBER(L13),ISNUMBER(L14)),L9-L13-L14,"")</f>
        <v/>
      </c>
      <c r="M8" s="37"/>
      <c r="N8" s="38"/>
      <c r="O8" s="422"/>
    </row>
    <row r="9" spans="1:15" ht="15" customHeight="1" x14ac:dyDescent="0.25">
      <c r="A9" s="418"/>
      <c r="B9" s="829" t="s">
        <v>713</v>
      </c>
      <c r="C9" s="890" t="s">
        <v>714</v>
      </c>
      <c r="D9" s="41"/>
      <c r="E9" s="41"/>
      <c r="F9" s="42"/>
      <c r="G9" s="43"/>
      <c r="H9" s="44"/>
      <c r="I9" s="4"/>
      <c r="J9" s="45"/>
      <c r="K9" s="41"/>
      <c r="L9" s="42"/>
      <c r="M9" s="43"/>
      <c r="N9" s="44"/>
      <c r="O9" s="422"/>
    </row>
    <row r="10" spans="1:15" ht="15" customHeight="1" x14ac:dyDescent="0.25">
      <c r="A10" s="418"/>
      <c r="B10" s="46"/>
      <c r="C10" s="890" t="s">
        <v>727</v>
      </c>
      <c r="D10" s="47"/>
      <c r="E10" s="47"/>
      <c r="F10" s="48"/>
      <c r="G10" s="48"/>
      <c r="H10" s="896" t="str">
        <f>IF(D10&lt;=E10,"Yes","No")</f>
        <v>Yes</v>
      </c>
      <c r="I10" s="4"/>
      <c r="J10" s="50"/>
      <c r="K10" s="47"/>
      <c r="L10" s="48"/>
      <c r="M10" s="48"/>
      <c r="N10" s="896" t="str">
        <f>IF(J10&lt;=K10,"Yes","No")</f>
        <v>Yes</v>
      </c>
      <c r="O10" s="422"/>
    </row>
    <row r="11" spans="1:15" ht="15" customHeight="1" x14ac:dyDescent="0.25">
      <c r="A11" s="418"/>
      <c r="B11" s="46"/>
      <c r="C11" s="890" t="s">
        <v>728</v>
      </c>
      <c r="D11" s="47"/>
      <c r="E11" s="47"/>
      <c r="F11" s="48"/>
      <c r="G11" s="48"/>
      <c r="H11" s="896" t="str">
        <f>IF(D11&lt;=E11,"Yes","No")</f>
        <v>Yes</v>
      </c>
      <c r="I11" s="4"/>
      <c r="J11" s="50"/>
      <c r="K11" s="47"/>
      <c r="L11" s="48"/>
      <c r="M11" s="48"/>
      <c r="N11" s="896" t="str">
        <f>IF(J11&lt;=K11,"Yes","No")</f>
        <v>Yes</v>
      </c>
      <c r="O11" s="422"/>
    </row>
    <row r="12" spans="1:15" ht="15" customHeight="1" x14ac:dyDescent="0.25">
      <c r="A12" s="418"/>
      <c r="B12" s="46"/>
      <c r="C12" s="890" t="s">
        <v>729</v>
      </c>
      <c r="D12" s="47"/>
      <c r="E12" s="47"/>
      <c r="F12" s="48"/>
      <c r="G12" s="48"/>
      <c r="H12" s="896" t="str">
        <f>IF(D12&lt;=E12,"Yes","No")</f>
        <v>Yes</v>
      </c>
      <c r="I12" s="4"/>
      <c r="J12" s="50"/>
      <c r="K12" s="47"/>
      <c r="L12" s="48"/>
      <c r="M12" s="48"/>
      <c r="N12" s="896" t="str">
        <f>IF(J12&lt;=K12,"Yes","No")</f>
        <v>Yes</v>
      </c>
      <c r="O12" s="422"/>
    </row>
    <row r="13" spans="1:15" ht="15" customHeight="1" x14ac:dyDescent="0.25">
      <c r="A13" s="418"/>
      <c r="B13" s="829" t="s">
        <v>715</v>
      </c>
      <c r="C13" s="890" t="s">
        <v>716</v>
      </c>
      <c r="D13" s="41"/>
      <c r="E13" s="51"/>
      <c r="F13" s="60"/>
      <c r="G13" s="43"/>
      <c r="H13" s="53"/>
      <c r="I13" s="4"/>
      <c r="J13" s="45"/>
      <c r="K13" s="51"/>
      <c r="L13" s="60"/>
      <c r="M13" s="43"/>
      <c r="N13" s="53"/>
      <c r="O13" s="422"/>
    </row>
    <row r="14" spans="1:15" ht="15" customHeight="1" x14ac:dyDescent="0.25">
      <c r="A14" s="418"/>
      <c r="B14" s="827">
        <v>27</v>
      </c>
      <c r="C14" s="891" t="s">
        <v>717</v>
      </c>
      <c r="D14" s="54"/>
      <c r="E14" s="54"/>
      <c r="F14" s="55"/>
      <c r="G14" s="56"/>
      <c r="H14" s="57"/>
      <c r="I14" s="4"/>
      <c r="J14" s="58"/>
      <c r="K14" s="54"/>
      <c r="L14" s="55"/>
      <c r="M14" s="56"/>
      <c r="N14" s="57"/>
      <c r="O14" s="422"/>
    </row>
    <row r="15" spans="1:15" ht="15" customHeight="1" x14ac:dyDescent="0.25">
      <c r="A15" s="418"/>
      <c r="B15" s="826" t="s">
        <v>718</v>
      </c>
      <c r="C15" s="892" t="s">
        <v>277</v>
      </c>
      <c r="D15" s="897" t="str">
        <f>IF(AND(ISNUMBER(D16),ISNUMBER(D17)),SUM(D16:D17),"")</f>
        <v/>
      </c>
      <c r="E15" s="897" t="str">
        <f t="shared" ref="E15:F15" si="0">IF(AND(ISNUMBER(E16),ISNUMBER(E17)),SUM(E16:E17),"")</f>
        <v/>
      </c>
      <c r="F15" s="897" t="str">
        <f t="shared" si="0"/>
        <v/>
      </c>
      <c r="G15" s="897" t="str">
        <f>IF(ISNUMBER(G17),G17,"")</f>
        <v/>
      </c>
      <c r="H15" s="59"/>
      <c r="I15" s="4"/>
      <c r="J15" s="903" t="str">
        <f>IF(AND(ISNUMBER(J16),ISNUMBER(J17)),SUM(J16:J17),"")</f>
        <v/>
      </c>
      <c r="K15" s="897" t="str">
        <f t="shared" ref="K15" si="1">IF(AND(ISNUMBER(K16),ISNUMBER(K17)),SUM(K16:K17),"")</f>
        <v/>
      </c>
      <c r="L15" s="897" t="str">
        <f t="shared" ref="L15" si="2">IF(AND(ISNUMBER(L16),ISNUMBER(L17)),SUM(L16:L17),"")</f>
        <v/>
      </c>
      <c r="M15" s="897" t="str">
        <f>IF(ISNUMBER(M17),M17,"")</f>
        <v/>
      </c>
      <c r="N15" s="59"/>
      <c r="O15" s="422"/>
    </row>
    <row r="16" spans="1:15" ht="15" customHeight="1" x14ac:dyDescent="0.25">
      <c r="A16" s="418"/>
      <c r="B16" s="829" t="s">
        <v>630</v>
      </c>
      <c r="C16" s="890" t="s">
        <v>719</v>
      </c>
      <c r="D16" s="47"/>
      <c r="E16" s="47"/>
      <c r="F16" s="60"/>
      <c r="G16" s="59"/>
      <c r="H16" s="898" t="str">
        <f>IF(D16&lt;=E16,"Yes","No")</f>
        <v>Yes</v>
      </c>
      <c r="I16" s="4"/>
      <c r="J16" s="50"/>
      <c r="K16" s="47"/>
      <c r="L16" s="60"/>
      <c r="M16" s="59"/>
      <c r="N16" s="898" t="str">
        <f>IF(J16&lt;=K16,"Yes","No")</f>
        <v>Yes</v>
      </c>
      <c r="O16" s="422"/>
    </row>
    <row r="17" spans="1:15" ht="15" customHeight="1" x14ac:dyDescent="0.25">
      <c r="A17" s="418"/>
      <c r="B17" s="893" t="s">
        <v>757</v>
      </c>
      <c r="C17" s="891" t="s">
        <v>756</v>
      </c>
      <c r="D17" s="62"/>
      <c r="E17" s="62"/>
      <c r="F17" s="55"/>
      <c r="G17" s="55"/>
      <c r="H17" s="899" t="str">
        <f>IF(D17&lt;=E17,"Yes","No")</f>
        <v>Yes</v>
      </c>
      <c r="I17" s="4"/>
      <c r="J17" s="64"/>
      <c r="K17" s="62"/>
      <c r="L17" s="55"/>
      <c r="M17" s="55"/>
      <c r="N17" s="899" t="str">
        <f>IF(J17&lt;=K17,"Yes","No")</f>
        <v>Yes</v>
      </c>
      <c r="O17" s="422"/>
    </row>
    <row r="18" spans="1:15" ht="15" customHeight="1" x14ac:dyDescent="0.25">
      <c r="A18" s="418"/>
      <c r="B18" s="65"/>
      <c r="C18" s="889" t="s">
        <v>104</v>
      </c>
      <c r="D18" s="43"/>
      <c r="E18" s="897" t="str">
        <f>IF(ISNUMBER(E19),E19+E20,"")</f>
        <v/>
      </c>
      <c r="F18" s="43"/>
      <c r="G18" s="43"/>
      <c r="H18" s="59"/>
      <c r="I18" s="4"/>
      <c r="J18" s="65"/>
      <c r="K18" s="897" t="str">
        <f>IF(ISNUMBER(K19),K19+K20,"")</f>
        <v/>
      </c>
      <c r="L18" s="43"/>
      <c r="M18" s="43"/>
      <c r="N18" s="59"/>
      <c r="O18" s="422"/>
    </row>
    <row r="19" spans="1:15" ht="15" customHeight="1" x14ac:dyDescent="0.25">
      <c r="A19" s="418"/>
      <c r="B19" s="66"/>
      <c r="C19" s="890" t="s">
        <v>720</v>
      </c>
      <c r="D19" s="47"/>
      <c r="E19" s="60"/>
      <c r="F19" s="48"/>
      <c r="G19" s="48"/>
      <c r="H19" s="896" t="str">
        <f>IF(D19&lt;=E19,"Yes","No")</f>
        <v>Yes</v>
      </c>
      <c r="I19" s="4"/>
      <c r="J19" s="50"/>
      <c r="K19" s="60"/>
      <c r="L19" s="48"/>
      <c r="M19" s="48"/>
      <c r="N19" s="896" t="str">
        <f>IF(J19&lt;=K19,"Yes","No")</f>
        <v>Yes</v>
      </c>
      <c r="O19" s="422"/>
    </row>
    <row r="20" spans="1:15" ht="15" customHeight="1" x14ac:dyDescent="0.25">
      <c r="A20" s="418"/>
      <c r="B20" s="66"/>
      <c r="C20" s="890" t="s">
        <v>721</v>
      </c>
      <c r="D20" s="48"/>
      <c r="E20" s="897" t="str">
        <f>IF(AND(ISNUMBER(E21),ISNUMBER(E22),ISNUMBER(E23),ISNUMBER(E24),ISNUMBER(E25),ISNUMBER(E26)),E21-E22-E23-E24+E25-E26,"")</f>
        <v/>
      </c>
      <c r="F20" s="48"/>
      <c r="G20" s="48"/>
      <c r="H20" s="44"/>
      <c r="I20" s="4"/>
      <c r="J20" s="66"/>
      <c r="K20" s="897" t="str">
        <f>IF(AND(ISNUMBER(K21),ISNUMBER(K22),ISNUMBER(K23),ISNUMBER(K24),ISNUMBER(K25),ISNUMBER(K26)),K21-K22-K23-K24+K25-K26,"")</f>
        <v/>
      </c>
      <c r="L20" s="48"/>
      <c r="M20" s="48"/>
      <c r="N20" s="67"/>
      <c r="O20" s="422"/>
    </row>
    <row r="21" spans="1:15" ht="15" customHeight="1" x14ac:dyDescent="0.25">
      <c r="A21" s="418"/>
      <c r="B21" s="829">
        <v>24</v>
      </c>
      <c r="C21" s="890" t="s">
        <v>722</v>
      </c>
      <c r="D21" s="48"/>
      <c r="E21" s="60"/>
      <c r="F21" s="48"/>
      <c r="G21" s="48"/>
      <c r="H21" s="67"/>
      <c r="I21" s="4"/>
      <c r="J21" s="66"/>
      <c r="K21" s="60"/>
      <c r="L21" s="48"/>
      <c r="M21" s="48"/>
      <c r="N21" s="67"/>
      <c r="O21" s="422"/>
    </row>
    <row r="22" spans="1:15" ht="15" customHeight="1" x14ac:dyDescent="0.25">
      <c r="A22" s="418"/>
      <c r="B22" s="829" t="s">
        <v>715</v>
      </c>
      <c r="C22" s="890" t="s">
        <v>1096</v>
      </c>
      <c r="D22" s="48"/>
      <c r="E22" s="60"/>
      <c r="F22" s="48"/>
      <c r="G22" s="48"/>
      <c r="H22" s="67"/>
      <c r="I22" s="4"/>
      <c r="J22" s="66"/>
      <c r="K22" s="60"/>
      <c r="L22" s="48"/>
      <c r="M22" s="48"/>
      <c r="N22" s="67"/>
      <c r="O22" s="422"/>
    </row>
    <row r="23" spans="1:15" ht="15" customHeight="1" x14ac:dyDescent="0.25">
      <c r="A23" s="418"/>
      <c r="B23" s="829">
        <v>27</v>
      </c>
      <c r="C23" s="890" t="s">
        <v>723</v>
      </c>
      <c r="D23" s="48"/>
      <c r="E23" s="60"/>
      <c r="F23" s="48"/>
      <c r="G23" s="48"/>
      <c r="H23" s="67"/>
      <c r="I23" s="4"/>
      <c r="J23" s="66"/>
      <c r="K23" s="60"/>
      <c r="L23" s="48"/>
      <c r="M23" s="48"/>
      <c r="N23" s="67"/>
      <c r="O23" s="422"/>
    </row>
    <row r="24" spans="1:15" ht="15" customHeight="1" x14ac:dyDescent="0.25">
      <c r="A24" s="418"/>
      <c r="B24" s="829">
        <v>33</v>
      </c>
      <c r="C24" s="890" t="s">
        <v>724</v>
      </c>
      <c r="D24" s="48"/>
      <c r="E24" s="60"/>
      <c r="F24" s="48"/>
      <c r="G24" s="48"/>
      <c r="H24" s="67"/>
      <c r="I24" s="4"/>
      <c r="J24" s="66"/>
      <c r="K24" s="60"/>
      <c r="L24" s="48"/>
      <c r="M24" s="48"/>
      <c r="N24" s="67"/>
      <c r="O24" s="422"/>
    </row>
    <row r="25" spans="1:15" ht="15" customHeight="1" x14ac:dyDescent="0.25">
      <c r="A25" s="418"/>
      <c r="B25" s="829">
        <v>34</v>
      </c>
      <c r="C25" s="890" t="s">
        <v>725</v>
      </c>
      <c r="D25" s="68"/>
      <c r="E25" s="60"/>
      <c r="F25" s="68"/>
      <c r="G25" s="68"/>
      <c r="H25" s="69"/>
      <c r="I25" s="4"/>
      <c r="J25" s="70"/>
      <c r="K25" s="71"/>
      <c r="L25" s="68"/>
      <c r="M25" s="68"/>
      <c r="N25" s="69"/>
      <c r="O25" s="422"/>
    </row>
    <row r="26" spans="1:15" ht="15" customHeight="1" x14ac:dyDescent="0.25">
      <c r="A26" s="418"/>
      <c r="B26" s="829">
        <v>15</v>
      </c>
      <c r="C26" s="891" t="s">
        <v>726</v>
      </c>
      <c r="D26" s="68"/>
      <c r="E26" s="60"/>
      <c r="F26" s="68"/>
      <c r="G26" s="68"/>
      <c r="H26" s="69"/>
      <c r="I26" s="4"/>
      <c r="J26" s="70"/>
      <c r="K26" s="71"/>
      <c r="L26" s="68"/>
      <c r="M26" s="68"/>
      <c r="N26" s="69"/>
      <c r="O26" s="422"/>
    </row>
    <row r="27" spans="1:15" ht="15" customHeight="1" x14ac:dyDescent="0.25">
      <c r="A27" s="418"/>
      <c r="B27" s="72"/>
      <c r="C27" s="73" t="s">
        <v>243</v>
      </c>
      <c r="D27" s="74" t="str">
        <f>IF(AND(ISNUMBER(D8),ISNUMBER(D15),ISNUMBER(D19)),SUM(D8,D15,D19),"")</f>
        <v/>
      </c>
      <c r="E27" s="74" t="str">
        <f>IF(AND(ISNUMBER(E8),ISNUMBER(E15),ISNUMBER(E18)),SUM(E8,E15,E18),"")</f>
        <v/>
      </c>
      <c r="F27" s="74" t="str">
        <f>IF(AND(ISNUMBER(F8),ISNUMBER(F15)),SUM(F8,F15),"")</f>
        <v/>
      </c>
      <c r="G27" s="74" t="str">
        <f>IF(ISNUMBER(G15),G15,"")</f>
        <v/>
      </c>
      <c r="H27" s="75"/>
      <c r="I27" s="4"/>
      <c r="J27" s="76" t="str">
        <f>IF(AND(ISNUMBER(J8),ISNUMBER(J15),ISNUMBER(J19)),SUM(J8,J15,J19),"")</f>
        <v/>
      </c>
      <c r="K27" s="74" t="str">
        <f>IF(AND(ISNUMBER(K8),ISNUMBER(K15),ISNUMBER(K18)),SUM(K8,K15,K18),"")</f>
        <v/>
      </c>
      <c r="L27" s="74" t="str">
        <f>IF(AND(ISNUMBER(L8),ISNUMBER(L15)),SUM(L8,L15),"")</f>
        <v/>
      </c>
      <c r="M27" s="74" t="str">
        <f>IF(ISNUMBER(M15),M15,"")</f>
        <v/>
      </c>
      <c r="N27" s="75"/>
      <c r="O27" s="422"/>
    </row>
    <row r="28" spans="1:15" ht="15" customHeight="1" x14ac:dyDescent="0.25">
      <c r="A28" s="418"/>
      <c r="B28" s="735"/>
      <c r="C28" s="735"/>
      <c r="D28" s="735"/>
      <c r="E28" s="735"/>
      <c r="F28" s="735"/>
      <c r="G28" s="735"/>
      <c r="H28" s="735"/>
      <c r="I28" s="735"/>
      <c r="J28" s="735"/>
      <c r="K28" s="735"/>
      <c r="L28" s="735"/>
      <c r="M28" s="735"/>
      <c r="N28" s="735"/>
      <c r="O28" s="422"/>
    </row>
    <row r="29" spans="1:15" ht="15" customHeight="1" x14ac:dyDescent="0.25">
      <c r="A29" s="418"/>
      <c r="B29" s="72"/>
      <c r="C29" s="900" t="s">
        <v>629</v>
      </c>
      <c r="D29" s="77"/>
      <c r="E29" s="77"/>
      <c r="F29" s="78"/>
      <c r="G29" s="79"/>
      <c r="H29" s="77"/>
      <c r="I29" s="4"/>
      <c r="J29" s="80"/>
      <c r="K29" s="77"/>
      <c r="L29" s="78"/>
      <c r="M29" s="79"/>
      <c r="N29" s="77"/>
      <c r="O29" s="422"/>
    </row>
    <row r="30" spans="1:15" ht="15" customHeight="1" x14ac:dyDescent="0.25">
      <c r="A30" s="418"/>
      <c r="B30" s="735"/>
      <c r="C30" s="1621"/>
      <c r="D30" s="735"/>
      <c r="E30" s="894"/>
      <c r="F30" s="735"/>
      <c r="G30" s="735"/>
      <c r="H30" s="735"/>
      <c r="I30" s="735"/>
      <c r="J30" s="735"/>
      <c r="K30" s="735"/>
      <c r="L30" s="735"/>
      <c r="M30" s="735"/>
      <c r="N30" s="735"/>
      <c r="O30" s="422"/>
    </row>
    <row r="31" spans="1:15" ht="15" customHeight="1" x14ac:dyDescent="0.25">
      <c r="A31" s="418"/>
      <c r="B31" s="72"/>
      <c r="C31" s="901" t="s">
        <v>749</v>
      </c>
      <c r="D31" s="77"/>
      <c r="E31" s="902" t="str">
        <f>IF(SUM(E22:E24,E26)&lt;=E19,"Yes","No")</f>
        <v>Yes</v>
      </c>
      <c r="F31" s="77"/>
      <c r="G31" s="75"/>
      <c r="H31" s="77"/>
      <c r="I31" s="4"/>
      <c r="J31" s="80"/>
      <c r="K31" s="902" t="str">
        <f>IF(SUM(K22:K24,K26)&lt;=K19,"Yes","No")</f>
        <v>Yes</v>
      </c>
      <c r="L31" s="77"/>
      <c r="M31" s="75"/>
      <c r="N31" s="77"/>
      <c r="O31" s="422"/>
    </row>
    <row r="32" spans="1:15" ht="15" customHeight="1" x14ac:dyDescent="0.25">
      <c r="A32" s="418"/>
      <c r="B32" s="795"/>
      <c r="C32" s="735"/>
      <c r="D32" s="735"/>
      <c r="E32" s="735"/>
      <c r="F32" s="735"/>
      <c r="G32" s="735"/>
      <c r="H32" s="734"/>
      <c r="I32" s="735"/>
      <c r="J32" s="735"/>
      <c r="K32" s="735"/>
      <c r="L32" s="735"/>
      <c r="M32" s="735"/>
      <c r="N32" s="735"/>
      <c r="O32" s="422"/>
    </row>
    <row r="33" spans="1:15" ht="30" customHeight="1" x14ac:dyDescent="0.3">
      <c r="A33" s="886" t="s">
        <v>278</v>
      </c>
      <c r="B33" s="887"/>
      <c r="C33" s="725"/>
      <c r="D33" s="725"/>
      <c r="E33" s="725"/>
      <c r="F33" s="725"/>
      <c r="G33" s="725"/>
      <c r="H33" s="725"/>
      <c r="I33" s="725"/>
      <c r="J33" s="725"/>
      <c r="K33" s="725"/>
      <c r="L33" s="725"/>
      <c r="M33" s="725"/>
      <c r="N33" s="725"/>
      <c r="O33" s="784"/>
    </row>
    <row r="34" spans="1:15" ht="15" customHeight="1" x14ac:dyDescent="0.25">
      <c r="A34" s="418"/>
      <c r="B34" s="729"/>
      <c r="C34" s="735"/>
      <c r="D34" s="734"/>
      <c r="E34" s="734"/>
      <c r="F34" s="734"/>
      <c r="G34" s="734"/>
      <c r="H34" s="734"/>
      <c r="I34" s="735"/>
      <c r="J34" s="734"/>
      <c r="K34" s="734"/>
      <c r="L34" s="734"/>
      <c r="M34" s="734"/>
      <c r="N34" s="735"/>
      <c r="O34" s="422"/>
    </row>
    <row r="35" spans="1:15" ht="15" customHeight="1" x14ac:dyDescent="0.25">
      <c r="A35" s="418"/>
      <c r="B35" s="1721" t="s">
        <v>637</v>
      </c>
      <c r="C35" s="1719"/>
      <c r="D35" s="1726" t="s">
        <v>297</v>
      </c>
      <c r="E35" s="1728"/>
      <c r="F35" s="1728"/>
      <c r="G35" s="1728"/>
      <c r="H35" s="735"/>
      <c r="I35" s="735"/>
      <c r="J35" s="1728" t="s">
        <v>67</v>
      </c>
      <c r="K35" s="1728"/>
      <c r="L35" s="1728"/>
      <c r="M35" s="1728"/>
      <c r="N35" s="735"/>
      <c r="O35" s="422"/>
    </row>
    <row r="36" spans="1:15" ht="135" customHeight="1" x14ac:dyDescent="0.25">
      <c r="A36" s="418"/>
      <c r="B36" s="1722"/>
      <c r="C36" s="1720"/>
      <c r="D36" s="904" t="s">
        <v>183</v>
      </c>
      <c r="E36" s="904" t="s">
        <v>631</v>
      </c>
      <c r="F36" s="904" t="s">
        <v>244</v>
      </c>
      <c r="G36" s="905" t="s">
        <v>145</v>
      </c>
      <c r="H36" s="735"/>
      <c r="I36" s="735"/>
      <c r="J36" s="906" t="s">
        <v>183</v>
      </c>
      <c r="K36" s="904" t="s">
        <v>631</v>
      </c>
      <c r="L36" s="904" t="s">
        <v>244</v>
      </c>
      <c r="M36" s="905" t="s">
        <v>145</v>
      </c>
      <c r="N36" s="735"/>
      <c r="O36" s="422"/>
    </row>
    <row r="37" spans="1:15" ht="15" customHeight="1" x14ac:dyDescent="0.25">
      <c r="A37" s="418"/>
      <c r="B37" s="826" t="s">
        <v>730</v>
      </c>
      <c r="C37" s="916" t="s">
        <v>245</v>
      </c>
      <c r="D37" s="37"/>
      <c r="E37" s="37"/>
      <c r="F37" s="37"/>
      <c r="G37" s="38"/>
      <c r="H37" s="735"/>
      <c r="I37" s="4"/>
      <c r="J37" s="83"/>
      <c r="K37" s="37"/>
      <c r="L37" s="37"/>
      <c r="M37" s="38"/>
      <c r="N37" s="735"/>
      <c r="O37" s="422"/>
    </row>
    <row r="38" spans="1:15" ht="15" customHeight="1" x14ac:dyDescent="0.25">
      <c r="A38" s="418"/>
      <c r="B38" s="46"/>
      <c r="C38" s="917" t="s">
        <v>731</v>
      </c>
      <c r="D38" s="43"/>
      <c r="E38" s="831" t="str">
        <f>IF(AND(ISNUMBER(E39),ISNUMBER(E43)),E39-E43,"")</f>
        <v/>
      </c>
      <c r="F38" s="43"/>
      <c r="G38" s="44"/>
      <c r="H38" s="735"/>
      <c r="I38" s="4"/>
      <c r="J38" s="65"/>
      <c r="K38" s="831" t="str">
        <f>IF(AND(ISNUMBER(K39),ISNUMBER(K43)),K39-K43,"")</f>
        <v/>
      </c>
      <c r="L38" s="43"/>
      <c r="M38" s="44"/>
      <c r="N38" s="735"/>
      <c r="O38" s="422"/>
    </row>
    <row r="39" spans="1:15" ht="15" customHeight="1" x14ac:dyDescent="0.25">
      <c r="A39" s="418"/>
      <c r="B39" s="46"/>
      <c r="C39" s="877" t="s">
        <v>239</v>
      </c>
      <c r="D39" s="831" t="str">
        <f>IF(AND(ISNUMBER(D40),ISNUMBER(D41),ISNUMBER(D42)),SUM(D40:D42),"")</f>
        <v/>
      </c>
      <c r="E39" s="60"/>
      <c r="F39" s="831" t="str">
        <f>IF(AND(ISNUMBER(F40),ISNUMBER(F41),ISNUMBER(F42)),SUM(F40:F42),"")</f>
        <v/>
      </c>
      <c r="G39" s="67"/>
      <c r="H39" s="735"/>
      <c r="I39" s="4"/>
      <c r="J39" s="919" t="str">
        <f>IF(AND(ISNUMBER(J40),ISNUMBER(J41),ISNUMBER(J42)),SUM(J40:J42),"")</f>
        <v/>
      </c>
      <c r="K39" s="60"/>
      <c r="L39" s="831" t="str">
        <f>IF(AND(ISNUMBER(L40),ISNUMBER(L41),ISNUMBER(L42)),SUM(L40:L42),"")</f>
        <v/>
      </c>
      <c r="M39" s="67"/>
      <c r="N39" s="735"/>
      <c r="O39" s="422"/>
    </row>
    <row r="40" spans="1:15" ht="15" customHeight="1" x14ac:dyDescent="0.25">
      <c r="A40" s="418"/>
      <c r="B40" s="46"/>
      <c r="C40" s="890" t="s">
        <v>240</v>
      </c>
      <c r="D40" s="47"/>
      <c r="E40" s="48"/>
      <c r="F40" s="47"/>
      <c r="G40" s="896" t="str">
        <f>IF(F40&gt;=D10,"Yes","No")</f>
        <v>Yes</v>
      </c>
      <c r="H40" s="735"/>
      <c r="I40" s="4"/>
      <c r="J40" s="50"/>
      <c r="K40" s="48"/>
      <c r="L40" s="47"/>
      <c r="M40" s="896" t="str">
        <f>IF(L40&gt;=J10,"Yes","No")</f>
        <v>Yes</v>
      </c>
      <c r="N40" s="735"/>
      <c r="O40" s="422"/>
    </row>
    <row r="41" spans="1:15" ht="15" customHeight="1" x14ac:dyDescent="0.25">
      <c r="A41" s="418"/>
      <c r="B41" s="46"/>
      <c r="C41" s="890" t="s">
        <v>241</v>
      </c>
      <c r="D41" s="47"/>
      <c r="E41" s="48"/>
      <c r="F41" s="47"/>
      <c r="G41" s="896" t="str">
        <f>IF(F41&gt;=D11,"Yes","No")</f>
        <v>Yes</v>
      </c>
      <c r="H41" s="735"/>
      <c r="I41" s="4"/>
      <c r="J41" s="50"/>
      <c r="K41" s="48"/>
      <c r="L41" s="47"/>
      <c r="M41" s="896" t="str">
        <f>IF(L41&gt;=J11,"Yes","No")</f>
        <v>Yes</v>
      </c>
      <c r="N41" s="735"/>
      <c r="O41" s="422"/>
    </row>
    <row r="42" spans="1:15" ht="15" customHeight="1" x14ac:dyDescent="0.25">
      <c r="A42" s="418"/>
      <c r="B42" s="46"/>
      <c r="C42" s="890" t="s">
        <v>242</v>
      </c>
      <c r="D42" s="47"/>
      <c r="E42" s="48"/>
      <c r="F42" s="47"/>
      <c r="G42" s="896" t="str">
        <f>IF(F42&gt;=D12,"Yes","No")</f>
        <v>Yes</v>
      </c>
      <c r="H42" s="735"/>
      <c r="I42" s="4"/>
      <c r="J42" s="50"/>
      <c r="K42" s="48"/>
      <c r="L42" s="47"/>
      <c r="M42" s="896" t="str">
        <f>IF(L42&gt;=J12,"Yes","No")</f>
        <v>Yes</v>
      </c>
      <c r="N42" s="735"/>
      <c r="O42" s="422"/>
    </row>
    <row r="43" spans="1:15" ht="15" customHeight="1" x14ac:dyDescent="0.25">
      <c r="A43" s="418"/>
      <c r="B43" s="829">
        <v>27</v>
      </c>
      <c r="C43" s="877" t="s">
        <v>732</v>
      </c>
      <c r="D43" s="47"/>
      <c r="E43" s="60"/>
      <c r="F43" s="47"/>
      <c r="G43" s="67"/>
      <c r="H43" s="735"/>
      <c r="I43" s="4"/>
      <c r="J43" s="50"/>
      <c r="K43" s="60"/>
      <c r="L43" s="47"/>
      <c r="M43" s="67"/>
      <c r="N43" s="735"/>
      <c r="O43" s="422"/>
    </row>
    <row r="44" spans="1:15" ht="15" customHeight="1" x14ac:dyDescent="0.25">
      <c r="A44" s="418"/>
      <c r="B44" s="829">
        <v>39</v>
      </c>
      <c r="C44" s="915" t="s">
        <v>246</v>
      </c>
      <c r="D44" s="48"/>
      <c r="E44" s="48"/>
      <c r="F44" s="48"/>
      <c r="G44" s="67"/>
      <c r="H44" s="735"/>
      <c r="I44" s="4"/>
      <c r="J44" s="66"/>
      <c r="K44" s="48"/>
      <c r="L44" s="48"/>
      <c r="M44" s="67"/>
      <c r="N44" s="735"/>
      <c r="O44" s="422"/>
    </row>
    <row r="45" spans="1:15" ht="15" customHeight="1" x14ac:dyDescent="0.25">
      <c r="A45" s="418"/>
      <c r="B45" s="46"/>
      <c r="C45" s="877" t="s">
        <v>247</v>
      </c>
      <c r="D45" s="48"/>
      <c r="E45" s="48"/>
      <c r="F45" s="60"/>
      <c r="G45" s="67"/>
      <c r="H45" s="735"/>
      <c r="I45" s="4"/>
      <c r="J45" s="66"/>
      <c r="K45" s="48"/>
      <c r="L45" s="60"/>
      <c r="M45" s="67"/>
      <c r="N45" s="735"/>
      <c r="O45" s="422"/>
    </row>
    <row r="46" spans="1:15" ht="15" customHeight="1" x14ac:dyDescent="0.25">
      <c r="A46" s="418"/>
      <c r="B46" s="46"/>
      <c r="C46" s="890" t="s">
        <v>248</v>
      </c>
      <c r="D46" s="48"/>
      <c r="E46" s="48"/>
      <c r="F46" s="47"/>
      <c r="G46" s="67"/>
      <c r="H46" s="735"/>
      <c r="I46" s="4"/>
      <c r="J46" s="66"/>
      <c r="K46" s="48"/>
      <c r="L46" s="47"/>
      <c r="M46" s="67"/>
      <c r="N46" s="735"/>
      <c r="O46" s="422"/>
    </row>
    <row r="47" spans="1:15" ht="15" customHeight="1" x14ac:dyDescent="0.25">
      <c r="A47" s="418"/>
      <c r="B47" s="46"/>
      <c r="C47" s="890" t="s">
        <v>250</v>
      </c>
      <c r="D47" s="48"/>
      <c r="E47" s="48"/>
      <c r="F47" s="47"/>
      <c r="G47" s="67"/>
      <c r="H47" s="735"/>
      <c r="I47" s="4"/>
      <c r="J47" s="66"/>
      <c r="K47" s="48"/>
      <c r="L47" s="47"/>
      <c r="M47" s="67"/>
      <c r="N47" s="735"/>
      <c r="O47" s="422"/>
    </row>
    <row r="48" spans="1:15" ht="15" customHeight="1" x14ac:dyDescent="0.25">
      <c r="A48" s="418"/>
      <c r="B48" s="46"/>
      <c r="C48" s="877" t="s">
        <v>251</v>
      </c>
      <c r="D48" s="48"/>
      <c r="E48" s="48"/>
      <c r="F48" s="60"/>
      <c r="G48" s="67"/>
      <c r="H48" s="735"/>
      <c r="I48" s="4"/>
      <c r="J48" s="66"/>
      <c r="K48" s="48"/>
      <c r="L48" s="60"/>
      <c r="M48" s="67"/>
      <c r="N48" s="735"/>
      <c r="O48" s="422"/>
    </row>
    <row r="49" spans="1:15" ht="15" customHeight="1" x14ac:dyDescent="0.25">
      <c r="A49" s="418"/>
      <c r="B49" s="46"/>
      <c r="C49" s="877" t="s">
        <v>279</v>
      </c>
      <c r="D49" s="48"/>
      <c r="E49" s="48"/>
      <c r="F49" s="60"/>
      <c r="G49" s="67"/>
      <c r="H49" s="735"/>
      <c r="I49" s="4"/>
      <c r="J49" s="66"/>
      <c r="K49" s="48"/>
      <c r="L49" s="60"/>
      <c r="M49" s="67"/>
      <c r="N49" s="735"/>
      <c r="O49" s="422"/>
    </row>
    <row r="50" spans="1:15" ht="15" customHeight="1" x14ac:dyDescent="0.25">
      <c r="A50" s="418"/>
      <c r="B50" s="86"/>
      <c r="C50" s="918" t="s">
        <v>280</v>
      </c>
      <c r="D50" s="68"/>
      <c r="E50" s="68"/>
      <c r="F50" s="71"/>
      <c r="G50" s="69"/>
      <c r="H50" s="735"/>
      <c r="I50" s="4"/>
      <c r="J50" s="70"/>
      <c r="K50" s="68"/>
      <c r="L50" s="71"/>
      <c r="M50" s="69"/>
      <c r="N50" s="735"/>
      <c r="O50" s="422"/>
    </row>
    <row r="51" spans="1:15" ht="15" customHeight="1" x14ac:dyDescent="0.25">
      <c r="A51" s="418"/>
      <c r="B51" s="72"/>
      <c r="C51" s="73" t="s">
        <v>252</v>
      </c>
      <c r="D51" s="77"/>
      <c r="E51" s="77"/>
      <c r="F51" s="74" t="str">
        <f>IF(AND(ISNUMBER(F45),ISNUMBER(F48),ISNUMBER(F49),ISNUMBER(F50)),SUM(F45,F48:F50),"")</f>
        <v/>
      </c>
      <c r="G51" s="75"/>
      <c r="H51" s="735"/>
      <c r="I51" s="4"/>
      <c r="J51" s="80"/>
      <c r="K51" s="77"/>
      <c r="L51" s="74" t="str">
        <f>IF(AND(ISNUMBER(L45),ISNUMBER(L48),ISNUMBER(L49),ISNUMBER(L50)),SUM(L45,L48:L50),"")</f>
        <v/>
      </c>
      <c r="M51" s="75"/>
      <c r="N51" s="735"/>
      <c r="O51" s="422"/>
    </row>
    <row r="52" spans="1:15" ht="15" customHeight="1" x14ac:dyDescent="0.25">
      <c r="A52" s="418"/>
      <c r="B52" s="810"/>
      <c r="C52" s="735"/>
      <c r="D52" s="735"/>
      <c r="E52" s="735"/>
      <c r="F52" s="735"/>
      <c r="G52" s="735"/>
      <c r="H52" s="735"/>
      <c r="I52" s="735"/>
      <c r="J52" s="735"/>
      <c r="K52" s="735"/>
      <c r="L52" s="735"/>
      <c r="M52" s="735"/>
      <c r="N52" s="735"/>
      <c r="O52" s="422"/>
    </row>
    <row r="53" spans="1:15" ht="15" customHeight="1" x14ac:dyDescent="0.25">
      <c r="A53" s="418"/>
      <c r="B53" s="907"/>
      <c r="C53" s="1729" t="s">
        <v>750</v>
      </c>
      <c r="D53" s="1729"/>
      <c r="E53" s="1729"/>
      <c r="F53" s="902" t="str">
        <f>IF(F45&gt;=(F46+F47),"Yes","No")</f>
        <v>Yes</v>
      </c>
      <c r="G53" s="735"/>
      <c r="H53" s="735"/>
      <c r="I53" s="735"/>
      <c r="J53" s="735"/>
      <c r="K53" s="735"/>
      <c r="L53" s="902" t="str">
        <f>IF(L45&gt;=(L46+L47),"Yes","No")</f>
        <v>Yes</v>
      </c>
      <c r="M53" s="735"/>
      <c r="N53" s="735"/>
      <c r="O53" s="422"/>
    </row>
    <row r="54" spans="1:15" ht="15" customHeight="1" x14ac:dyDescent="0.25">
      <c r="A54" s="418"/>
      <c r="B54" s="806"/>
      <c r="C54" s="734"/>
      <c r="D54" s="734"/>
      <c r="E54" s="734"/>
      <c r="F54" s="734"/>
      <c r="G54" s="734"/>
      <c r="H54" s="734"/>
      <c r="I54" s="734"/>
      <c r="J54" s="734"/>
      <c r="K54" s="734"/>
      <c r="L54" s="734"/>
      <c r="M54" s="734"/>
      <c r="N54" s="734"/>
      <c r="O54" s="422"/>
    </row>
    <row r="55" spans="1:15" ht="30" customHeight="1" x14ac:dyDescent="0.3">
      <c r="A55" s="886" t="s">
        <v>281</v>
      </c>
      <c r="B55" s="887"/>
      <c r="C55" s="725"/>
      <c r="D55" s="725"/>
      <c r="E55" s="725"/>
      <c r="F55" s="725"/>
      <c r="G55" s="725"/>
      <c r="H55" s="725"/>
      <c r="I55" s="725"/>
      <c r="J55" s="725"/>
      <c r="K55" s="725"/>
      <c r="L55" s="725"/>
      <c r="M55" s="725"/>
      <c r="N55" s="725"/>
      <c r="O55" s="784"/>
    </row>
    <row r="56" spans="1:15" ht="15" customHeight="1" x14ac:dyDescent="0.25">
      <c r="A56" s="418"/>
      <c r="B56" s="735"/>
      <c r="C56" s="735"/>
      <c r="D56" s="735"/>
      <c r="E56" s="735"/>
      <c r="F56" s="735"/>
      <c r="G56" s="735"/>
      <c r="H56" s="735"/>
      <c r="I56" s="734"/>
      <c r="J56" s="735"/>
      <c r="K56" s="735"/>
      <c r="L56" s="735"/>
      <c r="M56" s="735"/>
      <c r="N56" s="734"/>
      <c r="O56" s="422"/>
    </row>
    <row r="57" spans="1:15" ht="15" customHeight="1" x14ac:dyDescent="0.25">
      <c r="A57" s="418"/>
      <c r="B57" s="1709" t="s">
        <v>126</v>
      </c>
      <c r="C57" s="1723"/>
      <c r="D57" s="1725" t="s">
        <v>297</v>
      </c>
      <c r="E57" s="1726"/>
      <c r="F57" s="734"/>
      <c r="G57" s="734"/>
      <c r="H57" s="734"/>
      <c r="I57" s="735"/>
      <c r="J57" s="1727" t="s">
        <v>67</v>
      </c>
      <c r="K57" s="1726"/>
      <c r="L57" s="734"/>
      <c r="M57" s="734"/>
      <c r="N57" s="734"/>
      <c r="O57" s="422"/>
    </row>
    <row r="58" spans="1:15" ht="75" customHeight="1" x14ac:dyDescent="0.25">
      <c r="A58" s="418"/>
      <c r="B58" s="1710"/>
      <c r="C58" s="1724"/>
      <c r="D58" s="908" t="s">
        <v>282</v>
      </c>
      <c r="E58" s="909" t="s">
        <v>284</v>
      </c>
      <c r="F58" s="734"/>
      <c r="G58" s="734"/>
      <c r="H58" s="734"/>
      <c r="I58" s="734"/>
      <c r="J58" s="910" t="s">
        <v>282</v>
      </c>
      <c r="K58" s="909" t="s">
        <v>284</v>
      </c>
      <c r="L58" s="734"/>
      <c r="M58" s="734"/>
      <c r="N58" s="734"/>
      <c r="O58" s="422"/>
    </row>
    <row r="59" spans="1:15" ht="30" customHeight="1" x14ac:dyDescent="0.25">
      <c r="A59" s="418"/>
      <c r="B59" s="911">
        <v>165</v>
      </c>
      <c r="C59" s="912" t="s">
        <v>285</v>
      </c>
      <c r="D59" s="897" t="str">
        <f>IF(AND(ISNUMBER(D60),ISNUMBER(D61),ISNUMBER(D62),ISNUMBER(D63),ISNUMBER(D64),ISNUMBER(D65),ISNUMBER(D66),ISNUMBER(D67),ISNUMBER(D68)),SUM(D60,D61,D62,D63,D64,D65,D66,D67,D68),"")</f>
        <v/>
      </c>
      <c r="E59" s="913" t="str">
        <f>IF(AND(ISNUMBER(E60),ISNUMBER(E61),ISNUMBER(E62),ISNUMBER(E63),ISNUMBER(E64),ISNUMBER(E65),ISNUMBER(E66),ISNUMBER(E67),ISNUMBER(E68)),SUM(E60,E61,E62,E63,E64,E65,E66,E67,E68),"")</f>
        <v/>
      </c>
      <c r="F59" s="734"/>
      <c r="G59" s="734"/>
      <c r="H59" s="734"/>
      <c r="I59" s="734"/>
      <c r="J59" s="914" t="str">
        <f>IF(AND(ISNUMBER(J60),ISNUMBER(J61),ISNUMBER(J62),ISNUMBER(J63),ISNUMBER(J64),ISNUMBER(J65),ISNUMBER(J66),ISNUMBER(J67),ISNUMBER(J68)),SUM(J60,J61,J62,J63,J64,J65,J66,J67,J68),"")</f>
        <v/>
      </c>
      <c r="K59" s="913" t="str">
        <f>IF(AND(ISNUMBER(K60),ISNUMBER(K61),ISNUMBER(K62),ISNUMBER(K63),ISNUMBER(K64),ISNUMBER(K65),ISNUMBER(K66),ISNUMBER(K67),ISNUMBER(K68)),SUM(K60,K61,K62,K63,K64,K65,K66,K67,K68),"")</f>
        <v/>
      </c>
      <c r="L59" s="734"/>
      <c r="M59" s="734"/>
      <c r="N59" s="734"/>
      <c r="O59" s="422"/>
    </row>
    <row r="60" spans="1:15" ht="15" customHeight="1" x14ac:dyDescent="0.25">
      <c r="A60" s="418"/>
      <c r="B60" s="46"/>
      <c r="C60" s="920" t="s">
        <v>286</v>
      </c>
      <c r="D60" s="47"/>
      <c r="E60" s="1175"/>
      <c r="F60" s="734"/>
      <c r="G60" s="734"/>
      <c r="H60" s="734"/>
      <c r="I60" s="734"/>
      <c r="J60" s="50"/>
      <c r="K60" s="1175"/>
      <c r="L60" s="734"/>
      <c r="M60" s="734"/>
      <c r="N60" s="734"/>
      <c r="O60" s="422"/>
    </row>
    <row r="61" spans="1:15" ht="15" customHeight="1" x14ac:dyDescent="0.25">
      <c r="A61" s="418"/>
      <c r="B61" s="46"/>
      <c r="C61" s="877" t="s">
        <v>287</v>
      </c>
      <c r="D61" s="47"/>
      <c r="E61" s="1175"/>
      <c r="F61" s="734"/>
      <c r="G61" s="734"/>
      <c r="H61" s="734"/>
      <c r="I61" s="734"/>
      <c r="J61" s="50"/>
      <c r="K61" s="1175"/>
      <c r="L61" s="734"/>
      <c r="M61" s="734"/>
      <c r="N61" s="734"/>
      <c r="O61" s="422"/>
    </row>
    <row r="62" spans="1:15" ht="15" customHeight="1" x14ac:dyDescent="0.25">
      <c r="A62" s="418"/>
      <c r="B62" s="46"/>
      <c r="C62" s="877" t="s">
        <v>288</v>
      </c>
      <c r="D62" s="47"/>
      <c r="E62" s="1175"/>
      <c r="F62" s="734"/>
      <c r="G62" s="734"/>
      <c r="H62" s="734"/>
      <c r="I62" s="734"/>
      <c r="J62" s="50"/>
      <c r="K62" s="1175"/>
      <c r="L62" s="734"/>
      <c r="M62" s="734"/>
      <c r="N62" s="734"/>
      <c r="O62" s="422"/>
    </row>
    <row r="63" spans="1:15" ht="15" customHeight="1" x14ac:dyDescent="0.25">
      <c r="A63" s="418"/>
      <c r="B63" s="46"/>
      <c r="C63" s="877" t="s">
        <v>289</v>
      </c>
      <c r="D63" s="47"/>
      <c r="E63" s="1175"/>
      <c r="F63" s="734"/>
      <c r="G63" s="734"/>
      <c r="H63" s="734"/>
      <c r="I63" s="734"/>
      <c r="J63" s="50"/>
      <c r="K63" s="1175"/>
      <c r="L63" s="734"/>
      <c r="M63" s="734"/>
      <c r="N63" s="734"/>
      <c r="O63" s="422"/>
    </row>
    <row r="64" spans="1:15" ht="15" customHeight="1" x14ac:dyDescent="0.25">
      <c r="A64" s="418"/>
      <c r="B64" s="46"/>
      <c r="C64" s="877" t="s">
        <v>290</v>
      </c>
      <c r="D64" s="47"/>
      <c r="E64" s="1175"/>
      <c r="F64" s="734"/>
      <c r="G64" s="734"/>
      <c r="H64" s="734"/>
      <c r="I64" s="734"/>
      <c r="J64" s="50"/>
      <c r="K64" s="1175"/>
      <c r="L64" s="734"/>
      <c r="M64" s="734"/>
      <c r="N64" s="734"/>
      <c r="O64" s="422"/>
    </row>
    <row r="65" spans="1:15" ht="15" customHeight="1" x14ac:dyDescent="0.25">
      <c r="A65" s="418"/>
      <c r="B65" s="46"/>
      <c r="C65" s="877" t="s">
        <v>291</v>
      </c>
      <c r="D65" s="47"/>
      <c r="E65" s="1175"/>
      <c r="F65" s="734"/>
      <c r="G65" s="734"/>
      <c r="H65" s="734"/>
      <c r="I65" s="734"/>
      <c r="J65" s="50"/>
      <c r="K65" s="1175"/>
      <c r="L65" s="734"/>
      <c r="M65" s="734"/>
      <c r="N65" s="734"/>
      <c r="O65" s="422"/>
    </row>
    <row r="66" spans="1:15" ht="15" customHeight="1" x14ac:dyDescent="0.25">
      <c r="A66" s="418"/>
      <c r="B66" s="46"/>
      <c r="C66" s="877" t="s">
        <v>292</v>
      </c>
      <c r="D66" s="47"/>
      <c r="E66" s="1175"/>
      <c r="F66" s="734"/>
      <c r="G66" s="734"/>
      <c r="H66" s="734"/>
      <c r="I66" s="734"/>
      <c r="J66" s="50"/>
      <c r="K66" s="1175"/>
      <c r="L66" s="734"/>
      <c r="M66" s="734"/>
      <c r="N66" s="734"/>
      <c r="O66" s="422"/>
    </row>
    <row r="67" spans="1:15" ht="15" customHeight="1" x14ac:dyDescent="0.25">
      <c r="A67" s="418"/>
      <c r="B67" s="46"/>
      <c r="C67" s="877" t="s">
        <v>293</v>
      </c>
      <c r="D67" s="47"/>
      <c r="E67" s="1175"/>
      <c r="F67" s="734"/>
      <c r="G67" s="734"/>
      <c r="H67" s="734"/>
      <c r="I67" s="734"/>
      <c r="J67" s="50"/>
      <c r="K67" s="1175"/>
      <c r="L67" s="734"/>
      <c r="M67" s="734"/>
      <c r="N67" s="734"/>
      <c r="O67" s="422"/>
    </row>
    <row r="68" spans="1:15" ht="15" customHeight="1" x14ac:dyDescent="0.25">
      <c r="A68" s="418"/>
      <c r="B68" s="94"/>
      <c r="C68" s="921" t="s">
        <v>147</v>
      </c>
      <c r="D68" s="62"/>
      <c r="E68" s="95"/>
      <c r="F68" s="734"/>
      <c r="G68" s="734"/>
      <c r="H68" s="734"/>
      <c r="I68" s="734"/>
      <c r="J68" s="64"/>
      <c r="K68" s="95"/>
      <c r="L68" s="734"/>
      <c r="M68" s="734"/>
      <c r="N68" s="734"/>
      <c r="O68" s="422"/>
    </row>
    <row r="69" spans="1:15" ht="15" customHeight="1" x14ac:dyDescent="0.25">
      <c r="A69" s="418"/>
      <c r="B69" s="735"/>
      <c r="C69" s="735"/>
      <c r="D69" s="922"/>
      <c r="E69" s="922"/>
      <c r="F69" s="922"/>
      <c r="G69" s="922"/>
      <c r="H69" s="922"/>
      <c r="I69" s="735"/>
      <c r="J69" s="922"/>
      <c r="K69" s="922"/>
      <c r="L69" s="922"/>
      <c r="M69" s="922"/>
      <c r="N69" s="735"/>
      <c r="O69" s="422"/>
    </row>
    <row r="70" spans="1:15" ht="30" customHeight="1" x14ac:dyDescent="0.3">
      <c r="A70" s="886" t="s">
        <v>294</v>
      </c>
      <c r="B70" s="887"/>
      <c r="C70" s="725"/>
      <c r="D70" s="725"/>
      <c r="E70" s="725"/>
      <c r="F70" s="725"/>
      <c r="G70" s="725"/>
      <c r="H70" s="725"/>
      <c r="I70" s="725"/>
      <c r="J70" s="725"/>
      <c r="K70" s="725"/>
      <c r="L70" s="725"/>
      <c r="M70" s="725"/>
      <c r="N70" s="725"/>
      <c r="O70" s="784"/>
    </row>
    <row r="71" spans="1:15" ht="15" customHeight="1" x14ac:dyDescent="0.25">
      <c r="A71" s="418"/>
      <c r="B71" s="729"/>
      <c r="C71" s="735"/>
      <c r="D71" s="734"/>
      <c r="E71" s="734"/>
      <c r="F71" s="734"/>
      <c r="G71" s="734"/>
      <c r="H71" s="734"/>
      <c r="I71" s="735"/>
      <c r="J71" s="734"/>
      <c r="K71" s="734"/>
      <c r="L71" s="734"/>
      <c r="M71" s="734"/>
      <c r="N71" s="735"/>
      <c r="O71" s="422"/>
    </row>
    <row r="72" spans="1:15" ht="15" customHeight="1" x14ac:dyDescent="0.25">
      <c r="A72" s="418"/>
      <c r="B72" s="1709"/>
      <c r="C72" s="1711"/>
      <c r="D72" s="1725" t="s">
        <v>297</v>
      </c>
      <c r="E72" s="1726"/>
      <c r="F72" s="734"/>
      <c r="G72" s="734"/>
      <c r="H72" s="734"/>
      <c r="I72" s="735"/>
      <c r="J72" s="1727" t="s">
        <v>67</v>
      </c>
      <c r="K72" s="1726"/>
      <c r="L72" s="734"/>
      <c r="M72" s="734"/>
      <c r="N72" s="734"/>
      <c r="O72" s="422"/>
    </row>
    <row r="73" spans="1:15" ht="15" customHeight="1" x14ac:dyDescent="0.25">
      <c r="A73" s="418"/>
      <c r="B73" s="1710"/>
      <c r="C73" s="1712"/>
      <c r="D73" s="1550" t="s">
        <v>342</v>
      </c>
      <c r="E73" s="735"/>
      <c r="F73" s="735"/>
      <c r="G73" s="735"/>
      <c r="H73" s="735"/>
      <c r="I73" s="735"/>
      <c r="J73" s="1554" t="s">
        <v>342</v>
      </c>
      <c r="K73" s="734"/>
      <c r="L73" s="735"/>
      <c r="M73" s="735"/>
      <c r="N73" s="735"/>
      <c r="O73" s="422"/>
    </row>
    <row r="74" spans="1:15" ht="15" customHeight="1" x14ac:dyDescent="0.25">
      <c r="A74" s="418"/>
      <c r="B74" s="96"/>
      <c r="C74" s="917" t="s">
        <v>253</v>
      </c>
      <c r="D74" s="97"/>
      <c r="E74" s="735"/>
      <c r="F74" s="735"/>
      <c r="G74" s="735"/>
      <c r="H74" s="735"/>
      <c r="I74" s="735"/>
      <c r="J74" s="925" t="str">
        <f>IF(ISNUMBER('General Info'!C58),'General Info'!C58,"")</f>
        <v/>
      </c>
      <c r="K74" s="922"/>
      <c r="L74" s="735"/>
      <c r="M74" s="735"/>
      <c r="N74" s="735"/>
      <c r="O74" s="422"/>
    </row>
    <row r="75" spans="1:15" ht="15" customHeight="1" x14ac:dyDescent="0.25">
      <c r="A75" s="418"/>
      <c r="B75" s="46"/>
      <c r="C75" s="923" t="s">
        <v>751</v>
      </c>
      <c r="D75" s="896" t="str">
        <f>IF(D74=D27,"Yes","No")</f>
        <v>Yes</v>
      </c>
      <c r="E75" s="735"/>
      <c r="F75" s="735"/>
      <c r="G75" s="735"/>
      <c r="H75" s="735"/>
      <c r="I75" s="735"/>
      <c r="J75" s="926" t="str">
        <f>IF(J74=J27,"Yes","No")</f>
        <v>Yes</v>
      </c>
      <c r="K75" s="922"/>
      <c r="L75" s="735"/>
      <c r="M75" s="735"/>
      <c r="N75" s="735"/>
      <c r="O75" s="422"/>
    </row>
    <row r="76" spans="1:15" ht="15" customHeight="1" x14ac:dyDescent="0.25">
      <c r="A76" s="418"/>
      <c r="B76" s="46"/>
      <c r="C76" s="877" t="s">
        <v>254</v>
      </c>
      <c r="D76" s="1175"/>
      <c r="E76" s="735"/>
      <c r="F76" s="735"/>
      <c r="G76" s="735"/>
      <c r="H76" s="735"/>
      <c r="I76" s="735"/>
      <c r="J76" s="99"/>
      <c r="K76" s="922"/>
      <c r="L76" s="735"/>
      <c r="M76" s="735"/>
      <c r="N76" s="735"/>
      <c r="O76" s="422"/>
    </row>
    <row r="77" spans="1:15" ht="15" customHeight="1" x14ac:dyDescent="0.25">
      <c r="A77" s="418"/>
      <c r="B77" s="46"/>
      <c r="C77" s="877" t="s">
        <v>1023</v>
      </c>
      <c r="D77" s="1175"/>
      <c r="E77" s="735"/>
      <c r="F77" s="922"/>
      <c r="G77" s="922"/>
      <c r="H77" s="922"/>
      <c r="I77" s="735"/>
      <c r="J77" s="1176"/>
      <c r="K77" s="922"/>
      <c r="L77" s="922"/>
      <c r="M77" s="922"/>
      <c r="N77" s="735"/>
      <c r="O77" s="422"/>
    </row>
    <row r="78" spans="1:15" ht="15" customHeight="1" x14ac:dyDescent="0.25">
      <c r="A78" s="418"/>
      <c r="B78" s="46"/>
      <c r="C78" s="877" t="s">
        <v>295</v>
      </c>
      <c r="D78" s="1175"/>
      <c r="E78" s="735"/>
      <c r="F78" s="922"/>
      <c r="G78" s="922"/>
      <c r="H78" s="922"/>
      <c r="I78" s="735"/>
      <c r="J78" s="1176"/>
      <c r="K78" s="922"/>
      <c r="L78" s="922"/>
      <c r="M78" s="922"/>
      <c r="N78" s="735"/>
      <c r="O78" s="422"/>
    </row>
    <row r="79" spans="1:15" ht="15" customHeight="1" x14ac:dyDescent="0.25">
      <c r="A79" s="418"/>
      <c r="B79" s="86"/>
      <c r="C79" s="918" t="s">
        <v>296</v>
      </c>
      <c r="D79" s="100"/>
      <c r="E79" s="735"/>
      <c r="F79" s="922"/>
      <c r="G79" s="922"/>
      <c r="H79" s="922"/>
      <c r="I79" s="735"/>
      <c r="J79" s="1176"/>
      <c r="K79" s="922"/>
      <c r="L79" s="922"/>
      <c r="M79" s="922"/>
      <c r="N79" s="735"/>
      <c r="O79" s="422"/>
    </row>
    <row r="80" spans="1:15" ht="15" customHeight="1" x14ac:dyDescent="0.25">
      <c r="A80" s="418"/>
      <c r="B80" s="101"/>
      <c r="C80" s="102" t="s">
        <v>243</v>
      </c>
      <c r="D80" s="103" t="str">
        <f>IF(AND(ISNUMBER(D74),ISNUMBER(D76),ISNUMBER(D77),ISNUMBER(D78),ISNUMBER(D79)),SUM(D74,D76,D77,D78,D79),"")</f>
        <v/>
      </c>
      <c r="E80" s="735"/>
      <c r="F80" s="922"/>
      <c r="G80" s="922"/>
      <c r="H80" s="922"/>
      <c r="I80" s="735"/>
      <c r="J80" s="104" t="str">
        <f>IF(AND(ISNUMBER(J74),ISNUMBER(J76),ISNUMBER(J77),ISNUMBER(J78),ISNUMBER(J79)),SUM(J74,J76,J77,J78,J79),"")</f>
        <v/>
      </c>
      <c r="K80" s="922"/>
      <c r="L80" s="922"/>
      <c r="M80" s="922"/>
      <c r="N80" s="735"/>
      <c r="O80" s="422"/>
    </row>
    <row r="81" spans="1:15" ht="15" customHeight="1" x14ac:dyDescent="0.25">
      <c r="A81" s="418"/>
      <c r="B81" s="94"/>
      <c r="C81" s="924" t="s">
        <v>752</v>
      </c>
      <c r="D81" s="899" t="str">
        <f>IF(D80=E27,"Yes","No")</f>
        <v>Yes</v>
      </c>
      <c r="E81" s="735"/>
      <c r="F81" s="734"/>
      <c r="G81" s="734"/>
      <c r="H81" s="734"/>
      <c r="I81" s="734"/>
      <c r="J81" s="927" t="str">
        <f>IF(J80=K27,"Yes","No")</f>
        <v>Yes</v>
      </c>
      <c r="K81" s="734"/>
      <c r="L81" s="734"/>
      <c r="M81" s="734"/>
      <c r="N81" s="734"/>
      <c r="O81" s="422"/>
    </row>
    <row r="82" spans="1:15" ht="15" customHeight="1" x14ac:dyDescent="0.25">
      <c r="A82" s="418"/>
      <c r="B82" s="894"/>
      <c r="C82" s="795"/>
      <c r="D82" s="795"/>
      <c r="E82" s="795"/>
      <c r="F82" s="795"/>
      <c r="G82" s="795"/>
      <c r="H82" s="795"/>
      <c r="I82" s="795"/>
      <c r="J82" s="795"/>
      <c r="K82" s="795"/>
      <c r="L82" s="795"/>
      <c r="M82" s="795"/>
      <c r="N82" s="795"/>
      <c r="O82" s="422"/>
    </row>
    <row r="83" spans="1:15" ht="30" customHeight="1" x14ac:dyDescent="0.3">
      <c r="A83" s="886" t="s">
        <v>733</v>
      </c>
      <c r="B83" s="1364"/>
      <c r="C83" s="1366"/>
      <c r="D83" s="1366"/>
      <c r="E83" s="1366"/>
      <c r="F83" s="1366"/>
      <c r="G83" s="1366"/>
      <c r="H83" s="1366"/>
      <c r="I83" s="1366"/>
      <c r="J83" s="1366"/>
      <c r="K83" s="1366"/>
      <c r="L83" s="1366"/>
      <c r="M83" s="1366"/>
      <c r="N83" s="1366"/>
      <c r="O83" s="784"/>
    </row>
    <row r="84" spans="1:15" ht="15" customHeight="1" x14ac:dyDescent="0.25">
      <c r="A84" s="418"/>
      <c r="B84" s="4"/>
      <c r="C84" s="4"/>
      <c r="D84" s="4"/>
      <c r="E84" s="4"/>
      <c r="F84" s="4"/>
      <c r="G84" s="4"/>
      <c r="H84" s="4"/>
      <c r="I84" s="4"/>
      <c r="J84" s="4"/>
      <c r="K84" s="4"/>
      <c r="L84" s="4"/>
      <c r="M84" s="4"/>
      <c r="N84" s="4"/>
      <c r="O84" s="422"/>
    </row>
    <row r="85" spans="1:15" ht="15" customHeight="1" x14ac:dyDescent="0.25">
      <c r="A85" s="418"/>
      <c r="B85" s="1713" t="s">
        <v>637</v>
      </c>
      <c r="C85" s="1715"/>
      <c r="D85" s="1688" t="s">
        <v>297</v>
      </c>
      <c r="E85" s="1688"/>
      <c r="F85" s="1689"/>
      <c r="G85" s="4"/>
      <c r="H85" s="4"/>
      <c r="I85" s="4"/>
      <c r="J85" s="1699" t="s">
        <v>67</v>
      </c>
      <c r="K85" s="1688"/>
      <c r="L85" s="1689"/>
      <c r="M85" s="4"/>
      <c r="N85" s="4"/>
      <c r="O85" s="422"/>
    </row>
    <row r="86" spans="1:15" ht="97.5" customHeight="1" x14ac:dyDescent="0.25">
      <c r="A86" s="418"/>
      <c r="B86" s="1714"/>
      <c r="C86" s="1716"/>
      <c r="D86" s="1552" t="s">
        <v>639</v>
      </c>
      <c r="E86" s="1552" t="s">
        <v>640</v>
      </c>
      <c r="F86" s="1553" t="s">
        <v>641</v>
      </c>
      <c r="G86" s="4"/>
      <c r="H86" s="4"/>
      <c r="I86" s="4"/>
      <c r="J86" s="1555" t="s">
        <v>639</v>
      </c>
      <c r="K86" s="1552" t="s">
        <v>640</v>
      </c>
      <c r="L86" s="1553" t="s">
        <v>641</v>
      </c>
      <c r="M86" s="4"/>
      <c r="N86" s="4"/>
      <c r="O86" s="422"/>
    </row>
    <row r="87" spans="1:15" ht="15" customHeight="1" x14ac:dyDescent="0.25">
      <c r="A87" s="418"/>
      <c r="B87" s="430" t="s">
        <v>758</v>
      </c>
      <c r="C87" s="35" t="s">
        <v>255</v>
      </c>
      <c r="D87" s="36" t="str">
        <f>IF(ISNUMBER(D88),SUM(D88,D89),"")</f>
        <v/>
      </c>
      <c r="E87" s="37"/>
      <c r="F87" s="38"/>
      <c r="G87" s="4"/>
      <c r="H87" s="4"/>
      <c r="I87" s="4"/>
      <c r="J87" s="39" t="str">
        <f>IF(ISNUMBER(J88),SUM(J88,J89),"")</f>
        <v/>
      </c>
      <c r="K87" s="37"/>
      <c r="L87" s="38"/>
      <c r="M87" s="4"/>
      <c r="N87" s="4"/>
      <c r="O87" s="422"/>
    </row>
    <row r="88" spans="1:15" ht="15" customHeight="1" x14ac:dyDescent="0.25">
      <c r="A88" s="418"/>
      <c r="B88" s="46"/>
      <c r="C88" s="40" t="s">
        <v>240</v>
      </c>
      <c r="D88" s="60"/>
      <c r="E88" s="48"/>
      <c r="F88" s="67"/>
      <c r="G88" s="4"/>
      <c r="H88" s="4"/>
      <c r="I88" s="4"/>
      <c r="J88" s="106"/>
      <c r="K88" s="48"/>
      <c r="L88" s="67"/>
      <c r="M88" s="4"/>
      <c r="N88" s="4"/>
      <c r="O88" s="422"/>
    </row>
    <row r="89" spans="1:15" ht="15" customHeight="1" x14ac:dyDescent="0.25">
      <c r="A89" s="418"/>
      <c r="B89" s="46"/>
      <c r="C89" s="40" t="s">
        <v>241</v>
      </c>
      <c r="D89" s="47"/>
      <c r="E89" s="47"/>
      <c r="F89" s="107"/>
      <c r="G89" s="4"/>
      <c r="H89" s="4"/>
      <c r="I89" s="4"/>
      <c r="J89" s="50"/>
      <c r="K89" s="47"/>
      <c r="L89" s="107"/>
      <c r="M89" s="4"/>
      <c r="N89" s="4"/>
      <c r="O89" s="422"/>
    </row>
    <row r="90" spans="1:15" ht="15" customHeight="1" x14ac:dyDescent="0.25">
      <c r="A90" s="418"/>
      <c r="B90" s="94"/>
      <c r="C90" s="108" t="s">
        <v>256</v>
      </c>
      <c r="D90" s="56"/>
      <c r="E90" s="1199" t="str">
        <f>IF(AND(ISNUMBER(D88),ISNUMBER(E89)),D88-E89,"")</f>
        <v/>
      </c>
      <c r="F90" s="109" t="str">
        <f>IF(AND(ISNUMBER(D88),ISNUMBER(F89)),D88-F89,"")</f>
        <v/>
      </c>
      <c r="G90" s="4"/>
      <c r="H90" s="4"/>
      <c r="I90" s="4"/>
      <c r="J90" s="110"/>
      <c r="K90" s="1199" t="str">
        <f>IF(AND(ISNUMBER(J88),ISNUMBER(K89)),J88-K89,"")</f>
        <v/>
      </c>
      <c r="L90" s="109" t="str">
        <f>IF(AND(ISNUMBER(J88),ISNUMBER(L89)),J88-L89,"")</f>
        <v/>
      </c>
      <c r="M90" s="4"/>
      <c r="N90" s="4"/>
      <c r="O90" s="422"/>
    </row>
    <row r="91" spans="1:15" ht="15" customHeight="1" x14ac:dyDescent="0.25">
      <c r="A91" s="418"/>
      <c r="B91" s="4"/>
      <c r="C91" s="3"/>
      <c r="D91" s="4"/>
      <c r="E91" s="4"/>
      <c r="F91" s="4"/>
      <c r="G91" s="4"/>
      <c r="H91" s="4"/>
      <c r="I91" s="4"/>
      <c r="J91" s="4"/>
      <c r="K91" s="4"/>
      <c r="L91" s="4"/>
      <c r="M91" s="4"/>
      <c r="N91" s="4"/>
      <c r="O91" s="422"/>
    </row>
    <row r="92" spans="1:15" ht="14.25" x14ac:dyDescent="0.25">
      <c r="A92" s="418"/>
      <c r="B92" s="101"/>
      <c r="C92" s="111" t="s">
        <v>753</v>
      </c>
      <c r="D92" s="112" t="str">
        <f>IF(D88&lt;=F40,"Yes","No")</f>
        <v>Yes</v>
      </c>
      <c r="E92" s="37"/>
      <c r="F92" s="38"/>
      <c r="G92" s="4"/>
      <c r="H92" s="4"/>
      <c r="I92" s="4"/>
      <c r="J92" s="113" t="str">
        <f>IF(J88&lt;=L40,"Yes","No")</f>
        <v>Yes</v>
      </c>
      <c r="K92" s="37"/>
      <c r="L92" s="38"/>
      <c r="M92" s="4"/>
      <c r="N92" s="4"/>
      <c r="O92" s="422"/>
    </row>
    <row r="93" spans="1:15" ht="14.25" x14ac:dyDescent="0.25">
      <c r="A93" s="418"/>
      <c r="B93" s="46"/>
      <c r="C93" s="114" t="s">
        <v>754</v>
      </c>
      <c r="D93" s="49" t="str">
        <f>IF(D89&lt;=F41,"Yes","No")</f>
        <v>Yes</v>
      </c>
      <c r="E93" s="48"/>
      <c r="F93" s="67"/>
      <c r="G93" s="4"/>
      <c r="H93" s="4"/>
      <c r="I93" s="4"/>
      <c r="J93" s="115" t="str">
        <f>IF(J89&lt;=L41,"Yes","No")</f>
        <v>Yes</v>
      </c>
      <c r="K93" s="48"/>
      <c r="L93" s="67"/>
      <c r="M93" s="4"/>
      <c r="N93" s="4"/>
      <c r="O93" s="422"/>
    </row>
    <row r="94" spans="1:15" ht="30" customHeight="1" x14ac:dyDescent="0.25">
      <c r="A94" s="418"/>
      <c r="B94" s="94"/>
      <c r="C94" s="116" t="s">
        <v>755</v>
      </c>
      <c r="D94" s="63" t="str">
        <f>IF(E89&lt;=D88,"Yes","No")</f>
        <v>Yes</v>
      </c>
      <c r="E94" s="63" t="str">
        <f>IF(E89&lt;=D89,"Yes","No")</f>
        <v>Yes</v>
      </c>
      <c r="F94" s="63" t="str">
        <f>IF(F89&lt;=E89,"Yes","No")</f>
        <v>Yes</v>
      </c>
      <c r="G94" s="4"/>
      <c r="H94" s="4"/>
      <c r="I94" s="4"/>
      <c r="J94" s="117" t="str">
        <f>IF(K89&lt;=J88,"Yes","No")</f>
        <v>Yes</v>
      </c>
      <c r="K94" s="63" t="str">
        <f>IF(K89&lt;=J89,"Yes","No")</f>
        <v>Yes</v>
      </c>
      <c r="L94" s="63" t="str">
        <f>IF(L89&lt;=K89,"Yes","No")</f>
        <v>Yes</v>
      </c>
      <c r="M94" s="4"/>
      <c r="N94" s="4"/>
      <c r="O94" s="422"/>
    </row>
    <row r="95" spans="1:15" ht="15" customHeight="1" x14ac:dyDescent="0.25">
      <c r="A95" s="418"/>
      <c r="B95" s="25"/>
      <c r="C95" s="4"/>
      <c r="D95" s="4"/>
      <c r="E95" s="4"/>
      <c r="F95" s="4"/>
      <c r="G95" s="4"/>
      <c r="H95" s="4"/>
      <c r="I95" s="4"/>
      <c r="J95" s="4"/>
      <c r="K95" s="4"/>
      <c r="L95" s="4"/>
      <c r="M95" s="4"/>
      <c r="N95" s="4"/>
      <c r="O95" s="422"/>
    </row>
    <row r="96" spans="1:15" ht="30" customHeight="1" x14ac:dyDescent="0.3">
      <c r="A96" s="886" t="s">
        <v>632</v>
      </c>
      <c r="B96" s="1364"/>
      <c r="C96" s="1366"/>
      <c r="D96" s="1366"/>
      <c r="E96" s="1366"/>
      <c r="F96" s="1366"/>
      <c r="G96" s="1366"/>
      <c r="H96" s="1366"/>
      <c r="I96" s="1366"/>
      <c r="J96" s="1366"/>
      <c r="K96" s="1366"/>
      <c r="L96" s="1366"/>
      <c r="M96" s="1366"/>
      <c r="N96" s="1366"/>
      <c r="O96" s="784"/>
    </row>
    <row r="97" spans="1:15" ht="15" customHeight="1" x14ac:dyDescent="0.25">
      <c r="A97" s="418"/>
      <c r="B97" s="4"/>
      <c r="C97" s="4"/>
      <c r="D97" s="4"/>
      <c r="E97" s="4"/>
      <c r="F97" s="4"/>
      <c r="G97" s="4"/>
      <c r="H97" s="4"/>
      <c r="I97" s="4"/>
      <c r="J97" s="4"/>
      <c r="K97" s="4"/>
      <c r="L97" s="4"/>
      <c r="M97" s="4"/>
      <c r="N97" s="4"/>
      <c r="O97" s="422"/>
    </row>
    <row r="98" spans="1:15" ht="15" customHeight="1" x14ac:dyDescent="0.25">
      <c r="A98" s="418"/>
      <c r="B98" s="1693" t="s">
        <v>637</v>
      </c>
      <c r="C98" s="1694"/>
      <c r="D98" s="1688" t="s">
        <v>297</v>
      </c>
      <c r="E98" s="1689"/>
      <c r="F98" s="3"/>
      <c r="G98" s="3"/>
      <c r="H98" s="3"/>
      <c r="I98" s="4"/>
      <c r="J98" s="1699" t="s">
        <v>67</v>
      </c>
      <c r="K98" s="1689"/>
      <c r="L98" s="3"/>
      <c r="M98" s="3"/>
      <c r="N98" s="3"/>
      <c r="O98" s="422"/>
    </row>
    <row r="99" spans="1:15" ht="30" customHeight="1" x14ac:dyDescent="0.25">
      <c r="A99" s="418"/>
      <c r="B99" s="1693"/>
      <c r="C99" s="1694"/>
      <c r="D99" s="1552" t="s">
        <v>257</v>
      </c>
      <c r="E99" s="1553" t="s">
        <v>634</v>
      </c>
      <c r="F99" s="4"/>
      <c r="G99" s="4"/>
      <c r="H99" s="4"/>
      <c r="I99" s="4"/>
      <c r="J99" s="1555" t="s">
        <v>257</v>
      </c>
      <c r="K99" s="1553" t="s">
        <v>634</v>
      </c>
      <c r="L99" s="4"/>
      <c r="M99" s="4"/>
      <c r="N99" s="4"/>
      <c r="O99" s="422"/>
    </row>
    <row r="100" spans="1:15" ht="15" customHeight="1" x14ac:dyDescent="0.25">
      <c r="A100" s="418"/>
      <c r="B100" s="90" t="s">
        <v>633</v>
      </c>
      <c r="C100" s="84" t="s">
        <v>86</v>
      </c>
      <c r="D100" s="118" t="str">
        <f>IF(ISNUMBER('General Info'!$E$71), 'General Info'!$E$71, "")</f>
        <v/>
      </c>
      <c r="E100" s="44"/>
      <c r="F100" s="4"/>
      <c r="G100" s="4"/>
      <c r="H100" s="4"/>
      <c r="I100" s="4"/>
      <c r="J100" s="1167" t="str">
        <f>IF(ISNUMBER('General Info'!$E$71), 'General Info'!$E$71, "")</f>
        <v/>
      </c>
      <c r="K100" s="44"/>
      <c r="L100" s="4"/>
      <c r="M100" s="4"/>
      <c r="N100" s="4"/>
      <c r="O100" s="422"/>
    </row>
    <row r="101" spans="1:15" ht="15" customHeight="1" x14ac:dyDescent="0.25">
      <c r="A101" s="418"/>
      <c r="B101" s="46"/>
      <c r="C101" s="439" t="s">
        <v>258</v>
      </c>
      <c r="D101" s="85" t="str">
        <f>IF(E101="Yes",SUM(F8,F15,G15,E18,E38,(0.1*F45),(0.2*F48),(0.5*F49),F50,F90),"")</f>
        <v/>
      </c>
      <c r="E101" s="49" t="str">
        <f>IF(AND(ISNUMBER(F8),ISNUMBER(F15),ISNUMBER(G15),ISNUMBER(E18),ISNUMBER(E38),ISNUMBER(F45),ISNUMBER(F48),ISNUMBER(F49),ISNUMBER(F50),ISNUMBER(F90)),"Yes","No")</f>
        <v>No</v>
      </c>
      <c r="F101" s="4"/>
      <c r="G101" s="4"/>
      <c r="H101" s="4"/>
      <c r="I101" s="4"/>
      <c r="J101" s="1435" t="str">
        <f>IF(K101="Yes",SUM(L8,L15,M15,K18,K38,(0.1*L45),(0.2*L48),(0.5*L49),L50,L90),"")</f>
        <v/>
      </c>
      <c r="K101" s="49" t="str">
        <f>IF(AND(ISNUMBER(L8),ISNUMBER(L15),ISNUMBER(M15),ISNUMBER(K18),ISNUMBER(K38),ISNUMBER(L45),ISNUMBER(L48),ISNUMBER(L49),ISNUMBER(L50),ISNUMBER(L90)),"Yes","No")</f>
        <v>No</v>
      </c>
      <c r="L101" s="4"/>
      <c r="M101" s="4"/>
      <c r="N101" s="4"/>
      <c r="O101" s="422"/>
    </row>
    <row r="102" spans="1:15" ht="15" customHeight="1" x14ac:dyDescent="0.25">
      <c r="A102" s="418"/>
      <c r="B102" s="433">
        <v>16</v>
      </c>
      <c r="C102" s="439" t="s">
        <v>208</v>
      </c>
      <c r="D102" s="119" t="str">
        <f>IF(AND(ISNUMBER(DefCap!$E36), ISNUMBER(DefCap!$E37), ISNUMBER(DefCap!$E38), ISNUMBER(DefCap!$E39), ISNUMBER(DefCap!$E40), ISNUMBER(DefCap!$D41), ISNUMBER(DefCap!$E42), ISNUMBER(DefCap!$E44), ISNUMBER(DefCap!$E45), ISNUMBER(DefCap!$E53), ISNUMBER(DefCap!$E55), ISNUMBER(DefCap!$E56), ISNUMBER(DefCap!$E57), ISNUMBER(DefCap!$E59), ISNUMBER(DefCap!$E60), ISNUMBER(DefCap!$E81)), SUM(DefCap!$E36:$E42,DefCap!$E44:$E45,DefCap!$E53,DefCap!$E55:$E57,DefCap!$E59,DefCap!$E60,DefCap!$E81),"")</f>
        <v/>
      </c>
      <c r="E102" s="67"/>
      <c r="F102" s="4"/>
      <c r="G102" s="4"/>
      <c r="H102" s="4"/>
      <c r="I102" s="4"/>
      <c r="J102" s="120" t="str">
        <f>IF(AND(ISNUMBER(DefCap!$E36), ISNUMBER(DefCap!$E37), ISNUMBER(DefCap!$E38), ISNUMBER(DefCap!$E39), ISNUMBER(DefCap!$E40), ISNUMBER(DefCap!$D41), ISNUMBER(DefCap!$E42), ISNUMBER(DefCap!$E44), ISNUMBER(DefCap!$E45), ISNUMBER(DefCap!$E53), ISNUMBER(DefCap!$E55), ISNUMBER(DefCap!$E56), ISNUMBER(DefCap!$E57), ISNUMBER(DefCap!$E59), ISNUMBER(DefCap!$E60), ISNUMBER(DefCap!$E81)), SUM(DefCap!$E36:$E42,DefCap!$E44:$E45,DefCap!$E53,DefCap!$E55:$E57,DefCap!$E59,DefCap!$E60,DefCap!$E81),"")</f>
        <v/>
      </c>
      <c r="K102" s="67"/>
      <c r="L102" s="4"/>
      <c r="M102" s="4"/>
      <c r="N102" s="4"/>
      <c r="O102" s="422"/>
    </row>
    <row r="103" spans="1:15" ht="15" customHeight="1" x14ac:dyDescent="0.25">
      <c r="A103" s="418"/>
      <c r="B103" s="86"/>
      <c r="C103" s="87" t="s">
        <v>259</v>
      </c>
      <c r="D103" s="121" t="str">
        <f>IF(AND(ISNUMBER(D101),ISNUMBER(D102)),D101-D102,"")</f>
        <v/>
      </c>
      <c r="E103" s="69"/>
      <c r="F103" s="4"/>
      <c r="G103" s="4"/>
      <c r="H103" s="4"/>
      <c r="I103" s="4"/>
      <c r="J103" s="122" t="str">
        <f>IF(AND(ISNUMBER(J101),ISNUMBER(J102)),J101-J102,"")</f>
        <v/>
      </c>
      <c r="K103" s="69"/>
      <c r="L103" s="4"/>
      <c r="M103" s="4"/>
      <c r="N103" s="4"/>
      <c r="O103" s="422"/>
    </row>
    <row r="104" spans="1:15" ht="15" customHeight="1" x14ac:dyDescent="0.25">
      <c r="A104" s="418"/>
      <c r="B104" s="123">
        <v>6</v>
      </c>
      <c r="C104" s="73" t="s">
        <v>1445</v>
      </c>
      <c r="D104" s="124" t="str">
        <f>IF(AND(ISNUMBER(D100),ISNUMBER(D103),D103&lt;&gt;0),D100/D103,"")</f>
        <v/>
      </c>
      <c r="E104" s="75"/>
      <c r="F104" s="4"/>
      <c r="G104" s="4"/>
      <c r="H104" s="4"/>
      <c r="I104" s="4"/>
      <c r="J104" s="125" t="str">
        <f>IF(AND(ISNUMBER(J100),ISNUMBER(J103),J103&lt;&gt;0),J100/J103,"")</f>
        <v/>
      </c>
      <c r="K104" s="75"/>
      <c r="L104" s="4"/>
      <c r="M104" s="4"/>
      <c r="N104" s="4"/>
      <c r="O104" s="422"/>
    </row>
    <row r="105" spans="1:15" ht="15" customHeight="1" x14ac:dyDescent="0.25">
      <c r="A105" s="452"/>
      <c r="B105" s="81"/>
      <c r="C105" s="25"/>
      <c r="D105" s="25"/>
      <c r="E105" s="25"/>
      <c r="F105" s="25"/>
      <c r="G105" s="25"/>
      <c r="H105" s="25"/>
      <c r="I105" s="25"/>
      <c r="J105" s="25"/>
      <c r="K105" s="25"/>
      <c r="L105" s="25"/>
      <c r="M105" s="25"/>
      <c r="N105" s="25"/>
      <c r="O105" s="456"/>
    </row>
    <row r="106" spans="1:15" s="1207" customFormat="1" ht="30" customHeight="1" x14ac:dyDescent="0.3">
      <c r="A106" s="886" t="s">
        <v>1024</v>
      </c>
      <c r="B106" s="1364"/>
      <c r="C106" s="1366"/>
      <c r="D106" s="1366"/>
      <c r="E106" s="1366"/>
      <c r="F106" s="1366"/>
      <c r="G106" s="1366"/>
      <c r="H106" s="1366"/>
      <c r="I106" s="1366"/>
      <c r="J106" s="1366"/>
      <c r="K106" s="1366"/>
      <c r="L106" s="1366"/>
      <c r="M106" s="1366"/>
      <c r="N106" s="1366"/>
      <c r="O106" s="784"/>
    </row>
    <row r="107" spans="1:15" s="1207" customFormat="1" ht="15" customHeight="1" x14ac:dyDescent="0.25">
      <c r="A107" s="418"/>
      <c r="B107" s="4"/>
      <c r="C107" s="4"/>
      <c r="D107" s="4"/>
      <c r="E107" s="4"/>
      <c r="F107" s="4"/>
      <c r="G107" s="4"/>
      <c r="H107" s="4"/>
      <c r="I107" s="4"/>
      <c r="J107" s="4"/>
      <c r="K107" s="4"/>
      <c r="L107" s="4"/>
      <c r="M107" s="4"/>
      <c r="N107" s="4"/>
      <c r="O107" s="422"/>
    </row>
    <row r="108" spans="1:15" ht="15" customHeight="1" x14ac:dyDescent="0.25">
      <c r="A108" s="418"/>
      <c r="B108" s="1695" t="s">
        <v>1791</v>
      </c>
      <c r="C108" s="1730"/>
      <c r="D108" s="1688" t="s">
        <v>297</v>
      </c>
      <c r="E108" s="1689"/>
      <c r="F108" s="3"/>
      <c r="G108" s="3"/>
      <c r="H108" s="3"/>
      <c r="I108" s="4"/>
      <c r="J108" s="1699" t="s">
        <v>67</v>
      </c>
      <c r="K108" s="1689"/>
      <c r="L108" s="3"/>
      <c r="M108" s="3"/>
      <c r="N108" s="3"/>
      <c r="O108" s="422"/>
    </row>
    <row r="109" spans="1:15" ht="45" customHeight="1" x14ac:dyDescent="0.25">
      <c r="A109" s="418"/>
      <c r="B109" s="1696"/>
      <c r="C109" s="1731"/>
      <c r="D109" s="88" t="s">
        <v>1025</v>
      </c>
      <c r="E109" s="89" t="s">
        <v>1026</v>
      </c>
      <c r="F109" s="3"/>
      <c r="G109" s="3"/>
      <c r="H109" s="3"/>
      <c r="I109" s="3"/>
      <c r="J109" s="1555" t="s">
        <v>1025</v>
      </c>
      <c r="K109" s="89" t="s">
        <v>1026</v>
      </c>
      <c r="L109" s="3"/>
      <c r="M109" s="3"/>
      <c r="N109" s="3"/>
      <c r="O109" s="422"/>
    </row>
    <row r="110" spans="1:15" ht="15" customHeight="1" x14ac:dyDescent="0.25">
      <c r="A110" s="418"/>
      <c r="B110" s="430" t="s">
        <v>1097</v>
      </c>
      <c r="C110" s="35" t="s">
        <v>1376</v>
      </c>
      <c r="D110" s="527"/>
      <c r="E110" s="618" t="str">
        <f>IF(ISNUMBER(F8),F8,"")</f>
        <v/>
      </c>
      <c r="F110" s="4"/>
      <c r="G110" s="4"/>
      <c r="H110" s="4"/>
      <c r="I110" s="4"/>
      <c r="J110" s="617"/>
      <c r="K110" s="618" t="str">
        <f>IF(ISNUMBER(L8),L8,"")</f>
        <v/>
      </c>
      <c r="L110" s="4"/>
      <c r="M110" s="4"/>
      <c r="N110" s="4"/>
      <c r="O110" s="422"/>
    </row>
    <row r="111" spans="1:15" ht="15" customHeight="1" x14ac:dyDescent="0.25">
      <c r="A111" s="418"/>
      <c r="B111" s="433" t="s">
        <v>1097</v>
      </c>
      <c r="C111" s="438" t="str">
        <f>CONCATENATE("Impact on the RC of collateral provided by the bank and included in row ", ROW(C18), " or ", ROW(C21))</f>
        <v>Impact on the RC of collateral provided by the bank and included in row 18 or 21</v>
      </c>
      <c r="D111" s="47"/>
      <c r="E111" s="67"/>
      <c r="F111" s="4"/>
      <c r="G111" s="4"/>
      <c r="H111" s="4"/>
      <c r="I111" s="4"/>
      <c r="J111" s="50"/>
      <c r="K111" s="67"/>
      <c r="L111" s="4"/>
      <c r="M111" s="4"/>
      <c r="N111" s="4"/>
      <c r="O111" s="422"/>
    </row>
    <row r="112" spans="1:15" ht="15" customHeight="1" x14ac:dyDescent="0.25">
      <c r="A112" s="418"/>
      <c r="B112" s="433" t="s">
        <v>1097</v>
      </c>
      <c r="C112" s="438" t="str">
        <f>CONCATENATE("Impact on the RC of non-cash collateral provided by the bank and included in row ", ROW(C18), " or ", ROW(C21))</f>
        <v>Impact on the RC of non-cash collateral provided by the bank and included in row 18 or 21</v>
      </c>
      <c r="D112" s="50"/>
      <c r="E112" s="67"/>
      <c r="F112" s="4"/>
      <c r="G112" s="4"/>
      <c r="H112" s="4"/>
      <c r="I112" s="4"/>
      <c r="J112" s="50"/>
      <c r="K112" s="67"/>
      <c r="L112" s="4"/>
      <c r="M112" s="4"/>
      <c r="N112" s="4"/>
      <c r="O112" s="422"/>
    </row>
    <row r="113" spans="1:15" ht="15" customHeight="1" x14ac:dyDescent="0.25">
      <c r="A113" s="418"/>
      <c r="B113" s="433" t="s">
        <v>1097</v>
      </c>
      <c r="C113" s="439" t="s">
        <v>1377</v>
      </c>
      <c r="D113" s="50"/>
      <c r="E113" s="67"/>
      <c r="F113" s="4"/>
      <c r="G113" s="4"/>
      <c r="H113" s="4"/>
      <c r="I113" s="4"/>
      <c r="J113" s="50"/>
      <c r="K113" s="67"/>
      <c r="L113" s="4"/>
      <c r="M113" s="4"/>
      <c r="N113" s="4"/>
      <c r="O113" s="422"/>
    </row>
    <row r="114" spans="1:15" ht="15" customHeight="1" x14ac:dyDescent="0.25">
      <c r="A114" s="418"/>
      <c r="B114" s="433" t="s">
        <v>1097</v>
      </c>
      <c r="C114" s="439" t="str">
        <f>CONCATENATE("Collateral provided that is both included in rows ", ROW(C18), " or ", ROW(C21), " and taken into account in C or NICA")</f>
        <v>Collateral provided that is both included in rows 18 or 21 and taken into account in C or NICA</v>
      </c>
      <c r="D114" s="50"/>
      <c r="E114" s="67"/>
      <c r="F114" s="4"/>
      <c r="G114" s="4"/>
      <c r="H114" s="4"/>
      <c r="I114" s="4"/>
      <c r="J114" s="50"/>
      <c r="K114" s="67"/>
      <c r="L114" s="4"/>
      <c r="M114" s="4"/>
      <c r="N114" s="4"/>
      <c r="O114" s="422"/>
    </row>
    <row r="115" spans="1:15" ht="15" customHeight="1" x14ac:dyDescent="0.25">
      <c r="A115" s="418"/>
      <c r="B115" s="433" t="s">
        <v>1380</v>
      </c>
      <c r="C115" s="439" t="s">
        <v>1378</v>
      </c>
      <c r="D115" s="48"/>
      <c r="E115" s="1175"/>
      <c r="F115" s="4"/>
      <c r="G115" s="4"/>
      <c r="H115" s="4"/>
      <c r="I115" s="4"/>
      <c r="J115" s="66"/>
      <c r="K115" s="1175"/>
      <c r="L115" s="4"/>
      <c r="M115" s="4"/>
      <c r="N115" s="4"/>
      <c r="O115" s="422"/>
    </row>
    <row r="116" spans="1:15" ht="15" customHeight="1" x14ac:dyDescent="0.25">
      <c r="A116" s="418"/>
      <c r="B116" s="433" t="s">
        <v>1380</v>
      </c>
      <c r="C116" s="439" t="s">
        <v>1379</v>
      </c>
      <c r="D116" s="48"/>
      <c r="E116" s="1175"/>
      <c r="F116" s="4"/>
      <c r="G116" s="4"/>
      <c r="H116" s="4"/>
      <c r="I116" s="4"/>
      <c r="J116" s="66"/>
      <c r="K116" s="1175"/>
      <c r="L116" s="4"/>
      <c r="M116" s="4"/>
      <c r="N116" s="4"/>
      <c r="O116" s="422"/>
    </row>
    <row r="117" spans="1:15" ht="15" customHeight="1" x14ac:dyDescent="0.25">
      <c r="A117" s="418"/>
      <c r="B117" s="433" t="s">
        <v>1380</v>
      </c>
      <c r="C117" s="439" t="s">
        <v>1446</v>
      </c>
      <c r="D117" s="50"/>
      <c r="E117" s="19" t="str">
        <f>IF(AND(ISNUMBER(E115),ISNUMBER(E116)),E115+E116,"")</f>
        <v/>
      </c>
      <c r="F117" s="4"/>
      <c r="G117" s="4"/>
      <c r="H117" s="4"/>
      <c r="I117" s="4"/>
      <c r="J117" s="50"/>
      <c r="K117" s="19" t="str">
        <f>IF(AND(ISNUMBER(K115),ISNUMBER(K116)),K115+K116,"")</f>
        <v/>
      </c>
      <c r="L117" s="4"/>
      <c r="M117" s="4"/>
      <c r="N117" s="4"/>
      <c r="O117" s="422"/>
    </row>
    <row r="118" spans="1:15" ht="15" customHeight="1" x14ac:dyDescent="0.25">
      <c r="A118" s="418"/>
      <c r="B118" s="434" t="s">
        <v>1380</v>
      </c>
      <c r="C118" s="439" t="s">
        <v>1027</v>
      </c>
      <c r="D118" s="48"/>
      <c r="E118" s="1175"/>
      <c r="F118" s="4"/>
      <c r="G118" s="4"/>
      <c r="H118" s="4"/>
      <c r="I118" s="4"/>
      <c r="J118" s="66"/>
      <c r="K118" s="1175"/>
      <c r="L118" s="4"/>
      <c r="M118" s="4"/>
      <c r="N118" s="4"/>
      <c r="O118" s="422"/>
    </row>
    <row r="119" spans="1:15" ht="15" customHeight="1" x14ac:dyDescent="0.25">
      <c r="A119" s="418"/>
      <c r="B119" s="1168"/>
      <c r="C119" s="116" t="s">
        <v>1028</v>
      </c>
      <c r="D119" s="539" t="str">
        <f>IF($E$118&gt;=D117,"Yes","No")</f>
        <v>Yes</v>
      </c>
      <c r="E119" s="63" t="str">
        <f>IF($E$118&gt;=E117,"Yes","No")</f>
        <v>Yes</v>
      </c>
      <c r="F119" s="4"/>
      <c r="G119" s="4"/>
      <c r="H119" s="4"/>
      <c r="I119" s="4"/>
      <c r="J119" s="117" t="str">
        <f>IF($K$118&gt;=J117,"Yes","No")</f>
        <v>Yes</v>
      </c>
      <c r="K119" s="63" t="str">
        <f>IF($K$118&gt;=K117,"Yes","No")</f>
        <v>Yes</v>
      </c>
      <c r="L119" s="4"/>
      <c r="M119" s="4"/>
      <c r="N119" s="4"/>
      <c r="O119" s="422"/>
    </row>
    <row r="120" spans="1:15" ht="15" customHeight="1" x14ac:dyDescent="0.25">
      <c r="A120" s="452"/>
      <c r="B120" s="81"/>
      <c r="C120" s="25"/>
      <c r="D120" s="25"/>
      <c r="E120" s="25"/>
      <c r="F120" s="25"/>
      <c r="G120" s="25"/>
      <c r="H120" s="25"/>
      <c r="I120" s="25"/>
      <c r="J120" s="25"/>
      <c r="K120" s="25"/>
      <c r="L120" s="25"/>
      <c r="M120" s="25"/>
      <c r="N120" s="25"/>
      <c r="O120" s="456"/>
    </row>
    <row r="121" spans="1:15" s="1207" customFormat="1" ht="30" customHeight="1" x14ac:dyDescent="0.3">
      <c r="A121" s="886" t="s">
        <v>1029</v>
      </c>
      <c r="B121" s="1364"/>
      <c r="C121" s="1366"/>
      <c r="D121" s="1366"/>
      <c r="E121" s="1366"/>
      <c r="F121" s="1366"/>
      <c r="G121" s="1366"/>
      <c r="H121" s="1366"/>
      <c r="I121" s="1366"/>
      <c r="J121" s="1366"/>
      <c r="K121" s="1366"/>
      <c r="L121" s="1366"/>
      <c r="M121" s="1366"/>
      <c r="N121" s="1366"/>
      <c r="O121" s="784"/>
    </row>
    <row r="122" spans="1:15" s="1207" customFormat="1" ht="15" customHeight="1" x14ac:dyDescent="0.25">
      <c r="A122" s="418"/>
      <c r="B122" s="4"/>
      <c r="C122" s="4"/>
      <c r="D122" s="4"/>
      <c r="E122" s="4"/>
      <c r="F122" s="4"/>
      <c r="G122" s="4"/>
      <c r="H122" s="4"/>
      <c r="I122" s="4"/>
      <c r="J122" s="4"/>
      <c r="K122" s="4"/>
      <c r="L122" s="4"/>
      <c r="M122" s="4"/>
      <c r="N122" s="4"/>
      <c r="O122" s="422"/>
    </row>
    <row r="123" spans="1:15" ht="15" customHeight="1" x14ac:dyDescent="0.25">
      <c r="A123" s="418"/>
      <c r="B123" s="1695" t="s">
        <v>1791</v>
      </c>
      <c r="C123" s="1697"/>
      <c r="D123" s="1688" t="s">
        <v>297</v>
      </c>
      <c r="E123" s="1689"/>
      <c r="F123" s="3"/>
      <c r="G123" s="3"/>
      <c r="H123" s="3"/>
      <c r="I123" s="4"/>
      <c r="J123" s="1699" t="s">
        <v>67</v>
      </c>
      <c r="K123" s="1689"/>
      <c r="L123" s="3"/>
      <c r="M123" s="3"/>
      <c r="N123" s="3"/>
      <c r="O123" s="422"/>
    </row>
    <row r="124" spans="1:15" ht="15" customHeight="1" x14ac:dyDescent="0.25">
      <c r="A124" s="418"/>
      <c r="B124" s="1696"/>
      <c r="C124" s="1698"/>
      <c r="D124" s="1553" t="s">
        <v>342</v>
      </c>
      <c r="E124" s="4"/>
      <c r="F124" s="4"/>
      <c r="G124" s="4"/>
      <c r="H124" s="4"/>
      <c r="I124" s="4"/>
      <c r="J124" s="591" t="s">
        <v>342</v>
      </c>
      <c r="K124" s="3"/>
      <c r="L124" s="4"/>
      <c r="M124" s="4"/>
      <c r="N124" s="4"/>
      <c r="O124" s="422"/>
    </row>
    <row r="125" spans="1:15" ht="30" customHeight="1" x14ac:dyDescent="0.25">
      <c r="A125" s="418"/>
      <c r="B125" s="101"/>
      <c r="C125" s="529" t="s">
        <v>1032</v>
      </c>
      <c r="D125" s="616"/>
      <c r="E125" s="4"/>
      <c r="F125" s="4"/>
      <c r="G125" s="4"/>
      <c r="H125" s="4"/>
      <c r="I125" s="4"/>
      <c r="J125" s="615"/>
      <c r="K125" s="3"/>
      <c r="L125" s="4"/>
      <c r="M125" s="4"/>
      <c r="N125" s="4"/>
      <c r="O125" s="422"/>
    </row>
    <row r="126" spans="1:15" ht="15" customHeight="1" x14ac:dyDescent="0.25">
      <c r="A126" s="418"/>
      <c r="B126" s="433" t="s">
        <v>715</v>
      </c>
      <c r="C126" s="40" t="s">
        <v>1034</v>
      </c>
      <c r="D126" s="1175"/>
      <c r="E126" s="4"/>
      <c r="F126" s="4"/>
      <c r="G126" s="4"/>
      <c r="H126" s="4"/>
      <c r="I126" s="4"/>
      <c r="J126" s="1176"/>
      <c r="K126" s="4"/>
      <c r="L126" s="4"/>
      <c r="M126" s="4"/>
      <c r="N126" s="4"/>
      <c r="O126" s="422"/>
    </row>
    <row r="127" spans="1:15" ht="15" customHeight="1" x14ac:dyDescent="0.25">
      <c r="A127" s="418"/>
      <c r="B127" s="433" t="s">
        <v>715</v>
      </c>
      <c r="C127" s="40" t="s">
        <v>1035</v>
      </c>
      <c r="D127" s="1175"/>
      <c r="E127" s="4"/>
      <c r="F127" s="4"/>
      <c r="G127" s="4"/>
      <c r="H127" s="4"/>
      <c r="I127" s="4"/>
      <c r="J127" s="1176"/>
      <c r="K127" s="4"/>
      <c r="L127" s="4"/>
      <c r="M127" s="4"/>
      <c r="N127" s="4"/>
      <c r="O127" s="422"/>
    </row>
    <row r="128" spans="1:15" ht="30" customHeight="1" x14ac:dyDescent="0.25">
      <c r="A128" s="418"/>
      <c r="B128" s="433" t="s">
        <v>715</v>
      </c>
      <c r="C128" s="599" t="s">
        <v>1098</v>
      </c>
      <c r="D128" s="49" t="str">
        <f>IF(D126&lt;=F$13,"Yes","No")</f>
        <v>Yes</v>
      </c>
      <c r="E128" s="4"/>
      <c r="F128" s="4"/>
      <c r="G128" s="4"/>
      <c r="H128" s="4"/>
      <c r="I128" s="4"/>
      <c r="J128" s="98" t="str">
        <f>IF(J126&lt;=L$13,"Yes","No")</f>
        <v>Yes</v>
      </c>
      <c r="K128" s="4"/>
      <c r="L128" s="4"/>
      <c r="M128" s="4"/>
      <c r="N128" s="4"/>
      <c r="O128" s="422"/>
    </row>
    <row r="129" spans="1:15" ht="30" customHeight="1" x14ac:dyDescent="0.25">
      <c r="A129" s="418"/>
      <c r="B129" s="433" t="s">
        <v>715</v>
      </c>
      <c r="C129" s="599" t="s">
        <v>1099</v>
      </c>
      <c r="D129" s="49" t="str">
        <f>IF(D127&lt;=F$13,"Yes","No")</f>
        <v>Yes</v>
      </c>
      <c r="E129" s="4"/>
      <c r="F129" s="4"/>
      <c r="G129" s="4"/>
      <c r="H129" s="4"/>
      <c r="I129" s="4"/>
      <c r="J129" s="98" t="str">
        <f>IF(J127&lt;=L$13,"Yes","No")</f>
        <v>Yes</v>
      </c>
      <c r="K129" s="4"/>
      <c r="L129" s="4"/>
      <c r="M129" s="4"/>
      <c r="N129" s="4"/>
      <c r="O129" s="422"/>
    </row>
    <row r="130" spans="1:15" ht="30" customHeight="1" x14ac:dyDescent="0.25">
      <c r="A130" s="418"/>
      <c r="B130" s="433" t="s">
        <v>715</v>
      </c>
      <c r="C130" s="599" t="s">
        <v>1100</v>
      </c>
      <c r="D130" s="49" t="str">
        <f>IF(D127&lt;=D126,"Yes","No")</f>
        <v>Yes</v>
      </c>
      <c r="E130" s="4"/>
      <c r="F130" s="4"/>
      <c r="G130" s="4"/>
      <c r="H130" s="4"/>
      <c r="I130" s="4"/>
      <c r="J130" s="98" t="str">
        <f>IF(J127&lt;=J126,"Yes","No")</f>
        <v>Yes</v>
      </c>
      <c r="K130" s="4"/>
      <c r="L130" s="4"/>
      <c r="M130" s="4"/>
      <c r="N130" s="4"/>
      <c r="O130" s="422"/>
    </row>
    <row r="131" spans="1:15" ht="15" customHeight="1" x14ac:dyDescent="0.25">
      <c r="A131" s="418"/>
      <c r="B131" s="46"/>
      <c r="C131" s="439" t="s">
        <v>1033</v>
      </c>
      <c r="D131" s="475"/>
      <c r="E131" s="4"/>
      <c r="F131" s="4"/>
      <c r="G131" s="4"/>
      <c r="H131" s="4"/>
      <c r="I131" s="4"/>
      <c r="J131" s="614"/>
      <c r="K131" s="4"/>
      <c r="L131" s="4"/>
      <c r="M131" s="4"/>
      <c r="N131" s="4"/>
      <c r="O131" s="422"/>
    </row>
    <row r="132" spans="1:15" ht="15" customHeight="1" x14ac:dyDescent="0.25">
      <c r="A132" s="418"/>
      <c r="B132" s="433" t="s">
        <v>715</v>
      </c>
      <c r="C132" s="40" t="s">
        <v>1034</v>
      </c>
      <c r="D132" s="1175"/>
      <c r="E132" s="4"/>
      <c r="F132" s="4"/>
      <c r="G132" s="4"/>
      <c r="H132" s="4"/>
      <c r="I132" s="4"/>
      <c r="J132" s="1176"/>
      <c r="K132" s="4"/>
      <c r="L132" s="4"/>
      <c r="M132" s="4"/>
      <c r="N132" s="4"/>
      <c r="O132" s="422"/>
    </row>
    <row r="133" spans="1:15" ht="15" customHeight="1" x14ac:dyDescent="0.25">
      <c r="A133" s="418"/>
      <c r="B133" s="433" t="s">
        <v>715</v>
      </c>
      <c r="C133" s="40" t="s">
        <v>1035</v>
      </c>
      <c r="D133" s="1175"/>
      <c r="E133" s="4"/>
      <c r="F133" s="4"/>
      <c r="G133" s="4"/>
      <c r="H133" s="4"/>
      <c r="I133" s="4"/>
      <c r="J133" s="1176"/>
      <c r="K133" s="4"/>
      <c r="L133" s="4"/>
      <c r="M133" s="4"/>
      <c r="N133" s="4"/>
      <c r="O133" s="422"/>
    </row>
    <row r="134" spans="1:15" ht="30" customHeight="1" x14ac:dyDescent="0.25">
      <c r="A134" s="418"/>
      <c r="B134" s="433" t="s">
        <v>715</v>
      </c>
      <c r="C134" s="599" t="s">
        <v>1030</v>
      </c>
      <c r="D134" s="49" t="str">
        <f>IF(D132&lt;=E$22,"Yes","No")</f>
        <v>Yes</v>
      </c>
      <c r="E134" s="4"/>
      <c r="F134" s="4"/>
      <c r="G134" s="4"/>
      <c r="H134" s="4"/>
      <c r="I134" s="4"/>
      <c r="J134" s="98" t="str">
        <f>IF(J132&lt;=K$22,"Yes","No")</f>
        <v>Yes</v>
      </c>
      <c r="K134" s="4"/>
      <c r="L134" s="4"/>
      <c r="M134" s="4"/>
      <c r="N134" s="4"/>
      <c r="O134" s="422"/>
    </row>
    <row r="135" spans="1:15" ht="30" customHeight="1" x14ac:dyDescent="0.25">
      <c r="A135" s="418"/>
      <c r="B135" s="433" t="s">
        <v>715</v>
      </c>
      <c r="C135" s="599" t="s">
        <v>1031</v>
      </c>
      <c r="D135" s="49" t="str">
        <f>IF(D133&lt;=E$22,"Yes","No")</f>
        <v>Yes</v>
      </c>
      <c r="E135" s="4"/>
      <c r="F135" s="4"/>
      <c r="G135" s="4"/>
      <c r="H135" s="4"/>
      <c r="I135" s="4"/>
      <c r="J135" s="98" t="str">
        <f>IF(J133&lt;=K$22,"Yes","No")</f>
        <v>Yes</v>
      </c>
      <c r="K135" s="4"/>
      <c r="L135" s="4"/>
      <c r="M135" s="4"/>
      <c r="N135" s="4"/>
      <c r="O135" s="422"/>
    </row>
    <row r="136" spans="1:15" ht="30" customHeight="1" x14ac:dyDescent="0.25">
      <c r="A136" s="418"/>
      <c r="B136" s="61" t="s">
        <v>715</v>
      </c>
      <c r="C136" s="598" t="s">
        <v>1101</v>
      </c>
      <c r="D136" s="63" t="str">
        <f>IF(D133&lt;=D132,"Yes","No")</f>
        <v>Yes</v>
      </c>
      <c r="E136" s="4"/>
      <c r="F136" s="4"/>
      <c r="G136" s="4"/>
      <c r="H136" s="4"/>
      <c r="I136" s="4"/>
      <c r="J136" s="105" t="str">
        <f>IF(J133&lt;=J132,"Yes","No")</f>
        <v>Yes</v>
      </c>
      <c r="K136" s="4"/>
      <c r="L136" s="4"/>
      <c r="M136" s="4"/>
      <c r="N136" s="4"/>
      <c r="O136" s="422"/>
    </row>
    <row r="137" spans="1:15" ht="15" customHeight="1" x14ac:dyDescent="0.25">
      <c r="A137" s="418"/>
      <c r="B137" s="4"/>
      <c r="C137" s="4"/>
      <c r="D137" s="4"/>
      <c r="E137" s="4"/>
      <c r="F137" s="4"/>
      <c r="G137" s="4"/>
      <c r="H137" s="4"/>
      <c r="I137" s="4"/>
      <c r="J137" s="4"/>
      <c r="K137" s="4"/>
      <c r="L137" s="4"/>
      <c r="M137" s="4"/>
      <c r="N137" s="4"/>
      <c r="O137" s="422"/>
    </row>
    <row r="138" spans="1:15" s="1207" customFormat="1" ht="30" customHeight="1" x14ac:dyDescent="0.3">
      <c r="A138" s="886" t="s">
        <v>1720</v>
      </c>
      <c r="B138" s="1364"/>
      <c r="C138" s="1366"/>
      <c r="D138" s="1366"/>
      <c r="E138" s="1366"/>
      <c r="F138" s="1366"/>
      <c r="G138" s="1366"/>
      <c r="H138" s="1366"/>
      <c r="I138" s="1366"/>
      <c r="J138" s="1366"/>
      <c r="K138" s="1366"/>
      <c r="L138" s="1366"/>
      <c r="M138" s="1366"/>
      <c r="N138" s="1366"/>
      <c r="O138" s="784"/>
    </row>
    <row r="139" spans="1:15" s="1207" customFormat="1" ht="15" customHeight="1" x14ac:dyDescent="0.25">
      <c r="A139" s="418"/>
      <c r="B139" s="4"/>
      <c r="C139" s="4"/>
      <c r="D139" s="4"/>
      <c r="E139" s="4"/>
      <c r="F139" s="4"/>
      <c r="G139" s="4"/>
      <c r="H139" s="4"/>
      <c r="I139" s="4"/>
      <c r="J139" s="4"/>
      <c r="K139" s="4"/>
      <c r="L139" s="4"/>
      <c r="M139" s="4"/>
      <c r="N139" s="4"/>
      <c r="O139" s="422"/>
    </row>
    <row r="140" spans="1:15" ht="15" customHeight="1" x14ac:dyDescent="0.25">
      <c r="A140" s="418"/>
      <c r="B140" s="1693" t="s">
        <v>637</v>
      </c>
      <c r="C140" s="1697"/>
      <c r="D140" s="1688" t="s">
        <v>297</v>
      </c>
      <c r="E140" s="1689"/>
      <c r="F140" s="3"/>
      <c r="G140" s="3"/>
      <c r="H140" s="3"/>
      <c r="I140" s="4"/>
      <c r="J140" s="1699" t="s">
        <v>67</v>
      </c>
      <c r="K140" s="1689"/>
      <c r="L140" s="3"/>
      <c r="M140" s="3"/>
      <c r="N140" s="3"/>
      <c r="O140" s="422"/>
    </row>
    <row r="141" spans="1:15" ht="30" customHeight="1" x14ac:dyDescent="0.25">
      <c r="A141" s="418"/>
      <c r="B141" s="1693"/>
      <c r="C141" s="1698"/>
      <c r="D141" s="1553" t="s">
        <v>342</v>
      </c>
      <c r="E141" s="4"/>
      <c r="F141" s="4"/>
      <c r="G141" s="4"/>
      <c r="H141" s="4"/>
      <c r="I141" s="4"/>
      <c r="J141" s="591" t="s">
        <v>342</v>
      </c>
      <c r="K141" s="3"/>
      <c r="L141" s="4"/>
      <c r="M141" s="4"/>
      <c r="N141" s="4"/>
      <c r="O141" s="422"/>
    </row>
    <row r="142" spans="1:15" ht="30" customHeight="1" x14ac:dyDescent="0.25">
      <c r="A142" s="418"/>
      <c r="B142" s="1700">
        <v>27</v>
      </c>
      <c r="C142" s="1170" t="s">
        <v>1788</v>
      </c>
      <c r="D142" s="1177"/>
      <c r="E142" s="4"/>
      <c r="F142" s="4"/>
      <c r="G142" s="4"/>
      <c r="H142" s="4"/>
      <c r="I142" s="4"/>
      <c r="J142" s="1174"/>
      <c r="K142" s="3"/>
      <c r="L142" s="4"/>
      <c r="M142" s="4"/>
      <c r="N142" s="4"/>
      <c r="O142" s="422"/>
    </row>
    <row r="143" spans="1:15" ht="30" customHeight="1" x14ac:dyDescent="0.25">
      <c r="A143" s="418"/>
      <c r="B143" s="1701"/>
      <c r="C143" s="1172" t="s">
        <v>1447</v>
      </c>
      <c r="D143" s="1175"/>
      <c r="E143" s="4"/>
      <c r="F143" s="4"/>
      <c r="G143" s="4"/>
      <c r="H143" s="4"/>
      <c r="I143" s="4"/>
      <c r="J143" s="1175"/>
      <c r="K143" s="4"/>
      <c r="L143" s="4"/>
      <c r="M143" s="4"/>
      <c r="N143" s="4"/>
      <c r="O143" s="422"/>
    </row>
    <row r="144" spans="1:15" ht="15" customHeight="1" x14ac:dyDescent="0.25">
      <c r="A144" s="418"/>
      <c r="B144" s="1701"/>
      <c r="C144" s="1171" t="s">
        <v>1448</v>
      </c>
      <c r="D144" s="1175"/>
      <c r="E144" s="4"/>
      <c r="F144" s="4"/>
      <c r="G144" s="4"/>
      <c r="H144" s="4"/>
      <c r="I144" s="4"/>
      <c r="J144" s="1175"/>
      <c r="K144" s="4"/>
      <c r="L144" s="4"/>
      <c r="M144" s="4"/>
      <c r="N144" s="4"/>
      <c r="O144" s="422"/>
    </row>
    <row r="145" spans="1:15" ht="30" customHeight="1" x14ac:dyDescent="0.25">
      <c r="A145" s="418"/>
      <c r="B145" s="1701"/>
      <c r="C145" s="1171" t="s">
        <v>1786</v>
      </c>
      <c r="D145" s="1175"/>
      <c r="E145" s="4"/>
      <c r="F145" s="4"/>
      <c r="G145" s="4"/>
      <c r="H145" s="4"/>
      <c r="I145" s="4"/>
      <c r="J145" s="1175"/>
      <c r="K145" s="4"/>
      <c r="L145" s="4"/>
      <c r="M145" s="4"/>
      <c r="N145" s="4"/>
      <c r="O145" s="422"/>
    </row>
    <row r="146" spans="1:15" ht="15" customHeight="1" x14ac:dyDescent="0.25">
      <c r="A146" s="418"/>
      <c r="B146" s="1701"/>
      <c r="C146" s="1172" t="s">
        <v>1449</v>
      </c>
      <c r="D146" s="1175"/>
      <c r="E146" s="4"/>
      <c r="F146" s="4"/>
      <c r="G146" s="4"/>
      <c r="H146" s="4"/>
      <c r="I146" s="4"/>
      <c r="J146" s="1175"/>
      <c r="K146" s="4"/>
      <c r="L146" s="4"/>
      <c r="M146" s="4"/>
      <c r="N146" s="4"/>
      <c r="O146" s="422"/>
    </row>
    <row r="147" spans="1:15" ht="15" customHeight="1" x14ac:dyDescent="0.25">
      <c r="A147" s="418"/>
      <c r="B147" s="1701"/>
      <c r="C147" s="1172" t="s">
        <v>1450</v>
      </c>
      <c r="D147" s="1175"/>
      <c r="E147" s="4"/>
      <c r="F147" s="4"/>
      <c r="G147" s="4"/>
      <c r="H147" s="4"/>
      <c r="I147" s="4"/>
      <c r="J147" s="1175"/>
      <c r="K147" s="4"/>
      <c r="L147" s="4"/>
      <c r="M147" s="4"/>
      <c r="N147" s="4"/>
      <c r="O147" s="422"/>
    </row>
    <row r="148" spans="1:15" ht="30" customHeight="1" x14ac:dyDescent="0.25">
      <c r="A148" s="418"/>
      <c r="B148" s="1701"/>
      <c r="C148" s="1170" t="s">
        <v>1789</v>
      </c>
      <c r="D148" s="19" t="str">
        <f>IF(AND(ISNUMBER(D143),ISNUMBER(D146),ISNUMBER(D147)),D143+ D146+D147,"")</f>
        <v/>
      </c>
      <c r="E148" s="4"/>
      <c r="F148" s="4"/>
      <c r="G148" s="4"/>
      <c r="H148" s="4"/>
      <c r="I148" s="4"/>
      <c r="J148" s="19" t="str">
        <f>IF(AND(ISNUMBER(J143),ISNUMBER(J146),ISNUMBER(J147)),J143+ J146+J147,"")</f>
        <v/>
      </c>
      <c r="K148" s="4"/>
      <c r="L148" s="4"/>
      <c r="M148" s="4"/>
      <c r="N148" s="4"/>
      <c r="O148" s="422"/>
    </row>
    <row r="149" spans="1:15" ht="30" customHeight="1" x14ac:dyDescent="0.25">
      <c r="A149" s="418"/>
      <c r="B149" s="1701"/>
      <c r="C149" s="1172" t="s">
        <v>1451</v>
      </c>
      <c r="D149" s="1175"/>
      <c r="E149" s="4"/>
      <c r="F149" s="4"/>
      <c r="G149" s="4"/>
      <c r="H149" s="4"/>
      <c r="I149" s="4"/>
      <c r="J149" s="1176"/>
      <c r="K149" s="4"/>
      <c r="L149" s="4"/>
      <c r="M149" s="4"/>
      <c r="N149" s="4"/>
      <c r="O149" s="422"/>
    </row>
    <row r="150" spans="1:15" ht="30" customHeight="1" x14ac:dyDescent="0.25">
      <c r="A150" s="418"/>
      <c r="B150" s="1701"/>
      <c r="C150" s="1172" t="s">
        <v>1452</v>
      </c>
      <c r="D150" s="1175"/>
      <c r="E150" s="4"/>
      <c r="F150" s="4"/>
      <c r="G150" s="4"/>
      <c r="H150" s="4"/>
      <c r="I150" s="4"/>
      <c r="J150" s="1176"/>
      <c r="K150" s="4"/>
      <c r="L150" s="4"/>
      <c r="M150" s="4"/>
      <c r="N150" s="4"/>
      <c r="O150" s="422"/>
    </row>
    <row r="151" spans="1:15" ht="15" customHeight="1" x14ac:dyDescent="0.25">
      <c r="A151" s="418"/>
      <c r="B151" s="1702"/>
      <c r="C151" s="1169" t="s">
        <v>1453</v>
      </c>
      <c r="D151" s="1173" t="str">
        <f>IF(AND(ISNUMBER(D149),ISNUMBER(D150)),D149+D150,"")</f>
        <v/>
      </c>
      <c r="E151" s="4"/>
      <c r="F151" s="4"/>
      <c r="G151" s="4"/>
      <c r="H151" s="4"/>
      <c r="I151" s="4"/>
      <c r="J151" s="1173" t="str">
        <f>IF(AND(ISNUMBER(J149),ISNUMBER(J150)),J149+J150,"")</f>
        <v/>
      </c>
      <c r="K151" s="4"/>
      <c r="L151" s="4"/>
      <c r="M151" s="4"/>
      <c r="N151" s="4"/>
      <c r="O151" s="422"/>
    </row>
    <row r="152" spans="1:15" ht="15" customHeight="1" x14ac:dyDescent="0.25">
      <c r="A152" s="418"/>
      <c r="B152" s="4"/>
      <c r="C152" s="4"/>
      <c r="D152" s="4"/>
      <c r="E152" s="4"/>
      <c r="F152" s="4"/>
      <c r="G152" s="4"/>
      <c r="H152" s="4"/>
      <c r="I152" s="4"/>
      <c r="J152" s="4"/>
      <c r="K152" s="4"/>
      <c r="L152" s="4"/>
      <c r="M152" s="4"/>
      <c r="N152" s="4"/>
      <c r="O152" s="422"/>
    </row>
    <row r="153" spans="1:15" ht="30" customHeight="1" x14ac:dyDescent="0.3">
      <c r="A153" s="886" t="s">
        <v>1381</v>
      </c>
      <c r="B153" s="1364"/>
      <c r="C153" s="1366"/>
      <c r="D153" s="1366"/>
      <c r="E153" s="1366"/>
      <c r="F153" s="1366"/>
      <c r="G153" s="1366"/>
      <c r="H153" s="1366"/>
      <c r="I153" s="1366"/>
      <c r="J153" s="1366"/>
      <c r="K153" s="1366"/>
      <c r="L153" s="1366"/>
      <c r="M153" s="1366"/>
      <c r="N153" s="1366"/>
      <c r="O153" s="784"/>
    </row>
    <row r="154" spans="1:15" ht="15" customHeight="1" x14ac:dyDescent="0.25">
      <c r="A154" s="418"/>
      <c r="B154" s="4"/>
      <c r="C154" s="4"/>
      <c r="D154" s="4"/>
      <c r="E154" s="4"/>
      <c r="F154" s="4"/>
      <c r="G154" s="4"/>
      <c r="H154" s="4"/>
      <c r="I154" s="4"/>
      <c r="J154" s="4"/>
      <c r="K154" s="4"/>
      <c r="L154" s="4"/>
      <c r="M154" s="4"/>
      <c r="N154" s="4"/>
      <c r="O154" s="422"/>
    </row>
    <row r="155" spans="1:15" ht="15" customHeight="1" x14ac:dyDescent="0.25">
      <c r="A155" s="418"/>
      <c r="B155" s="29"/>
      <c r="C155" s="1703" t="s">
        <v>1792</v>
      </c>
      <c r="D155" s="1704"/>
      <c r="E155" s="1704"/>
      <c r="F155" s="1704"/>
      <c r="G155" s="1704"/>
      <c r="H155" s="1704"/>
      <c r="I155" s="1705"/>
      <c r="J155" s="1688" t="s">
        <v>67</v>
      </c>
      <c r="K155" s="1689"/>
      <c r="L155" s="3"/>
      <c r="M155" s="3"/>
      <c r="N155" s="3"/>
      <c r="O155" s="422"/>
    </row>
    <row r="156" spans="1:15" ht="15" customHeight="1" x14ac:dyDescent="0.25">
      <c r="A156" s="418"/>
      <c r="B156" s="25"/>
      <c r="C156" s="1706"/>
      <c r="D156" s="1707"/>
      <c r="E156" s="1707"/>
      <c r="F156" s="1707"/>
      <c r="G156" s="1707"/>
      <c r="H156" s="1707"/>
      <c r="I156" s="1708"/>
      <c r="J156" s="1553" t="s">
        <v>257</v>
      </c>
      <c r="K156" s="29"/>
      <c r="L156" s="4"/>
      <c r="M156" s="4"/>
      <c r="N156" s="4"/>
      <c r="O156" s="422"/>
    </row>
    <row r="157" spans="1:15" ht="15" customHeight="1" x14ac:dyDescent="0.25">
      <c r="A157" s="418"/>
      <c r="B157" s="101"/>
      <c r="C157" s="126" t="s">
        <v>164</v>
      </c>
      <c r="D157" s="127"/>
      <c r="E157" s="127"/>
      <c r="F157" s="127"/>
      <c r="G157" s="127"/>
      <c r="H157" s="127"/>
      <c r="I157" s="128"/>
      <c r="J157" s="129" t="str">
        <f>IF(AND(ISNUMBER(J158),ISNUMBER(J161),ISNUMBER(J187)),J158+J161+J187,"")</f>
        <v/>
      </c>
      <c r="K157" s="4"/>
      <c r="L157" s="4"/>
      <c r="M157" s="4"/>
      <c r="N157" s="4"/>
      <c r="O157" s="422"/>
    </row>
    <row r="158" spans="1:15" ht="15" customHeight="1" x14ac:dyDescent="0.25">
      <c r="A158" s="821"/>
      <c r="B158" s="46"/>
      <c r="C158" s="130" t="s">
        <v>174</v>
      </c>
      <c r="D158" s="131"/>
      <c r="E158" s="131"/>
      <c r="F158" s="131"/>
      <c r="G158" s="131"/>
      <c r="H158" s="131"/>
      <c r="I158" s="132"/>
      <c r="J158" s="19" t="str">
        <f>IF(AND(ISNUMBER(J159),ISNUMBER(J160)),SUM(J159:J160),"")</f>
        <v/>
      </c>
      <c r="K158" s="1368"/>
      <c r="L158" s="1368"/>
      <c r="M158" s="1368"/>
      <c r="N158" s="1368"/>
      <c r="O158" s="727"/>
    </row>
    <row r="159" spans="1:15" ht="15" customHeight="1" x14ac:dyDescent="0.25">
      <c r="A159" s="821"/>
      <c r="B159" s="46"/>
      <c r="C159" s="133" t="s">
        <v>397</v>
      </c>
      <c r="D159" s="131"/>
      <c r="E159" s="131"/>
      <c r="F159" s="131"/>
      <c r="G159" s="131"/>
      <c r="H159" s="131"/>
      <c r="I159" s="132"/>
      <c r="J159" s="1175"/>
      <c r="K159" s="1368"/>
      <c r="L159" s="1368"/>
      <c r="M159" s="1368"/>
      <c r="N159" s="1368"/>
      <c r="O159" s="727"/>
    </row>
    <row r="160" spans="1:15" ht="15" customHeight="1" x14ac:dyDescent="0.25">
      <c r="A160" s="821"/>
      <c r="B160" s="46"/>
      <c r="C160" s="133" t="s">
        <v>262</v>
      </c>
      <c r="D160" s="131"/>
      <c r="E160" s="131"/>
      <c r="F160" s="131"/>
      <c r="G160" s="131"/>
      <c r="H160" s="131"/>
      <c r="I160" s="132"/>
      <c r="J160" s="1175"/>
      <c r="K160" s="1368"/>
      <c r="L160" s="1368"/>
      <c r="M160" s="1368"/>
      <c r="N160" s="1368"/>
      <c r="O160" s="727"/>
    </row>
    <row r="161" spans="1:15" ht="15" customHeight="1" x14ac:dyDescent="0.25">
      <c r="A161" s="821"/>
      <c r="B161" s="46"/>
      <c r="C161" s="130" t="s">
        <v>175</v>
      </c>
      <c r="D161" s="131"/>
      <c r="E161" s="131"/>
      <c r="F161" s="131"/>
      <c r="G161" s="131"/>
      <c r="H161" s="131"/>
      <c r="I161" s="132"/>
      <c r="J161" s="19" t="str">
        <f>IF(AND(ISNUMBER(J162),ISNUMBER(J163),ISNUMBER(J164)),SUM(J162:J164),"")</f>
        <v/>
      </c>
      <c r="K161" s="1368"/>
      <c r="L161" s="1368"/>
      <c r="M161" s="1368"/>
      <c r="N161" s="1368"/>
      <c r="O161" s="727"/>
    </row>
    <row r="162" spans="1:15" ht="15" customHeight="1" x14ac:dyDescent="0.25">
      <c r="A162" s="821"/>
      <c r="B162" s="46"/>
      <c r="C162" s="133" t="s">
        <v>397</v>
      </c>
      <c r="D162" s="131"/>
      <c r="E162" s="131"/>
      <c r="F162" s="131"/>
      <c r="G162" s="131"/>
      <c r="H162" s="131"/>
      <c r="I162" s="132"/>
      <c r="J162" s="1175"/>
      <c r="K162" s="1368"/>
      <c r="L162" s="1368"/>
      <c r="M162" s="1368"/>
      <c r="N162" s="1368"/>
      <c r="O162" s="727"/>
    </row>
    <row r="163" spans="1:15" ht="15" customHeight="1" x14ac:dyDescent="0.25">
      <c r="A163" s="821"/>
      <c r="B163" s="46"/>
      <c r="C163" s="133" t="s">
        <v>263</v>
      </c>
      <c r="D163" s="131"/>
      <c r="E163" s="131"/>
      <c r="F163" s="131"/>
      <c r="G163" s="131"/>
      <c r="H163" s="131"/>
      <c r="I163" s="132"/>
      <c r="J163" s="1175"/>
      <c r="K163" s="1368"/>
      <c r="L163" s="1368"/>
      <c r="M163" s="1368"/>
      <c r="N163" s="1368"/>
      <c r="O163" s="727"/>
    </row>
    <row r="164" spans="1:15" ht="15" customHeight="1" x14ac:dyDescent="0.25">
      <c r="A164" s="821"/>
      <c r="B164" s="46"/>
      <c r="C164" s="133" t="s">
        <v>264</v>
      </c>
      <c r="D164" s="131"/>
      <c r="E164" s="131"/>
      <c r="F164" s="131"/>
      <c r="G164" s="131"/>
      <c r="H164" s="131"/>
      <c r="I164" s="132"/>
      <c r="J164" s="19" t="str">
        <f>IF(AND(ISNUMBER(J165),ISNUMBER(J172),ISNUMBER(J173),ISNUMBER(J178),ISNUMBER(J184)),SUM(J165,J172,J173,J178,J184),"")</f>
        <v/>
      </c>
      <c r="K164" s="1368"/>
      <c r="L164" s="1368"/>
      <c r="M164" s="1368"/>
      <c r="N164" s="1368"/>
      <c r="O164" s="727"/>
    </row>
    <row r="165" spans="1:15" ht="15" customHeight="1" x14ac:dyDescent="0.25">
      <c r="A165" s="821"/>
      <c r="B165" s="46"/>
      <c r="C165" s="134" t="s">
        <v>265</v>
      </c>
      <c r="D165" s="131"/>
      <c r="E165" s="131"/>
      <c r="F165" s="131"/>
      <c r="G165" s="131"/>
      <c r="H165" s="131"/>
      <c r="I165" s="132"/>
      <c r="J165" s="19" t="str">
        <f>IF(AND(ISNUMBER(J166),ISNUMBER(J170),ISNUMBER(J171)),SUM(J166,J170:J171),"")</f>
        <v/>
      </c>
      <c r="K165" s="1368"/>
      <c r="L165" s="1368"/>
      <c r="M165" s="1368"/>
      <c r="N165" s="1368"/>
      <c r="O165" s="727"/>
    </row>
    <row r="166" spans="1:15" ht="15" customHeight="1" x14ac:dyDescent="0.25">
      <c r="A166" s="821"/>
      <c r="B166" s="46"/>
      <c r="C166" s="135" t="s">
        <v>72</v>
      </c>
      <c r="D166" s="131"/>
      <c r="E166" s="131"/>
      <c r="F166" s="131"/>
      <c r="G166" s="131"/>
      <c r="H166" s="131"/>
      <c r="I166" s="132"/>
      <c r="J166" s="1175"/>
      <c r="K166" s="1368"/>
      <c r="L166" s="1368"/>
      <c r="M166" s="1368"/>
      <c r="N166" s="1368"/>
      <c r="O166" s="727"/>
    </row>
    <row r="167" spans="1:15" ht="15" customHeight="1" x14ac:dyDescent="0.25">
      <c r="A167" s="821"/>
      <c r="B167" s="46"/>
      <c r="C167" s="1558" t="s">
        <v>249</v>
      </c>
      <c r="D167" s="131"/>
      <c r="E167" s="131"/>
      <c r="F167" s="131"/>
      <c r="G167" s="131"/>
      <c r="H167" s="131"/>
      <c r="I167" s="132"/>
      <c r="J167" s="1175"/>
      <c r="K167" s="1368"/>
      <c r="L167" s="1368"/>
      <c r="M167" s="1368"/>
      <c r="N167" s="1368"/>
      <c r="O167" s="727"/>
    </row>
    <row r="168" spans="1:15" ht="15" customHeight="1" x14ac:dyDescent="0.25">
      <c r="A168" s="821"/>
      <c r="B168" s="46"/>
      <c r="C168" s="1690" t="s">
        <v>910</v>
      </c>
      <c r="D168" s="1691"/>
      <c r="E168" s="1691"/>
      <c r="F168" s="1691"/>
      <c r="G168" s="1691"/>
      <c r="H168" s="1691"/>
      <c r="I168" s="1692"/>
      <c r="J168" s="1175"/>
      <c r="K168" s="1368"/>
      <c r="L168" s="1368"/>
      <c r="M168" s="1368"/>
      <c r="N168" s="1368"/>
      <c r="O168" s="727"/>
    </row>
    <row r="169" spans="1:15" ht="15" customHeight="1" x14ac:dyDescent="0.25">
      <c r="A169" s="821"/>
      <c r="B169" s="46"/>
      <c r="C169" s="136" t="str">
        <f>CONCATENATE("Check: PSEs in rows ", ROW(C167), " and ", ROW(C168), " should be less than or equal to overall PSEs in row ", ROW(C166))</f>
        <v>Check: PSEs in rows 167 and 168 should be less than or equal to overall PSEs in row 166</v>
      </c>
      <c r="D169" s="131"/>
      <c r="E169" s="131"/>
      <c r="F169" s="131"/>
      <c r="G169" s="131"/>
      <c r="H169" s="131"/>
      <c r="I169" s="132"/>
      <c r="J169" s="49" t="str">
        <f>IF(J167+J168&lt;=J166,"Yes","No")</f>
        <v>Yes</v>
      </c>
      <c r="K169" s="1368"/>
      <c r="L169" s="1368"/>
      <c r="M169" s="1368"/>
      <c r="N169" s="1368"/>
      <c r="O169" s="727"/>
    </row>
    <row r="170" spans="1:15" ht="15" customHeight="1" x14ac:dyDescent="0.25">
      <c r="A170" s="821"/>
      <c r="B170" s="46"/>
      <c r="C170" s="137" t="s">
        <v>266</v>
      </c>
      <c r="D170" s="131"/>
      <c r="E170" s="131"/>
      <c r="F170" s="131"/>
      <c r="G170" s="131"/>
      <c r="H170" s="131"/>
      <c r="I170" s="132"/>
      <c r="J170" s="1175"/>
      <c r="K170" s="1368"/>
      <c r="L170" s="1368"/>
      <c r="M170" s="1368"/>
      <c r="N170" s="1368"/>
      <c r="O170" s="727"/>
    </row>
    <row r="171" spans="1:15" ht="15" customHeight="1" x14ac:dyDescent="0.25">
      <c r="A171" s="821"/>
      <c r="B171" s="46"/>
      <c r="C171" s="137" t="s">
        <v>398</v>
      </c>
      <c r="D171" s="131"/>
      <c r="E171" s="131"/>
      <c r="F171" s="131"/>
      <c r="G171" s="131"/>
      <c r="H171" s="131"/>
      <c r="I171" s="132"/>
      <c r="J171" s="1175"/>
      <c r="K171" s="1368"/>
      <c r="L171" s="1368"/>
      <c r="M171" s="1368"/>
      <c r="N171" s="1368"/>
      <c r="O171" s="727"/>
    </row>
    <row r="172" spans="1:15" ht="15" customHeight="1" x14ac:dyDescent="0.25">
      <c r="A172" s="821"/>
      <c r="B172" s="46"/>
      <c r="C172" s="134" t="s">
        <v>269</v>
      </c>
      <c r="D172" s="131"/>
      <c r="E172" s="131"/>
      <c r="F172" s="131"/>
      <c r="G172" s="131"/>
      <c r="H172" s="131"/>
      <c r="I172" s="132"/>
      <c r="J172" s="1175"/>
      <c r="K172" s="1368"/>
      <c r="L172" s="1368"/>
      <c r="M172" s="1368"/>
      <c r="N172" s="1368"/>
      <c r="O172" s="727"/>
    </row>
    <row r="173" spans="1:15" ht="15" customHeight="1" x14ac:dyDescent="0.25">
      <c r="A173" s="821"/>
      <c r="B173" s="46"/>
      <c r="C173" s="1281" t="s">
        <v>1610</v>
      </c>
      <c r="D173" s="131"/>
      <c r="E173" s="131"/>
      <c r="F173" s="131"/>
      <c r="G173" s="131"/>
      <c r="H173" s="131"/>
      <c r="I173" s="132"/>
      <c r="J173" s="19" t="str">
        <f>IF(AND(ISNUMBER(J174),ISNUMBER(J175),ISNUMBER(J176),ISNUMBER(J177)),SUM(J174:J177),"")</f>
        <v/>
      </c>
      <c r="K173" s="1368"/>
      <c r="L173" s="1368"/>
      <c r="M173" s="1368"/>
      <c r="N173" s="1368"/>
      <c r="O173" s="727"/>
    </row>
    <row r="174" spans="1:15" ht="15" customHeight="1" x14ac:dyDescent="0.25">
      <c r="A174" s="821"/>
      <c r="B174" s="46"/>
      <c r="C174" s="135" t="s">
        <v>171</v>
      </c>
      <c r="D174" s="131"/>
      <c r="E174" s="131"/>
      <c r="F174" s="131"/>
      <c r="G174" s="131"/>
      <c r="H174" s="131"/>
      <c r="I174" s="132"/>
      <c r="J174" s="1175"/>
      <c r="K174" s="1368"/>
      <c r="L174" s="1368"/>
      <c r="M174" s="1368"/>
      <c r="N174" s="1368"/>
      <c r="O174" s="727"/>
    </row>
    <row r="175" spans="1:15" ht="15" customHeight="1" x14ac:dyDescent="0.25">
      <c r="A175" s="821"/>
      <c r="B175" s="46"/>
      <c r="C175" s="135" t="s">
        <v>170</v>
      </c>
      <c r="D175" s="131"/>
      <c r="E175" s="131"/>
      <c r="F175" s="131"/>
      <c r="G175" s="131"/>
      <c r="H175" s="131"/>
      <c r="I175" s="132"/>
      <c r="J175" s="1175"/>
      <c r="K175" s="1368"/>
      <c r="L175" s="1368"/>
      <c r="M175" s="1368"/>
      <c r="N175" s="1368"/>
      <c r="O175" s="727"/>
    </row>
    <row r="176" spans="1:15" ht="15" customHeight="1" x14ac:dyDescent="0.25">
      <c r="A176" s="821"/>
      <c r="B176" s="46"/>
      <c r="C176" s="135" t="s">
        <v>268</v>
      </c>
      <c r="D176" s="131"/>
      <c r="E176" s="131"/>
      <c r="F176" s="131"/>
      <c r="G176" s="131"/>
      <c r="H176" s="131"/>
      <c r="I176" s="132"/>
      <c r="J176" s="1175"/>
      <c r="K176" s="1368"/>
      <c r="L176" s="1368"/>
      <c r="M176" s="1368"/>
      <c r="N176" s="1368"/>
      <c r="O176" s="727"/>
    </row>
    <row r="177" spans="1:15" ht="15" customHeight="1" x14ac:dyDescent="0.25">
      <c r="A177" s="821"/>
      <c r="B177" s="46"/>
      <c r="C177" s="135" t="s">
        <v>165</v>
      </c>
      <c r="D177" s="131"/>
      <c r="E177" s="131"/>
      <c r="F177" s="131"/>
      <c r="G177" s="131"/>
      <c r="H177" s="131"/>
      <c r="I177" s="132"/>
      <c r="J177" s="1175"/>
      <c r="K177" s="1368"/>
      <c r="L177" s="1368"/>
      <c r="M177" s="1368"/>
      <c r="N177" s="1368"/>
      <c r="O177" s="727"/>
    </row>
    <row r="178" spans="1:15" ht="15" customHeight="1" x14ac:dyDescent="0.25">
      <c r="A178" s="821"/>
      <c r="B178" s="46"/>
      <c r="C178" s="1281" t="s">
        <v>1611</v>
      </c>
      <c r="D178" s="131"/>
      <c r="E178" s="131"/>
      <c r="F178" s="131"/>
      <c r="G178" s="131"/>
      <c r="H178" s="131"/>
      <c r="I178" s="132"/>
      <c r="J178" s="19" t="str">
        <f>IF(AND(ISNUMBER(J179),ISNUMBER(J180)),SUM(J179:J180),"")</f>
        <v/>
      </c>
      <c r="K178" s="1368"/>
      <c r="L178" s="1368"/>
      <c r="M178" s="1368"/>
      <c r="N178" s="1368"/>
      <c r="O178" s="727"/>
    </row>
    <row r="179" spans="1:15" ht="15" customHeight="1" x14ac:dyDescent="0.25">
      <c r="A179" s="821"/>
      <c r="B179" s="46"/>
      <c r="C179" s="135" t="s">
        <v>267</v>
      </c>
      <c r="D179" s="131"/>
      <c r="E179" s="131"/>
      <c r="F179" s="131"/>
      <c r="G179" s="131"/>
      <c r="H179" s="131"/>
      <c r="I179" s="132"/>
      <c r="J179" s="1175"/>
      <c r="K179" s="1368"/>
      <c r="L179" s="1368"/>
      <c r="M179" s="1368"/>
      <c r="N179" s="1368"/>
      <c r="O179" s="727"/>
    </row>
    <row r="180" spans="1:15" ht="15" customHeight="1" x14ac:dyDescent="0.25">
      <c r="A180" s="821"/>
      <c r="B180" s="46"/>
      <c r="C180" s="135" t="s">
        <v>73</v>
      </c>
      <c r="D180" s="131"/>
      <c r="E180" s="131"/>
      <c r="F180" s="131"/>
      <c r="G180" s="131"/>
      <c r="H180" s="131"/>
      <c r="I180" s="132"/>
      <c r="J180" s="19" t="str">
        <f>IF(AND(ISNUMBER(J181),ISNUMBER(J182),ISNUMBER(J183)),SUM(J181:J183),"")</f>
        <v/>
      </c>
      <c r="K180" s="1368"/>
      <c r="L180" s="1368"/>
      <c r="M180" s="1368"/>
      <c r="N180" s="1368"/>
      <c r="O180" s="727"/>
    </row>
    <row r="181" spans="1:15" ht="15" customHeight="1" x14ac:dyDescent="0.25">
      <c r="A181" s="821"/>
      <c r="B181" s="46"/>
      <c r="C181" s="1558" t="s">
        <v>170</v>
      </c>
      <c r="D181" s="131"/>
      <c r="E181" s="131"/>
      <c r="F181" s="131"/>
      <c r="G181" s="131"/>
      <c r="H181" s="131"/>
      <c r="I181" s="132"/>
      <c r="J181" s="1175"/>
      <c r="K181" s="1368"/>
      <c r="L181" s="1368"/>
      <c r="M181" s="1368"/>
      <c r="N181" s="1368"/>
      <c r="O181" s="727"/>
    </row>
    <row r="182" spans="1:15" ht="15" customHeight="1" x14ac:dyDescent="0.25">
      <c r="A182" s="821"/>
      <c r="B182" s="46"/>
      <c r="C182" s="1558" t="s">
        <v>172</v>
      </c>
      <c r="D182" s="131"/>
      <c r="E182" s="131"/>
      <c r="F182" s="131"/>
      <c r="G182" s="131"/>
      <c r="H182" s="131"/>
      <c r="I182" s="132"/>
      <c r="J182" s="1175"/>
      <c r="K182" s="1368"/>
      <c r="L182" s="1368"/>
      <c r="M182" s="1368"/>
      <c r="N182" s="1368"/>
      <c r="O182" s="727"/>
    </row>
    <row r="183" spans="1:15" ht="15" customHeight="1" x14ac:dyDescent="0.25">
      <c r="A183" s="821"/>
      <c r="B183" s="46"/>
      <c r="C183" s="1558" t="s">
        <v>173</v>
      </c>
      <c r="D183" s="131"/>
      <c r="E183" s="131"/>
      <c r="F183" s="131"/>
      <c r="G183" s="131"/>
      <c r="H183" s="131"/>
      <c r="I183" s="132"/>
      <c r="J183" s="1175"/>
      <c r="K183" s="1368"/>
      <c r="L183" s="1368"/>
      <c r="M183" s="1368"/>
      <c r="N183" s="1368"/>
      <c r="O183" s="727"/>
    </row>
    <row r="184" spans="1:15" ht="15" customHeight="1" x14ac:dyDescent="0.25">
      <c r="A184" s="821"/>
      <c r="B184" s="46"/>
      <c r="C184" s="138" t="s">
        <v>75</v>
      </c>
      <c r="D184" s="131"/>
      <c r="E184" s="131"/>
      <c r="F184" s="131"/>
      <c r="G184" s="131"/>
      <c r="H184" s="131"/>
      <c r="I184" s="132"/>
      <c r="J184" s="1175"/>
      <c r="K184" s="1368"/>
      <c r="L184" s="1368"/>
      <c r="M184" s="1368"/>
      <c r="N184" s="1368"/>
      <c r="O184" s="727"/>
    </row>
    <row r="185" spans="1:15" ht="15" customHeight="1" x14ac:dyDescent="0.25">
      <c r="A185" s="821"/>
      <c r="B185" s="46"/>
      <c r="C185" s="137" t="s">
        <v>76</v>
      </c>
      <c r="D185" s="131"/>
      <c r="E185" s="131"/>
      <c r="F185" s="131"/>
      <c r="G185" s="131"/>
      <c r="H185" s="131"/>
      <c r="I185" s="132"/>
      <c r="J185" s="1175"/>
      <c r="K185" s="1368"/>
      <c r="L185" s="1368"/>
      <c r="M185" s="1368"/>
      <c r="N185" s="1368"/>
      <c r="O185" s="727"/>
    </row>
    <row r="186" spans="1:15" ht="15" customHeight="1" x14ac:dyDescent="0.25">
      <c r="A186" s="821"/>
      <c r="B186" s="46"/>
      <c r="C186" s="139" t="s">
        <v>1612</v>
      </c>
      <c r="D186" s="131"/>
      <c r="E186" s="131"/>
      <c r="F186" s="131"/>
      <c r="G186" s="131"/>
      <c r="H186" s="131"/>
      <c r="I186" s="132"/>
      <c r="J186" s="49" t="str">
        <f>IF(J185&lt;=J184,"Yes","No")</f>
        <v>Yes</v>
      </c>
      <c r="K186" s="1368"/>
      <c r="L186" s="1368"/>
      <c r="M186" s="1368"/>
      <c r="N186" s="1368"/>
      <c r="O186" s="727"/>
    </row>
    <row r="187" spans="1:15" ht="15" customHeight="1" x14ac:dyDescent="0.25">
      <c r="A187" s="821"/>
      <c r="B187" s="46"/>
      <c r="C187" s="130" t="s">
        <v>742</v>
      </c>
      <c r="D187" s="131"/>
      <c r="E187" s="131"/>
      <c r="F187" s="131"/>
      <c r="G187" s="131"/>
      <c r="H187" s="131"/>
      <c r="I187" s="132"/>
      <c r="J187" s="1175"/>
      <c r="K187" s="1368"/>
      <c r="L187" s="1368"/>
      <c r="M187" s="1368"/>
      <c r="N187" s="1368"/>
      <c r="O187" s="727"/>
    </row>
    <row r="188" spans="1:15" ht="15" customHeight="1" x14ac:dyDescent="0.25">
      <c r="A188" s="821"/>
      <c r="B188" s="94"/>
      <c r="C188" s="140" t="str">
        <f>CONCATENATE("Check: total value in cell ", ADDRESS(ROW(J157), COLUMN(J157), 4), " should equal total exposures in panels A, B and E")</f>
        <v>Check: total value in cell J157 should equal total exposures in panels A, B and E</v>
      </c>
      <c r="D188" s="141"/>
      <c r="E188" s="141"/>
      <c r="F188" s="141"/>
      <c r="G188" s="141"/>
      <c r="H188" s="141"/>
      <c r="I188" s="142"/>
      <c r="J188" s="63" t="str">
        <f>IF(AND(ISNUMBER(J157),SUM(L8,L15,M15,K18,K38,(0.1*L45),(0.2*L48),(0.5*L49),L50,L90)&lt;&gt;J157),"No","Yes")</f>
        <v>Yes</v>
      </c>
      <c r="K188" s="1368"/>
      <c r="L188" s="1368"/>
      <c r="M188" s="1368"/>
      <c r="N188" s="1368"/>
      <c r="O188" s="727"/>
    </row>
    <row r="189" spans="1:15" ht="15" customHeight="1" x14ac:dyDescent="0.25">
      <c r="A189" s="821"/>
      <c r="B189" s="1368"/>
      <c r="C189" s="1368"/>
      <c r="D189" s="1368"/>
      <c r="E189" s="1368"/>
      <c r="F189" s="1368"/>
      <c r="G189" s="1368"/>
      <c r="H189" s="1368"/>
      <c r="I189" s="1368"/>
      <c r="J189" s="1368"/>
      <c r="K189" s="1368"/>
      <c r="L189" s="1368"/>
      <c r="M189" s="1368"/>
      <c r="N189" s="1368"/>
      <c r="O189" s="727"/>
    </row>
    <row r="190" spans="1:15" ht="15" customHeight="1" x14ac:dyDescent="0.25">
      <c r="A190" s="821"/>
      <c r="B190" s="72"/>
      <c r="C190" s="1282" t="s">
        <v>1613</v>
      </c>
      <c r="D190" s="1360"/>
      <c r="E190" s="1360"/>
      <c r="F190" s="1360"/>
      <c r="G190" s="1360"/>
      <c r="H190" s="1360"/>
      <c r="I190" s="143"/>
      <c r="J190" s="79"/>
      <c r="K190" s="1368"/>
      <c r="L190" s="1368"/>
      <c r="M190" s="1368"/>
      <c r="N190" s="1368"/>
      <c r="O190" s="727"/>
    </row>
    <row r="191" spans="1:15" ht="15" customHeight="1" x14ac:dyDescent="0.25">
      <c r="A191" s="748"/>
      <c r="B191" s="1400"/>
      <c r="C191" s="1400"/>
      <c r="D191" s="1400"/>
      <c r="E191" s="1400"/>
      <c r="F191" s="1400"/>
      <c r="G191" s="1400"/>
      <c r="H191" s="1400"/>
      <c r="I191" s="1400"/>
      <c r="J191" s="1400"/>
      <c r="K191" s="1400"/>
      <c r="L191" s="1400"/>
      <c r="M191" s="1400"/>
      <c r="N191" s="1400"/>
      <c r="O191" s="750"/>
    </row>
    <row r="192" spans="1:15" ht="30" customHeight="1" x14ac:dyDescent="0.3">
      <c r="A192" s="886" t="s">
        <v>1382</v>
      </c>
      <c r="B192" s="1364"/>
      <c r="C192" s="1366"/>
      <c r="D192" s="1366"/>
      <c r="E192" s="1366"/>
      <c r="F192" s="1366"/>
      <c r="G192" s="1366"/>
      <c r="H192" s="1366"/>
      <c r="I192" s="1366"/>
      <c r="J192" s="1366"/>
      <c r="K192" s="1366"/>
      <c r="L192" s="1366"/>
      <c r="M192" s="1366"/>
      <c r="N192" s="1366"/>
      <c r="O192" s="784"/>
    </row>
    <row r="193" spans="1:15" ht="15" customHeight="1" x14ac:dyDescent="0.25">
      <c r="A193" s="821"/>
      <c r="B193" s="1368"/>
      <c r="C193" s="1368"/>
      <c r="D193" s="1368"/>
      <c r="E193" s="1368"/>
      <c r="F193" s="1368"/>
      <c r="G193" s="1368"/>
      <c r="H193" s="1368"/>
      <c r="I193" s="1368"/>
      <c r="J193" s="1368"/>
      <c r="K193" s="1368"/>
      <c r="L193" s="1368"/>
      <c r="M193" s="1368"/>
      <c r="N193" s="1368"/>
      <c r="O193" s="727"/>
    </row>
    <row r="194" spans="1:15" ht="15" customHeight="1" x14ac:dyDescent="0.25">
      <c r="A194" s="418"/>
      <c r="B194" s="1271"/>
      <c r="C194" s="29"/>
      <c r="D194" s="29"/>
      <c r="E194" s="29"/>
      <c r="F194" s="29"/>
      <c r="G194" s="29"/>
      <c r="H194" s="29"/>
      <c r="I194" s="1271"/>
      <c r="J194" s="1688" t="s">
        <v>67</v>
      </c>
      <c r="K194" s="1689"/>
      <c r="L194" s="3"/>
      <c r="M194" s="3"/>
      <c r="N194" s="3"/>
      <c r="O194" s="422"/>
    </row>
    <row r="195" spans="1:15" ht="15" customHeight="1" x14ac:dyDescent="0.25">
      <c r="A195" s="418"/>
      <c r="B195" s="1644"/>
      <c r="C195" s="4"/>
      <c r="D195" s="4"/>
      <c r="E195" s="4"/>
      <c r="F195" s="4"/>
      <c r="G195" s="4"/>
      <c r="H195" s="4"/>
      <c r="I195" s="144"/>
      <c r="J195" s="1553" t="s">
        <v>257</v>
      </c>
      <c r="K195" s="29"/>
      <c r="L195" s="4"/>
      <c r="M195" s="4"/>
      <c r="N195" s="4"/>
      <c r="O195" s="422"/>
    </row>
    <row r="196" spans="1:15" ht="15" customHeight="1" x14ac:dyDescent="0.25">
      <c r="A196" s="821"/>
      <c r="B196" s="1643" t="s">
        <v>1592</v>
      </c>
      <c r="C196" s="145" t="s">
        <v>907</v>
      </c>
      <c r="D196" s="145"/>
      <c r="E196" s="145"/>
      <c r="F196" s="145"/>
      <c r="G196" s="145"/>
      <c r="H196" s="145"/>
      <c r="I196" s="145"/>
      <c r="J196" s="1177"/>
      <c r="K196" s="1368"/>
      <c r="L196" s="1368"/>
      <c r="M196" s="1368"/>
      <c r="N196" s="1368"/>
      <c r="O196" s="727"/>
    </row>
    <row r="197" spans="1:15" ht="15" customHeight="1" x14ac:dyDescent="0.25">
      <c r="A197" s="821"/>
      <c r="B197" s="94"/>
      <c r="C197" s="140" t="s">
        <v>908</v>
      </c>
      <c r="D197" s="141"/>
      <c r="E197" s="141"/>
      <c r="F197" s="141"/>
      <c r="G197" s="141"/>
      <c r="H197" s="141"/>
      <c r="I197" s="141"/>
      <c r="J197" s="63" t="str">
        <f>IF(L39&gt;=J196,"Yes","No")</f>
        <v>Yes</v>
      </c>
      <c r="K197" s="1368"/>
      <c r="L197" s="1368"/>
      <c r="M197" s="1368"/>
      <c r="N197" s="1368"/>
      <c r="O197" s="727"/>
    </row>
    <row r="198" spans="1:15" ht="15" customHeight="1" x14ac:dyDescent="0.25">
      <c r="A198" s="748"/>
      <c r="B198" s="1400"/>
      <c r="C198" s="1400"/>
      <c r="D198" s="1400"/>
      <c r="E198" s="1400"/>
      <c r="F198" s="1400"/>
      <c r="G198" s="1400"/>
      <c r="H198" s="1400"/>
      <c r="I198" s="1400"/>
      <c r="J198" s="1400"/>
      <c r="K198" s="1400"/>
      <c r="L198" s="1400"/>
      <c r="M198" s="1400"/>
      <c r="N198" s="1400"/>
      <c r="O198" s="750"/>
    </row>
    <row r="199" spans="1:15" ht="15" hidden="1" customHeight="1" x14ac:dyDescent="0.25"/>
  </sheetData>
  <dataConsolidate/>
  <mergeCells count="42">
    <mergeCell ref="D57:E57"/>
    <mergeCell ref="J57:K57"/>
    <mergeCell ref="J155:K155"/>
    <mergeCell ref="J6:N6"/>
    <mergeCell ref="D6:H6"/>
    <mergeCell ref="C53:E53"/>
    <mergeCell ref="D35:G35"/>
    <mergeCell ref="J35:M35"/>
    <mergeCell ref="C108:C109"/>
    <mergeCell ref="D108:E108"/>
    <mergeCell ref="J108:K108"/>
    <mergeCell ref="D123:E123"/>
    <mergeCell ref="J123:K123"/>
    <mergeCell ref="J72:K72"/>
    <mergeCell ref="D72:E72"/>
    <mergeCell ref="D98:E98"/>
    <mergeCell ref="B6:B7"/>
    <mergeCell ref="C6:C7"/>
    <mergeCell ref="C35:C36"/>
    <mergeCell ref="B35:B36"/>
    <mergeCell ref="B57:B58"/>
    <mergeCell ref="C57:C58"/>
    <mergeCell ref="B72:B73"/>
    <mergeCell ref="C72:C73"/>
    <mergeCell ref="D85:F85"/>
    <mergeCell ref="J85:L85"/>
    <mergeCell ref="B85:B86"/>
    <mergeCell ref="C85:C86"/>
    <mergeCell ref="J194:K194"/>
    <mergeCell ref="C168:I168"/>
    <mergeCell ref="B98:B99"/>
    <mergeCell ref="C98:C99"/>
    <mergeCell ref="B108:B109"/>
    <mergeCell ref="B123:B124"/>
    <mergeCell ref="C123:C124"/>
    <mergeCell ref="J98:K98"/>
    <mergeCell ref="B140:B141"/>
    <mergeCell ref="C140:C141"/>
    <mergeCell ref="D140:E140"/>
    <mergeCell ref="J140:K140"/>
    <mergeCell ref="B142:B151"/>
    <mergeCell ref="C155:I156"/>
  </mergeCells>
  <phoneticPr fontId="5" type="noConversion"/>
  <conditionalFormatting sqref="F9 D10:E12 F13:F14 D16:F16 D17:G17 D19:E19 E21:E26 E39 D40:F50 D60:E68 D74 D88 D89:F89 L9 J10:K12 L13:L14 J16:L16 J17:M17 J19:K19 K21:K26 K39 J40:L50 J60:K68 J74 J88 J89:L89 J159:J160 J162:J163 J166:J168 J170:J172 J174:J177 J179 J181:J185 J190">
    <cfRule type="cellIs" dxfId="132" priority="67" stopIfTrue="1" operator="lessThan">
      <formula>0</formula>
    </cfRule>
  </conditionalFormatting>
  <conditionalFormatting sqref="H10:H12 N10:N12 H16:H17 N16:N17 H19 N19 E31 K31 G40:G42 M40:M42 F53 L53 D75 D81 J75 J81 D92:D94 E94:F94 J92:J94 K94:L94 E101 K101 J169 J186 J188">
    <cfRule type="cellIs" dxfId="131" priority="88" stopIfTrue="1" operator="equal">
      <formula>"No"</formula>
    </cfRule>
    <cfRule type="cellIs" dxfId="130" priority="583" stopIfTrue="1" operator="equal">
      <formula>"Yes"</formula>
    </cfRule>
  </conditionalFormatting>
  <conditionalFormatting sqref="F29:G29 L29:M29 J187">
    <cfRule type="cellIs" dxfId="129" priority="83" stopIfTrue="1" operator="lessThan">
      <formula>0</formula>
    </cfRule>
  </conditionalFormatting>
  <conditionalFormatting sqref="J196">
    <cfRule type="cellIs" dxfId="128" priority="66" stopIfTrue="1" operator="lessThan">
      <formula>0</formula>
    </cfRule>
  </conditionalFormatting>
  <conditionalFormatting sqref="J197">
    <cfRule type="cellIs" dxfId="127" priority="64" stopIfTrue="1" operator="equal">
      <formula>"No"</formula>
    </cfRule>
    <cfRule type="cellIs" dxfId="126" priority="65" stopIfTrue="1" operator="equal">
      <formula>"Yes"</formula>
    </cfRule>
  </conditionalFormatting>
  <conditionalFormatting sqref="D117 D110:D114 E115:E116 E118">
    <cfRule type="cellIs" dxfId="125" priority="63" stopIfTrue="1" operator="lessThan">
      <formula>0</formula>
    </cfRule>
  </conditionalFormatting>
  <conditionalFormatting sqref="D119:E119">
    <cfRule type="cellIs" dxfId="124" priority="61" stopIfTrue="1" operator="equal">
      <formula>"No"</formula>
    </cfRule>
    <cfRule type="cellIs" dxfId="123" priority="62" stopIfTrue="1" operator="equal">
      <formula>"Yes"</formula>
    </cfRule>
  </conditionalFormatting>
  <conditionalFormatting sqref="J117 J110:J114 K115:K116 K118">
    <cfRule type="cellIs" dxfId="122" priority="60" stopIfTrue="1" operator="lessThan">
      <formula>0</formula>
    </cfRule>
  </conditionalFormatting>
  <conditionalFormatting sqref="D128:D130">
    <cfRule type="cellIs" dxfId="121" priority="52" stopIfTrue="1" operator="equal">
      <formula>"No"</formula>
    </cfRule>
    <cfRule type="cellIs" dxfId="120" priority="53" stopIfTrue="1" operator="equal">
      <formula>"Yes"</formula>
    </cfRule>
  </conditionalFormatting>
  <conditionalFormatting sqref="D134:D136">
    <cfRule type="cellIs" dxfId="119" priority="50" stopIfTrue="1" operator="equal">
      <formula>"No"</formula>
    </cfRule>
    <cfRule type="cellIs" dxfId="118" priority="51" stopIfTrue="1" operator="equal">
      <formula>"Yes"</formula>
    </cfRule>
  </conditionalFormatting>
  <conditionalFormatting sqref="J128:J130">
    <cfRule type="cellIs" dxfId="117" priority="44" stopIfTrue="1" operator="equal">
      <formula>"No"</formula>
    </cfRule>
    <cfRule type="cellIs" dxfId="116" priority="45" stopIfTrue="1" operator="equal">
      <formula>"Yes"</formula>
    </cfRule>
  </conditionalFormatting>
  <conditionalFormatting sqref="J134:J136">
    <cfRule type="cellIs" dxfId="115" priority="42" stopIfTrue="1" operator="equal">
      <formula>"No"</formula>
    </cfRule>
    <cfRule type="cellIs" dxfId="114" priority="43" stopIfTrue="1" operator="equal">
      <formula>"Yes"</formula>
    </cfRule>
  </conditionalFormatting>
  <conditionalFormatting sqref="D145:D147">
    <cfRule type="cellIs" dxfId="113" priority="36" stopIfTrue="1" operator="equal">
      <formula>"No"</formula>
    </cfRule>
    <cfRule type="cellIs" dxfId="112" priority="37" stopIfTrue="1" operator="equal">
      <formula>"Yes"</formula>
    </cfRule>
  </conditionalFormatting>
  <conditionalFormatting sqref="D151">
    <cfRule type="cellIs" dxfId="111" priority="34" stopIfTrue="1" operator="equal">
      <formula>"No"</formula>
    </cfRule>
    <cfRule type="cellIs" dxfId="110" priority="35" stopIfTrue="1" operator="equal">
      <formula>"Yes"</formula>
    </cfRule>
  </conditionalFormatting>
  <conditionalFormatting sqref="J151">
    <cfRule type="cellIs" dxfId="109" priority="7" stopIfTrue="1" operator="equal">
      <formula>"No"</formula>
    </cfRule>
    <cfRule type="cellIs" dxfId="108" priority="8" stopIfTrue="1" operator="equal">
      <formula>"Yes"</formula>
    </cfRule>
  </conditionalFormatting>
  <conditionalFormatting sqref="D142:D147 D149:D150 J142:J147 J149:J150 D126:D127 D132:D133 J126:J127 J132:J133">
    <cfRule type="cellIs" dxfId="107" priority="6" stopIfTrue="1" operator="lessThan">
      <formula>0</formula>
    </cfRule>
  </conditionalFormatting>
  <conditionalFormatting sqref="J145:J147">
    <cfRule type="cellIs" dxfId="106" priority="3" stopIfTrue="1" operator="equal">
      <formula>"No"</formula>
    </cfRule>
    <cfRule type="cellIs" dxfId="105" priority="4" stopIfTrue="1" operator="equal">
      <formula>"Yes"</formula>
    </cfRule>
  </conditionalFormatting>
  <conditionalFormatting sqref="J119:K119">
    <cfRule type="cellIs" dxfId="104" priority="1" stopIfTrue="1" operator="equal">
      <formula>"No"</formula>
    </cfRule>
    <cfRule type="cellIs" dxfId="103" priority="2" stopIfTrue="1" operator="equal">
      <formula>"Yes"</formula>
    </cfRule>
  </conditionalFormatting>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5" manualBreakCount="5">
    <brk id="32" max="14" man="1"/>
    <brk id="69" max="14" man="1"/>
    <brk id="105" max="14" man="1"/>
    <brk id="137" max="14" man="1"/>
    <brk id="152" max="14" man="1"/>
  </rowBreaks>
  <ignoredErrors>
    <ignoredError sqref="B8:N9 J157:J181 B27:N28 B23:D26 F22:N26 B76:N76 B74:J74 K74:N74 B20:G20 I20:N21 B19:C19 B18:G18 I18:N18 B11:N16 B10:C10 F10:N10 J183 J186 B32:N34 B31 D31:N31 B54:N71 B53 D53:N53 B75 D75:N75 B82:N84 B81 D81:N81 B95:N97 B92 D92:N92 B93 D93:N93 B94 D94:N94 B36:N52 C35:N35 B86:N86 C85:N85 B99:N99 C98:N98 B88:N91 C87:N87 J188 B30:N30 B29:E29 H29:N29 E19:N19 B21:D21 F21:G21 H17:N17 B103:N103 C102 B78:N80 B77 D77:N77 B22 D22 B101:N101 B100:C100 E100:I100 K100:N100 E102:I102 K102:N102 C72:N7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EC72"/>
  </sheetPr>
  <dimension ref="A1:S444"/>
  <sheetViews>
    <sheetView zoomScale="75" zoomScaleNormal="75" zoomScaleSheetLayoutView="75" workbookViewId="0">
      <pane ySplit="1" topLeftCell="A2" activePane="bottomLeft" state="frozen"/>
      <selection pane="bottomLeft"/>
    </sheetView>
  </sheetViews>
  <sheetFormatPr defaultColWidth="0" defaultRowHeight="14.25" zeroHeight="1" x14ac:dyDescent="0.25"/>
  <cols>
    <col min="1" max="1" width="1.7109375" style="929" customWidth="1"/>
    <col min="2" max="2" width="100.7109375" style="928" customWidth="1"/>
    <col min="3" max="3" width="20.7109375" style="928" customWidth="1"/>
    <col min="4" max="10" width="16.7109375" style="928" customWidth="1"/>
    <col min="11" max="11" width="1.7109375" style="929" customWidth="1"/>
    <col min="12" max="19" width="0" style="928" hidden="1" customWidth="1"/>
    <col min="20" max="16384" width="16.7109375" style="928" hidden="1"/>
  </cols>
  <sheetData>
    <row r="1" spans="1:11" s="929" customFormat="1" ht="30" customHeight="1" x14ac:dyDescent="0.55000000000000004">
      <c r="A1" s="1015" t="s">
        <v>353</v>
      </c>
      <c r="B1" s="1016"/>
      <c r="C1" s="1511" t="str">
        <f>CONCATENATE("Reporting unit: ", 'General Info'!$C$50, " ", 'General Info'!$C$49)</f>
        <v xml:space="preserve">Reporting unit: 1 </v>
      </c>
      <c r="D1" s="1016"/>
      <c r="E1" s="1016"/>
      <c r="F1" s="1016"/>
      <c r="G1" s="1016"/>
      <c r="H1" s="1016"/>
      <c r="I1" s="768"/>
      <c r="J1" s="768"/>
      <c r="K1" s="1017"/>
    </row>
    <row r="2" spans="1:11" s="929" customFormat="1" ht="30" customHeight="1" x14ac:dyDescent="0.3">
      <c r="A2" s="767" t="s">
        <v>586</v>
      </c>
      <c r="B2" s="768"/>
      <c r="C2" s="768"/>
      <c r="D2" s="768"/>
      <c r="E2" s="768"/>
      <c r="F2" s="768"/>
      <c r="G2" s="768"/>
      <c r="H2" s="768"/>
      <c r="I2" s="768"/>
      <c r="J2" s="768"/>
      <c r="K2" s="1017"/>
    </row>
    <row r="3" spans="1:11" s="929" customFormat="1" ht="30" customHeight="1" x14ac:dyDescent="0.3">
      <c r="A3" s="728" t="s">
        <v>51</v>
      </c>
      <c r="B3" s="976"/>
      <c r="C3" s="1018"/>
      <c r="D3" s="1018"/>
      <c r="E3" s="1019"/>
      <c r="F3" s="732"/>
      <c r="G3" s="732"/>
      <c r="H3" s="732"/>
      <c r="I3" s="732"/>
      <c r="J3" s="732"/>
      <c r="K3" s="979"/>
    </row>
    <row r="4" spans="1:11" s="929" customFormat="1" ht="15" customHeight="1" x14ac:dyDescent="0.25">
      <c r="A4" s="1020"/>
      <c r="B4" s="1021"/>
      <c r="C4" s="1022"/>
      <c r="D4" s="1023"/>
      <c r="E4" s="1024"/>
      <c r="F4" s="1024"/>
      <c r="G4" s="1024"/>
      <c r="H4" s="1024"/>
      <c r="I4" s="732"/>
      <c r="J4" s="732"/>
      <c r="K4" s="979"/>
    </row>
    <row r="5" spans="1:11" s="929" customFormat="1" ht="30" customHeight="1" x14ac:dyDescent="0.25">
      <c r="A5" s="1025"/>
      <c r="B5" s="984"/>
      <c r="C5" s="1562" t="s">
        <v>587</v>
      </c>
      <c r="D5" s="1562" t="s">
        <v>182</v>
      </c>
      <c r="E5" s="1026"/>
      <c r="F5" s="1026"/>
      <c r="G5" s="1562" t="s">
        <v>354</v>
      </c>
      <c r="H5" s="1027" t="s">
        <v>355</v>
      </c>
      <c r="I5" s="732"/>
      <c r="J5" s="732"/>
      <c r="K5" s="979"/>
    </row>
    <row r="6" spans="1:11" ht="15" customHeight="1" x14ac:dyDescent="0.25">
      <c r="A6" s="1046"/>
      <c r="B6" s="1028" t="s">
        <v>420</v>
      </c>
      <c r="C6" s="1035" t="s">
        <v>449</v>
      </c>
      <c r="D6" s="159"/>
      <c r="E6" s="160"/>
      <c r="F6" s="160"/>
      <c r="G6" s="1042">
        <v>1</v>
      </c>
      <c r="H6" s="188" t="str">
        <f>IF(AND(ISNUMBER(D6),ISNUMBER(G6)),D6*G6,"")</f>
        <v/>
      </c>
      <c r="I6" s="732"/>
      <c r="J6" s="732"/>
      <c r="K6" s="979"/>
    </row>
    <row r="7" spans="1:11" ht="15" customHeight="1" x14ac:dyDescent="0.25">
      <c r="A7" s="1046"/>
      <c r="B7" s="1029" t="s">
        <v>421</v>
      </c>
      <c r="C7" s="1036" t="s">
        <v>1799</v>
      </c>
      <c r="D7" s="161"/>
      <c r="E7" s="1436"/>
      <c r="F7" s="1436"/>
      <c r="G7" s="1436"/>
      <c r="H7" s="1437"/>
      <c r="I7" s="732"/>
      <c r="J7" s="732"/>
      <c r="K7" s="979"/>
    </row>
    <row r="8" spans="1:11" ht="15" customHeight="1" x14ac:dyDescent="0.25">
      <c r="A8" s="1046"/>
      <c r="B8" s="1030" t="s">
        <v>356</v>
      </c>
      <c r="C8" s="1036" t="s">
        <v>588</v>
      </c>
      <c r="D8" s="161"/>
      <c r="E8" s="1436"/>
      <c r="F8" s="1436"/>
      <c r="G8" s="182">
        <v>1</v>
      </c>
      <c r="H8" s="183" t="str">
        <f>IF(AND(ISNUMBER(D8),ISNUMBER(G8)),D8*G8,"")</f>
        <v/>
      </c>
      <c r="I8" s="732"/>
      <c r="J8" s="732"/>
      <c r="K8" s="979"/>
    </row>
    <row r="9" spans="1:11" ht="15" customHeight="1" x14ac:dyDescent="0.25">
      <c r="A9" s="1046"/>
      <c r="B9" s="1031" t="str">
        <f>CONCATENATE("Check: row ", ROW(B8)," ≤ row ",ROW(B7))</f>
        <v>Check: row 8 ≤ row 7</v>
      </c>
      <c r="C9" s="1436"/>
      <c r="D9" s="1040" t="str">
        <f>IF(D8&lt;=D7,"Pass","Fail")</f>
        <v>Pass</v>
      </c>
      <c r="E9" s="1436"/>
      <c r="F9" s="1436"/>
      <c r="G9" s="1436"/>
      <c r="H9" s="1437"/>
      <c r="I9" s="732"/>
      <c r="J9" s="732"/>
      <c r="K9" s="979"/>
    </row>
    <row r="10" spans="1:11" ht="15" customHeight="1" x14ac:dyDescent="0.25">
      <c r="A10" s="1046"/>
      <c r="B10" s="1029" t="s">
        <v>270</v>
      </c>
      <c r="C10" s="1036" t="s">
        <v>450</v>
      </c>
      <c r="D10" s="165"/>
      <c r="E10" s="1436"/>
      <c r="F10" s="1436"/>
      <c r="G10" s="1436"/>
      <c r="H10" s="1437"/>
      <c r="I10" s="732"/>
      <c r="J10" s="732"/>
      <c r="K10" s="979"/>
    </row>
    <row r="11" spans="1:11" ht="15" customHeight="1" x14ac:dyDescent="0.25">
      <c r="A11" s="1046"/>
      <c r="B11" s="1030" t="s">
        <v>329</v>
      </c>
      <c r="C11" s="1036" t="s">
        <v>450</v>
      </c>
      <c r="D11" s="161"/>
      <c r="E11" s="1436"/>
      <c r="F11" s="1436"/>
      <c r="G11" s="182">
        <f>Parameters!F15</f>
        <v>1</v>
      </c>
      <c r="H11" s="183" t="str">
        <f>IF(AND(ISNUMBER(D11),ISNUMBER(G11)),D11*G11,"")</f>
        <v/>
      </c>
      <c r="I11" s="732"/>
      <c r="J11" s="732"/>
      <c r="K11" s="979"/>
    </row>
    <row r="12" spans="1:11" ht="15" customHeight="1" x14ac:dyDescent="0.25">
      <c r="A12" s="1046"/>
      <c r="B12" s="1030" t="s">
        <v>330</v>
      </c>
      <c r="C12" s="1036" t="s">
        <v>450</v>
      </c>
      <c r="D12" s="161"/>
      <c r="E12" s="1436"/>
      <c r="F12" s="1436"/>
      <c r="G12" s="182">
        <f>Parameters!F16</f>
        <v>1</v>
      </c>
      <c r="H12" s="183" t="str">
        <f>IF(AND(ISNUMBER(D12),ISNUMBER(G12)),D12*G12,"")</f>
        <v/>
      </c>
      <c r="I12" s="732"/>
      <c r="J12" s="732"/>
      <c r="K12" s="979"/>
    </row>
    <row r="13" spans="1:11" ht="15" customHeight="1" x14ac:dyDescent="0.25">
      <c r="A13" s="1046"/>
      <c r="B13" s="1030" t="s">
        <v>331</v>
      </c>
      <c r="C13" s="1036" t="s">
        <v>450</v>
      </c>
      <c r="D13" s="161"/>
      <c r="E13" s="1436"/>
      <c r="F13" s="1436"/>
      <c r="G13" s="182">
        <f>Parameters!F17</f>
        <v>1</v>
      </c>
      <c r="H13" s="183" t="str">
        <f>IF(AND(ISNUMBER(D13),ISNUMBER(G13)),D13*G13,"")</f>
        <v/>
      </c>
      <c r="I13" s="732"/>
      <c r="J13" s="732"/>
      <c r="K13" s="979"/>
    </row>
    <row r="14" spans="1:11" ht="15" customHeight="1" x14ac:dyDescent="0.25">
      <c r="A14" s="1046"/>
      <c r="B14" s="1030" t="s">
        <v>589</v>
      </c>
      <c r="C14" s="1036" t="s">
        <v>450</v>
      </c>
      <c r="D14" s="161"/>
      <c r="E14" s="1436"/>
      <c r="F14" s="1436"/>
      <c r="G14" s="182">
        <f>Parameters!F18</f>
        <v>1</v>
      </c>
      <c r="H14" s="183" t="str">
        <f>IF(AND(ISNUMBER(D14),ISNUMBER(G14)),D14*G14,"")</f>
        <v/>
      </c>
      <c r="I14" s="732"/>
      <c r="J14" s="732"/>
      <c r="K14" s="979"/>
    </row>
    <row r="15" spans="1:11" ht="15" customHeight="1" x14ac:dyDescent="0.25">
      <c r="A15" s="1046"/>
      <c r="B15" s="1030" t="s">
        <v>422</v>
      </c>
      <c r="C15" s="1036" t="s">
        <v>450</v>
      </c>
      <c r="D15" s="161"/>
      <c r="E15" s="1436"/>
      <c r="F15" s="1436"/>
      <c r="G15" s="182">
        <f>Parameters!F19</f>
        <v>1</v>
      </c>
      <c r="H15" s="183" t="str">
        <f>IF(AND(ISNUMBER(D15),ISNUMBER(G15)),D15*G15,"")</f>
        <v/>
      </c>
      <c r="I15" s="732"/>
      <c r="J15" s="732"/>
      <c r="K15" s="979"/>
    </row>
    <row r="16" spans="1:11" ht="15" customHeight="1" x14ac:dyDescent="0.25">
      <c r="A16" s="1046"/>
      <c r="B16" s="338" t="s">
        <v>357</v>
      </c>
      <c r="C16" s="1436"/>
      <c r="D16" s="1436"/>
      <c r="E16" s="1436"/>
      <c r="F16" s="1436"/>
      <c r="G16" s="1436"/>
      <c r="H16" s="1437"/>
      <c r="I16" s="732"/>
      <c r="J16" s="732"/>
      <c r="K16" s="979"/>
    </row>
    <row r="17" spans="1:11" ht="30" customHeight="1" x14ac:dyDescent="0.25">
      <c r="A17" s="1046"/>
      <c r="B17" s="1030" t="s">
        <v>358</v>
      </c>
      <c r="C17" s="1036" t="s">
        <v>451</v>
      </c>
      <c r="D17" s="161"/>
      <c r="E17" s="1436"/>
      <c r="F17" s="1436"/>
      <c r="G17" s="182">
        <f>Parameters!F21</f>
        <v>1</v>
      </c>
      <c r="H17" s="183" t="str">
        <f>IF(AND(ISNUMBER(D17),ISNUMBER(G17)),D17*G17,"")</f>
        <v/>
      </c>
      <c r="I17" s="732"/>
      <c r="J17" s="732"/>
      <c r="K17" s="979"/>
    </row>
    <row r="18" spans="1:11" ht="45" customHeight="1" x14ac:dyDescent="0.25">
      <c r="A18" s="1046"/>
      <c r="B18" s="1032" t="s">
        <v>423</v>
      </c>
      <c r="C18" s="1037" t="s">
        <v>452</v>
      </c>
      <c r="D18" s="167"/>
      <c r="E18" s="168"/>
      <c r="F18" s="168"/>
      <c r="G18" s="1043">
        <f>Parameters!F22</f>
        <v>1</v>
      </c>
      <c r="H18" s="1044" t="str">
        <f>IF(AND(ISNUMBER(D18),ISNUMBER(G18)),D18*G18,"")</f>
        <v/>
      </c>
      <c r="I18" s="732"/>
      <c r="J18" s="732"/>
      <c r="K18" s="979"/>
    </row>
    <row r="19" spans="1:11" ht="15" customHeight="1" x14ac:dyDescent="0.25">
      <c r="A19" s="1046"/>
      <c r="B19" s="1033" t="s">
        <v>359</v>
      </c>
      <c r="C19" s="1038">
        <v>49</v>
      </c>
      <c r="D19" s="160"/>
      <c r="E19" s="160"/>
      <c r="F19" s="160"/>
      <c r="G19" s="160"/>
      <c r="H19" s="1045" t="str">
        <f>IF(AND(ISNUMBER(H6),ISNUMBER(H8),ISNUMBER(H11),ISNUMBER(H12),ISNUMBER(H13),ISNUMBER(H14),ISNUMBER(H15),ISNUMBER(H17),ISNUMBER(H18)),SUM(H6,H8,H11:H15,H17:H18),"")</f>
        <v/>
      </c>
      <c r="I19" s="732"/>
      <c r="J19" s="732"/>
      <c r="K19" s="979"/>
    </row>
    <row r="20" spans="1:11" ht="15" customHeight="1" x14ac:dyDescent="0.25">
      <c r="A20" s="1046"/>
      <c r="B20" s="1029" t="s">
        <v>361</v>
      </c>
      <c r="C20" s="1036" t="s">
        <v>435</v>
      </c>
      <c r="D20" s="1041" t="str">
        <f>IF(AND(ISNUMBER(D180),ISNUMBER(D183),ISNUMBER(D193),ISNUMBER(D196),ISNUMBER(E180),ISNUMBER(E193),ISNUMBER(D277),ISNUMBER(D280),ISNUMBER(E277),ISNUMBER(D434),ISNUMBER(E434)),-SUM(D180,D183,D186,D189,D193,D196,D199,D203,D206,E277,E434)+SUM(E180,E193,D277,D280,D283,D286,D434),"")</f>
        <v/>
      </c>
      <c r="E20" s="1436"/>
      <c r="F20" s="1436"/>
      <c r="G20" s="1436"/>
      <c r="H20" s="1437"/>
      <c r="I20" s="732"/>
      <c r="J20" s="732"/>
      <c r="K20" s="979"/>
    </row>
    <row r="21" spans="1:11" ht="15" customHeight="1" x14ac:dyDescent="0.25">
      <c r="A21" s="1047"/>
      <c r="B21" s="1034" t="s">
        <v>362</v>
      </c>
      <c r="C21" s="1039" t="s">
        <v>435</v>
      </c>
      <c r="D21" s="1244"/>
      <c r="E21" s="1244"/>
      <c r="F21" s="1244"/>
      <c r="G21" s="1244"/>
      <c r="H21" s="189" t="str">
        <f>IF(AND(ISNUMBER(H19),ISNUMBER(D20)),MAX(H19+D20,0),"")</f>
        <v/>
      </c>
      <c r="I21" s="732"/>
      <c r="J21" s="732"/>
      <c r="K21" s="979"/>
    </row>
    <row r="22" spans="1:11" s="929" customFormat="1" ht="60" customHeight="1" x14ac:dyDescent="0.3">
      <c r="A22" s="1732" t="s">
        <v>656</v>
      </c>
      <c r="B22" s="1733"/>
      <c r="C22" s="1733"/>
      <c r="D22" s="1733"/>
      <c r="E22" s="1733"/>
      <c r="F22" s="1733"/>
      <c r="G22" s="1733"/>
      <c r="H22" s="1733"/>
      <c r="I22" s="732"/>
      <c r="J22" s="732"/>
      <c r="K22" s="979"/>
    </row>
    <row r="23" spans="1:11" ht="30" customHeight="1" x14ac:dyDescent="0.25">
      <c r="A23" s="1025"/>
      <c r="B23" s="1000"/>
      <c r="C23" s="1562" t="s">
        <v>587</v>
      </c>
      <c r="D23" s="1562" t="s">
        <v>363</v>
      </c>
      <c r="E23" s="156"/>
      <c r="F23" s="156"/>
      <c r="G23" s="1562" t="s">
        <v>354</v>
      </c>
      <c r="H23" s="1027" t="s">
        <v>355</v>
      </c>
      <c r="I23" s="732"/>
      <c r="J23" s="732"/>
      <c r="K23" s="979"/>
    </row>
    <row r="24" spans="1:11" ht="15" customHeight="1" x14ac:dyDescent="0.25">
      <c r="A24" s="1046"/>
      <c r="B24" s="1028" t="s">
        <v>364</v>
      </c>
      <c r="C24" s="1035" t="s">
        <v>453</v>
      </c>
      <c r="D24" s="170"/>
      <c r="E24" s="160"/>
      <c r="F24" s="160"/>
      <c r="G24" s="170"/>
      <c r="H24" s="171"/>
      <c r="I24" s="732"/>
      <c r="J24" s="732"/>
      <c r="K24" s="979"/>
    </row>
    <row r="25" spans="1:11" ht="15" customHeight="1" x14ac:dyDescent="0.25">
      <c r="A25" s="1046"/>
      <c r="B25" s="1030" t="s">
        <v>329</v>
      </c>
      <c r="C25" s="1036" t="s">
        <v>453</v>
      </c>
      <c r="D25" s="172"/>
      <c r="E25" s="1436"/>
      <c r="F25" s="1436"/>
      <c r="G25" s="182">
        <f>Parameters!F25</f>
        <v>0.85</v>
      </c>
      <c r="H25" s="183" t="str">
        <f t="shared" ref="H25:H31" si="0">IF(AND(ISNUMBER(D25),ISNUMBER(G25)),D25*G25,"")</f>
        <v/>
      </c>
      <c r="I25" s="732"/>
      <c r="J25" s="732"/>
      <c r="K25" s="979"/>
    </row>
    <row r="26" spans="1:11" ht="15" customHeight="1" x14ac:dyDescent="0.25">
      <c r="A26" s="1046"/>
      <c r="B26" s="1030" t="s">
        <v>330</v>
      </c>
      <c r="C26" s="1036" t="s">
        <v>453</v>
      </c>
      <c r="D26" s="172"/>
      <c r="E26" s="1436"/>
      <c r="F26" s="1436"/>
      <c r="G26" s="182">
        <f>Parameters!F26</f>
        <v>0.85</v>
      </c>
      <c r="H26" s="183" t="str">
        <f t="shared" si="0"/>
        <v/>
      </c>
      <c r="I26" s="732"/>
      <c r="J26" s="732"/>
      <c r="K26" s="979"/>
    </row>
    <row r="27" spans="1:11" ht="15" customHeight="1" x14ac:dyDescent="0.25">
      <c r="A27" s="1046"/>
      <c r="B27" s="1030" t="s">
        <v>331</v>
      </c>
      <c r="C27" s="1036" t="s">
        <v>453</v>
      </c>
      <c r="D27" s="172"/>
      <c r="E27" s="1436"/>
      <c r="F27" s="1436"/>
      <c r="G27" s="182">
        <f>Parameters!F27</f>
        <v>0.85</v>
      </c>
      <c r="H27" s="183" t="str">
        <f t="shared" si="0"/>
        <v/>
      </c>
      <c r="I27" s="732"/>
      <c r="J27" s="732"/>
      <c r="K27" s="979"/>
    </row>
    <row r="28" spans="1:11" ht="15" customHeight="1" x14ac:dyDescent="0.25">
      <c r="A28" s="1046"/>
      <c r="B28" s="1030" t="s">
        <v>589</v>
      </c>
      <c r="C28" s="1036" t="s">
        <v>453</v>
      </c>
      <c r="D28" s="172"/>
      <c r="E28" s="1436"/>
      <c r="F28" s="1436"/>
      <c r="G28" s="182">
        <f>Parameters!F28</f>
        <v>0.85</v>
      </c>
      <c r="H28" s="183" t="str">
        <f t="shared" si="0"/>
        <v/>
      </c>
      <c r="I28" s="732"/>
      <c r="J28" s="732"/>
      <c r="K28" s="979"/>
    </row>
    <row r="29" spans="1:11" ht="15" customHeight="1" x14ac:dyDescent="0.25">
      <c r="A29" s="1048"/>
      <c r="B29" s="1030" t="s">
        <v>365</v>
      </c>
      <c r="C29" s="1036" t="s">
        <v>453</v>
      </c>
      <c r="D29" s="172"/>
      <c r="E29" s="1436"/>
      <c r="F29" s="1436"/>
      <c r="G29" s="182">
        <f>Parameters!F29</f>
        <v>0.85</v>
      </c>
      <c r="H29" s="183" t="str">
        <f t="shared" si="0"/>
        <v/>
      </c>
      <c r="I29" s="732"/>
      <c r="J29" s="732"/>
      <c r="K29" s="979"/>
    </row>
    <row r="30" spans="1:11" ht="15" customHeight="1" x14ac:dyDescent="0.25">
      <c r="A30" s="1046"/>
      <c r="B30" s="1029" t="s">
        <v>366</v>
      </c>
      <c r="C30" s="1036" t="s">
        <v>454</v>
      </c>
      <c r="D30" s="172"/>
      <c r="E30" s="1436"/>
      <c r="F30" s="1436"/>
      <c r="G30" s="182">
        <f>Parameters!F30</f>
        <v>0.85</v>
      </c>
      <c r="H30" s="183" t="str">
        <f t="shared" si="0"/>
        <v/>
      </c>
      <c r="I30" s="732"/>
      <c r="J30" s="732"/>
      <c r="K30" s="979"/>
    </row>
    <row r="31" spans="1:11" ht="15" customHeight="1" x14ac:dyDescent="0.25">
      <c r="A31" s="1046"/>
      <c r="B31" s="1034" t="s">
        <v>367</v>
      </c>
      <c r="C31" s="1039" t="s">
        <v>454</v>
      </c>
      <c r="D31" s="173"/>
      <c r="E31" s="1244"/>
      <c r="F31" s="1244"/>
      <c r="G31" s="1054">
        <f>Parameters!F31</f>
        <v>0.85</v>
      </c>
      <c r="H31" s="189" t="str">
        <f t="shared" si="0"/>
        <v/>
      </c>
      <c r="I31" s="732"/>
      <c r="J31" s="732"/>
      <c r="K31" s="979"/>
    </row>
    <row r="32" spans="1:11" ht="15" customHeight="1" x14ac:dyDescent="0.25">
      <c r="A32" s="1046"/>
      <c r="B32" s="1033" t="s">
        <v>424</v>
      </c>
      <c r="C32" s="1038" t="s">
        <v>455</v>
      </c>
      <c r="D32" s="1051" t="str">
        <f>IF(AND(ISNUMBER(D25),ISNUMBER(D26),ISNUMBER(D27),ISNUMBER(D28),ISNUMBER(D29),ISNUMBER(D30),ISNUMBER(D31)),SUM(D25:D31),"")</f>
        <v/>
      </c>
      <c r="E32" s="160"/>
      <c r="F32" s="160"/>
      <c r="G32" s="174"/>
      <c r="H32" s="1045" t="str">
        <f>IF(AND(ISNUMBER(H25),ISNUMBER(H26),ISNUMBER(H27),ISNUMBER(H28),ISNUMBER(H29), ISNUMBER(H30),ISNUMBER(H31)),SUM(H25:H31),"")</f>
        <v/>
      </c>
      <c r="I32" s="732"/>
      <c r="J32" s="732"/>
      <c r="K32" s="979"/>
    </row>
    <row r="33" spans="1:11" ht="15" customHeight="1" x14ac:dyDescent="0.25">
      <c r="A33" s="1046"/>
      <c r="B33" s="1029" t="s">
        <v>425</v>
      </c>
      <c r="C33" s="1036" t="s">
        <v>435</v>
      </c>
      <c r="D33" s="1052" t="str">
        <f>IF(AND(ISNUMBER(E183),ISNUMBER(E196),ISNUMBER(E280),ISNUMBER(D435),ISNUMBER(E435)),E183+E196-E280+D435-E435,"")</f>
        <v/>
      </c>
      <c r="E33" s="1436"/>
      <c r="F33" s="1436"/>
      <c r="G33" s="175"/>
      <c r="H33" s="176"/>
      <c r="I33" s="732"/>
      <c r="J33" s="732"/>
      <c r="K33" s="979"/>
    </row>
    <row r="34" spans="1:11" ht="15" customHeight="1" x14ac:dyDescent="0.25">
      <c r="A34" s="1046"/>
      <c r="B34" s="1034" t="s">
        <v>426</v>
      </c>
      <c r="C34" s="1039" t="s">
        <v>435</v>
      </c>
      <c r="D34" s="1053" t="str">
        <f>IF(AND(ISNUMBER(D32),ISNUMBER(D33)),D32+D33,"")</f>
        <v/>
      </c>
      <c r="E34" s="1244"/>
      <c r="F34" s="1244"/>
      <c r="G34" s="1054">
        <f>Parameters!F32</f>
        <v>0.85</v>
      </c>
      <c r="H34" s="189" t="str">
        <f>IF(AND(ISNUMBER(D34),ISNUMBER(G34)),D34*G34,"")</f>
        <v/>
      </c>
      <c r="I34" s="732"/>
      <c r="J34" s="732"/>
      <c r="K34" s="979"/>
    </row>
    <row r="35" spans="1:11" s="929" customFormat="1" ht="60" customHeight="1" x14ac:dyDescent="0.3">
      <c r="A35" s="1732" t="s">
        <v>657</v>
      </c>
      <c r="B35" s="1733"/>
      <c r="C35" s="1733"/>
      <c r="D35" s="1733"/>
      <c r="E35" s="1733"/>
      <c r="F35" s="1733"/>
      <c r="G35" s="1733"/>
      <c r="H35" s="1733"/>
      <c r="I35" s="732"/>
      <c r="J35" s="732"/>
      <c r="K35" s="979"/>
    </row>
    <row r="36" spans="1:11" ht="30" customHeight="1" x14ac:dyDescent="0.25">
      <c r="A36" s="1025"/>
      <c r="B36" s="984"/>
      <c r="C36" s="1562" t="s">
        <v>587</v>
      </c>
      <c r="D36" s="1562" t="s">
        <v>363</v>
      </c>
      <c r="E36" s="156"/>
      <c r="F36" s="156"/>
      <c r="G36" s="1562" t="s">
        <v>354</v>
      </c>
      <c r="H36" s="1027" t="s">
        <v>355</v>
      </c>
      <c r="I36" s="732"/>
      <c r="J36" s="732"/>
      <c r="K36" s="979"/>
    </row>
    <row r="37" spans="1:11" ht="15" customHeight="1" x14ac:dyDescent="0.25">
      <c r="A37" s="1046"/>
      <c r="B37" s="1028" t="s">
        <v>427</v>
      </c>
      <c r="C37" s="1035" t="s">
        <v>428</v>
      </c>
      <c r="D37" s="177"/>
      <c r="E37" s="160"/>
      <c r="F37" s="160"/>
      <c r="G37" s="1042">
        <f>Parameters!F34</f>
        <v>0.75</v>
      </c>
      <c r="H37" s="1059" t="str">
        <f>IF(AND(ISNUMBER(D37),ISNUMBER(G37)),D37*G37,"")</f>
        <v/>
      </c>
      <c r="I37" s="732"/>
      <c r="J37" s="732"/>
      <c r="K37" s="979"/>
    </row>
    <row r="38" spans="1:11" ht="15" customHeight="1" x14ac:dyDescent="0.25">
      <c r="A38" s="1046"/>
      <c r="B38" s="1029" t="s">
        <v>429</v>
      </c>
      <c r="C38" s="1036" t="s">
        <v>430</v>
      </c>
      <c r="D38" s="178"/>
      <c r="E38" s="1436"/>
      <c r="F38" s="1436"/>
      <c r="G38" s="182">
        <f>Parameters!F35</f>
        <v>0.5</v>
      </c>
      <c r="H38" s="184" t="str">
        <f>IF(AND(ISNUMBER(D38),ISNUMBER(G38)),D38*G38,"")</f>
        <v/>
      </c>
      <c r="I38" s="732"/>
      <c r="J38" s="732"/>
      <c r="K38" s="979"/>
    </row>
    <row r="39" spans="1:11" ht="15" customHeight="1" x14ac:dyDescent="0.25">
      <c r="A39" s="1046"/>
      <c r="B39" s="1029" t="s">
        <v>431</v>
      </c>
      <c r="C39" s="1056" t="s">
        <v>432</v>
      </c>
      <c r="D39" s="178"/>
      <c r="E39" s="1436"/>
      <c r="F39" s="1436"/>
      <c r="G39" s="182">
        <f>Parameters!F36</f>
        <v>0.5</v>
      </c>
      <c r="H39" s="184" t="str">
        <f>IF(AND(ISNUMBER(D39),ISNUMBER(G39)),D39*G39,"")</f>
        <v/>
      </c>
      <c r="I39" s="732"/>
      <c r="J39" s="732"/>
      <c r="K39" s="979"/>
    </row>
    <row r="40" spans="1:11" ht="15" customHeight="1" x14ac:dyDescent="0.25">
      <c r="A40" s="1046"/>
      <c r="B40" s="1029" t="s">
        <v>896</v>
      </c>
      <c r="C40" s="1056" t="s">
        <v>897</v>
      </c>
      <c r="D40" s="178"/>
      <c r="E40" s="1436"/>
      <c r="F40" s="1436"/>
      <c r="G40" s="182">
        <v>0.5</v>
      </c>
      <c r="H40" s="184" t="str">
        <f>IF(AND(ISNUMBER(D40),ISNUMBER(G40)),D40*G40,"")</f>
        <v/>
      </c>
      <c r="I40" s="732"/>
      <c r="J40" s="732"/>
      <c r="K40" s="979"/>
    </row>
    <row r="41" spans="1:11" ht="15" customHeight="1" x14ac:dyDescent="0.25">
      <c r="A41" s="1046"/>
      <c r="B41" s="1055" t="s">
        <v>433</v>
      </c>
      <c r="C41" s="1057" t="s">
        <v>428</v>
      </c>
      <c r="D41" s="1058" t="str">
        <f>IF(ISNUMBER(D37),D37,"")</f>
        <v/>
      </c>
      <c r="E41" s="1436"/>
      <c r="F41" s="1436"/>
      <c r="G41" s="175"/>
      <c r="H41" s="180" t="str">
        <f>IF(ISNUMBER(H37),H37,"")</f>
        <v/>
      </c>
      <c r="I41" s="732"/>
      <c r="J41" s="732"/>
      <c r="K41" s="979"/>
    </row>
    <row r="42" spans="1:11" ht="15" customHeight="1" x14ac:dyDescent="0.25">
      <c r="A42" s="1046"/>
      <c r="B42" s="1029" t="s">
        <v>434</v>
      </c>
      <c r="C42" s="1036" t="s">
        <v>435</v>
      </c>
      <c r="D42" s="1041" t="str">
        <f>IF(OR(ISNUMBER(E186),ISNUMBER(E199),ISNUMBER(E283),ISNUMBER(D436),ISNUMBER(E436)),SUM(E186,E199,D436)-SUM(E283,E436),"")</f>
        <v/>
      </c>
      <c r="E42" s="1436"/>
      <c r="F42" s="1436"/>
      <c r="G42" s="175"/>
      <c r="H42" s="176"/>
      <c r="I42" s="732"/>
      <c r="J42" s="732"/>
      <c r="K42" s="979"/>
    </row>
    <row r="43" spans="1:11" ht="15" customHeight="1" x14ac:dyDescent="0.25">
      <c r="A43" s="1046"/>
      <c r="B43" s="1029" t="s">
        <v>436</v>
      </c>
      <c r="C43" s="1036" t="s">
        <v>435</v>
      </c>
      <c r="D43" s="339" t="str">
        <f>IF(OR(ISNUMBER(D41),ISNUMBER(D42)),SUM(D41,D42),"")</f>
        <v/>
      </c>
      <c r="E43" s="1436"/>
      <c r="F43" s="1436"/>
      <c r="G43" s="182">
        <f>Parameters!F37</f>
        <v>0.75</v>
      </c>
      <c r="H43" s="183" t="str">
        <f>IF(AND(ISNUMBER(D43),ISNUMBER(G43)),D43*G43,"")</f>
        <v/>
      </c>
      <c r="I43" s="732"/>
      <c r="J43" s="732"/>
      <c r="K43" s="979"/>
    </row>
    <row r="44" spans="1:11" ht="15" customHeight="1" x14ac:dyDescent="0.25">
      <c r="A44" s="1046"/>
      <c r="B44" s="1055" t="s">
        <v>437</v>
      </c>
      <c r="C44" s="1057" t="s">
        <v>438</v>
      </c>
      <c r="D44" s="1058" t="str">
        <f>IF(OR(ISNUMBER(D38),ISNUMBER(D39),ISNUMBER(D40)),SUM(D38:D40),"")</f>
        <v/>
      </c>
      <c r="E44" s="1436"/>
      <c r="F44" s="1436"/>
      <c r="G44" s="175"/>
      <c r="H44" s="1060" t="str">
        <f>IF(OR(ISNUMBER(H38),ISNUMBER(H39),ISNUMBER(H40)),SUM(H38:H40),"")</f>
        <v/>
      </c>
      <c r="I44" s="732"/>
      <c r="J44" s="732"/>
      <c r="K44" s="979"/>
    </row>
    <row r="45" spans="1:11" ht="15" customHeight="1" x14ac:dyDescent="0.25">
      <c r="A45" s="1046"/>
      <c r="B45" s="1029" t="s">
        <v>439</v>
      </c>
      <c r="C45" s="1036" t="s">
        <v>435</v>
      </c>
      <c r="D45" s="1041" t="str">
        <f>IF(OR(ISNUMBER(E189),ISNUMBER(E203),ISNUMBER(E206),ISNUMBER(E286),ISNUMBER(D437),ISNUMBER(E437)),SUM(E189,E203,E206,D437)-SUM(E286,E437),"")</f>
        <v/>
      </c>
      <c r="E45" s="1436"/>
      <c r="F45" s="1436"/>
      <c r="G45" s="175"/>
      <c r="H45" s="176"/>
      <c r="I45" s="732"/>
      <c r="J45" s="732"/>
      <c r="K45" s="979"/>
    </row>
    <row r="46" spans="1:11" ht="15" customHeight="1" x14ac:dyDescent="0.25">
      <c r="A46" s="1046"/>
      <c r="B46" s="1029" t="s">
        <v>440</v>
      </c>
      <c r="C46" s="1036" t="s">
        <v>435</v>
      </c>
      <c r="D46" s="339" t="str">
        <f>IF(OR(ISNUMBER(D44),ISNUMBER(D45)),SUM(D44,D45),"")</f>
        <v/>
      </c>
      <c r="E46" s="1436"/>
      <c r="F46" s="1436"/>
      <c r="G46" s="182">
        <f>Parameters!F38</f>
        <v>0.5</v>
      </c>
      <c r="H46" s="184" t="str">
        <f>IF(AND(ISNUMBER(D46),ISNUMBER(G46)),D46*G46,"")</f>
        <v/>
      </c>
      <c r="I46" s="732"/>
      <c r="J46" s="732"/>
      <c r="K46" s="979"/>
    </row>
    <row r="47" spans="1:11" ht="15" customHeight="1" x14ac:dyDescent="0.25">
      <c r="A47" s="1046"/>
      <c r="B47" s="1034" t="s">
        <v>441</v>
      </c>
      <c r="C47" s="1039" t="s">
        <v>435</v>
      </c>
      <c r="D47" s="341" t="str">
        <f>IF(OR(ISNUMBER(D43),ISNUMBER(D46)),SUM(D43,D46),"")</f>
        <v/>
      </c>
      <c r="E47" s="1244"/>
      <c r="F47" s="1244"/>
      <c r="G47" s="185"/>
      <c r="H47" s="186" t="str">
        <f>IF(OR(ISNUMBER(H43),ISNUMBER(H46)),SUM(H43,H46),"")</f>
        <v/>
      </c>
      <c r="I47" s="732"/>
      <c r="J47" s="732"/>
      <c r="K47" s="979"/>
    </row>
    <row r="48" spans="1:11" ht="15" customHeight="1" x14ac:dyDescent="0.25">
      <c r="A48" s="772"/>
      <c r="B48" s="732"/>
      <c r="C48" s="732"/>
      <c r="D48" s="732"/>
      <c r="E48" s="732"/>
      <c r="F48" s="732"/>
      <c r="G48" s="732"/>
      <c r="H48" s="732"/>
      <c r="I48" s="732"/>
      <c r="J48" s="732"/>
      <c r="K48" s="979"/>
    </row>
    <row r="49" spans="1:11" ht="15" customHeight="1" x14ac:dyDescent="0.25">
      <c r="A49" s="1046"/>
      <c r="B49" s="334" t="s">
        <v>590</v>
      </c>
      <c r="C49" s="1035" t="s">
        <v>442</v>
      </c>
      <c r="D49" s="174"/>
      <c r="E49" s="160"/>
      <c r="F49" s="160"/>
      <c r="G49" s="174"/>
      <c r="H49" s="188" t="str">
        <f>IF(AND(ISNUMBER(H21),ISNUMBER(H34)),MAX(SUM(H47)-15/85*(H21+H34),SUM(H47)-15/60*H21,0),"")</f>
        <v/>
      </c>
      <c r="I49" s="732"/>
      <c r="J49" s="732"/>
      <c r="K49" s="979"/>
    </row>
    <row r="50" spans="1:11" ht="15" customHeight="1" x14ac:dyDescent="0.25">
      <c r="A50" s="1046"/>
      <c r="B50" s="340" t="s">
        <v>591</v>
      </c>
      <c r="C50" s="1039" t="s">
        <v>443</v>
      </c>
      <c r="D50" s="185"/>
      <c r="E50" s="1244"/>
      <c r="F50" s="1244"/>
      <c r="G50" s="185"/>
      <c r="H50" s="189" t="str">
        <f>IF(AND(ISNUMBER(H34),ISNUMBER(H49)),MAX((SUM(H34,H47)-H49)-2/3*H21,0),"")</f>
        <v/>
      </c>
      <c r="I50" s="732"/>
      <c r="J50" s="732"/>
      <c r="K50" s="979"/>
    </row>
    <row r="51" spans="1:11" s="929" customFormat="1" ht="60" customHeight="1" x14ac:dyDescent="0.3">
      <c r="A51" s="1732" t="s">
        <v>658</v>
      </c>
      <c r="B51" s="1733"/>
      <c r="C51" s="1733"/>
      <c r="D51" s="1733"/>
      <c r="E51" s="1733"/>
      <c r="F51" s="1733"/>
      <c r="G51" s="1733"/>
      <c r="H51" s="1733"/>
      <c r="I51" s="732"/>
      <c r="J51" s="732"/>
      <c r="K51" s="979"/>
    </row>
    <row r="52" spans="1:11" s="929" customFormat="1" ht="30" customHeight="1" x14ac:dyDescent="0.25">
      <c r="A52" s="1025"/>
      <c r="B52" s="984"/>
      <c r="C52" s="1683"/>
      <c r="D52" s="1684"/>
      <c r="E52" s="1684"/>
      <c r="F52" s="1684"/>
      <c r="G52" s="1738"/>
      <c r="H52" s="1027" t="s">
        <v>355</v>
      </c>
      <c r="I52" s="732"/>
      <c r="J52" s="732"/>
      <c r="K52" s="979"/>
    </row>
    <row r="53" spans="1:11" ht="15" customHeight="1" x14ac:dyDescent="0.25">
      <c r="A53" s="1046"/>
      <c r="B53" s="1061" t="s">
        <v>592</v>
      </c>
      <c r="C53" s="190"/>
      <c r="D53" s="190"/>
      <c r="E53" s="77"/>
      <c r="F53" s="77"/>
      <c r="G53" s="190"/>
      <c r="H53" s="1062" t="str">
        <f>IF(AND(ISNUMBER(H19),ISNUMBER(H32)),SUM(H19,H32,H41,H44)-SUM(H49,H50),"")</f>
        <v/>
      </c>
      <c r="I53" s="732"/>
      <c r="J53" s="732"/>
      <c r="K53" s="979"/>
    </row>
    <row r="54" spans="1:11" ht="15" customHeight="1" x14ac:dyDescent="0.25">
      <c r="A54" s="772"/>
      <c r="B54" s="732"/>
      <c r="C54" s="732"/>
      <c r="D54" s="732"/>
      <c r="E54" s="732"/>
      <c r="F54" s="732"/>
      <c r="G54" s="732"/>
      <c r="H54" s="732"/>
      <c r="I54" s="732"/>
      <c r="J54" s="732"/>
      <c r="K54" s="979"/>
    </row>
    <row r="55" spans="1:11" ht="15" customHeight="1" x14ac:dyDescent="0.25">
      <c r="A55" s="772"/>
      <c r="B55" s="1739"/>
      <c r="C55" s="1735" t="s">
        <v>587</v>
      </c>
      <c r="D55" s="1737" t="s">
        <v>363</v>
      </c>
      <c r="E55" s="1737"/>
      <c r="F55" s="1737"/>
      <c r="G55" s="1737"/>
      <c r="H55" s="191"/>
      <c r="I55" s="732"/>
      <c r="J55" s="732"/>
      <c r="K55" s="979"/>
    </row>
    <row r="56" spans="1:11" ht="30" customHeight="1" x14ac:dyDescent="0.25">
      <c r="A56" s="772"/>
      <c r="B56" s="1740"/>
      <c r="C56" s="1736"/>
      <c r="D56" s="1562" t="s">
        <v>177</v>
      </c>
      <c r="E56" s="1562" t="s">
        <v>444</v>
      </c>
      <c r="F56" s="1562" t="s">
        <v>445</v>
      </c>
      <c r="G56" s="1562" t="s">
        <v>446</v>
      </c>
      <c r="H56" s="191"/>
      <c r="I56" s="732"/>
      <c r="J56" s="732"/>
      <c r="K56" s="979"/>
    </row>
    <row r="57" spans="1:11" ht="15" customHeight="1" x14ac:dyDescent="0.25">
      <c r="A57" s="1046"/>
      <c r="B57" s="1028" t="s">
        <v>593</v>
      </c>
      <c r="C57" s="1035" t="s">
        <v>456</v>
      </c>
      <c r="D57" s="192"/>
      <c r="E57" s="192"/>
      <c r="F57" s="193"/>
      <c r="G57" s="193"/>
      <c r="H57" s="194"/>
      <c r="I57" s="732"/>
      <c r="J57" s="732"/>
      <c r="K57" s="979"/>
    </row>
    <row r="58" spans="1:11" ht="15" customHeight="1" x14ac:dyDescent="0.25">
      <c r="A58" s="1046"/>
      <c r="B58" s="1030" t="s">
        <v>180</v>
      </c>
      <c r="C58" s="175"/>
      <c r="D58" s="172"/>
      <c r="E58" s="172"/>
      <c r="F58" s="195"/>
      <c r="G58" s="195"/>
      <c r="H58" s="176"/>
      <c r="I58" s="732"/>
      <c r="J58" s="732"/>
      <c r="K58" s="979"/>
    </row>
    <row r="59" spans="1:11" ht="15" customHeight="1" x14ac:dyDescent="0.25">
      <c r="A59" s="1046"/>
      <c r="B59" s="1031" t="str">
        <f>CONCATENATE("Check: row ", ROW(B58), " ≤ row ", ROW(B57))</f>
        <v>Check: row 58 ≤ row 57</v>
      </c>
      <c r="C59" s="175"/>
      <c r="D59" s="1040" t="str">
        <f>IF((D58&lt;=D57),"Pass","Fail")</f>
        <v>Pass</v>
      </c>
      <c r="E59" s="1040" t="str">
        <f>IF((E58&lt;=E57),"Pass","Fail")</f>
        <v>Pass</v>
      </c>
      <c r="F59" s="1040" t="str">
        <f>IF((F58&lt;=F57),"Pass","Fail")</f>
        <v>Pass</v>
      </c>
      <c r="G59" s="1040" t="str">
        <f>IF((G58&lt;=G57),"Pass","Fail")</f>
        <v>Pass</v>
      </c>
      <c r="H59" s="176"/>
      <c r="I59" s="732"/>
      <c r="J59" s="732"/>
      <c r="K59" s="979"/>
    </row>
    <row r="60" spans="1:11" ht="15" customHeight="1" x14ac:dyDescent="0.25">
      <c r="A60" s="1046"/>
      <c r="B60" s="1029" t="s">
        <v>447</v>
      </c>
      <c r="C60" s="1036" t="s">
        <v>457</v>
      </c>
      <c r="D60" s="172"/>
      <c r="E60" s="172"/>
      <c r="F60" s="195"/>
      <c r="G60" s="195"/>
      <c r="H60" s="176"/>
      <c r="I60" s="732"/>
      <c r="J60" s="732"/>
      <c r="K60" s="979"/>
    </row>
    <row r="61" spans="1:11" ht="15" customHeight="1" x14ac:dyDescent="0.25">
      <c r="A61" s="1046"/>
      <c r="B61" s="1030" t="s">
        <v>181</v>
      </c>
      <c r="C61" s="175"/>
      <c r="D61" s="172"/>
      <c r="E61" s="172"/>
      <c r="F61" s="195"/>
      <c r="G61" s="195"/>
      <c r="H61" s="176"/>
      <c r="I61" s="732"/>
      <c r="J61" s="732"/>
      <c r="K61" s="979"/>
    </row>
    <row r="62" spans="1:11" ht="15" customHeight="1" x14ac:dyDescent="0.25">
      <c r="A62" s="1046"/>
      <c r="B62" s="1063" t="str">
        <f>CONCATENATE("Check: row ", ROW(B61), " ≤ row ", ROW(B60))</f>
        <v>Check: row 61 ≤ row 60</v>
      </c>
      <c r="C62" s="185"/>
      <c r="D62" s="1064" t="str">
        <f>IF((D61&lt;=D60),"Pass","Fail")</f>
        <v>Pass</v>
      </c>
      <c r="E62" s="1064" t="str">
        <f>IF((E61&lt;=E60),"Pass","Fail")</f>
        <v>Pass</v>
      </c>
      <c r="F62" s="1064" t="str">
        <f>IF((F61&lt;=F60),"Pass","Fail")</f>
        <v>Pass</v>
      </c>
      <c r="G62" s="1064" t="str">
        <f>IF((G61&lt;=G60),"Pass","Fail")</f>
        <v>Pass</v>
      </c>
      <c r="H62" s="197"/>
      <c r="I62" s="732"/>
      <c r="J62" s="732"/>
      <c r="K62" s="979"/>
    </row>
    <row r="63" spans="1:11" s="929" customFormat="1" ht="45" customHeight="1" x14ac:dyDescent="0.3">
      <c r="A63" s="728" t="s">
        <v>580</v>
      </c>
      <c r="B63" s="976"/>
      <c r="C63" s="1018"/>
      <c r="D63" s="1018"/>
      <c r="E63" s="1019"/>
      <c r="F63" s="732"/>
      <c r="G63" s="732"/>
      <c r="H63" s="732"/>
      <c r="I63" s="732"/>
      <c r="J63" s="732"/>
      <c r="K63" s="979"/>
    </row>
    <row r="64" spans="1:11" s="929" customFormat="1" ht="15" customHeight="1" x14ac:dyDescent="0.3">
      <c r="A64" s="728"/>
      <c r="B64" s="976"/>
      <c r="C64" s="1018"/>
      <c r="D64" s="1018"/>
      <c r="E64" s="1019"/>
      <c r="F64" s="732"/>
      <c r="G64" s="732"/>
      <c r="H64" s="732"/>
      <c r="I64" s="732"/>
      <c r="J64" s="732"/>
      <c r="K64" s="979"/>
    </row>
    <row r="65" spans="1:11" s="929" customFormat="1" ht="15" customHeight="1" x14ac:dyDescent="0.3">
      <c r="A65" s="728"/>
      <c r="B65" s="1065" t="s">
        <v>594</v>
      </c>
      <c r="C65" s="888" t="str">
        <f>Parameters!F40</f>
        <v>No</v>
      </c>
      <c r="D65" s="1018"/>
      <c r="E65" s="1019"/>
      <c r="F65" s="732"/>
      <c r="G65" s="732"/>
      <c r="H65" s="732"/>
      <c r="I65" s="732"/>
      <c r="J65" s="732"/>
      <c r="K65" s="979"/>
    </row>
    <row r="66" spans="1:11" s="929" customFormat="1" ht="15" customHeight="1" x14ac:dyDescent="0.3">
      <c r="A66" s="728"/>
      <c r="B66" s="976"/>
      <c r="C66" s="1018"/>
      <c r="D66" s="1018"/>
      <c r="E66" s="1019"/>
      <c r="F66" s="732"/>
      <c r="G66" s="732"/>
      <c r="H66" s="732"/>
      <c r="I66" s="732"/>
      <c r="J66" s="732"/>
      <c r="K66" s="979"/>
    </row>
    <row r="67" spans="1:11" ht="30" customHeight="1" x14ac:dyDescent="0.25">
      <c r="A67" s="1025"/>
      <c r="B67" s="984"/>
      <c r="C67" s="1562" t="s">
        <v>587</v>
      </c>
      <c r="D67" s="1562" t="s">
        <v>342</v>
      </c>
      <c r="E67" s="77"/>
      <c r="F67" s="77"/>
      <c r="G67" s="155" t="s">
        <v>354</v>
      </c>
      <c r="H67" s="157" t="s">
        <v>355</v>
      </c>
      <c r="I67" s="732"/>
      <c r="J67" s="732"/>
      <c r="K67" s="979"/>
    </row>
    <row r="68" spans="1:11" ht="15" customHeight="1" x14ac:dyDescent="0.25">
      <c r="A68" s="1046"/>
      <c r="B68" s="1066" t="s">
        <v>23</v>
      </c>
      <c r="C68" s="1067">
        <v>58</v>
      </c>
      <c r="D68" s="198"/>
      <c r="E68" s="43"/>
      <c r="F68" s="43"/>
      <c r="G68" s="1068">
        <f>Parameters!F43</f>
        <v>0</v>
      </c>
      <c r="H68" s="1069" t="str">
        <f>IF(AND(ISNUMBER(D68),ISNUMBER(G68)),D68*G68,"")</f>
        <v/>
      </c>
      <c r="I68" s="732"/>
      <c r="J68" s="732"/>
      <c r="K68" s="979"/>
    </row>
    <row r="69" spans="1:11" ht="15" customHeight="1" x14ac:dyDescent="0.25">
      <c r="A69" s="1046"/>
      <c r="B69" s="338" t="s">
        <v>448</v>
      </c>
      <c r="C69" s="1036">
        <v>59</v>
      </c>
      <c r="D69" s="199"/>
      <c r="E69" s="48"/>
      <c r="F69" s="48"/>
      <c r="G69" s="200"/>
      <c r="H69" s="201"/>
      <c r="I69" s="732"/>
      <c r="J69" s="732"/>
      <c r="K69" s="979"/>
    </row>
    <row r="70" spans="1:11" ht="15" customHeight="1" x14ac:dyDescent="0.25">
      <c r="A70" s="1046"/>
      <c r="B70" s="1030" t="s">
        <v>373</v>
      </c>
      <c r="C70" s="175"/>
      <c r="D70" s="178"/>
      <c r="E70" s="48"/>
      <c r="F70" s="48"/>
      <c r="G70" s="182">
        <f>Parameters!F45</f>
        <v>0</v>
      </c>
      <c r="H70" s="183" t="str">
        <f>IF(AND(ISNUMBER(D70),ISNUMBER(G70)),D70*G70,"")</f>
        <v/>
      </c>
      <c r="I70" s="732"/>
      <c r="J70" s="732"/>
      <c r="K70" s="979"/>
    </row>
    <row r="71" spans="1:11" ht="15" customHeight="1" x14ac:dyDescent="0.25">
      <c r="A71" s="1046"/>
      <c r="B71" s="1030" t="s">
        <v>374</v>
      </c>
      <c r="C71" s="175"/>
      <c r="D71" s="178"/>
      <c r="E71" s="48"/>
      <c r="F71" s="48"/>
      <c r="G71" s="182">
        <f>Parameters!F46</f>
        <v>0</v>
      </c>
      <c r="H71" s="183" t="str">
        <f>IF(AND(ISNUMBER(D71),ISNUMBER(G71)),D71*G71,"")</f>
        <v/>
      </c>
      <c r="I71" s="732"/>
      <c r="J71" s="732"/>
      <c r="K71" s="979"/>
    </row>
    <row r="72" spans="1:11" ht="15" customHeight="1" x14ac:dyDescent="0.25">
      <c r="A72" s="1046"/>
      <c r="B72" s="338" t="s">
        <v>595</v>
      </c>
      <c r="C72" s="1036">
        <v>62</v>
      </c>
      <c r="D72" s="178"/>
      <c r="E72" s="48"/>
      <c r="F72" s="48"/>
      <c r="G72" s="182">
        <f>Parameters!F47</f>
        <v>0</v>
      </c>
      <c r="H72" s="183" t="str">
        <f>IF(AND(ISNUMBER(D72),ISNUMBER(G72)),D72*G72,"")</f>
        <v/>
      </c>
      <c r="I72" s="732"/>
      <c r="J72" s="732"/>
      <c r="K72" s="979"/>
    </row>
    <row r="73" spans="1:11" ht="15" customHeight="1" x14ac:dyDescent="0.25">
      <c r="A73" s="1046"/>
      <c r="B73" s="1029" t="s">
        <v>375</v>
      </c>
      <c r="C73" s="175"/>
      <c r="D73" s="199"/>
      <c r="E73" s="48"/>
      <c r="F73" s="48"/>
      <c r="G73" s="200"/>
      <c r="H73" s="183" t="str">
        <f>IF(OR(ISNUMBER(H68),ISNUMBER(H70),ISNUMBER(H71),ISNUMBER(H72)),SUM(H68,H70:H72),"")</f>
        <v/>
      </c>
      <c r="I73" s="732"/>
      <c r="J73" s="732"/>
      <c r="K73" s="979"/>
    </row>
    <row r="74" spans="1:11" ht="15" customHeight="1" x14ac:dyDescent="0.25">
      <c r="A74" s="1046"/>
      <c r="B74" s="1029" t="s">
        <v>376</v>
      </c>
      <c r="C74" s="175"/>
      <c r="D74" s="199"/>
      <c r="E74" s="48"/>
      <c r="F74" s="48"/>
      <c r="G74" s="200"/>
      <c r="H74" s="202"/>
      <c r="I74" s="732"/>
      <c r="J74" s="732"/>
      <c r="K74" s="979"/>
    </row>
    <row r="75" spans="1:11" ht="15" customHeight="1" x14ac:dyDescent="0.25">
      <c r="A75" s="1046"/>
      <c r="B75" s="1034" t="s">
        <v>377</v>
      </c>
      <c r="C75" s="185"/>
      <c r="D75" s="203"/>
      <c r="E75" s="56"/>
      <c r="F75" s="56"/>
      <c r="G75" s="204"/>
      <c r="H75" s="189" t="str">
        <f>IF(AND(ISNUMBER(H73),ISNUMBER(H74)),MIN(H73,H74),"")</f>
        <v/>
      </c>
      <c r="I75" s="732"/>
      <c r="J75" s="732"/>
      <c r="K75" s="979"/>
    </row>
    <row r="76" spans="1:11" s="929" customFormat="1" ht="45" customHeight="1" x14ac:dyDescent="0.3">
      <c r="A76" s="728" t="s">
        <v>596</v>
      </c>
      <c r="B76" s="976"/>
      <c r="C76" s="1018"/>
      <c r="D76" s="1018"/>
      <c r="E76" s="1019"/>
      <c r="F76" s="732"/>
      <c r="G76" s="732"/>
      <c r="H76" s="732"/>
      <c r="I76" s="732"/>
      <c r="J76" s="732"/>
      <c r="K76" s="979"/>
    </row>
    <row r="77" spans="1:11" s="929" customFormat="1" ht="15" customHeight="1" x14ac:dyDescent="0.25">
      <c r="A77" s="1046"/>
      <c r="B77" s="1070"/>
      <c r="C77" s="1071"/>
      <c r="D77" s="1072"/>
      <c r="E77" s="1073"/>
      <c r="F77" s="1074"/>
      <c r="G77" s="1024"/>
      <c r="H77" s="1024"/>
      <c r="I77" s="732"/>
      <c r="J77" s="732"/>
      <c r="K77" s="979"/>
    </row>
    <row r="78" spans="1:11" ht="15" customHeight="1" x14ac:dyDescent="0.25">
      <c r="A78" s="1046"/>
      <c r="B78" s="205" t="s">
        <v>597</v>
      </c>
      <c r="C78" s="205"/>
      <c r="D78" s="206"/>
      <c r="E78" s="206"/>
      <c r="F78" s="206"/>
      <c r="G78" s="206"/>
      <c r="H78" s="207" t="str">
        <f>IF(C65="Yes",SUM(H53,H75),H53)</f>
        <v/>
      </c>
      <c r="I78" s="732"/>
      <c r="J78" s="732"/>
      <c r="K78" s="979"/>
    </row>
    <row r="79" spans="1:11" s="929" customFormat="1" ht="15" customHeight="1" x14ac:dyDescent="0.25">
      <c r="A79" s="1046"/>
      <c r="B79" s="1070"/>
      <c r="C79" s="1022"/>
      <c r="D79" s="1023"/>
      <c r="E79" s="1024"/>
      <c r="F79" s="1075"/>
      <c r="G79" s="1024"/>
      <c r="H79" s="1024"/>
      <c r="I79" s="732"/>
      <c r="J79" s="732"/>
      <c r="K79" s="979"/>
    </row>
    <row r="80" spans="1:11" s="929" customFormat="1" ht="30" customHeight="1" x14ac:dyDescent="0.3">
      <c r="A80" s="767" t="s">
        <v>52</v>
      </c>
      <c r="B80" s="768"/>
      <c r="C80" s="768"/>
      <c r="D80" s="768"/>
      <c r="E80" s="768"/>
      <c r="F80" s="768"/>
      <c r="G80" s="768"/>
      <c r="H80" s="768"/>
      <c r="I80" s="768"/>
      <c r="J80" s="768"/>
      <c r="K80" s="1017"/>
    </row>
    <row r="81" spans="1:11" s="929" customFormat="1" ht="30" customHeight="1" x14ac:dyDescent="0.3">
      <c r="A81" s="728" t="s">
        <v>316</v>
      </c>
      <c r="B81" s="976"/>
      <c r="C81" s="1018"/>
      <c r="D81" s="1018"/>
      <c r="E81" s="1019"/>
      <c r="F81" s="732"/>
      <c r="G81" s="732"/>
      <c r="H81" s="732"/>
      <c r="I81" s="732"/>
      <c r="J81" s="732"/>
      <c r="K81" s="979"/>
    </row>
    <row r="82" spans="1:11" s="929" customFormat="1" ht="45" customHeight="1" x14ac:dyDescent="0.3">
      <c r="A82" s="1732" t="s">
        <v>659</v>
      </c>
      <c r="B82" s="1733"/>
      <c r="C82" s="1733"/>
      <c r="D82" s="1733"/>
      <c r="E82" s="1733"/>
      <c r="F82" s="1733"/>
      <c r="G82" s="1733"/>
      <c r="H82" s="1733"/>
      <c r="I82" s="1733"/>
      <c r="J82" s="1733"/>
      <c r="K82" s="1734"/>
    </row>
    <row r="83" spans="1:11" ht="30" customHeight="1" x14ac:dyDescent="0.25">
      <c r="A83" s="1025"/>
      <c r="B83" s="984"/>
      <c r="C83" s="1562" t="s">
        <v>587</v>
      </c>
      <c r="D83" s="1562" t="s">
        <v>342</v>
      </c>
      <c r="E83" s="156"/>
      <c r="F83" s="156"/>
      <c r="G83" s="1562" t="s">
        <v>354</v>
      </c>
      <c r="H83" s="1027" t="s">
        <v>355</v>
      </c>
      <c r="I83" s="732"/>
      <c r="J83" s="732"/>
      <c r="K83" s="979"/>
    </row>
    <row r="84" spans="1:11" ht="15" customHeight="1" x14ac:dyDescent="0.25">
      <c r="A84" s="1025"/>
      <c r="B84" s="1028" t="s">
        <v>338</v>
      </c>
      <c r="C84" s="1036" t="s">
        <v>1800</v>
      </c>
      <c r="D84" s="209"/>
      <c r="E84" s="210"/>
      <c r="F84" s="210"/>
      <c r="G84" s="211" t="s">
        <v>379</v>
      </c>
      <c r="H84" s="212"/>
      <c r="I84" s="732"/>
      <c r="J84" s="732"/>
      <c r="K84" s="979"/>
    </row>
    <row r="85" spans="1:11" ht="15" customHeight="1" x14ac:dyDescent="0.25">
      <c r="A85" s="1025"/>
      <c r="B85" s="1030" t="s">
        <v>380</v>
      </c>
      <c r="C85" s="1036" t="s">
        <v>1801</v>
      </c>
      <c r="D85" s="214"/>
      <c r="E85" s="215"/>
      <c r="F85" s="215"/>
      <c r="G85" s="216"/>
      <c r="H85" s="217"/>
      <c r="I85" s="732"/>
      <c r="J85" s="732"/>
      <c r="K85" s="979"/>
    </row>
    <row r="86" spans="1:11" ht="15" customHeight="1" x14ac:dyDescent="0.25">
      <c r="A86" s="1025"/>
      <c r="B86" s="1076" t="s">
        <v>476</v>
      </c>
      <c r="C86" s="1036" t="s">
        <v>581</v>
      </c>
      <c r="D86" s="214"/>
      <c r="E86" s="215"/>
      <c r="F86" s="215"/>
      <c r="G86" s="216"/>
      <c r="H86" s="217"/>
      <c r="I86" s="732"/>
      <c r="J86" s="732"/>
      <c r="K86" s="979"/>
    </row>
    <row r="87" spans="1:11" ht="15" customHeight="1" x14ac:dyDescent="0.25">
      <c r="A87" s="1025"/>
      <c r="B87" s="1603" t="s">
        <v>458</v>
      </c>
      <c r="C87" s="1036">
        <v>78</v>
      </c>
      <c r="D87" s="219"/>
      <c r="E87" s="215"/>
      <c r="F87" s="215"/>
      <c r="G87" s="220"/>
      <c r="H87" s="217"/>
      <c r="I87" s="732"/>
      <c r="J87" s="732"/>
      <c r="K87" s="979"/>
    </row>
    <row r="88" spans="1:11" ht="15" customHeight="1" x14ac:dyDescent="0.25">
      <c r="A88" s="1025"/>
      <c r="B88" s="1077" t="s">
        <v>459</v>
      </c>
      <c r="C88" s="1036">
        <v>78</v>
      </c>
      <c r="D88" s="178"/>
      <c r="E88" s="221"/>
      <c r="F88" s="221"/>
      <c r="G88" s="324">
        <v>0.03</v>
      </c>
      <c r="H88" s="1080" t="str">
        <f>IF(AND(ISNUMBER(D88),ISNUMBER(G88)),D88*G88,"")</f>
        <v/>
      </c>
      <c r="I88" s="732"/>
      <c r="J88" s="732"/>
      <c r="K88" s="979"/>
    </row>
    <row r="89" spans="1:11" ht="15" customHeight="1" x14ac:dyDescent="0.25">
      <c r="A89" s="1025"/>
      <c r="B89" s="1077" t="s">
        <v>460</v>
      </c>
      <c r="C89" s="1036">
        <v>78</v>
      </c>
      <c r="D89" s="178"/>
      <c r="E89" s="221"/>
      <c r="F89" s="221"/>
      <c r="G89" s="324">
        <v>0.03</v>
      </c>
      <c r="H89" s="1080" t="str">
        <f>IF(AND(ISNUMBER(D89),ISNUMBER(G89)),D89*G89,"")</f>
        <v/>
      </c>
      <c r="I89" s="732"/>
      <c r="J89" s="732"/>
      <c r="K89" s="979"/>
    </row>
    <row r="90" spans="1:11" ht="15" customHeight="1" x14ac:dyDescent="0.25">
      <c r="A90" s="1025"/>
      <c r="B90" s="1603" t="s">
        <v>461</v>
      </c>
      <c r="C90" s="1036">
        <v>75</v>
      </c>
      <c r="D90" s="224"/>
      <c r="E90" s="221"/>
      <c r="F90" s="221"/>
      <c r="G90" s="225"/>
      <c r="H90" s="217"/>
      <c r="I90" s="732"/>
      <c r="J90" s="732"/>
      <c r="K90" s="979"/>
    </row>
    <row r="91" spans="1:11" ht="15" customHeight="1" x14ac:dyDescent="0.25">
      <c r="A91" s="1025"/>
      <c r="B91" s="1077" t="s">
        <v>459</v>
      </c>
      <c r="C91" s="1036">
        <v>75</v>
      </c>
      <c r="D91" s="172"/>
      <c r="E91" s="221"/>
      <c r="F91" s="221"/>
      <c r="G91" s="324">
        <v>0.05</v>
      </c>
      <c r="H91" s="1080" t="str">
        <f>IF(AND(ISNUMBER(D91),ISNUMBER(G91)),D91*G91,"")</f>
        <v/>
      </c>
      <c r="I91" s="732"/>
      <c r="J91" s="732"/>
      <c r="K91" s="979"/>
    </row>
    <row r="92" spans="1:11" ht="15" customHeight="1" x14ac:dyDescent="0.25">
      <c r="A92" s="1025"/>
      <c r="B92" s="1077" t="s">
        <v>460</v>
      </c>
      <c r="C92" s="1036">
        <v>75</v>
      </c>
      <c r="D92" s="172"/>
      <c r="E92" s="221"/>
      <c r="F92" s="221"/>
      <c r="G92" s="324">
        <v>0.05</v>
      </c>
      <c r="H92" s="1080" t="str">
        <f>IF(AND(ISNUMBER(D92),ISNUMBER(G92)),D92*G92,"")</f>
        <v/>
      </c>
      <c r="I92" s="732"/>
      <c r="J92" s="732"/>
      <c r="K92" s="979"/>
    </row>
    <row r="93" spans="1:11" ht="29.25" customHeight="1" x14ac:dyDescent="0.25">
      <c r="A93" s="1025"/>
      <c r="B93" s="1076" t="s">
        <v>477</v>
      </c>
      <c r="C93" s="1036" t="s">
        <v>581</v>
      </c>
      <c r="D93" s="226"/>
      <c r="E93" s="221"/>
      <c r="F93" s="221"/>
      <c r="G93" s="216"/>
      <c r="H93" s="217"/>
      <c r="I93" s="732"/>
      <c r="J93" s="732"/>
      <c r="K93" s="979"/>
    </row>
    <row r="94" spans="1:11" ht="15" customHeight="1" x14ac:dyDescent="0.25">
      <c r="A94" s="1025"/>
      <c r="B94" s="1603" t="s">
        <v>458</v>
      </c>
      <c r="C94" s="1036">
        <v>78</v>
      </c>
      <c r="D94" s="224"/>
      <c r="E94" s="221"/>
      <c r="F94" s="221"/>
      <c r="G94" s="220"/>
      <c r="H94" s="217"/>
      <c r="I94" s="732"/>
      <c r="J94" s="732"/>
      <c r="K94" s="979"/>
    </row>
    <row r="95" spans="1:11" ht="15" customHeight="1" x14ac:dyDescent="0.25">
      <c r="A95" s="1025"/>
      <c r="B95" s="1077" t="s">
        <v>459</v>
      </c>
      <c r="C95" s="227"/>
      <c r="D95" s="178"/>
      <c r="E95" s="221"/>
      <c r="F95" s="221"/>
      <c r="G95" s="324">
        <v>0.03</v>
      </c>
      <c r="H95" s="1080" t="str">
        <f>IF(AND(ISNUMBER(D95),ISNUMBER(G95)),D95*G95,"")</f>
        <v/>
      </c>
      <c r="I95" s="732"/>
      <c r="J95" s="732"/>
      <c r="K95" s="979"/>
    </row>
    <row r="96" spans="1:11" ht="15" customHeight="1" x14ac:dyDescent="0.25">
      <c r="A96" s="1025"/>
      <c r="B96" s="1077" t="s">
        <v>460</v>
      </c>
      <c r="C96" s="227"/>
      <c r="D96" s="178"/>
      <c r="E96" s="221"/>
      <c r="F96" s="221"/>
      <c r="G96" s="324">
        <v>0.03</v>
      </c>
      <c r="H96" s="1080" t="str">
        <f>IF(AND(ISNUMBER(D96),ISNUMBER(G96)),D96*G96,"")</f>
        <v/>
      </c>
      <c r="I96" s="732"/>
      <c r="J96" s="732"/>
      <c r="K96" s="979"/>
    </row>
    <row r="97" spans="1:11" ht="15" customHeight="1" x14ac:dyDescent="0.25">
      <c r="A97" s="1025"/>
      <c r="B97" s="1603" t="s">
        <v>461</v>
      </c>
      <c r="C97" s="1036">
        <v>75</v>
      </c>
      <c r="D97" s="224"/>
      <c r="E97" s="221"/>
      <c r="F97" s="221"/>
      <c r="G97" s="220"/>
      <c r="H97" s="217"/>
      <c r="I97" s="732"/>
      <c r="J97" s="732"/>
      <c r="K97" s="979"/>
    </row>
    <row r="98" spans="1:11" ht="15" customHeight="1" x14ac:dyDescent="0.25">
      <c r="A98" s="1025"/>
      <c r="B98" s="1077" t="s">
        <v>459</v>
      </c>
      <c r="C98" s="227"/>
      <c r="D98" s="172"/>
      <c r="E98" s="221"/>
      <c r="F98" s="221"/>
      <c r="G98" s="324">
        <v>0.05</v>
      </c>
      <c r="H98" s="1080" t="str">
        <f>IF(AND(ISNUMBER(D98),ISNUMBER(G98)),D98*G98,"")</f>
        <v/>
      </c>
      <c r="I98" s="732"/>
      <c r="J98" s="732"/>
      <c r="K98" s="979"/>
    </row>
    <row r="99" spans="1:11" ht="15" customHeight="1" x14ac:dyDescent="0.25">
      <c r="A99" s="1025"/>
      <c r="B99" s="1077" t="s">
        <v>460</v>
      </c>
      <c r="C99" s="227"/>
      <c r="D99" s="172"/>
      <c r="E99" s="221"/>
      <c r="F99" s="221"/>
      <c r="G99" s="324">
        <v>0.05</v>
      </c>
      <c r="H99" s="1080" t="str">
        <f>IF(AND(ISNUMBER(D99),ISNUMBER(G99)),D99*G99,"")</f>
        <v/>
      </c>
      <c r="I99" s="732"/>
      <c r="J99" s="732"/>
      <c r="K99" s="979"/>
    </row>
    <row r="100" spans="1:11" ht="15" customHeight="1" x14ac:dyDescent="0.25">
      <c r="A100" s="1025"/>
      <c r="B100" s="1076" t="s">
        <v>381</v>
      </c>
      <c r="C100" s="1036">
        <v>79</v>
      </c>
      <c r="D100" s="172"/>
      <c r="E100" s="221"/>
      <c r="F100" s="221"/>
      <c r="G100" s="324">
        <v>0.1</v>
      </c>
      <c r="H100" s="1080" t="str">
        <f>IF(AND(ISNUMBER(D100),ISNUMBER(G100)),D100*G100,"")</f>
        <v/>
      </c>
      <c r="I100" s="732"/>
      <c r="J100" s="732"/>
      <c r="K100" s="979"/>
    </row>
    <row r="101" spans="1:11" ht="15" customHeight="1" x14ac:dyDescent="0.25">
      <c r="A101" s="1025"/>
      <c r="B101" s="1030" t="s">
        <v>382</v>
      </c>
      <c r="C101" s="1036">
        <v>79</v>
      </c>
      <c r="D101" s="172"/>
      <c r="E101" s="221"/>
      <c r="F101" s="221"/>
      <c r="G101" s="324">
        <v>0.1</v>
      </c>
      <c r="H101" s="1080" t="str">
        <f>IF(AND(ISNUMBER(D101),ISNUMBER(G101)),D101*G101,"")</f>
        <v/>
      </c>
      <c r="I101" s="732"/>
      <c r="J101" s="732"/>
      <c r="K101" s="979"/>
    </row>
    <row r="102" spans="1:11" ht="15" customHeight="1" x14ac:dyDescent="0.25">
      <c r="A102" s="1025"/>
      <c r="B102" s="1030" t="s">
        <v>383</v>
      </c>
      <c r="C102" s="1036">
        <v>79</v>
      </c>
      <c r="D102" s="214"/>
      <c r="E102" s="221"/>
      <c r="F102" s="221"/>
      <c r="G102" s="228"/>
      <c r="H102" s="229"/>
      <c r="I102" s="732"/>
      <c r="J102" s="732"/>
      <c r="K102" s="979"/>
    </row>
    <row r="103" spans="1:11" ht="15" customHeight="1" x14ac:dyDescent="0.25">
      <c r="A103" s="1025"/>
      <c r="B103" s="1078" t="str">
        <f>Parameters!B50</f>
        <v>Category 1</v>
      </c>
      <c r="C103" s="230"/>
      <c r="D103" s="178"/>
      <c r="E103" s="221"/>
      <c r="F103" s="221"/>
      <c r="G103" s="324">
        <f>Parameters!F50</f>
        <v>0</v>
      </c>
      <c r="H103" s="1080" t="str">
        <f>IF(AND(ISNUMBER(D103),ISNUMBER(G103)),D103*G103,"")</f>
        <v/>
      </c>
      <c r="I103" s="732"/>
      <c r="J103" s="732"/>
      <c r="K103" s="979"/>
    </row>
    <row r="104" spans="1:11" ht="15" customHeight="1" x14ac:dyDescent="0.25">
      <c r="A104" s="1025"/>
      <c r="B104" s="1078" t="str">
        <f>Parameters!B51</f>
        <v>Category 2</v>
      </c>
      <c r="C104" s="230"/>
      <c r="D104" s="178"/>
      <c r="E104" s="221"/>
      <c r="F104" s="221"/>
      <c r="G104" s="324">
        <f>Parameters!F51</f>
        <v>0</v>
      </c>
      <c r="H104" s="1080" t="str">
        <f>IF(AND(ISNUMBER(D104),ISNUMBER(G104)),D104*G104,"")</f>
        <v/>
      </c>
      <c r="I104" s="732"/>
      <c r="J104" s="732"/>
      <c r="K104" s="979"/>
    </row>
    <row r="105" spans="1:11" ht="15" customHeight="1" x14ac:dyDescent="0.25">
      <c r="A105" s="1025"/>
      <c r="B105" s="1078" t="str">
        <f>Parameters!B52</f>
        <v>Category 3</v>
      </c>
      <c r="C105" s="230"/>
      <c r="D105" s="178"/>
      <c r="E105" s="221"/>
      <c r="F105" s="221"/>
      <c r="G105" s="324">
        <f>Parameters!F52</f>
        <v>0</v>
      </c>
      <c r="H105" s="1080" t="str">
        <f>IF(AND(ISNUMBER(D105),ISNUMBER(G105)),D105*G105,"")</f>
        <v/>
      </c>
      <c r="I105" s="732"/>
      <c r="J105" s="732"/>
      <c r="K105" s="979"/>
    </row>
    <row r="106" spans="1:11" ht="15" customHeight="1" x14ac:dyDescent="0.25">
      <c r="A106" s="1025"/>
      <c r="B106" s="1030" t="s">
        <v>462</v>
      </c>
      <c r="C106" s="1036" t="s">
        <v>582</v>
      </c>
      <c r="D106" s="214"/>
      <c r="E106" s="221"/>
      <c r="F106" s="221"/>
      <c r="G106" s="228"/>
      <c r="H106" s="229"/>
      <c r="I106" s="732"/>
      <c r="J106" s="732"/>
      <c r="K106" s="979"/>
    </row>
    <row r="107" spans="1:11" ht="15" customHeight="1" x14ac:dyDescent="0.25">
      <c r="A107" s="1025"/>
      <c r="B107" s="1076" t="s">
        <v>387</v>
      </c>
      <c r="C107" s="1036">
        <v>84</v>
      </c>
      <c r="D107" s="178"/>
      <c r="E107" s="221"/>
      <c r="F107" s="221"/>
      <c r="G107" s="324">
        <f>Parameters!F53</f>
        <v>0</v>
      </c>
      <c r="H107" s="1080" t="str">
        <f>IF(AND(ISNUMBER(D107),ISNUMBER(G107)),D107*G107,"")</f>
        <v/>
      </c>
      <c r="I107" s="732"/>
      <c r="J107" s="732"/>
      <c r="K107" s="979"/>
    </row>
    <row r="108" spans="1:11" ht="15" customHeight="1" x14ac:dyDescent="0.25">
      <c r="A108" s="1025"/>
      <c r="B108" s="1079" t="s">
        <v>388</v>
      </c>
      <c r="C108" s="1039">
        <v>82</v>
      </c>
      <c r="D108" s="173"/>
      <c r="E108" s="231"/>
      <c r="F108" s="231"/>
      <c r="G108" s="1081">
        <v>0</v>
      </c>
      <c r="H108" s="1082" t="str">
        <f>IF(AND(ISNUMBER(D108),ISNUMBER(G108)),D108*G108,"")</f>
        <v/>
      </c>
      <c r="I108" s="732"/>
      <c r="J108" s="732"/>
      <c r="K108" s="979"/>
    </row>
    <row r="109" spans="1:11" ht="15" customHeight="1" x14ac:dyDescent="0.25">
      <c r="A109" s="1025"/>
      <c r="B109" s="1061" t="s">
        <v>389</v>
      </c>
      <c r="C109" s="234"/>
      <c r="D109" s="235"/>
      <c r="E109" s="236"/>
      <c r="F109" s="236"/>
      <c r="G109" s="237"/>
      <c r="H109" s="1083" t="str">
        <f>IF(AND(ISNUMBER(H91),ISNUMBER(H92),ISNUMBER(H98),ISNUMBER(H99),ISNUMBER(H100),ISNUMBER(H101),ISNUMBER(H108)),SUM(H88:H89,H91:H92,H95:H96,H98:H101,H103:H105,H107:H108),"")</f>
        <v/>
      </c>
      <c r="I109" s="732"/>
      <c r="J109" s="732"/>
      <c r="K109" s="979"/>
    </row>
    <row r="110" spans="1:11" s="929" customFormat="1" ht="60" customHeight="1" x14ac:dyDescent="0.3">
      <c r="A110" s="1732" t="s">
        <v>660</v>
      </c>
      <c r="B110" s="1733"/>
      <c r="C110" s="1733"/>
      <c r="D110" s="1733"/>
      <c r="E110" s="1733"/>
      <c r="F110" s="1733"/>
      <c r="G110" s="1733"/>
      <c r="H110" s="1733"/>
      <c r="I110" s="1733"/>
      <c r="J110" s="1733"/>
      <c r="K110" s="1734"/>
    </row>
    <row r="111" spans="1:11" ht="30" customHeight="1" x14ac:dyDescent="0.25">
      <c r="A111" s="1025"/>
      <c r="B111" s="984"/>
      <c r="C111" s="1562" t="s">
        <v>587</v>
      </c>
      <c r="D111" s="1562" t="s">
        <v>342</v>
      </c>
      <c r="E111" s="156"/>
      <c r="F111" s="156"/>
      <c r="G111" s="1562" t="s">
        <v>354</v>
      </c>
      <c r="H111" s="1027" t="s">
        <v>355</v>
      </c>
      <c r="I111" s="732"/>
      <c r="J111" s="732"/>
      <c r="K111" s="979"/>
    </row>
    <row r="112" spans="1:11" ht="15" customHeight="1" x14ac:dyDescent="0.25">
      <c r="A112" s="1025"/>
      <c r="B112" s="334" t="s">
        <v>390</v>
      </c>
      <c r="C112" s="1035" t="s">
        <v>463</v>
      </c>
      <c r="D112" s="238"/>
      <c r="E112" s="239"/>
      <c r="F112" s="239"/>
      <c r="G112" s="238"/>
      <c r="H112" s="240"/>
      <c r="I112" s="732"/>
      <c r="J112" s="732"/>
      <c r="K112" s="979"/>
    </row>
    <row r="113" spans="1:11" ht="15" customHeight="1" x14ac:dyDescent="0.25">
      <c r="A113" s="1025"/>
      <c r="B113" s="1030" t="s">
        <v>391</v>
      </c>
      <c r="C113" s="241" t="s">
        <v>464</v>
      </c>
      <c r="D113" s="242"/>
      <c r="E113" s="221"/>
      <c r="F113" s="221"/>
      <c r="G113" s="242" t="s">
        <v>379</v>
      </c>
      <c r="H113" s="243"/>
      <c r="I113" s="732"/>
      <c r="J113" s="732"/>
      <c r="K113" s="979"/>
    </row>
    <row r="114" spans="1:11" ht="15" customHeight="1" x14ac:dyDescent="0.25">
      <c r="A114" s="1025"/>
      <c r="B114" s="1076" t="s">
        <v>380</v>
      </c>
      <c r="C114" s="241" t="s">
        <v>465</v>
      </c>
      <c r="D114" s="242"/>
      <c r="E114" s="221"/>
      <c r="F114" s="221"/>
      <c r="G114" s="242"/>
      <c r="H114" s="243"/>
      <c r="I114" s="732"/>
      <c r="J114" s="732"/>
      <c r="K114" s="979"/>
    </row>
    <row r="115" spans="1:11" ht="15" customHeight="1" x14ac:dyDescent="0.25">
      <c r="A115" s="1025"/>
      <c r="B115" s="1084" t="s">
        <v>476</v>
      </c>
      <c r="C115" s="1036" t="s">
        <v>466</v>
      </c>
      <c r="D115" s="224"/>
      <c r="E115" s="221"/>
      <c r="F115" s="221"/>
      <c r="G115" s="225"/>
      <c r="H115" s="217"/>
      <c r="I115" s="732"/>
      <c r="J115" s="732"/>
      <c r="K115" s="979"/>
    </row>
    <row r="116" spans="1:11" ht="15" customHeight="1" x14ac:dyDescent="0.25">
      <c r="A116" s="1025"/>
      <c r="B116" s="1077" t="s">
        <v>458</v>
      </c>
      <c r="C116" s="1036" t="s">
        <v>467</v>
      </c>
      <c r="D116" s="224"/>
      <c r="E116" s="221"/>
      <c r="F116" s="221"/>
      <c r="G116" s="225"/>
      <c r="H116" s="217"/>
      <c r="I116" s="732"/>
      <c r="J116" s="732"/>
      <c r="K116" s="979"/>
    </row>
    <row r="117" spans="1:11" ht="15" customHeight="1" x14ac:dyDescent="0.25">
      <c r="A117" s="1025"/>
      <c r="B117" s="1085" t="s">
        <v>459</v>
      </c>
      <c r="C117" s="1036" t="s">
        <v>467</v>
      </c>
      <c r="D117" s="178"/>
      <c r="E117" s="221"/>
      <c r="F117" s="221"/>
      <c r="G117" s="324">
        <v>0.03</v>
      </c>
      <c r="H117" s="1080" t="str">
        <f>IF(AND(ISNUMBER(D117),ISNUMBER(G117)),D117*G117,"")</f>
        <v/>
      </c>
      <c r="I117" s="732"/>
      <c r="J117" s="732"/>
      <c r="K117" s="979"/>
    </row>
    <row r="118" spans="1:11" ht="15" customHeight="1" x14ac:dyDescent="0.25">
      <c r="A118" s="1025"/>
      <c r="B118" s="1085" t="s">
        <v>460</v>
      </c>
      <c r="C118" s="1036" t="s">
        <v>467</v>
      </c>
      <c r="D118" s="178"/>
      <c r="E118" s="221"/>
      <c r="F118" s="221"/>
      <c r="G118" s="324">
        <v>0.03</v>
      </c>
      <c r="H118" s="1080" t="str">
        <f>IF(AND(ISNUMBER(D118),ISNUMBER(G118)),D118*G118,"")</f>
        <v/>
      </c>
      <c r="I118" s="732"/>
      <c r="J118" s="732"/>
      <c r="K118" s="979"/>
    </row>
    <row r="119" spans="1:11" ht="15" customHeight="1" x14ac:dyDescent="0.25">
      <c r="A119" s="1025"/>
      <c r="B119" s="1077" t="s">
        <v>461</v>
      </c>
      <c r="C119" s="1036" t="s">
        <v>468</v>
      </c>
      <c r="D119" s="224"/>
      <c r="E119" s="221"/>
      <c r="F119" s="221"/>
      <c r="G119" s="225"/>
      <c r="H119" s="217"/>
      <c r="I119" s="732"/>
      <c r="J119" s="732"/>
      <c r="K119" s="979"/>
    </row>
    <row r="120" spans="1:11" ht="15" customHeight="1" x14ac:dyDescent="0.25">
      <c r="A120" s="1025"/>
      <c r="B120" s="1085" t="s">
        <v>459</v>
      </c>
      <c r="C120" s="1036" t="s">
        <v>468</v>
      </c>
      <c r="D120" s="172"/>
      <c r="E120" s="221"/>
      <c r="F120" s="221"/>
      <c r="G120" s="324">
        <v>0.05</v>
      </c>
      <c r="H120" s="1080" t="str">
        <f>IF(AND(ISNUMBER(D120),ISNUMBER(G120)),D120*G120,"")</f>
        <v/>
      </c>
      <c r="I120" s="732"/>
      <c r="J120" s="732"/>
      <c r="K120" s="979"/>
    </row>
    <row r="121" spans="1:11" ht="15" customHeight="1" x14ac:dyDescent="0.25">
      <c r="A121" s="1025"/>
      <c r="B121" s="1085" t="s">
        <v>460</v>
      </c>
      <c r="C121" s="1036" t="s">
        <v>468</v>
      </c>
      <c r="D121" s="172"/>
      <c r="E121" s="221"/>
      <c r="F121" s="221"/>
      <c r="G121" s="324">
        <v>0.05</v>
      </c>
      <c r="H121" s="1080" t="str">
        <f>IF(AND(ISNUMBER(D121),ISNUMBER(G121)),D121*G121,"")</f>
        <v/>
      </c>
      <c r="I121" s="732"/>
      <c r="J121" s="732"/>
      <c r="K121" s="979"/>
    </row>
    <row r="122" spans="1:11" ht="30" customHeight="1" x14ac:dyDescent="0.25">
      <c r="A122" s="1025"/>
      <c r="B122" s="1084" t="s">
        <v>477</v>
      </c>
      <c r="C122" s="1036" t="s">
        <v>466</v>
      </c>
      <c r="D122" s="224"/>
      <c r="E122" s="221"/>
      <c r="F122" s="221"/>
      <c r="G122" s="225"/>
      <c r="H122" s="217"/>
      <c r="I122" s="732"/>
      <c r="J122" s="732"/>
      <c r="K122" s="979"/>
    </row>
    <row r="123" spans="1:11" ht="15" customHeight="1" x14ac:dyDescent="0.25">
      <c r="A123" s="1025"/>
      <c r="B123" s="1077" t="s">
        <v>458</v>
      </c>
      <c r="C123" s="1036" t="s">
        <v>467</v>
      </c>
      <c r="D123" s="224"/>
      <c r="E123" s="221"/>
      <c r="F123" s="221"/>
      <c r="G123" s="225"/>
      <c r="H123" s="217"/>
      <c r="I123" s="732"/>
      <c r="J123" s="732"/>
      <c r="K123" s="979"/>
    </row>
    <row r="124" spans="1:11" ht="15" customHeight="1" x14ac:dyDescent="0.25">
      <c r="A124" s="1025"/>
      <c r="B124" s="1085" t="s">
        <v>459</v>
      </c>
      <c r="C124" s="1036" t="s">
        <v>467</v>
      </c>
      <c r="D124" s="178"/>
      <c r="E124" s="221"/>
      <c r="F124" s="221"/>
      <c r="G124" s="324">
        <v>0.03</v>
      </c>
      <c r="H124" s="1080" t="str">
        <f>IF(AND(ISNUMBER(D124),ISNUMBER(G124)),D124*G124,"")</f>
        <v/>
      </c>
      <c r="I124" s="732"/>
      <c r="J124" s="732"/>
      <c r="K124" s="979"/>
    </row>
    <row r="125" spans="1:11" ht="15" customHeight="1" x14ac:dyDescent="0.25">
      <c r="A125" s="1025"/>
      <c r="B125" s="1085" t="s">
        <v>460</v>
      </c>
      <c r="C125" s="1036" t="s">
        <v>467</v>
      </c>
      <c r="D125" s="178"/>
      <c r="E125" s="221"/>
      <c r="F125" s="221"/>
      <c r="G125" s="324">
        <v>0.03</v>
      </c>
      <c r="H125" s="1080" t="str">
        <f>IF(AND(ISNUMBER(D125),ISNUMBER(G125)),D125*G125,"")</f>
        <v/>
      </c>
      <c r="I125" s="732"/>
      <c r="J125" s="732"/>
      <c r="K125" s="979"/>
    </row>
    <row r="126" spans="1:11" ht="15" customHeight="1" x14ac:dyDescent="0.25">
      <c r="A126" s="1025"/>
      <c r="B126" s="1077" t="s">
        <v>461</v>
      </c>
      <c r="C126" s="1036" t="s">
        <v>468</v>
      </c>
      <c r="D126" s="224"/>
      <c r="E126" s="221"/>
      <c r="F126" s="221"/>
      <c r="G126" s="225"/>
      <c r="H126" s="217"/>
      <c r="I126" s="732"/>
      <c r="J126" s="732"/>
      <c r="K126" s="979"/>
    </row>
    <row r="127" spans="1:11" ht="15" customHeight="1" x14ac:dyDescent="0.25">
      <c r="A127" s="1025"/>
      <c r="B127" s="1085" t="s">
        <v>459</v>
      </c>
      <c r="C127" s="1036" t="s">
        <v>468</v>
      </c>
      <c r="D127" s="172"/>
      <c r="E127" s="221"/>
      <c r="F127" s="221"/>
      <c r="G127" s="324">
        <v>0.05</v>
      </c>
      <c r="H127" s="1080" t="str">
        <f>IF(AND(ISNUMBER(D127),ISNUMBER(G127)),D127*G127,"")</f>
        <v/>
      </c>
      <c r="I127" s="732"/>
      <c r="J127" s="732"/>
      <c r="K127" s="979"/>
    </row>
    <row r="128" spans="1:11" ht="15" customHeight="1" x14ac:dyDescent="0.25">
      <c r="A128" s="1025"/>
      <c r="B128" s="1085" t="s">
        <v>460</v>
      </c>
      <c r="C128" s="1036" t="s">
        <v>468</v>
      </c>
      <c r="D128" s="172"/>
      <c r="E128" s="221"/>
      <c r="F128" s="221"/>
      <c r="G128" s="324">
        <v>0.05</v>
      </c>
      <c r="H128" s="1080" t="str">
        <f>IF(AND(ISNUMBER(D128),ISNUMBER(G128)),D128*G128,"")</f>
        <v/>
      </c>
      <c r="I128" s="732"/>
      <c r="J128" s="732"/>
      <c r="K128" s="979"/>
    </row>
    <row r="129" spans="1:11" ht="15" customHeight="1" x14ac:dyDescent="0.25">
      <c r="A129" s="1025"/>
      <c r="B129" s="1084" t="s">
        <v>381</v>
      </c>
      <c r="C129" s="1036" t="s">
        <v>469</v>
      </c>
      <c r="D129" s="244"/>
      <c r="E129" s="221"/>
      <c r="F129" s="221"/>
      <c r="G129" s="324">
        <v>0.1</v>
      </c>
      <c r="H129" s="1080" t="str">
        <f>IF(AND(ISNUMBER(D129),ISNUMBER(G129)),D129*G129,"")</f>
        <v/>
      </c>
      <c r="I129" s="732"/>
      <c r="J129" s="732"/>
      <c r="K129" s="979"/>
    </row>
    <row r="130" spans="1:11" ht="15" customHeight="1" x14ac:dyDescent="0.25">
      <c r="A130" s="1025"/>
      <c r="B130" s="1076" t="s">
        <v>382</v>
      </c>
      <c r="C130" s="1036" t="s">
        <v>469</v>
      </c>
      <c r="D130" s="244"/>
      <c r="E130" s="221"/>
      <c r="F130" s="221"/>
      <c r="G130" s="324">
        <v>0.1</v>
      </c>
      <c r="H130" s="1080" t="str">
        <f>IF(AND(ISNUMBER(D130),ISNUMBER(G130)),D130*G130,"")</f>
        <v/>
      </c>
      <c r="I130" s="732"/>
      <c r="J130" s="732"/>
      <c r="K130" s="979"/>
    </row>
    <row r="131" spans="1:11" ht="15" customHeight="1" x14ac:dyDescent="0.25">
      <c r="A131" s="1025"/>
      <c r="B131" s="1076" t="s">
        <v>383</v>
      </c>
      <c r="C131" s="1036" t="s">
        <v>469</v>
      </c>
      <c r="D131" s="242"/>
      <c r="E131" s="221"/>
      <c r="F131" s="221"/>
      <c r="G131" s="242"/>
      <c r="H131" s="243"/>
      <c r="I131" s="732"/>
      <c r="J131" s="732"/>
      <c r="K131" s="979"/>
    </row>
    <row r="132" spans="1:11" ht="15" customHeight="1" x14ac:dyDescent="0.25">
      <c r="A132" s="1025"/>
      <c r="B132" s="1086" t="str">
        <f>Parameters!B50</f>
        <v>Category 1</v>
      </c>
      <c r="C132" s="230"/>
      <c r="D132" s="178"/>
      <c r="E132" s="221"/>
      <c r="F132" s="221"/>
      <c r="G132" s="324">
        <f>Parameters!G50</f>
        <v>0</v>
      </c>
      <c r="H132" s="1080" t="str">
        <f>IF(AND(ISNUMBER(D132),ISNUMBER(G132)),D132*G132,"")</f>
        <v/>
      </c>
      <c r="I132" s="732"/>
      <c r="J132" s="732"/>
      <c r="K132" s="979"/>
    </row>
    <row r="133" spans="1:11" ht="15" customHeight="1" x14ac:dyDescent="0.25">
      <c r="A133" s="1025"/>
      <c r="B133" s="1086" t="str">
        <f>Parameters!B51</f>
        <v>Category 2</v>
      </c>
      <c r="C133" s="230"/>
      <c r="D133" s="178"/>
      <c r="E133" s="221"/>
      <c r="F133" s="221"/>
      <c r="G133" s="324">
        <f>Parameters!G51</f>
        <v>0</v>
      </c>
      <c r="H133" s="1080" t="str">
        <f>IF(AND(ISNUMBER(D133),ISNUMBER(G133)),D133*G133,"")</f>
        <v/>
      </c>
      <c r="I133" s="732"/>
      <c r="J133" s="732"/>
      <c r="K133" s="979"/>
    </row>
    <row r="134" spans="1:11" ht="15" customHeight="1" x14ac:dyDescent="0.25">
      <c r="A134" s="1025"/>
      <c r="B134" s="1086" t="str">
        <f>Parameters!B52</f>
        <v>Category 3</v>
      </c>
      <c r="C134" s="230"/>
      <c r="D134" s="178"/>
      <c r="E134" s="221"/>
      <c r="F134" s="221"/>
      <c r="G134" s="324">
        <f>Parameters!G52</f>
        <v>0</v>
      </c>
      <c r="H134" s="1080" t="str">
        <f>IF(AND(ISNUMBER(D134),ISNUMBER(G134)),D134*G134,"")</f>
        <v/>
      </c>
      <c r="I134" s="732"/>
      <c r="J134" s="732"/>
      <c r="K134" s="979"/>
    </row>
    <row r="135" spans="1:11" ht="15" customHeight="1" x14ac:dyDescent="0.25">
      <c r="A135" s="1025"/>
      <c r="B135" s="1076" t="s">
        <v>478</v>
      </c>
      <c r="C135" s="1036" t="s">
        <v>470</v>
      </c>
      <c r="D135" s="242"/>
      <c r="E135" s="221"/>
      <c r="F135" s="221"/>
      <c r="G135" s="242"/>
      <c r="H135" s="243"/>
      <c r="I135" s="732"/>
      <c r="J135" s="732"/>
      <c r="K135" s="979"/>
    </row>
    <row r="136" spans="1:11" ht="15" customHeight="1" x14ac:dyDescent="0.25">
      <c r="A136" s="1025"/>
      <c r="B136" s="1084" t="s">
        <v>387</v>
      </c>
      <c r="C136" s="1036" t="s">
        <v>471</v>
      </c>
      <c r="D136" s="178"/>
      <c r="E136" s="221"/>
      <c r="F136" s="221"/>
      <c r="G136" s="324">
        <f>Parameters!G53</f>
        <v>0</v>
      </c>
      <c r="H136" s="1080" t="str">
        <f>IF(AND(ISNUMBER(D136),ISNUMBER(G136)),D136*G136,"")</f>
        <v/>
      </c>
      <c r="I136" s="732"/>
      <c r="J136" s="732"/>
      <c r="K136" s="979"/>
    </row>
    <row r="137" spans="1:11" ht="15" customHeight="1" x14ac:dyDescent="0.25">
      <c r="A137" s="1025"/>
      <c r="B137" s="1084" t="s">
        <v>26</v>
      </c>
      <c r="C137" s="1036" t="s">
        <v>472</v>
      </c>
      <c r="D137" s="244"/>
      <c r="E137" s="221"/>
      <c r="F137" s="221"/>
      <c r="G137" s="324">
        <v>0</v>
      </c>
      <c r="H137" s="1080" t="str">
        <f>IF(AND(ISNUMBER(D137),ISNUMBER(G137)),D137*G137,"")</f>
        <v/>
      </c>
      <c r="I137" s="732"/>
      <c r="J137" s="732"/>
      <c r="K137" s="979"/>
    </row>
    <row r="138" spans="1:11" ht="15" customHeight="1" x14ac:dyDescent="0.25">
      <c r="A138" s="1025"/>
      <c r="B138" s="1030" t="s">
        <v>392</v>
      </c>
      <c r="C138" s="1036" t="s">
        <v>473</v>
      </c>
      <c r="D138" s="242"/>
      <c r="E138" s="221"/>
      <c r="F138" s="221"/>
      <c r="G138" s="242"/>
      <c r="H138" s="245"/>
      <c r="I138" s="732"/>
      <c r="J138" s="732"/>
      <c r="K138" s="979"/>
    </row>
    <row r="139" spans="1:11" ht="15" customHeight="1" x14ac:dyDescent="0.25">
      <c r="A139" s="1025"/>
      <c r="B139" s="1076" t="s">
        <v>393</v>
      </c>
      <c r="C139" s="1036" t="s">
        <v>473</v>
      </c>
      <c r="D139" s="242"/>
      <c r="E139" s="221"/>
      <c r="F139" s="221"/>
      <c r="G139" s="242"/>
      <c r="H139" s="245"/>
      <c r="I139" s="732"/>
      <c r="J139" s="732"/>
      <c r="K139" s="979"/>
    </row>
    <row r="140" spans="1:11" ht="15" customHeight="1" x14ac:dyDescent="0.25">
      <c r="A140" s="1025"/>
      <c r="B140" s="1084" t="s">
        <v>612</v>
      </c>
      <c r="C140" s="1036">
        <v>104</v>
      </c>
      <c r="D140" s="178"/>
      <c r="E140" s="221"/>
      <c r="F140" s="221"/>
      <c r="G140" s="324">
        <v>0.03</v>
      </c>
      <c r="H140" s="1080" t="str">
        <f>IF(AND(ISNUMBER(D140),ISNUMBER(G140)),D140*G140,"")</f>
        <v/>
      </c>
      <c r="I140" s="732"/>
      <c r="J140" s="732"/>
      <c r="K140" s="979"/>
    </row>
    <row r="141" spans="1:11" ht="15" customHeight="1" x14ac:dyDescent="0.25">
      <c r="A141" s="1025"/>
      <c r="B141" s="1084" t="s">
        <v>613</v>
      </c>
      <c r="C141" s="1036">
        <v>104</v>
      </c>
      <c r="D141" s="244"/>
      <c r="E141" s="221"/>
      <c r="F141" s="221"/>
      <c r="G141" s="324">
        <v>0.05</v>
      </c>
      <c r="H141" s="1080" t="str">
        <f>IF(AND(ISNUMBER(D141),ISNUMBER(G141)),D141*G141,"")</f>
        <v/>
      </c>
      <c r="I141" s="732"/>
      <c r="J141" s="732"/>
      <c r="K141" s="979"/>
    </row>
    <row r="142" spans="1:11" ht="15" customHeight="1" x14ac:dyDescent="0.25">
      <c r="A142" s="1025"/>
      <c r="B142" s="1084" t="s">
        <v>394</v>
      </c>
      <c r="C142" s="1036" t="s">
        <v>474</v>
      </c>
      <c r="D142" s="244"/>
      <c r="E142" s="221"/>
      <c r="F142" s="221"/>
      <c r="G142" s="324">
        <v>0.25</v>
      </c>
      <c r="H142" s="1080" t="str">
        <f>IF(AND(ISNUMBER(D142),ISNUMBER(G142)),D142*G142,"")</f>
        <v/>
      </c>
      <c r="I142" s="732"/>
      <c r="J142" s="732"/>
      <c r="K142" s="979"/>
    </row>
    <row r="143" spans="1:11" ht="15" customHeight="1" x14ac:dyDescent="0.25">
      <c r="A143" s="1025"/>
      <c r="B143" s="1076" t="s">
        <v>190</v>
      </c>
      <c r="C143" s="1036" t="s">
        <v>473</v>
      </c>
      <c r="D143" s="242"/>
      <c r="E143" s="221"/>
      <c r="F143" s="221"/>
      <c r="G143" s="228"/>
      <c r="H143" s="229"/>
      <c r="I143" s="732"/>
      <c r="J143" s="732"/>
      <c r="K143" s="979"/>
    </row>
    <row r="144" spans="1:11" ht="15" customHeight="1" x14ac:dyDescent="0.25">
      <c r="A144" s="1025"/>
      <c r="B144" s="1084" t="s">
        <v>612</v>
      </c>
      <c r="C144" s="1036">
        <v>104</v>
      </c>
      <c r="D144" s="178"/>
      <c r="E144" s="221"/>
      <c r="F144" s="221"/>
      <c r="G144" s="324">
        <v>0.03</v>
      </c>
      <c r="H144" s="1080" t="str">
        <f>IF(AND(ISNUMBER(D144),ISNUMBER(G144)),D144*G144,"")</f>
        <v/>
      </c>
      <c r="I144" s="732"/>
      <c r="J144" s="732"/>
      <c r="K144" s="979"/>
    </row>
    <row r="145" spans="1:11" ht="15" customHeight="1" x14ac:dyDescent="0.25">
      <c r="A145" s="1025"/>
      <c r="B145" s="1084" t="s">
        <v>613</v>
      </c>
      <c r="C145" s="1036">
        <v>104</v>
      </c>
      <c r="D145" s="244"/>
      <c r="E145" s="221"/>
      <c r="F145" s="221"/>
      <c r="G145" s="324">
        <v>0.05</v>
      </c>
      <c r="H145" s="1080" t="str">
        <f>IF(AND(ISNUMBER(D145),ISNUMBER(G145)),D145*G145,"")</f>
        <v/>
      </c>
      <c r="I145" s="732"/>
      <c r="J145" s="732"/>
      <c r="K145" s="979"/>
    </row>
    <row r="146" spans="1:11" ht="15" customHeight="1" x14ac:dyDescent="0.25">
      <c r="A146" s="1025"/>
      <c r="B146" s="1084" t="s">
        <v>394</v>
      </c>
      <c r="C146" s="1036" t="s">
        <v>474</v>
      </c>
      <c r="D146" s="244"/>
      <c r="E146" s="221"/>
      <c r="F146" s="221"/>
      <c r="G146" s="324">
        <v>0.25</v>
      </c>
      <c r="H146" s="1080" t="str">
        <f>IF(AND(ISNUMBER(D146),ISNUMBER(G146)),D146*G146,"")</f>
        <v/>
      </c>
      <c r="I146" s="732"/>
      <c r="J146" s="732"/>
      <c r="K146" s="979"/>
    </row>
    <row r="147" spans="1:11" ht="15" customHeight="1" x14ac:dyDescent="0.25">
      <c r="A147" s="1025"/>
      <c r="B147" s="1076" t="s">
        <v>395</v>
      </c>
      <c r="C147" s="1036" t="s">
        <v>473</v>
      </c>
      <c r="D147" s="242"/>
      <c r="E147" s="221"/>
      <c r="F147" s="221"/>
      <c r="G147" s="228"/>
      <c r="H147" s="229"/>
      <c r="I147" s="732"/>
      <c r="J147" s="732"/>
      <c r="K147" s="979"/>
    </row>
    <row r="148" spans="1:11" ht="15" customHeight="1" x14ac:dyDescent="0.25">
      <c r="A148" s="1025"/>
      <c r="B148" s="1084" t="s">
        <v>612</v>
      </c>
      <c r="C148" s="1036">
        <v>104</v>
      </c>
      <c r="D148" s="178"/>
      <c r="E148" s="221"/>
      <c r="F148" s="221"/>
      <c r="G148" s="324">
        <v>0.03</v>
      </c>
      <c r="H148" s="1080" t="str">
        <f>IF(AND(ISNUMBER(D148),ISNUMBER(G148)),D148*G148,"")</f>
        <v/>
      </c>
      <c r="I148" s="732"/>
      <c r="J148" s="732"/>
      <c r="K148" s="979"/>
    </row>
    <row r="149" spans="1:11" ht="15" customHeight="1" x14ac:dyDescent="0.25">
      <c r="A149" s="1025"/>
      <c r="B149" s="1084" t="s">
        <v>613</v>
      </c>
      <c r="C149" s="1036">
        <v>104</v>
      </c>
      <c r="D149" s="244"/>
      <c r="E149" s="221"/>
      <c r="F149" s="221"/>
      <c r="G149" s="324">
        <v>0.05</v>
      </c>
      <c r="H149" s="1080" t="str">
        <f>IF(AND(ISNUMBER(D149),ISNUMBER(G149)),D149*G149,"")</f>
        <v/>
      </c>
      <c r="I149" s="732"/>
      <c r="J149" s="732"/>
      <c r="K149" s="979"/>
    </row>
    <row r="150" spans="1:11" ht="15" customHeight="1" x14ac:dyDescent="0.25">
      <c r="A150" s="1025"/>
      <c r="B150" s="1084" t="s">
        <v>394</v>
      </c>
      <c r="C150" s="1036" t="s">
        <v>474</v>
      </c>
      <c r="D150" s="244"/>
      <c r="E150" s="221"/>
      <c r="F150" s="221"/>
      <c r="G150" s="324">
        <v>0.25</v>
      </c>
      <c r="H150" s="1080" t="str">
        <f>IF(AND(ISNUMBER(D150),ISNUMBER(G150)),D150*G150,"")</f>
        <v/>
      </c>
      <c r="I150" s="732"/>
      <c r="J150" s="732"/>
      <c r="K150" s="979"/>
    </row>
    <row r="151" spans="1:11" ht="15" customHeight="1" x14ac:dyDescent="0.25">
      <c r="A151" s="1025"/>
      <c r="B151" s="1076" t="s">
        <v>130</v>
      </c>
      <c r="C151" s="1036" t="s">
        <v>473</v>
      </c>
      <c r="D151" s="242"/>
      <c r="E151" s="221"/>
      <c r="F151" s="221"/>
      <c r="G151" s="228"/>
      <c r="H151" s="229"/>
      <c r="I151" s="732"/>
      <c r="J151" s="732"/>
      <c r="K151" s="979"/>
    </row>
    <row r="152" spans="1:11" ht="15" customHeight="1" x14ac:dyDescent="0.25">
      <c r="A152" s="1025"/>
      <c r="B152" s="1084" t="s">
        <v>612</v>
      </c>
      <c r="C152" s="1036">
        <v>104</v>
      </c>
      <c r="D152" s="178"/>
      <c r="E152" s="221"/>
      <c r="F152" s="221"/>
      <c r="G152" s="324">
        <v>0.03</v>
      </c>
      <c r="H152" s="1080" t="str">
        <f>IF(AND(ISNUMBER(D152),ISNUMBER(G152)),D152*G152,"")</f>
        <v/>
      </c>
      <c r="I152" s="732"/>
      <c r="J152" s="732"/>
      <c r="K152" s="979"/>
    </row>
    <row r="153" spans="1:11" ht="15" customHeight="1" x14ac:dyDescent="0.25">
      <c r="A153" s="1025"/>
      <c r="B153" s="1084" t="s">
        <v>613</v>
      </c>
      <c r="C153" s="1036">
        <v>104</v>
      </c>
      <c r="D153" s="244"/>
      <c r="E153" s="221"/>
      <c r="F153" s="221"/>
      <c r="G153" s="324">
        <v>0.05</v>
      </c>
      <c r="H153" s="1080" t="str">
        <f>IF(AND(ISNUMBER(D153),ISNUMBER(G153)),D153*G153,"")</f>
        <v/>
      </c>
      <c r="I153" s="732"/>
      <c r="J153" s="732"/>
      <c r="K153" s="979"/>
    </row>
    <row r="154" spans="1:11" ht="15" customHeight="1" x14ac:dyDescent="0.25">
      <c r="A154" s="1025"/>
      <c r="B154" s="1084" t="s">
        <v>394</v>
      </c>
      <c r="C154" s="1036" t="s">
        <v>474</v>
      </c>
      <c r="D154" s="244"/>
      <c r="E154" s="221"/>
      <c r="F154" s="221"/>
      <c r="G154" s="324">
        <v>0.25</v>
      </c>
      <c r="H154" s="1080" t="str">
        <f>IF(AND(ISNUMBER(D154),ISNUMBER(G154)),D154*G154,"")</f>
        <v/>
      </c>
      <c r="I154" s="732"/>
      <c r="J154" s="732"/>
      <c r="K154" s="979"/>
    </row>
    <row r="155" spans="1:11" ht="15" customHeight="1" x14ac:dyDescent="0.25">
      <c r="A155" s="1025"/>
      <c r="B155" s="1030" t="s">
        <v>129</v>
      </c>
      <c r="C155" s="1036" t="s">
        <v>598</v>
      </c>
      <c r="D155" s="242"/>
      <c r="E155" s="221"/>
      <c r="F155" s="221"/>
      <c r="G155" s="242"/>
      <c r="H155" s="243"/>
      <c r="I155" s="732"/>
      <c r="J155" s="732"/>
      <c r="K155" s="979"/>
    </row>
    <row r="156" spans="1:11" ht="15" customHeight="1" x14ac:dyDescent="0.25">
      <c r="A156" s="1025"/>
      <c r="B156" s="1076" t="s">
        <v>479</v>
      </c>
      <c r="C156" s="1036" t="s">
        <v>475</v>
      </c>
      <c r="D156" s="242"/>
      <c r="E156" s="221"/>
      <c r="F156" s="221"/>
      <c r="G156" s="242"/>
      <c r="H156" s="243"/>
      <c r="I156" s="732"/>
      <c r="J156" s="732"/>
      <c r="K156" s="979"/>
    </row>
    <row r="157" spans="1:11" ht="15" customHeight="1" x14ac:dyDescent="0.25">
      <c r="A157" s="1025"/>
      <c r="B157" s="1084" t="s">
        <v>480</v>
      </c>
      <c r="C157" s="1036">
        <v>108</v>
      </c>
      <c r="D157" s="244"/>
      <c r="E157" s="221"/>
      <c r="F157" s="221"/>
      <c r="G157" s="324">
        <v>0.2</v>
      </c>
      <c r="H157" s="1080" t="str">
        <f>IF(AND(ISNUMBER(D157),ISNUMBER(G157)),D157*G157,"")</f>
        <v/>
      </c>
      <c r="I157" s="732"/>
      <c r="J157" s="732"/>
      <c r="K157" s="979"/>
    </row>
    <row r="158" spans="1:11" ht="15" customHeight="1" x14ac:dyDescent="0.25">
      <c r="A158" s="1025"/>
      <c r="B158" s="1084" t="s">
        <v>481</v>
      </c>
      <c r="C158" s="1036">
        <v>107</v>
      </c>
      <c r="D158" s="244"/>
      <c r="E158" s="221"/>
      <c r="F158" s="221"/>
      <c r="G158" s="324">
        <v>0.4</v>
      </c>
      <c r="H158" s="1080" t="str">
        <f>IF(AND(ISNUMBER(D158),ISNUMBER(G158)),D158*G158,"")</f>
        <v/>
      </c>
      <c r="I158" s="732"/>
      <c r="J158" s="732"/>
      <c r="K158" s="979"/>
    </row>
    <row r="159" spans="1:11" ht="15" customHeight="1" x14ac:dyDescent="0.25">
      <c r="A159" s="1025"/>
      <c r="B159" s="1076" t="s">
        <v>482</v>
      </c>
      <c r="C159" s="1036" t="s">
        <v>475</v>
      </c>
      <c r="D159" s="242"/>
      <c r="E159" s="221"/>
      <c r="F159" s="221"/>
      <c r="G159" s="242"/>
      <c r="H159" s="243"/>
      <c r="I159" s="732"/>
      <c r="J159" s="732"/>
      <c r="K159" s="979"/>
    </row>
    <row r="160" spans="1:11" ht="15" customHeight="1" x14ac:dyDescent="0.25">
      <c r="A160" s="1025"/>
      <c r="B160" s="1084" t="s">
        <v>480</v>
      </c>
      <c r="C160" s="1036">
        <v>108</v>
      </c>
      <c r="D160" s="244"/>
      <c r="E160" s="221"/>
      <c r="F160" s="221"/>
      <c r="G160" s="324">
        <v>0.2</v>
      </c>
      <c r="H160" s="1080" t="str">
        <f t="shared" ref="H160:H166" si="1">IF(AND(ISNUMBER(D160),ISNUMBER(G160)),D160*G160,"")</f>
        <v/>
      </c>
      <c r="I160" s="732"/>
      <c r="J160" s="732"/>
      <c r="K160" s="979"/>
    </row>
    <row r="161" spans="1:11" ht="15" customHeight="1" x14ac:dyDescent="0.25">
      <c r="A161" s="1025"/>
      <c r="B161" s="1084" t="s">
        <v>481</v>
      </c>
      <c r="C161" s="1036">
        <v>107</v>
      </c>
      <c r="D161" s="244"/>
      <c r="E161" s="221"/>
      <c r="F161" s="221"/>
      <c r="G161" s="324">
        <v>0.4</v>
      </c>
      <c r="H161" s="1080" t="str">
        <f t="shared" si="1"/>
        <v/>
      </c>
      <c r="I161" s="732"/>
      <c r="J161" s="732"/>
      <c r="K161" s="979"/>
    </row>
    <row r="162" spans="1:11" ht="15" customHeight="1" x14ac:dyDescent="0.25">
      <c r="A162" s="1025"/>
      <c r="B162" s="1076" t="s">
        <v>372</v>
      </c>
      <c r="C162" s="1036">
        <v>105</v>
      </c>
      <c r="D162" s="244"/>
      <c r="E162" s="221"/>
      <c r="F162" s="221"/>
      <c r="G162" s="324">
        <v>0.25</v>
      </c>
      <c r="H162" s="1080" t="str">
        <f t="shared" si="1"/>
        <v/>
      </c>
      <c r="I162" s="732"/>
      <c r="J162" s="732"/>
      <c r="K162" s="979"/>
    </row>
    <row r="163" spans="1:11" ht="15" customHeight="1" x14ac:dyDescent="0.25">
      <c r="A163" s="1025"/>
      <c r="B163" s="1076" t="s">
        <v>410</v>
      </c>
      <c r="C163" s="1036">
        <v>109</v>
      </c>
      <c r="D163" s="244"/>
      <c r="E163" s="221"/>
      <c r="F163" s="221"/>
      <c r="G163" s="324">
        <v>1</v>
      </c>
      <c r="H163" s="1080" t="str">
        <f t="shared" si="1"/>
        <v/>
      </c>
      <c r="I163" s="732"/>
      <c r="J163" s="732"/>
      <c r="K163" s="979"/>
    </row>
    <row r="164" spans="1:11" ht="15" customHeight="1" x14ac:dyDescent="0.25">
      <c r="A164" s="1025"/>
      <c r="B164" s="1076" t="s">
        <v>130</v>
      </c>
      <c r="C164" s="1036">
        <v>109</v>
      </c>
      <c r="D164" s="244"/>
      <c r="E164" s="221"/>
      <c r="F164" s="221"/>
      <c r="G164" s="324">
        <v>1</v>
      </c>
      <c r="H164" s="1080" t="str">
        <f t="shared" si="1"/>
        <v/>
      </c>
      <c r="I164" s="732"/>
      <c r="J164" s="732"/>
      <c r="K164" s="979"/>
    </row>
    <row r="165" spans="1:11" ht="15" customHeight="1" x14ac:dyDescent="0.25">
      <c r="A165" s="1025"/>
      <c r="B165" s="1030" t="s">
        <v>273</v>
      </c>
      <c r="C165" s="1036">
        <v>110</v>
      </c>
      <c r="D165" s="244"/>
      <c r="E165" s="221"/>
      <c r="F165" s="221"/>
      <c r="G165" s="324">
        <v>1</v>
      </c>
      <c r="H165" s="1080" t="str">
        <f t="shared" si="1"/>
        <v/>
      </c>
      <c r="I165" s="732"/>
      <c r="J165" s="732"/>
      <c r="K165" s="979"/>
    </row>
    <row r="166" spans="1:11" ht="15" customHeight="1" x14ac:dyDescent="0.25">
      <c r="A166" s="1025"/>
      <c r="B166" s="1087" t="s">
        <v>411</v>
      </c>
      <c r="C166" s="246"/>
      <c r="D166" s="247"/>
      <c r="E166" s="231"/>
      <c r="F166" s="231"/>
      <c r="G166" s="1081">
        <v>1</v>
      </c>
      <c r="H166" s="1082" t="str">
        <f t="shared" si="1"/>
        <v/>
      </c>
      <c r="I166" s="732"/>
      <c r="J166" s="732"/>
      <c r="K166" s="979"/>
    </row>
    <row r="167" spans="1:11" ht="15" customHeight="1" x14ac:dyDescent="0.25">
      <c r="A167" s="1025"/>
      <c r="B167" s="1088" t="s">
        <v>412</v>
      </c>
      <c r="C167" s="248"/>
      <c r="D167" s="249"/>
      <c r="E167" s="236"/>
      <c r="F167" s="236"/>
      <c r="G167" s="250"/>
      <c r="H167" s="1083" t="str">
        <f>IF(AND(ISNUMBER(H120),ISNUMBER(H121),ISNUMBER(H127),ISNUMBER(H128),ISNUMBER(H129), ISNUMBER(H130), ISNUMBER(H137), ISNUMBER(H141), ISNUMBER(H142), ISNUMBER(H145), ISNUMBER(H146), ISNUMBER(H149), ISNUMBER(H150),ISNUMBER(H153),ISNUMBER(H154), ISNUMBER(H157), ISNUMBER(H158), ISNUMBER(H160), ISNUMBER(H161), ISNUMBER(H162), ISNUMBER(H163), ISNUMBER(H164), ISNUMBER(H165), ISNUMBER(H166)),SUM(H117:H118,H120:H121,H124:H125,H127:H130,H132:H134,H136:H137,H140:H142,H144:H146,H148:H150,H152:H154,H157:H158,H160:H166),"")</f>
        <v/>
      </c>
      <c r="I167" s="732"/>
      <c r="J167" s="732"/>
      <c r="K167" s="979"/>
    </row>
    <row r="168" spans="1:11" s="929" customFormat="1" ht="15" customHeight="1" x14ac:dyDescent="0.25">
      <c r="A168" s="1025"/>
      <c r="B168" s="1089"/>
      <c r="C168" s="1071"/>
      <c r="D168" s="1071"/>
      <c r="E168" s="1071"/>
      <c r="F168" s="1071"/>
      <c r="G168" s="1071"/>
      <c r="H168" s="1071"/>
      <c r="I168" s="732"/>
      <c r="J168" s="732"/>
      <c r="K168" s="979"/>
    </row>
    <row r="169" spans="1:11" ht="30" customHeight="1" x14ac:dyDescent="0.25">
      <c r="A169" s="1025"/>
      <c r="B169" s="334" t="s">
        <v>599</v>
      </c>
      <c r="C169" s="251"/>
      <c r="D169" s="160"/>
      <c r="E169" s="160"/>
      <c r="F169" s="160"/>
      <c r="G169" s="174"/>
      <c r="H169" s="194"/>
      <c r="I169" s="732"/>
      <c r="J169" s="732"/>
      <c r="K169" s="979"/>
    </row>
    <row r="170" spans="1:11" ht="15" customHeight="1" x14ac:dyDescent="0.25">
      <c r="A170" s="1025"/>
      <c r="B170" s="1030" t="s">
        <v>178</v>
      </c>
      <c r="C170" s="1036" t="s">
        <v>600</v>
      </c>
      <c r="D170" s="161"/>
      <c r="E170" s="1436"/>
      <c r="F170" s="1436"/>
      <c r="G170" s="175"/>
      <c r="H170" s="176"/>
      <c r="I170" s="732"/>
      <c r="J170" s="732"/>
      <c r="K170" s="979"/>
    </row>
    <row r="171" spans="1:11" ht="15" customHeight="1" x14ac:dyDescent="0.25">
      <c r="A171" s="1025"/>
      <c r="B171" s="1031" t="str">
        <f>CONCATENATE("Check: row ", ROW(B170), " ≤ sum of rows ", ROW(B163), " and ", ROW(B164))</f>
        <v>Check: row 170 ≤ sum of rows 163 and 164</v>
      </c>
      <c r="C171" s="230"/>
      <c r="D171" s="1040" t="str">
        <f>IF((D170&lt;=D163+D164),"Pass","Fail")</f>
        <v>Pass</v>
      </c>
      <c r="E171" s="1436"/>
      <c r="F171" s="1436"/>
      <c r="G171" s="175"/>
      <c r="H171" s="176"/>
      <c r="I171" s="732"/>
      <c r="J171" s="732"/>
      <c r="K171" s="979"/>
    </row>
    <row r="172" spans="1:11" ht="15" customHeight="1" x14ac:dyDescent="0.25">
      <c r="A172" s="1025"/>
      <c r="B172" s="1030" t="s">
        <v>176</v>
      </c>
      <c r="C172" s="1036" t="s">
        <v>600</v>
      </c>
      <c r="D172" s="161"/>
      <c r="E172" s="1436"/>
      <c r="F172" s="1436"/>
      <c r="G172" s="175"/>
      <c r="H172" s="176"/>
      <c r="I172" s="732"/>
      <c r="J172" s="732"/>
      <c r="K172" s="979"/>
    </row>
    <row r="173" spans="1:11" ht="15" customHeight="1" x14ac:dyDescent="0.25">
      <c r="A173" s="1025"/>
      <c r="B173" s="1031" t="str">
        <f>CONCATENATE("Check: row ", ROW(B172), " ≤ sum of rows ", ROW(B163), " and ", ROW(B164))</f>
        <v>Check: row 172 ≤ sum of rows 163 and 164</v>
      </c>
      <c r="C173" s="230"/>
      <c r="D173" s="1040" t="str">
        <f>IF((D172&lt;=D163+D164),"Pass","Fail")</f>
        <v>Pass</v>
      </c>
      <c r="E173" s="1436"/>
      <c r="F173" s="1436"/>
      <c r="G173" s="175"/>
      <c r="H173" s="176"/>
      <c r="I173" s="732"/>
      <c r="J173" s="732"/>
      <c r="K173" s="979"/>
    </row>
    <row r="174" spans="1:11" ht="30" customHeight="1" x14ac:dyDescent="0.25">
      <c r="A174" s="1025"/>
      <c r="B174" s="1030" t="s">
        <v>483</v>
      </c>
      <c r="C174" s="1036">
        <v>96</v>
      </c>
      <c r="D174" s="161"/>
      <c r="E174" s="1436"/>
      <c r="F174" s="1436"/>
      <c r="G174" s="175"/>
      <c r="H174" s="176"/>
      <c r="I174" s="732"/>
      <c r="J174" s="732"/>
      <c r="K174" s="979"/>
    </row>
    <row r="175" spans="1:11" ht="15" customHeight="1" x14ac:dyDescent="0.25">
      <c r="A175" s="1025"/>
      <c r="B175" s="1063" t="str">
        <f>CONCATENATE("Check: row ", ROW(B174), " ≤ sum of rows ", ROW(B156), " to ", ROW(B164))</f>
        <v>Check: row 174 ≤ sum of rows 156 to 164</v>
      </c>
      <c r="C175" s="252"/>
      <c r="D175" s="1064" t="str">
        <f>IF((D174&lt;=SUM(D156:D164)),"Pass","Fail")</f>
        <v>Pass</v>
      </c>
      <c r="E175" s="1244"/>
      <c r="F175" s="1244"/>
      <c r="G175" s="185"/>
      <c r="H175" s="197"/>
      <c r="I175" s="732"/>
      <c r="J175" s="732"/>
      <c r="K175" s="979"/>
    </row>
    <row r="176" spans="1:11" s="929" customFormat="1" ht="60" customHeight="1" x14ac:dyDescent="0.3">
      <c r="A176" s="1732" t="s">
        <v>661</v>
      </c>
      <c r="B176" s="1733"/>
      <c r="C176" s="1733"/>
      <c r="D176" s="1733"/>
      <c r="E176" s="1733"/>
      <c r="F176" s="1733"/>
      <c r="G176" s="1733"/>
      <c r="H176" s="1733"/>
      <c r="I176" s="1733"/>
      <c r="J176" s="1733"/>
      <c r="K176" s="1734"/>
    </row>
    <row r="177" spans="1:11" ht="45" customHeight="1" x14ac:dyDescent="0.25">
      <c r="A177" s="1025"/>
      <c r="B177" s="1090"/>
      <c r="C177" s="1562" t="s">
        <v>587</v>
      </c>
      <c r="D177" s="1562" t="s">
        <v>413</v>
      </c>
      <c r="E177" s="1562" t="s">
        <v>414</v>
      </c>
      <c r="F177" s="253"/>
      <c r="G177" s="155" t="s">
        <v>354</v>
      </c>
      <c r="H177" s="157" t="s">
        <v>355</v>
      </c>
      <c r="I177" s="732"/>
      <c r="J177" s="732"/>
      <c r="K177" s="979"/>
    </row>
    <row r="178" spans="1:11" ht="15" customHeight="1" x14ac:dyDescent="0.25">
      <c r="A178" s="1025"/>
      <c r="B178" s="1091" t="s">
        <v>601</v>
      </c>
      <c r="C178" s="1035" t="s">
        <v>484</v>
      </c>
      <c r="D178" s="238"/>
      <c r="E178" s="238"/>
      <c r="F178" s="209"/>
      <c r="G178" s="254"/>
      <c r="H178" s="255"/>
      <c r="I178" s="732"/>
      <c r="J178" s="732"/>
      <c r="K178" s="979"/>
    </row>
    <row r="179" spans="1:11" ht="15" customHeight="1" x14ac:dyDescent="0.25">
      <c r="A179" s="1025"/>
      <c r="B179" s="1092" t="s">
        <v>485</v>
      </c>
      <c r="C179" s="1036" t="s">
        <v>484</v>
      </c>
      <c r="D179" s="244"/>
      <c r="E179" s="244"/>
      <c r="F179" s="214"/>
      <c r="G179" s="324">
        <v>0</v>
      </c>
      <c r="H179" s="1080" t="str">
        <f>IF(AND(ISNUMBER(D179),ISNUMBER(G179)),D179*G179,"")</f>
        <v/>
      </c>
      <c r="I179" s="732"/>
      <c r="J179" s="732"/>
      <c r="K179" s="979"/>
    </row>
    <row r="180" spans="1:11" ht="15" customHeight="1" x14ac:dyDescent="0.25">
      <c r="A180" s="1025"/>
      <c r="B180" s="1093" t="s">
        <v>94</v>
      </c>
      <c r="C180" s="1036" t="s">
        <v>484</v>
      </c>
      <c r="D180" s="244"/>
      <c r="E180" s="244"/>
      <c r="F180" s="214"/>
      <c r="G180" s="219"/>
      <c r="H180" s="229"/>
      <c r="I180" s="732"/>
      <c r="J180" s="732"/>
      <c r="K180" s="979"/>
    </row>
    <row r="181" spans="1:11" ht="15" customHeight="1" x14ac:dyDescent="0.25">
      <c r="A181" s="1025"/>
      <c r="B181" s="1094" t="str">
        <f>CONCATENATE("Check: row ", ROW(B180), " ≤ row ", ROW(LCR!B179),)</f>
        <v>Check: row 180 ≤ row 179</v>
      </c>
      <c r="C181" s="230"/>
      <c r="D181" s="1040" t="str">
        <f>IF((D180&lt;=D179),"Pass","Fail")</f>
        <v>Pass</v>
      </c>
      <c r="E181" s="1040" t="str">
        <f>IF((E180&lt;=E179),"Pass","Fail")</f>
        <v>Pass</v>
      </c>
      <c r="F181" s="214"/>
      <c r="G181" s="219"/>
      <c r="H181" s="229"/>
      <c r="I181" s="732"/>
      <c r="J181" s="732"/>
      <c r="K181" s="979"/>
    </row>
    <row r="182" spans="1:11" ht="15" customHeight="1" x14ac:dyDescent="0.25">
      <c r="A182" s="1025"/>
      <c r="B182" s="1092" t="s">
        <v>486</v>
      </c>
      <c r="C182" s="1036" t="s">
        <v>484</v>
      </c>
      <c r="D182" s="161"/>
      <c r="E182" s="161"/>
      <c r="F182" s="214"/>
      <c r="G182" s="324">
        <v>0</v>
      </c>
      <c r="H182" s="1080" t="str">
        <f>IF(AND(ISNUMBER(D182),ISNUMBER(G182)),D182*G182,"")</f>
        <v/>
      </c>
      <c r="I182" s="732"/>
      <c r="J182" s="732"/>
      <c r="K182" s="979"/>
    </row>
    <row r="183" spans="1:11" ht="15" customHeight="1" x14ac:dyDescent="0.25">
      <c r="A183" s="1025"/>
      <c r="B183" s="1093" t="s">
        <v>94</v>
      </c>
      <c r="C183" s="1036" t="s">
        <v>484</v>
      </c>
      <c r="D183" s="161"/>
      <c r="E183" s="161"/>
      <c r="F183" s="214"/>
      <c r="G183" s="219"/>
      <c r="H183" s="229"/>
      <c r="I183" s="732"/>
      <c r="J183" s="732"/>
      <c r="K183" s="979"/>
    </row>
    <row r="184" spans="1:11" ht="15" customHeight="1" x14ac:dyDescent="0.25">
      <c r="A184" s="1025"/>
      <c r="B184" s="1094" t="str">
        <f>CONCATENATE("Check: row ", ROW(B183), " ≤ row ", ROW(LCR!B182),)</f>
        <v>Check: row 183 ≤ row 182</v>
      </c>
      <c r="C184" s="230"/>
      <c r="D184" s="1040" t="str">
        <f>IF((D183&lt;=D182),"Pass","Fail")</f>
        <v>Pass</v>
      </c>
      <c r="E184" s="1040" t="str">
        <f>IF((E183&lt;=E182),"Pass","Fail")</f>
        <v>Pass</v>
      </c>
      <c r="F184" s="214"/>
      <c r="G184" s="219"/>
      <c r="H184" s="229"/>
      <c r="I184" s="732"/>
      <c r="J184" s="732"/>
      <c r="K184" s="979"/>
    </row>
    <row r="185" spans="1:11" ht="15" customHeight="1" x14ac:dyDescent="0.25">
      <c r="A185" s="1025"/>
      <c r="B185" s="1092" t="s">
        <v>487</v>
      </c>
      <c r="C185" s="1036" t="s">
        <v>484</v>
      </c>
      <c r="D185" s="178"/>
      <c r="E185" s="178"/>
      <c r="F185" s="214"/>
      <c r="G185" s="324">
        <v>0</v>
      </c>
      <c r="H185" s="1080" t="str">
        <f>IF(AND(ISNUMBER(D185),ISNUMBER(G185)),D185*G185,"")</f>
        <v/>
      </c>
      <c r="I185" s="732"/>
      <c r="J185" s="732"/>
      <c r="K185" s="979"/>
    </row>
    <row r="186" spans="1:11" ht="15" customHeight="1" x14ac:dyDescent="0.25">
      <c r="A186" s="1025"/>
      <c r="B186" s="1093" t="s">
        <v>94</v>
      </c>
      <c r="C186" s="1036" t="s">
        <v>484</v>
      </c>
      <c r="D186" s="178"/>
      <c r="E186" s="178"/>
      <c r="F186" s="214"/>
      <c r="G186" s="219"/>
      <c r="H186" s="229"/>
      <c r="I186" s="732"/>
      <c r="J186" s="732"/>
      <c r="K186" s="979"/>
    </row>
    <row r="187" spans="1:11" ht="15" customHeight="1" x14ac:dyDescent="0.25">
      <c r="A187" s="1025"/>
      <c r="B187" s="1094" t="str">
        <f>CONCATENATE("Check: row ", ROW(B186), " ≤ row ", ROW(LCR!B185),)</f>
        <v>Check: row 186 ≤ row 185</v>
      </c>
      <c r="C187" s="230"/>
      <c r="D187" s="1040" t="str">
        <f>IF((D186&lt;=D185),"Pass","Fail")</f>
        <v>Pass</v>
      </c>
      <c r="E187" s="1040" t="str">
        <f>IF((E186&lt;=E185),"Pass","Fail")</f>
        <v>Pass</v>
      </c>
      <c r="F187" s="214"/>
      <c r="G187" s="219"/>
      <c r="H187" s="229"/>
      <c r="I187" s="732"/>
      <c r="J187" s="732"/>
      <c r="K187" s="979"/>
    </row>
    <row r="188" spans="1:11" ht="15" customHeight="1" x14ac:dyDescent="0.25">
      <c r="A188" s="1025"/>
      <c r="B188" s="1092" t="s">
        <v>488</v>
      </c>
      <c r="C188" s="1036" t="s">
        <v>484</v>
      </c>
      <c r="D188" s="178"/>
      <c r="E188" s="178"/>
      <c r="F188" s="214"/>
      <c r="G188" s="324">
        <v>0</v>
      </c>
      <c r="H188" s="1080" t="str">
        <f>IF(AND(ISNUMBER(D188),ISNUMBER(G188)),D188*G188,"")</f>
        <v/>
      </c>
      <c r="I188" s="732"/>
      <c r="J188" s="732"/>
      <c r="K188" s="979"/>
    </row>
    <row r="189" spans="1:11" ht="15" customHeight="1" x14ac:dyDescent="0.25">
      <c r="A189" s="1025"/>
      <c r="B189" s="1093" t="s">
        <v>94</v>
      </c>
      <c r="C189" s="1036" t="s">
        <v>484</v>
      </c>
      <c r="D189" s="178"/>
      <c r="E189" s="178"/>
      <c r="F189" s="214"/>
      <c r="G189" s="219"/>
      <c r="H189" s="229"/>
      <c r="I189" s="732"/>
      <c r="J189" s="732"/>
      <c r="K189" s="979"/>
    </row>
    <row r="190" spans="1:11" ht="15" customHeight="1" x14ac:dyDescent="0.25">
      <c r="A190" s="1025"/>
      <c r="B190" s="1094" t="str">
        <f>CONCATENATE("Check: row ", ROW(B189), " ≤ row ", ROW(LCR!B188),)</f>
        <v>Check: row 189 ≤ row 188</v>
      </c>
      <c r="C190" s="230"/>
      <c r="D190" s="1040" t="str">
        <f>IF((D189&lt;=D188),"Pass","Fail")</f>
        <v>Pass</v>
      </c>
      <c r="E190" s="1040" t="str">
        <f>IF((E189&lt;=E188),"Pass","Fail")</f>
        <v>Pass</v>
      </c>
      <c r="F190" s="214"/>
      <c r="G190" s="219"/>
      <c r="H190" s="229"/>
      <c r="I190" s="732"/>
      <c r="J190" s="732"/>
      <c r="K190" s="979"/>
    </row>
    <row r="191" spans="1:11" ht="15" customHeight="1" x14ac:dyDescent="0.25">
      <c r="A191" s="1025"/>
      <c r="B191" s="1092" t="s">
        <v>489</v>
      </c>
      <c r="C191" s="1036" t="s">
        <v>484</v>
      </c>
      <c r="D191" s="161"/>
      <c r="E191" s="161"/>
      <c r="F191" s="214"/>
      <c r="G191" s="324">
        <v>0</v>
      </c>
      <c r="H191" s="1080" t="str">
        <f>IF(AND(ISNUMBER(D191),ISNUMBER(G191)),D191*G191,"")</f>
        <v/>
      </c>
      <c r="I191" s="732"/>
      <c r="J191" s="732"/>
      <c r="K191" s="979"/>
    </row>
    <row r="192" spans="1:11" ht="15" customHeight="1" x14ac:dyDescent="0.25">
      <c r="A192" s="1025"/>
      <c r="B192" s="1095" t="s">
        <v>602</v>
      </c>
      <c r="C192" s="1036" t="s">
        <v>484</v>
      </c>
      <c r="D192" s="161"/>
      <c r="E192" s="161"/>
      <c r="F192" s="214"/>
      <c r="G192" s="324">
        <v>0</v>
      </c>
      <c r="H192" s="1080" t="str">
        <f>IF(AND(ISNUMBER(D192),ISNUMBER(G192)),D192*G192,"")</f>
        <v/>
      </c>
      <c r="I192" s="732"/>
      <c r="J192" s="732"/>
      <c r="K192" s="979"/>
    </row>
    <row r="193" spans="1:11" ht="15" customHeight="1" x14ac:dyDescent="0.25">
      <c r="A193" s="1025"/>
      <c r="B193" s="1092" t="s">
        <v>94</v>
      </c>
      <c r="C193" s="1036" t="s">
        <v>484</v>
      </c>
      <c r="D193" s="161"/>
      <c r="E193" s="161"/>
      <c r="F193" s="214"/>
      <c r="G193" s="219"/>
      <c r="H193" s="229"/>
      <c r="I193" s="732"/>
      <c r="J193" s="732"/>
      <c r="K193" s="979"/>
    </row>
    <row r="194" spans="1:11" ht="15" customHeight="1" x14ac:dyDescent="0.25">
      <c r="A194" s="1025"/>
      <c r="B194" s="1031" t="str">
        <f>CONCATENATE("Check: row ", ROW(B193), " ≤ row ", ROW(LCR!B192),)</f>
        <v>Check: row 193 ≤ row 192</v>
      </c>
      <c r="C194" s="230"/>
      <c r="D194" s="1040" t="str">
        <f>IF((D193&lt;=D192),"Pass","Fail")</f>
        <v>Pass</v>
      </c>
      <c r="E194" s="1040" t="str">
        <f>IF((E193&lt;=E192),"Pass","Fail")</f>
        <v>Pass</v>
      </c>
      <c r="F194" s="214"/>
      <c r="G194" s="219"/>
      <c r="H194" s="229"/>
      <c r="I194" s="732"/>
      <c r="J194" s="732"/>
      <c r="K194" s="979"/>
    </row>
    <row r="195" spans="1:11" ht="15" customHeight="1" x14ac:dyDescent="0.25">
      <c r="A195" s="1025"/>
      <c r="B195" s="1095" t="s">
        <v>603</v>
      </c>
      <c r="C195" s="1036" t="s">
        <v>484</v>
      </c>
      <c r="D195" s="161"/>
      <c r="E195" s="161"/>
      <c r="F195" s="214"/>
      <c r="G195" s="324">
        <v>0.15</v>
      </c>
      <c r="H195" s="1080" t="str">
        <f>IF(AND(ISNUMBER(D195),ISNUMBER(G195)),D195*G195,"")</f>
        <v/>
      </c>
      <c r="I195" s="732"/>
      <c r="J195" s="732"/>
      <c r="K195" s="979"/>
    </row>
    <row r="196" spans="1:11" ht="15" customHeight="1" x14ac:dyDescent="0.25">
      <c r="A196" s="1025"/>
      <c r="B196" s="1092" t="s">
        <v>94</v>
      </c>
      <c r="C196" s="1036" t="s">
        <v>484</v>
      </c>
      <c r="D196" s="161"/>
      <c r="E196" s="161"/>
      <c r="F196" s="214"/>
      <c r="G196" s="219"/>
      <c r="H196" s="229"/>
      <c r="I196" s="732"/>
      <c r="J196" s="732"/>
      <c r="K196" s="979"/>
    </row>
    <row r="197" spans="1:11" ht="15" customHeight="1" x14ac:dyDescent="0.25">
      <c r="A197" s="1025"/>
      <c r="B197" s="1031" t="str">
        <f>CONCATENATE("Check: row ", ROW(B196), " ≤ row ", ROW(LCR!B195),)</f>
        <v>Check: row 196 ≤ row 195</v>
      </c>
      <c r="C197" s="230"/>
      <c r="D197" s="1040" t="str">
        <f>IF((D196&lt;=D195),"Pass","Fail")</f>
        <v>Pass</v>
      </c>
      <c r="E197" s="1040" t="str">
        <f>IF((E196&lt;=E195),"Pass","Fail")</f>
        <v>Pass</v>
      </c>
      <c r="F197" s="214"/>
      <c r="G197" s="219"/>
      <c r="H197" s="229"/>
      <c r="I197" s="732"/>
      <c r="J197" s="732"/>
      <c r="K197" s="979"/>
    </row>
    <row r="198" spans="1:11" ht="15" customHeight="1" x14ac:dyDescent="0.25">
      <c r="A198" s="1025"/>
      <c r="B198" s="1095" t="s">
        <v>604</v>
      </c>
      <c r="C198" s="1036" t="s">
        <v>484</v>
      </c>
      <c r="D198" s="178"/>
      <c r="E198" s="178"/>
      <c r="F198" s="214"/>
      <c r="G198" s="324">
        <v>0.25</v>
      </c>
      <c r="H198" s="1080" t="str">
        <f>IF(AND(ISNUMBER(D198),ISNUMBER(G198)),D198*G198,"")</f>
        <v/>
      </c>
      <c r="I198" s="732"/>
      <c r="J198" s="732"/>
      <c r="K198" s="979"/>
    </row>
    <row r="199" spans="1:11" ht="15" customHeight="1" x14ac:dyDescent="0.25">
      <c r="A199" s="1025"/>
      <c r="B199" s="1092" t="s">
        <v>94</v>
      </c>
      <c r="C199" s="1036" t="s">
        <v>484</v>
      </c>
      <c r="D199" s="178"/>
      <c r="E199" s="178"/>
      <c r="F199" s="214"/>
      <c r="G199" s="219"/>
      <c r="H199" s="229"/>
      <c r="I199" s="732"/>
      <c r="J199" s="732"/>
      <c r="K199" s="979"/>
    </row>
    <row r="200" spans="1:11" ht="15" customHeight="1" x14ac:dyDescent="0.25">
      <c r="A200" s="1025"/>
      <c r="B200" s="1031" t="str">
        <f>CONCATENATE("Check: row ", ROW(B199), " ≤ row ", ROW(LCR!B198),)</f>
        <v>Check: row 199 ≤ row 198</v>
      </c>
      <c r="C200" s="230"/>
      <c r="D200" s="1040" t="str">
        <f>IF((D199&lt;=D198),"Pass","Fail")</f>
        <v>Pass</v>
      </c>
      <c r="E200" s="1040" t="str">
        <f>IF((E199&lt;=E198),"Pass","Fail")</f>
        <v>Pass</v>
      </c>
      <c r="F200" s="214"/>
      <c r="G200" s="219"/>
      <c r="H200" s="229"/>
      <c r="I200" s="732"/>
      <c r="J200" s="732"/>
      <c r="K200" s="979"/>
    </row>
    <row r="201" spans="1:11" ht="33" customHeight="1" x14ac:dyDescent="0.25">
      <c r="A201" s="1025"/>
      <c r="B201" s="338" t="s">
        <v>611</v>
      </c>
      <c r="C201" s="1036" t="s">
        <v>484</v>
      </c>
      <c r="D201" s="242"/>
      <c r="E201" s="242"/>
      <c r="F201" s="214"/>
      <c r="G201" s="219"/>
      <c r="H201" s="229"/>
      <c r="I201" s="732"/>
      <c r="J201" s="732"/>
      <c r="K201" s="979"/>
    </row>
    <row r="202" spans="1:11" ht="15" customHeight="1" x14ac:dyDescent="0.25">
      <c r="A202" s="1025"/>
      <c r="B202" s="1599" t="s">
        <v>605</v>
      </c>
      <c r="C202" s="1036" t="s">
        <v>484</v>
      </c>
      <c r="D202" s="195"/>
      <c r="E202" s="195"/>
      <c r="F202" s="214"/>
      <c r="G202" s="324">
        <v>0.25</v>
      </c>
      <c r="H202" s="1080" t="str">
        <f>IF(AND(ISNUMBER(D202),ISNUMBER(G202)),D202*G202,"")</f>
        <v/>
      </c>
      <c r="I202" s="732"/>
      <c r="J202" s="732"/>
      <c r="K202" s="979"/>
    </row>
    <row r="203" spans="1:11" ht="15" customHeight="1" x14ac:dyDescent="0.25">
      <c r="A203" s="1025"/>
      <c r="B203" s="1093" t="s">
        <v>94</v>
      </c>
      <c r="C203" s="1036" t="s">
        <v>484</v>
      </c>
      <c r="D203" s="195"/>
      <c r="E203" s="195"/>
      <c r="F203" s="214"/>
      <c r="G203" s="219"/>
      <c r="H203" s="229"/>
      <c r="I203" s="732"/>
      <c r="J203" s="732"/>
      <c r="K203" s="979"/>
    </row>
    <row r="204" spans="1:11" ht="15" customHeight="1" x14ac:dyDescent="0.25">
      <c r="A204" s="1025"/>
      <c r="B204" s="1094" t="str">
        <f>CONCATENATE("Check: row ", ROW(B203), " ≤ row ", ROW(LCR!B202),)</f>
        <v>Check: row 203 ≤ row 202</v>
      </c>
      <c r="C204" s="230"/>
      <c r="D204" s="1040" t="str">
        <f>IF((D203&lt;=D202),"Pass","Fail")</f>
        <v>Pass</v>
      </c>
      <c r="E204" s="1040" t="str">
        <f>IF((E203&lt;=E202),"Pass","Fail")</f>
        <v>Pass</v>
      </c>
      <c r="F204" s="214"/>
      <c r="G204" s="219"/>
      <c r="H204" s="229"/>
      <c r="I204" s="732"/>
      <c r="J204" s="732"/>
      <c r="K204" s="979"/>
    </row>
    <row r="205" spans="1:11" ht="15" customHeight="1" x14ac:dyDescent="0.25">
      <c r="A205" s="1025"/>
      <c r="B205" s="1599" t="s">
        <v>606</v>
      </c>
      <c r="C205" s="1036" t="s">
        <v>484</v>
      </c>
      <c r="D205" s="178"/>
      <c r="E205" s="178"/>
      <c r="F205" s="214"/>
      <c r="G205" s="324">
        <v>0.5</v>
      </c>
      <c r="H205" s="1080" t="str">
        <f>IF(AND(ISNUMBER(D205),ISNUMBER(G205)),D205*G205,"")</f>
        <v/>
      </c>
      <c r="I205" s="732"/>
      <c r="J205" s="732"/>
      <c r="K205" s="979"/>
    </row>
    <row r="206" spans="1:11" ht="15" customHeight="1" x14ac:dyDescent="0.25">
      <c r="A206" s="1025"/>
      <c r="B206" s="1093" t="s">
        <v>94</v>
      </c>
      <c r="C206" s="1036" t="s">
        <v>484</v>
      </c>
      <c r="D206" s="178"/>
      <c r="E206" s="178"/>
      <c r="F206" s="214"/>
      <c r="G206" s="219"/>
      <c r="H206" s="229"/>
      <c r="I206" s="732"/>
      <c r="J206" s="732"/>
      <c r="K206" s="979"/>
    </row>
    <row r="207" spans="1:11" ht="15" customHeight="1" x14ac:dyDescent="0.25">
      <c r="A207" s="1025"/>
      <c r="B207" s="1094" t="str">
        <f>CONCATENATE("Check: row ", ROW(B206), " ≤ row ", ROW(LCR!B205),)</f>
        <v>Check: row 206 ≤ row 205</v>
      </c>
      <c r="C207" s="230"/>
      <c r="D207" s="1040" t="str">
        <f>IF((D206&lt;=D205),"Pass","Fail")</f>
        <v>Pass</v>
      </c>
      <c r="E207" s="1040" t="str">
        <f>IF((E206&lt;=E205),"Pass","Fail")</f>
        <v>Pass</v>
      </c>
      <c r="F207" s="214"/>
      <c r="G207" s="219"/>
      <c r="H207" s="229"/>
      <c r="I207" s="732"/>
      <c r="J207" s="732"/>
      <c r="K207" s="979"/>
    </row>
    <row r="208" spans="1:11" ht="15" customHeight="1" x14ac:dyDescent="0.25">
      <c r="A208" s="1025"/>
      <c r="B208" s="1095" t="s">
        <v>607</v>
      </c>
      <c r="C208" s="1036" t="s">
        <v>484</v>
      </c>
      <c r="D208" s="242"/>
      <c r="E208" s="242"/>
      <c r="F208" s="214"/>
      <c r="G208" s="219"/>
      <c r="H208" s="229"/>
      <c r="I208" s="732"/>
      <c r="J208" s="732"/>
      <c r="K208" s="979"/>
    </row>
    <row r="209" spans="1:11" ht="15" customHeight="1" x14ac:dyDescent="0.25">
      <c r="A209" s="1025"/>
      <c r="B209" s="1599" t="s">
        <v>608</v>
      </c>
      <c r="C209" s="1036" t="s">
        <v>484</v>
      </c>
      <c r="D209" s="244"/>
      <c r="E209" s="244"/>
      <c r="F209" s="214"/>
      <c r="G209" s="324">
        <v>0.25</v>
      </c>
      <c r="H209" s="1080" t="str">
        <f>IF(AND(ISNUMBER(D209),ISNUMBER(G209)),D209*G209,"")</f>
        <v/>
      </c>
      <c r="I209" s="732"/>
      <c r="J209" s="732"/>
      <c r="K209" s="979"/>
    </row>
    <row r="210" spans="1:11" ht="15" customHeight="1" x14ac:dyDescent="0.25">
      <c r="A210" s="1025"/>
      <c r="B210" s="805" t="s">
        <v>609</v>
      </c>
      <c r="C210" s="1039" t="s">
        <v>484</v>
      </c>
      <c r="D210" s="256"/>
      <c r="E210" s="247"/>
      <c r="F210" s="257"/>
      <c r="G210" s="1081">
        <v>1</v>
      </c>
      <c r="H210" s="1082" t="str">
        <f>IF(AND(ISNUMBER(D210),ISNUMBER(G210)),D210*G210,"")</f>
        <v/>
      </c>
      <c r="I210" s="732"/>
      <c r="J210" s="732"/>
      <c r="K210" s="979"/>
    </row>
    <row r="211" spans="1:11" ht="15" customHeight="1" x14ac:dyDescent="0.25">
      <c r="A211" s="1025"/>
      <c r="B211" s="1088" t="s">
        <v>415</v>
      </c>
      <c r="C211" s="234"/>
      <c r="D211" s="258"/>
      <c r="E211" s="258"/>
      <c r="F211" s="249"/>
      <c r="G211" s="258"/>
      <c r="H211" s="1083" t="str">
        <f>IF(AND(ISNUMBER(H179),ISNUMBER(H182),ISNUMBER(H191),ISNUMBER(H192),ISNUMBER(H195),ISNUMBER(H209),ISNUMBER(H210)),SUM(H179,H182,H185,H188,H191:H192,H195,H198,H202,H205,H209:H210),"")</f>
        <v/>
      </c>
      <c r="I211" s="732"/>
      <c r="J211" s="732"/>
      <c r="K211" s="979"/>
    </row>
    <row r="212" spans="1:11" s="929" customFormat="1" ht="60" customHeight="1" x14ac:dyDescent="0.3">
      <c r="A212" s="1732" t="s">
        <v>663</v>
      </c>
      <c r="B212" s="1733"/>
      <c r="C212" s="1733"/>
      <c r="D212" s="1733"/>
      <c r="E212" s="1733"/>
      <c r="F212" s="1733"/>
      <c r="G212" s="1733"/>
      <c r="H212" s="1733"/>
      <c r="I212" s="1733"/>
      <c r="J212" s="1733"/>
      <c r="K212" s="1734"/>
    </row>
    <row r="213" spans="1:11" ht="30" customHeight="1" x14ac:dyDescent="0.25">
      <c r="A213" s="1025"/>
      <c r="B213" s="1090"/>
      <c r="C213" s="1562" t="s">
        <v>587</v>
      </c>
      <c r="D213" s="1562" t="s">
        <v>342</v>
      </c>
      <c r="E213" s="77"/>
      <c r="F213" s="77"/>
      <c r="G213" s="1562" t="s">
        <v>354</v>
      </c>
      <c r="H213" s="1027" t="s">
        <v>355</v>
      </c>
      <c r="I213" s="732"/>
      <c r="J213" s="732"/>
      <c r="K213" s="979"/>
    </row>
    <row r="214" spans="1:11" ht="15" customHeight="1" x14ac:dyDescent="0.25">
      <c r="A214" s="1025"/>
      <c r="B214" s="1066" t="s">
        <v>493</v>
      </c>
      <c r="C214" s="1067" t="s">
        <v>513</v>
      </c>
      <c r="D214" s="259"/>
      <c r="E214" s="260"/>
      <c r="F214" s="260"/>
      <c r="G214" s="1096">
        <v>1</v>
      </c>
      <c r="H214" s="1097" t="str">
        <f>IF(AND(ISNUMBER(D214),ISNUMBER(G214)),D214*G214,"")</f>
        <v/>
      </c>
      <c r="I214" s="732"/>
      <c r="J214" s="732"/>
      <c r="K214" s="979"/>
    </row>
    <row r="215" spans="1:11" ht="15" customHeight="1" x14ac:dyDescent="0.25">
      <c r="A215" s="1025"/>
      <c r="B215" s="338" t="s">
        <v>610</v>
      </c>
      <c r="C215" s="1036">
        <v>118</v>
      </c>
      <c r="D215" s="244"/>
      <c r="E215" s="215"/>
      <c r="F215" s="215"/>
      <c r="G215" s="324">
        <v>1</v>
      </c>
      <c r="H215" s="1080" t="str">
        <f>IF(AND(ISNUMBER(D215),ISNUMBER(G215)),D215*G215,"")</f>
        <v/>
      </c>
      <c r="I215" s="732"/>
      <c r="J215" s="732"/>
      <c r="K215" s="979"/>
    </row>
    <row r="216" spans="1:11" ht="30" customHeight="1" x14ac:dyDescent="0.25">
      <c r="A216" s="1025"/>
      <c r="B216" s="338" t="s">
        <v>416</v>
      </c>
      <c r="C216" s="1036">
        <v>119</v>
      </c>
      <c r="D216" s="224"/>
      <c r="E216" s="215"/>
      <c r="F216" s="215"/>
      <c r="G216" s="261"/>
      <c r="H216" s="262"/>
      <c r="I216" s="732"/>
      <c r="J216" s="732"/>
      <c r="K216" s="979"/>
    </row>
    <row r="217" spans="1:11" ht="15" customHeight="1" x14ac:dyDescent="0.25">
      <c r="A217" s="1025"/>
      <c r="B217" s="1030" t="s">
        <v>494</v>
      </c>
      <c r="C217" s="230"/>
      <c r="D217" s="244"/>
      <c r="E217" s="215"/>
      <c r="F217" s="215"/>
      <c r="G217" s="324">
        <v>0</v>
      </c>
      <c r="H217" s="1080" t="str">
        <f t="shared" ref="H217:H223" si="2">IF(AND(ISNUMBER(D217),ISNUMBER(G217)),D217*G217,"")</f>
        <v/>
      </c>
      <c r="I217" s="732"/>
      <c r="J217" s="732"/>
      <c r="K217" s="979"/>
    </row>
    <row r="218" spans="1:11" ht="15" customHeight="1" x14ac:dyDescent="0.25">
      <c r="A218" s="1025"/>
      <c r="B218" s="1030" t="s">
        <v>61</v>
      </c>
      <c r="C218" s="230"/>
      <c r="D218" s="244"/>
      <c r="E218" s="215"/>
      <c r="F218" s="215"/>
      <c r="G218" s="324">
        <v>0.2</v>
      </c>
      <c r="H218" s="1080" t="str">
        <f t="shared" si="2"/>
        <v/>
      </c>
      <c r="I218" s="732"/>
      <c r="J218" s="732"/>
      <c r="K218" s="979"/>
    </row>
    <row r="219" spans="1:11" ht="30" customHeight="1" x14ac:dyDescent="0.25">
      <c r="A219" s="1025"/>
      <c r="B219" s="338" t="s">
        <v>495</v>
      </c>
      <c r="C219" s="241">
        <v>120</v>
      </c>
      <c r="D219" s="244"/>
      <c r="E219" s="215"/>
      <c r="F219" s="215"/>
      <c r="G219" s="324">
        <v>1</v>
      </c>
      <c r="H219" s="1080" t="str">
        <f t="shared" si="2"/>
        <v/>
      </c>
      <c r="I219" s="732"/>
      <c r="J219" s="732"/>
      <c r="K219" s="979"/>
    </row>
    <row r="220" spans="1:11" ht="30" customHeight="1" x14ac:dyDescent="0.25">
      <c r="A220" s="1025"/>
      <c r="B220" s="338" t="s">
        <v>496</v>
      </c>
      <c r="C220" s="241">
        <v>121</v>
      </c>
      <c r="D220" s="244"/>
      <c r="E220" s="215"/>
      <c r="F220" s="215"/>
      <c r="G220" s="324">
        <v>1</v>
      </c>
      <c r="H220" s="1080" t="str">
        <f t="shared" si="2"/>
        <v/>
      </c>
      <c r="I220" s="732"/>
      <c r="J220" s="732"/>
      <c r="K220" s="979"/>
    </row>
    <row r="221" spans="1:11" ht="15" customHeight="1" x14ac:dyDescent="0.25">
      <c r="A221" s="772"/>
      <c r="B221" s="338" t="s">
        <v>497</v>
      </c>
      <c r="C221" s="241">
        <v>122</v>
      </c>
      <c r="D221" s="244"/>
      <c r="E221" s="215"/>
      <c r="F221" s="215"/>
      <c r="G221" s="324">
        <v>1</v>
      </c>
      <c r="H221" s="1080" t="str">
        <f t="shared" si="2"/>
        <v/>
      </c>
      <c r="I221" s="732"/>
      <c r="J221" s="732"/>
      <c r="K221" s="979"/>
    </row>
    <row r="222" spans="1:11" ht="15" customHeight="1" x14ac:dyDescent="0.25">
      <c r="A222" s="772"/>
      <c r="B222" s="338" t="s">
        <v>498</v>
      </c>
      <c r="C222" s="241">
        <v>123</v>
      </c>
      <c r="D222" s="244"/>
      <c r="E222" s="215"/>
      <c r="F222" s="215"/>
      <c r="G222" s="324">
        <v>1</v>
      </c>
      <c r="H222" s="1080" t="str">
        <f t="shared" si="2"/>
        <v/>
      </c>
      <c r="I222" s="732"/>
      <c r="J222" s="732"/>
      <c r="K222" s="979"/>
    </row>
    <row r="223" spans="1:11" ht="15" customHeight="1" x14ac:dyDescent="0.25">
      <c r="A223" s="1025"/>
      <c r="B223" s="338" t="s">
        <v>368</v>
      </c>
      <c r="C223" s="1036">
        <v>124</v>
      </c>
      <c r="D223" s="244"/>
      <c r="E223" s="215"/>
      <c r="F223" s="215"/>
      <c r="G223" s="324">
        <v>1</v>
      </c>
      <c r="H223" s="1080" t="str">
        <f t="shared" si="2"/>
        <v/>
      </c>
      <c r="I223" s="732"/>
      <c r="J223" s="732"/>
      <c r="K223" s="979"/>
    </row>
    <row r="224" spans="1:11" ht="15" customHeight="1" x14ac:dyDescent="0.25">
      <c r="A224" s="1025"/>
      <c r="B224" s="338" t="s">
        <v>369</v>
      </c>
      <c r="C224" s="1036">
        <v>125</v>
      </c>
      <c r="D224" s="224"/>
      <c r="E224" s="215"/>
      <c r="F224" s="215"/>
      <c r="G224" s="261"/>
      <c r="H224" s="262"/>
      <c r="I224" s="732"/>
      <c r="J224" s="732"/>
      <c r="K224" s="979"/>
    </row>
    <row r="225" spans="1:11" ht="15" customHeight="1" x14ac:dyDescent="0.25">
      <c r="A225" s="1025"/>
      <c r="B225" s="1030" t="s">
        <v>370</v>
      </c>
      <c r="C225" s="1036">
        <v>125</v>
      </c>
      <c r="D225" s="244"/>
      <c r="E225" s="215"/>
      <c r="F225" s="215"/>
      <c r="G225" s="324">
        <v>1</v>
      </c>
      <c r="H225" s="1080" t="str">
        <f>IF(AND(ISNUMBER(D225),ISNUMBER(G225)),D225*G225,"")</f>
        <v/>
      </c>
      <c r="I225" s="732"/>
      <c r="J225" s="732"/>
      <c r="K225" s="979"/>
    </row>
    <row r="226" spans="1:11" ht="15" customHeight="1" x14ac:dyDescent="0.25">
      <c r="A226" s="1025"/>
      <c r="B226" s="1030" t="s">
        <v>417</v>
      </c>
      <c r="C226" s="1036">
        <v>125</v>
      </c>
      <c r="D226" s="244"/>
      <c r="E226" s="215"/>
      <c r="F226" s="215"/>
      <c r="G226" s="324">
        <v>1</v>
      </c>
      <c r="H226" s="1080" t="str">
        <f>IF(AND(ISNUMBER(D226),ISNUMBER(G226)),D226*G226,"")</f>
        <v/>
      </c>
      <c r="I226" s="732"/>
      <c r="J226" s="732"/>
      <c r="K226" s="979"/>
    </row>
    <row r="227" spans="1:11" ht="15" customHeight="1" x14ac:dyDescent="0.25">
      <c r="A227" s="1025"/>
      <c r="B227" s="1030" t="s">
        <v>418</v>
      </c>
      <c r="C227" s="1036">
        <v>125</v>
      </c>
      <c r="D227" s="244"/>
      <c r="E227" s="215"/>
      <c r="F227" s="215"/>
      <c r="G227" s="324">
        <v>1</v>
      </c>
      <c r="H227" s="1080" t="str">
        <f>IF(AND(ISNUMBER(D227),ISNUMBER(G227)),D227*G227,"")</f>
        <v/>
      </c>
      <c r="I227" s="732"/>
      <c r="J227" s="732"/>
      <c r="K227" s="979"/>
    </row>
    <row r="228" spans="1:11" ht="15" customHeight="1" x14ac:dyDescent="0.25">
      <c r="A228" s="1025"/>
      <c r="B228" s="338" t="s">
        <v>0</v>
      </c>
      <c r="C228" s="1036">
        <v>124</v>
      </c>
      <c r="D228" s="244"/>
      <c r="E228" s="215"/>
      <c r="F228" s="215"/>
      <c r="G228" s="324">
        <v>1</v>
      </c>
      <c r="H228" s="1080" t="str">
        <f>IF(AND(ISNUMBER(D228),ISNUMBER(G228)),D228*G228,"")</f>
        <v/>
      </c>
      <c r="I228" s="732"/>
      <c r="J228" s="732"/>
      <c r="K228" s="979"/>
    </row>
    <row r="229" spans="1:11" ht="15" customHeight="1" x14ac:dyDescent="0.25">
      <c r="A229" s="1025"/>
      <c r="B229" s="338" t="s">
        <v>1</v>
      </c>
      <c r="C229" s="1036" t="s">
        <v>514</v>
      </c>
      <c r="D229" s="244"/>
      <c r="E229" s="215"/>
      <c r="F229" s="215"/>
      <c r="G229" s="324">
        <v>0.05</v>
      </c>
      <c r="H229" s="1080" t="str">
        <f>IF(AND(ISNUMBER(D229),ISNUMBER(G229)),D229*G229,"")</f>
        <v/>
      </c>
      <c r="I229" s="732"/>
      <c r="J229" s="732"/>
      <c r="K229" s="979"/>
    </row>
    <row r="230" spans="1:11" ht="15" customHeight="1" x14ac:dyDescent="0.25">
      <c r="A230" s="1025"/>
      <c r="B230" s="338" t="s">
        <v>2</v>
      </c>
      <c r="C230" s="230"/>
      <c r="D230" s="224"/>
      <c r="E230" s="215"/>
      <c r="F230" s="215"/>
      <c r="G230" s="261"/>
      <c r="H230" s="262"/>
      <c r="I230" s="732"/>
      <c r="J230" s="732"/>
      <c r="K230" s="979"/>
    </row>
    <row r="231" spans="1:11" ht="15" customHeight="1" x14ac:dyDescent="0.25">
      <c r="A231" s="1025"/>
      <c r="B231" s="1030" t="s">
        <v>337</v>
      </c>
      <c r="C231" s="1036" t="s">
        <v>515</v>
      </c>
      <c r="D231" s="244"/>
      <c r="E231" s="215"/>
      <c r="F231" s="215"/>
      <c r="G231" s="324">
        <v>0.1</v>
      </c>
      <c r="H231" s="1080" t="str">
        <f>IF(AND(ISNUMBER(D231),ISNUMBER(G231)),D231*G231,"")</f>
        <v/>
      </c>
      <c r="I231" s="732"/>
      <c r="J231" s="732"/>
      <c r="K231" s="979"/>
    </row>
    <row r="232" spans="1:11" ht="15" customHeight="1" x14ac:dyDescent="0.25">
      <c r="A232" s="1025"/>
      <c r="B232" s="1030" t="s">
        <v>3</v>
      </c>
      <c r="C232" s="1036" t="s">
        <v>515</v>
      </c>
      <c r="D232" s="244"/>
      <c r="E232" s="215"/>
      <c r="F232" s="215"/>
      <c r="G232" s="324">
        <v>0.1</v>
      </c>
      <c r="H232" s="1080" t="str">
        <f>IF(AND(ISNUMBER(D232),ISNUMBER(G232)),D232*G232,"")</f>
        <v/>
      </c>
      <c r="I232" s="732"/>
      <c r="J232" s="732"/>
      <c r="K232" s="979"/>
    </row>
    <row r="233" spans="1:11" ht="15" customHeight="1" x14ac:dyDescent="0.25">
      <c r="A233" s="1025"/>
      <c r="B233" s="338" t="s">
        <v>4</v>
      </c>
      <c r="C233" s="230"/>
      <c r="D233" s="224"/>
      <c r="E233" s="215"/>
      <c r="F233" s="215"/>
      <c r="G233" s="261"/>
      <c r="H233" s="262"/>
      <c r="I233" s="732"/>
      <c r="J233" s="732"/>
      <c r="K233" s="979"/>
    </row>
    <row r="234" spans="1:11" ht="15" customHeight="1" x14ac:dyDescent="0.25">
      <c r="A234" s="1025"/>
      <c r="B234" s="1030" t="s">
        <v>337</v>
      </c>
      <c r="C234" s="1036" t="s">
        <v>516</v>
      </c>
      <c r="D234" s="244"/>
      <c r="E234" s="215"/>
      <c r="F234" s="215"/>
      <c r="G234" s="324">
        <v>0.3</v>
      </c>
      <c r="H234" s="1080" t="str">
        <f t="shared" ref="H234:H239" si="3">IF(AND(ISNUMBER(D234),ISNUMBER(G234)),D234*G234,"")</f>
        <v/>
      </c>
      <c r="I234" s="732"/>
      <c r="J234" s="732"/>
      <c r="K234" s="979"/>
    </row>
    <row r="235" spans="1:11" ht="15" customHeight="1" x14ac:dyDescent="0.25">
      <c r="A235" s="1025"/>
      <c r="B235" s="1030" t="s">
        <v>3</v>
      </c>
      <c r="C235" s="1036" t="s">
        <v>516</v>
      </c>
      <c r="D235" s="244"/>
      <c r="E235" s="215"/>
      <c r="F235" s="215"/>
      <c r="G235" s="324">
        <v>0.3</v>
      </c>
      <c r="H235" s="1080" t="str">
        <f t="shared" si="3"/>
        <v/>
      </c>
      <c r="I235" s="732"/>
      <c r="J235" s="732"/>
      <c r="K235" s="979"/>
    </row>
    <row r="236" spans="1:11" ht="15" customHeight="1" x14ac:dyDescent="0.25">
      <c r="A236" s="1025"/>
      <c r="B236" s="338" t="s">
        <v>499</v>
      </c>
      <c r="C236" s="1036" t="s">
        <v>500</v>
      </c>
      <c r="D236" s="244"/>
      <c r="E236" s="215"/>
      <c r="F236" s="215"/>
      <c r="G236" s="324">
        <v>0.4</v>
      </c>
      <c r="H236" s="1080" t="str">
        <f t="shared" si="3"/>
        <v/>
      </c>
      <c r="I236" s="732"/>
      <c r="J236" s="732"/>
      <c r="K236" s="979"/>
    </row>
    <row r="237" spans="1:11" ht="15" customHeight="1" x14ac:dyDescent="0.25">
      <c r="A237" s="1025"/>
      <c r="B237" s="338" t="s">
        <v>501</v>
      </c>
      <c r="C237" s="1036" t="s">
        <v>502</v>
      </c>
      <c r="D237" s="244"/>
      <c r="E237" s="215"/>
      <c r="F237" s="215"/>
      <c r="G237" s="324">
        <v>0.4</v>
      </c>
      <c r="H237" s="1080" t="str">
        <f t="shared" si="3"/>
        <v/>
      </c>
      <c r="I237" s="732"/>
      <c r="J237" s="732"/>
      <c r="K237" s="979"/>
    </row>
    <row r="238" spans="1:11" ht="15" customHeight="1" x14ac:dyDescent="0.25">
      <c r="A238" s="1025"/>
      <c r="B238" s="338" t="s">
        <v>503</v>
      </c>
      <c r="C238" s="1036" t="s">
        <v>504</v>
      </c>
      <c r="D238" s="244"/>
      <c r="E238" s="215"/>
      <c r="F238" s="215"/>
      <c r="G238" s="324">
        <v>1</v>
      </c>
      <c r="H238" s="1080" t="str">
        <f t="shared" si="3"/>
        <v/>
      </c>
      <c r="I238" s="732"/>
      <c r="J238" s="732"/>
      <c r="K238" s="979"/>
    </row>
    <row r="239" spans="1:11" ht="15" customHeight="1" x14ac:dyDescent="0.25">
      <c r="A239" s="1025"/>
      <c r="B239" s="1600" t="s">
        <v>583</v>
      </c>
      <c r="C239" s="1039" t="s">
        <v>517</v>
      </c>
      <c r="D239" s="247"/>
      <c r="E239" s="263"/>
      <c r="F239" s="263"/>
      <c r="G239" s="232">
        <v>1</v>
      </c>
      <c r="H239" s="233" t="str">
        <f t="shared" si="3"/>
        <v/>
      </c>
      <c r="I239" s="732"/>
      <c r="J239" s="732"/>
      <c r="K239" s="979"/>
    </row>
    <row r="240" spans="1:11" s="929" customFormat="1" ht="30" customHeight="1" x14ac:dyDescent="0.25">
      <c r="A240" s="1046"/>
      <c r="B240" s="1098"/>
      <c r="C240" s="1099"/>
      <c r="D240" s="1099"/>
      <c r="E240" s="1100"/>
      <c r="F240" s="1024"/>
      <c r="G240" s="1024"/>
      <c r="H240" s="1024"/>
      <c r="I240" s="732"/>
      <c r="J240" s="732"/>
      <c r="K240" s="979"/>
    </row>
    <row r="241" spans="1:11" s="929" customFormat="1" ht="30" customHeight="1" x14ac:dyDescent="0.25">
      <c r="A241" s="1025"/>
      <c r="B241" s="1101" t="s">
        <v>5</v>
      </c>
      <c r="C241" s="1561" t="s">
        <v>587</v>
      </c>
      <c r="D241" s="1561" t="s">
        <v>342</v>
      </c>
      <c r="E241" s="1561" t="s">
        <v>6</v>
      </c>
      <c r="F241" s="1561" t="s">
        <v>7</v>
      </c>
      <c r="G241" s="1561" t="s">
        <v>354</v>
      </c>
      <c r="H241" s="1102" t="s">
        <v>355</v>
      </c>
      <c r="I241" s="732"/>
      <c r="J241" s="732"/>
      <c r="K241" s="979"/>
    </row>
    <row r="242" spans="1:11" ht="15" customHeight="1" x14ac:dyDescent="0.25">
      <c r="A242" s="1025"/>
      <c r="B242" s="1103" t="s">
        <v>91</v>
      </c>
      <c r="C242" s="1035">
        <v>132</v>
      </c>
      <c r="D242" s="264"/>
      <c r="E242" s="239"/>
      <c r="F242" s="265"/>
      <c r="G242" s="1107">
        <v>1</v>
      </c>
      <c r="H242" s="1059" t="str">
        <f>IF(AND(ISNUMBER(D242),ISNUMBER(G242)),D242*G242,"")</f>
        <v/>
      </c>
      <c r="I242" s="732"/>
      <c r="J242" s="732"/>
      <c r="K242" s="979"/>
    </row>
    <row r="243" spans="1:11" ht="15" customHeight="1" x14ac:dyDescent="0.25">
      <c r="A243" s="1025"/>
      <c r="B243" s="1030" t="s">
        <v>336</v>
      </c>
      <c r="C243" s="1036">
        <v>133</v>
      </c>
      <c r="D243" s="244"/>
      <c r="E243" s="1108" t="str">
        <f>IF(AND(ISNUMBER(D302),ISNUMBER(H302)),D302-H302,"")</f>
        <v/>
      </c>
      <c r="F243" s="267"/>
      <c r="G243" s="268"/>
      <c r="H243" s="269"/>
      <c r="I243" s="732"/>
      <c r="J243" s="732"/>
      <c r="K243" s="979"/>
    </row>
    <row r="244" spans="1:11" ht="15" customHeight="1" x14ac:dyDescent="0.25">
      <c r="A244" s="1025"/>
      <c r="B244" s="1030" t="s">
        <v>8</v>
      </c>
      <c r="C244" s="1036">
        <v>133</v>
      </c>
      <c r="D244" s="244"/>
      <c r="E244" s="1108" t="str">
        <f>IF(AND(ISNUMBER(D303),ISNUMBER(H303)),D303-H303,"")</f>
        <v/>
      </c>
      <c r="F244" s="267"/>
      <c r="G244" s="268"/>
      <c r="H244" s="269"/>
      <c r="I244" s="732"/>
      <c r="J244" s="732"/>
      <c r="K244" s="979"/>
    </row>
    <row r="245" spans="1:11" ht="15" customHeight="1" x14ac:dyDescent="0.25">
      <c r="A245" s="1025"/>
      <c r="B245" s="1030" t="s">
        <v>337</v>
      </c>
      <c r="C245" s="1036">
        <v>133</v>
      </c>
      <c r="D245" s="244"/>
      <c r="E245" s="1108" t="str">
        <f>IF(AND(ISNUMBER(D304),ISNUMBER(H304)),D304-H304,"")</f>
        <v/>
      </c>
      <c r="F245" s="267"/>
      <c r="G245" s="268"/>
      <c r="H245" s="269"/>
      <c r="I245" s="732"/>
      <c r="J245" s="732"/>
      <c r="K245" s="979"/>
    </row>
    <row r="246" spans="1:11" ht="15" customHeight="1" x14ac:dyDescent="0.25">
      <c r="A246" s="1025"/>
      <c r="B246" s="1030" t="s">
        <v>9</v>
      </c>
      <c r="C246" s="1036">
        <v>133</v>
      </c>
      <c r="D246" s="244"/>
      <c r="E246" s="1108" t="str">
        <f>IF(AND(ISNUMBER(D305),ISNUMBER(H305),ISNUMBER(D310),ISNUMBER(H310)),((D310-H310)+(D305-H305)),"")</f>
        <v/>
      </c>
      <c r="F246" s="267"/>
      <c r="G246" s="268"/>
      <c r="H246" s="269"/>
      <c r="I246" s="732"/>
      <c r="J246" s="732"/>
      <c r="K246" s="979"/>
    </row>
    <row r="247" spans="1:11" ht="15" customHeight="1" x14ac:dyDescent="0.25">
      <c r="A247" s="1025"/>
      <c r="B247" s="1087" t="s">
        <v>53</v>
      </c>
      <c r="C247" s="252"/>
      <c r="D247" s="1053" t="str">
        <f>IF(AND(ISNUMBER(D243),ISNUMBER(D244),ISNUMBER(D245),ISNUMBER(D246)),SUM(D243:D246),"")</f>
        <v/>
      </c>
      <c r="E247" s="1053" t="str">
        <f>IF(AND(ISNUMBER(E243),ISNUMBER(E244),ISNUMBER(E245),ISNUMBER(E246)),SUM(E243:E246),"")</f>
        <v/>
      </c>
      <c r="F247" s="1105" t="str">
        <f>IF(AND(ISNUMBER(D247),ISNUMBER(E247)),MAX(D247-E247,0),"")</f>
        <v/>
      </c>
      <c r="G247" s="1081">
        <v>1</v>
      </c>
      <c r="H247" s="1106" t="str">
        <f>IF(AND(ISNUMBER(F247),ISNUMBER(G247)),F247*G247,"")</f>
        <v/>
      </c>
      <c r="I247" s="732"/>
      <c r="J247" s="732"/>
      <c r="K247" s="979"/>
    </row>
    <row r="248" spans="1:11" ht="30" customHeight="1" x14ac:dyDescent="0.25">
      <c r="A248" s="1025"/>
      <c r="B248" s="1104" t="s">
        <v>10</v>
      </c>
      <c r="C248" s="270"/>
      <c r="D248" s="271"/>
      <c r="E248" s="271"/>
      <c r="F248" s="271"/>
      <c r="G248" s="271"/>
      <c r="H248" s="1109" t="str">
        <f>IF(AND(ISNUMBER(H242),ISNUMBER(H247)),H242+H247,"")</f>
        <v/>
      </c>
      <c r="I248" s="732"/>
      <c r="J248" s="732"/>
      <c r="K248" s="979"/>
    </row>
    <row r="249" spans="1:11" s="929" customFormat="1" ht="30" customHeight="1" x14ac:dyDescent="0.25">
      <c r="A249" s="1046"/>
      <c r="B249" s="1110"/>
      <c r="C249" s="1111"/>
      <c r="D249" s="1110"/>
      <c r="E249" s="732"/>
      <c r="F249" s="732"/>
      <c r="G249" s="1112"/>
      <c r="H249" s="1112"/>
      <c r="I249" s="732"/>
      <c r="J249" s="732"/>
      <c r="K249" s="979"/>
    </row>
    <row r="250" spans="1:11" s="929" customFormat="1" ht="30" customHeight="1" x14ac:dyDescent="0.25">
      <c r="A250" s="1046"/>
      <c r="B250" s="1113"/>
      <c r="C250" s="1114"/>
      <c r="D250" s="1114"/>
      <c r="E250" s="1114"/>
      <c r="F250" s="983"/>
      <c r="G250" s="1115"/>
      <c r="H250" s="1027" t="s">
        <v>355</v>
      </c>
      <c r="I250" s="732"/>
      <c r="J250" s="732"/>
      <c r="K250" s="979"/>
    </row>
    <row r="251" spans="1:11" ht="15" customHeight="1" x14ac:dyDescent="0.25">
      <c r="A251" s="1025"/>
      <c r="B251" s="1116" t="s">
        <v>54</v>
      </c>
      <c r="C251" s="234"/>
      <c r="D251" s="156"/>
      <c r="E251" s="156"/>
      <c r="F251" s="156"/>
      <c r="G251" s="156"/>
      <c r="H251" s="1118" t="str">
        <f>IF(AND(ISNUMBER(H214),ISNUMBER(H215),ISNUMBER(H217),ISNUMBER(H218),ISNUMBER(H219),ISNUMBER(H220),ISNUMBER(H221),ISNUMBER(H222),ISNUMBER(H223),ISNUMBER(H225),ISNUMBER(H226),ISNUMBER(H227),ISNUMBER(H228),ISNUMBER(H229),ISNUMBER(H231),ISNUMBER(H232),ISNUMBER(H234),ISNUMBER(H235),ISNUMBER(H236),ISNUMBER(H237),ISNUMBER(H238),ISNUMBER(H239),ISNUMBER(H248)),H214+H215+SUM(H217:H223)+SUM(H225:H229)+SUM(H231:H232)+SUM(H234:H239)+H248,"")</f>
        <v/>
      </c>
      <c r="I251" s="732"/>
      <c r="J251" s="732"/>
      <c r="K251" s="979"/>
    </row>
    <row r="252" spans="1:11" s="929" customFormat="1" ht="30" customHeight="1" x14ac:dyDescent="0.25">
      <c r="A252" s="1025"/>
      <c r="B252" s="1110"/>
      <c r="C252" s="1024"/>
      <c r="D252" s="1023"/>
      <c r="E252" s="1024"/>
      <c r="F252" s="1117"/>
      <c r="G252" s="1024"/>
      <c r="H252" s="1024"/>
      <c r="I252" s="732"/>
      <c r="J252" s="732"/>
      <c r="K252" s="979"/>
    </row>
    <row r="253" spans="1:11" ht="30" customHeight="1" x14ac:dyDescent="0.25">
      <c r="A253" s="1025"/>
      <c r="B253" s="1119" t="s">
        <v>197</v>
      </c>
      <c r="C253" s="1562" t="s">
        <v>587</v>
      </c>
      <c r="D253" s="1562" t="s">
        <v>342</v>
      </c>
      <c r="E253" s="156"/>
      <c r="F253" s="156"/>
      <c r="G253" s="1562" t="s">
        <v>354</v>
      </c>
      <c r="H253" s="1124" t="s">
        <v>355</v>
      </c>
      <c r="I253" s="732"/>
      <c r="J253" s="732"/>
      <c r="K253" s="979"/>
    </row>
    <row r="254" spans="1:11" ht="15" customHeight="1" x14ac:dyDescent="0.25">
      <c r="A254" s="1025"/>
      <c r="B254" s="1120" t="s">
        <v>505</v>
      </c>
      <c r="C254" s="1123">
        <v>137</v>
      </c>
      <c r="D254" s="192"/>
      <c r="E254" s="239"/>
      <c r="F254" s="239"/>
      <c r="G254" s="1107">
        <f>Parameters!F56</f>
        <v>0</v>
      </c>
      <c r="H254" s="1125" t="str">
        <f>IF(AND(ISNUMBER(D254),ISNUMBER(G254)),D254*G254,"")</f>
        <v/>
      </c>
      <c r="I254" s="732"/>
      <c r="J254" s="732"/>
      <c r="K254" s="979"/>
    </row>
    <row r="255" spans="1:11" ht="15" customHeight="1" x14ac:dyDescent="0.25">
      <c r="A255" s="1025"/>
      <c r="B255" s="994" t="s">
        <v>275</v>
      </c>
      <c r="C255" s="1036">
        <v>140</v>
      </c>
      <c r="D255" s="172"/>
      <c r="E255" s="221"/>
      <c r="F255" s="221"/>
      <c r="G255" s="324">
        <f>Parameters!F57</f>
        <v>0</v>
      </c>
      <c r="H255" s="1126" t="str">
        <f>IF(AND(ISNUMBER(D255),ISNUMBER(G255)),D255*G255,"")</f>
        <v/>
      </c>
      <c r="I255" s="732"/>
      <c r="J255" s="732"/>
      <c r="K255" s="979"/>
    </row>
    <row r="256" spans="1:11" ht="15" customHeight="1" x14ac:dyDescent="0.25">
      <c r="A256" s="1025"/>
      <c r="B256" s="994" t="s">
        <v>506</v>
      </c>
      <c r="C256" s="1036" t="s">
        <v>511</v>
      </c>
      <c r="D256" s="172"/>
      <c r="E256" s="221"/>
      <c r="F256" s="221"/>
      <c r="G256" s="324">
        <f>Parameters!F58</f>
        <v>0</v>
      </c>
      <c r="H256" s="1126" t="str">
        <f>IF(AND(ISNUMBER(D256),ISNUMBER(G256)),D256*G256,"")</f>
        <v/>
      </c>
      <c r="I256" s="732"/>
      <c r="J256" s="732"/>
      <c r="K256" s="979"/>
    </row>
    <row r="257" spans="1:11" ht="15" customHeight="1" x14ac:dyDescent="0.25">
      <c r="A257" s="1025"/>
      <c r="B257" s="994" t="s">
        <v>507</v>
      </c>
      <c r="C257" s="1036">
        <v>140</v>
      </c>
      <c r="D257" s="172"/>
      <c r="E257" s="221"/>
      <c r="F257" s="221"/>
      <c r="G257" s="324">
        <f>Parameters!F59</f>
        <v>0</v>
      </c>
      <c r="H257" s="1126" t="str">
        <f>IF(AND(ISNUMBER(D257),ISNUMBER(G257)),D257*G257,"")</f>
        <v/>
      </c>
      <c r="I257" s="732"/>
      <c r="J257" s="732"/>
      <c r="K257" s="979"/>
    </row>
    <row r="258" spans="1:11" ht="15" customHeight="1" x14ac:dyDescent="0.25">
      <c r="A258" s="1025"/>
      <c r="B258" s="994" t="s">
        <v>11</v>
      </c>
      <c r="C258" s="227"/>
      <c r="D258" s="224"/>
      <c r="E258" s="221"/>
      <c r="F258" s="221"/>
      <c r="G258" s="261"/>
      <c r="H258" s="272"/>
      <c r="I258" s="732"/>
      <c r="J258" s="732"/>
      <c r="K258" s="979"/>
    </row>
    <row r="259" spans="1:11" ht="15" customHeight="1" x14ac:dyDescent="0.25">
      <c r="A259" s="1025"/>
      <c r="B259" s="996" t="s">
        <v>274</v>
      </c>
      <c r="C259" s="1036">
        <v>140</v>
      </c>
      <c r="D259" s="172"/>
      <c r="E259" s="221"/>
      <c r="F259" s="221"/>
      <c r="G259" s="324">
        <f>Parameters!F61</f>
        <v>0</v>
      </c>
      <c r="H259" s="1126" t="str">
        <f t="shared" ref="H259:H266" si="4">IF(AND(ISNUMBER(D259),ISNUMBER(G259)),D259*G259,"")</f>
        <v/>
      </c>
      <c r="I259" s="732"/>
      <c r="J259" s="732"/>
      <c r="K259" s="979"/>
    </row>
    <row r="260" spans="1:11" ht="15" customHeight="1" x14ac:dyDescent="0.25">
      <c r="A260" s="1025"/>
      <c r="B260" s="996" t="s">
        <v>13</v>
      </c>
      <c r="C260" s="1036">
        <v>140</v>
      </c>
      <c r="D260" s="172"/>
      <c r="E260" s="221"/>
      <c r="F260" s="221"/>
      <c r="G260" s="324">
        <f>Parameters!F62</f>
        <v>0</v>
      </c>
      <c r="H260" s="1126" t="str">
        <f t="shared" si="4"/>
        <v/>
      </c>
      <c r="I260" s="732"/>
      <c r="J260" s="732"/>
      <c r="K260" s="979"/>
    </row>
    <row r="261" spans="1:11" ht="15" customHeight="1" x14ac:dyDescent="0.25">
      <c r="A261" s="1025"/>
      <c r="B261" s="996" t="s">
        <v>409</v>
      </c>
      <c r="C261" s="1036">
        <v>140</v>
      </c>
      <c r="D261" s="172"/>
      <c r="E261" s="221"/>
      <c r="F261" s="221"/>
      <c r="G261" s="324">
        <f>Parameters!F63</f>
        <v>0</v>
      </c>
      <c r="H261" s="1126" t="str">
        <f t="shared" si="4"/>
        <v/>
      </c>
      <c r="I261" s="732"/>
      <c r="J261" s="732"/>
      <c r="K261" s="979"/>
    </row>
    <row r="262" spans="1:11" ht="15" customHeight="1" x14ac:dyDescent="0.25">
      <c r="A262" s="1025"/>
      <c r="B262" s="996" t="s">
        <v>14</v>
      </c>
      <c r="C262" s="1036">
        <v>140</v>
      </c>
      <c r="D262" s="172"/>
      <c r="E262" s="221"/>
      <c r="F262" s="221"/>
      <c r="G262" s="324">
        <f>Parameters!F64</f>
        <v>0</v>
      </c>
      <c r="H262" s="1126" t="str">
        <f t="shared" si="4"/>
        <v/>
      </c>
      <c r="I262" s="732"/>
      <c r="J262" s="732"/>
      <c r="K262" s="979"/>
    </row>
    <row r="263" spans="1:11" ht="15" customHeight="1" x14ac:dyDescent="0.25">
      <c r="A263" s="1025"/>
      <c r="B263" s="994" t="s">
        <v>15</v>
      </c>
      <c r="C263" s="1036">
        <v>140</v>
      </c>
      <c r="D263" s="172"/>
      <c r="E263" s="221"/>
      <c r="F263" s="221"/>
      <c r="G263" s="324">
        <f>Parameters!F65</f>
        <v>0</v>
      </c>
      <c r="H263" s="1126" t="str">
        <f t="shared" si="4"/>
        <v/>
      </c>
      <c r="I263" s="732"/>
      <c r="J263" s="732"/>
      <c r="K263" s="979"/>
    </row>
    <row r="264" spans="1:11" ht="15" customHeight="1" x14ac:dyDescent="0.25">
      <c r="A264" s="1025"/>
      <c r="B264" s="994" t="s">
        <v>508</v>
      </c>
      <c r="C264" s="1036">
        <v>140</v>
      </c>
      <c r="D264" s="172"/>
      <c r="E264" s="221"/>
      <c r="F264" s="221"/>
      <c r="G264" s="324">
        <f>Parameters!F66</f>
        <v>0.5</v>
      </c>
      <c r="H264" s="1126" t="str">
        <f t="shared" si="4"/>
        <v/>
      </c>
      <c r="I264" s="732"/>
      <c r="J264" s="732"/>
      <c r="K264" s="979"/>
    </row>
    <row r="265" spans="1:11" ht="15" customHeight="1" x14ac:dyDescent="0.25">
      <c r="A265" s="1025"/>
      <c r="B265" s="994" t="s">
        <v>509</v>
      </c>
      <c r="C265" s="1036">
        <v>147</v>
      </c>
      <c r="D265" s="172"/>
      <c r="E265" s="221"/>
      <c r="F265" s="221"/>
      <c r="G265" s="324">
        <v>0</v>
      </c>
      <c r="H265" s="1126" t="str">
        <f t="shared" si="4"/>
        <v/>
      </c>
      <c r="I265" s="732"/>
      <c r="J265" s="732"/>
      <c r="K265" s="979"/>
    </row>
    <row r="266" spans="1:11" ht="30" customHeight="1" x14ac:dyDescent="0.25">
      <c r="A266" s="1025"/>
      <c r="B266" s="1121" t="s">
        <v>510</v>
      </c>
      <c r="C266" s="1039" t="s">
        <v>512</v>
      </c>
      <c r="D266" s="173"/>
      <c r="E266" s="231"/>
      <c r="F266" s="231"/>
      <c r="G266" s="1081">
        <v>1</v>
      </c>
      <c r="H266" s="1127" t="str">
        <f t="shared" si="4"/>
        <v/>
      </c>
      <c r="I266" s="732"/>
      <c r="J266" s="732"/>
      <c r="K266" s="979"/>
    </row>
    <row r="267" spans="1:11" ht="15" customHeight="1" x14ac:dyDescent="0.25">
      <c r="A267" s="1025"/>
      <c r="B267" s="1122" t="s">
        <v>360</v>
      </c>
      <c r="C267" s="234"/>
      <c r="D267" s="235"/>
      <c r="E267" s="236"/>
      <c r="F267" s="236"/>
      <c r="G267" s="273"/>
      <c r="H267" s="1128" t="str">
        <f>IF(AND(ISNUMBER(H254),ISNUMBER(H255),ISNUMBER(H256),ISNUMBER(H257),ISNUMBER(H259),ISNUMBER(H260),ISNUMBER(H261),ISNUMBER(H262),ISNUMBER(H263),ISNUMBER(H264),ISNUMBER(H265),ISNUMBER(H266)),SUM(H254:H257,H259:H266),"")</f>
        <v/>
      </c>
      <c r="I267" s="732"/>
      <c r="J267" s="732"/>
      <c r="K267" s="979"/>
    </row>
    <row r="268" spans="1:11" s="929" customFormat="1" ht="45" customHeight="1" x14ac:dyDescent="0.3">
      <c r="A268" s="728" t="s">
        <v>283</v>
      </c>
      <c r="B268" s="976"/>
      <c r="C268" s="1018"/>
      <c r="D268" s="1018"/>
      <c r="E268" s="1019"/>
      <c r="F268" s="732"/>
      <c r="G268" s="732"/>
      <c r="H268" s="732"/>
      <c r="I268" s="732"/>
      <c r="J268" s="732"/>
      <c r="K268" s="979"/>
    </row>
    <row r="269" spans="1:11" s="929" customFormat="1" ht="15" customHeight="1" x14ac:dyDescent="0.3">
      <c r="A269" s="728"/>
      <c r="B269" s="976"/>
      <c r="C269" s="1018"/>
      <c r="D269" s="1018"/>
      <c r="E269" s="1019"/>
      <c r="F269" s="732"/>
      <c r="G269" s="732"/>
      <c r="H269" s="732"/>
      <c r="I269" s="732"/>
      <c r="J269" s="732"/>
      <c r="K269" s="979"/>
    </row>
    <row r="270" spans="1:11" ht="15" customHeight="1" x14ac:dyDescent="0.25">
      <c r="A270" s="1046"/>
      <c r="B270" s="205" t="s">
        <v>55</v>
      </c>
      <c r="C270" s="205"/>
      <c r="D270" s="205"/>
      <c r="E270" s="205"/>
      <c r="F270" s="205"/>
      <c r="G270" s="274"/>
      <c r="H270" s="207" t="str">
        <f>IF(AND(ISNUMBER(H109),ISNUMBER(H167),ISNUMBER(H211),ISNUMBER(H251),ISNUMBER(H267),ISNUMBER(H431)),H109+H167+H211+H251+H267+H431,"")</f>
        <v/>
      </c>
      <c r="I270" s="732"/>
      <c r="J270" s="732"/>
      <c r="K270" s="979"/>
    </row>
    <row r="271" spans="1:11" s="929" customFormat="1" ht="45" customHeight="1" x14ac:dyDescent="0.3">
      <c r="A271" s="728" t="s">
        <v>198</v>
      </c>
      <c r="B271" s="976"/>
      <c r="C271" s="1018"/>
      <c r="D271" s="1018"/>
      <c r="E271" s="1019"/>
      <c r="F271" s="732"/>
      <c r="G271" s="732"/>
      <c r="H271" s="732"/>
      <c r="I271" s="732"/>
      <c r="J271" s="732"/>
      <c r="K271" s="979"/>
    </row>
    <row r="272" spans="1:11" s="929" customFormat="1" ht="45" customHeight="1" x14ac:dyDescent="0.3">
      <c r="A272" s="1732" t="s">
        <v>662</v>
      </c>
      <c r="B272" s="1733"/>
      <c r="C272" s="1733"/>
      <c r="D272" s="1733"/>
      <c r="E272" s="1733"/>
      <c r="F272" s="1733"/>
      <c r="G272" s="1733"/>
      <c r="H272" s="1733"/>
      <c r="I272" s="1733"/>
      <c r="J272" s="1733"/>
      <c r="K272" s="1734"/>
    </row>
    <row r="273" spans="1:11" ht="45" customHeight="1" x14ac:dyDescent="0.25">
      <c r="A273" s="1025"/>
      <c r="B273" s="1090"/>
      <c r="C273" s="1562" t="s">
        <v>587</v>
      </c>
      <c r="D273" s="1562" t="s">
        <v>16</v>
      </c>
      <c r="E273" s="1562" t="s">
        <v>17</v>
      </c>
      <c r="F273" s="275"/>
      <c r="G273" s="1562" t="s">
        <v>354</v>
      </c>
      <c r="H273" s="1027" t="s">
        <v>355</v>
      </c>
      <c r="I273" s="732"/>
      <c r="J273" s="732"/>
      <c r="K273" s="979"/>
    </row>
    <row r="274" spans="1:11" ht="15" customHeight="1" x14ac:dyDescent="0.25">
      <c r="A274" s="1025"/>
      <c r="B274" s="1129" t="s">
        <v>18</v>
      </c>
      <c r="C274" s="1067" t="s">
        <v>519</v>
      </c>
      <c r="D274" s="276"/>
      <c r="E274" s="276"/>
      <c r="F274" s="277"/>
      <c r="G274" s="276"/>
      <c r="H274" s="278"/>
      <c r="I274" s="732"/>
      <c r="J274" s="732"/>
      <c r="K274" s="979"/>
    </row>
    <row r="275" spans="1:11" ht="30" customHeight="1" x14ac:dyDescent="0.25">
      <c r="A275" s="1025"/>
      <c r="B275" s="1030" t="s">
        <v>911</v>
      </c>
      <c r="C275" s="1036" t="s">
        <v>519</v>
      </c>
      <c r="D275" s="224"/>
      <c r="E275" s="224"/>
      <c r="F275" s="267"/>
      <c r="G275" s="224"/>
      <c r="H275" s="279"/>
      <c r="I275" s="732"/>
      <c r="J275" s="732"/>
      <c r="K275" s="979"/>
    </row>
    <row r="276" spans="1:11" ht="15" customHeight="1" x14ac:dyDescent="0.25">
      <c r="A276" s="1025"/>
      <c r="B276" s="1076" t="s">
        <v>93</v>
      </c>
      <c r="C276" s="1036" t="s">
        <v>519</v>
      </c>
      <c r="D276" s="172"/>
      <c r="E276" s="172"/>
      <c r="F276" s="267"/>
      <c r="G276" s="222">
        <v>0</v>
      </c>
      <c r="H276" s="179" t="str">
        <f>IF(AND(ISNUMBER(D276),ISNUMBER(G276)),D276*G276,"")</f>
        <v/>
      </c>
      <c r="I276" s="732"/>
      <c r="J276" s="732"/>
      <c r="K276" s="979"/>
    </row>
    <row r="277" spans="1:11" ht="15" customHeight="1" x14ac:dyDescent="0.25">
      <c r="A277" s="1025"/>
      <c r="B277" s="1084" t="s">
        <v>94</v>
      </c>
      <c r="C277" s="1036" t="s">
        <v>519</v>
      </c>
      <c r="D277" s="172"/>
      <c r="E277" s="172"/>
      <c r="F277" s="267"/>
      <c r="G277" s="224"/>
      <c r="H277" s="279"/>
      <c r="I277" s="732"/>
      <c r="J277" s="732"/>
      <c r="K277" s="979"/>
    </row>
    <row r="278" spans="1:11" ht="15" customHeight="1" x14ac:dyDescent="0.25">
      <c r="A278" s="1025"/>
      <c r="B278" s="1130" t="str">
        <f>CONCATENATE("Check: row ", ROW(B277), " ≤ row ", ROW(LCR!B276),)</f>
        <v>Check: row 277 ≤ row 276</v>
      </c>
      <c r="C278" s="230"/>
      <c r="D278" s="1040" t="str">
        <f>IF((D277&lt;=D276),"Pass","Fail")</f>
        <v>Pass</v>
      </c>
      <c r="E278" s="1040" t="str">
        <f>IF((E277&lt;=E276),"Pass","Fail")</f>
        <v>Pass</v>
      </c>
      <c r="F278" s="280"/>
      <c r="G278" s="227"/>
      <c r="H278" s="281"/>
      <c r="I278" s="732"/>
      <c r="J278" s="732"/>
      <c r="K278" s="979"/>
    </row>
    <row r="279" spans="1:11" ht="15" customHeight="1" x14ac:dyDescent="0.25">
      <c r="A279" s="1025"/>
      <c r="B279" s="1076" t="s">
        <v>490</v>
      </c>
      <c r="C279" s="1036" t="s">
        <v>519</v>
      </c>
      <c r="D279" s="172"/>
      <c r="E279" s="172"/>
      <c r="F279" s="282"/>
      <c r="G279" s="222">
        <v>0.15</v>
      </c>
      <c r="H279" s="179" t="str">
        <f>IF(AND(ISNUMBER(D279),ISNUMBER(G279)),D279*G279,"")</f>
        <v/>
      </c>
      <c r="I279" s="732"/>
      <c r="J279" s="732"/>
      <c r="K279" s="979"/>
    </row>
    <row r="280" spans="1:11" ht="15" customHeight="1" x14ac:dyDescent="0.25">
      <c r="A280" s="1046"/>
      <c r="B280" s="1084" t="s">
        <v>94</v>
      </c>
      <c r="C280" s="1036" t="s">
        <v>519</v>
      </c>
      <c r="D280" s="172"/>
      <c r="E280" s="172"/>
      <c r="F280" s="282"/>
      <c r="G280" s="224"/>
      <c r="H280" s="279"/>
      <c r="I280" s="722"/>
      <c r="J280" s="722"/>
      <c r="K280" s="1050"/>
    </row>
    <row r="281" spans="1:11" ht="15" customHeight="1" x14ac:dyDescent="0.25">
      <c r="A281" s="1046"/>
      <c r="B281" s="1130" t="str">
        <f>CONCATENATE("Check: row ", ROW(B280), " ≤ row ", ROW(LCR!B279),)</f>
        <v>Check: row 280 ≤ row 279</v>
      </c>
      <c r="C281" s="283"/>
      <c r="D281" s="1040" t="str">
        <f>IF((D280&lt;=D279),"Pass","Fail")</f>
        <v>Pass</v>
      </c>
      <c r="E281" s="1040" t="str">
        <f>IF((E280&lt;=E279),"Pass","Fail")</f>
        <v>Pass</v>
      </c>
      <c r="F281" s="280"/>
      <c r="G281" s="227"/>
      <c r="H281" s="281"/>
      <c r="I281" s="722"/>
      <c r="J281" s="722"/>
      <c r="K281" s="1050"/>
    </row>
    <row r="282" spans="1:11" ht="15" customHeight="1" x14ac:dyDescent="0.25">
      <c r="A282" s="1046"/>
      <c r="B282" s="1076" t="s">
        <v>491</v>
      </c>
      <c r="C282" s="1036" t="s">
        <v>519</v>
      </c>
      <c r="D282" s="195"/>
      <c r="E282" s="195"/>
      <c r="F282" s="282"/>
      <c r="G282" s="222">
        <v>0.25</v>
      </c>
      <c r="H282" s="179" t="str">
        <f>IF(AND(ISNUMBER(D282),ISNUMBER(G282)),D282*G282,"")</f>
        <v/>
      </c>
      <c r="I282" s="722"/>
      <c r="J282" s="722"/>
      <c r="K282" s="1050"/>
    </row>
    <row r="283" spans="1:11" ht="15" customHeight="1" x14ac:dyDescent="0.25">
      <c r="A283" s="1046"/>
      <c r="B283" s="1084" t="s">
        <v>94</v>
      </c>
      <c r="C283" s="1036" t="s">
        <v>519</v>
      </c>
      <c r="D283" s="195"/>
      <c r="E283" s="195"/>
      <c r="F283" s="282"/>
      <c r="G283" s="224"/>
      <c r="H283" s="279"/>
      <c r="I283" s="722"/>
      <c r="J283" s="722"/>
      <c r="K283" s="1050"/>
    </row>
    <row r="284" spans="1:11" ht="15" customHeight="1" x14ac:dyDescent="0.25">
      <c r="A284" s="1046"/>
      <c r="B284" s="1130" t="str">
        <f>CONCATENATE("Check: row ", ROW(B283), " ≤ row ", ROW(LCR!B282),)</f>
        <v>Check: row 283 ≤ row 282</v>
      </c>
      <c r="C284" s="283"/>
      <c r="D284" s="1040" t="str">
        <f>IF((D283&lt;=D282),"Pass","Fail")</f>
        <v>Pass</v>
      </c>
      <c r="E284" s="1040" t="str">
        <f>IF((E283&lt;=E282),"Pass","Fail")</f>
        <v>Pass</v>
      </c>
      <c r="F284" s="280"/>
      <c r="G284" s="227"/>
      <c r="H284" s="281"/>
      <c r="I284" s="722"/>
      <c r="J284" s="722"/>
      <c r="K284" s="1050"/>
    </row>
    <row r="285" spans="1:11" ht="15" customHeight="1" x14ac:dyDescent="0.25">
      <c r="A285" s="1046"/>
      <c r="B285" s="1076" t="s">
        <v>492</v>
      </c>
      <c r="C285" s="1036" t="s">
        <v>519</v>
      </c>
      <c r="D285" s="178"/>
      <c r="E285" s="178"/>
      <c r="F285" s="280"/>
      <c r="G285" s="162">
        <v>0.5</v>
      </c>
      <c r="H285" s="163" t="str">
        <f>IF(AND(ISNUMBER(D285),ISNUMBER(G285)),D285*G285,"")</f>
        <v/>
      </c>
      <c r="I285" s="722"/>
      <c r="J285" s="722"/>
      <c r="K285" s="1050"/>
    </row>
    <row r="286" spans="1:11" ht="15" customHeight="1" x14ac:dyDescent="0.25">
      <c r="A286" s="1046"/>
      <c r="B286" s="1084" t="s">
        <v>94</v>
      </c>
      <c r="C286" s="1036" t="s">
        <v>519</v>
      </c>
      <c r="D286" s="178"/>
      <c r="E286" s="178"/>
      <c r="F286" s="280"/>
      <c r="G286" s="227"/>
      <c r="H286" s="281"/>
      <c r="I286" s="722"/>
      <c r="J286" s="722"/>
      <c r="K286" s="1050"/>
    </row>
    <row r="287" spans="1:11" ht="15" customHeight="1" x14ac:dyDescent="0.25">
      <c r="A287" s="1046"/>
      <c r="B287" s="1130" t="str">
        <f>CONCATENATE("Check: row ", ROW(B286), " ≤ row ", ROW(LCR!B285),)</f>
        <v>Check: row 286 ≤ row 285</v>
      </c>
      <c r="C287" s="283"/>
      <c r="D287" s="1040" t="str">
        <f>IF((D286&lt;=D285),"Pass","Fail")</f>
        <v>Pass</v>
      </c>
      <c r="E287" s="1040" t="str">
        <f>IF((E286&lt;=E285),"Pass","Fail")</f>
        <v>Pass</v>
      </c>
      <c r="F287" s="280"/>
      <c r="G287" s="227"/>
      <c r="H287" s="281"/>
      <c r="I287" s="722"/>
      <c r="J287" s="722"/>
      <c r="K287" s="1050"/>
    </row>
    <row r="288" spans="1:11" ht="15" customHeight="1" x14ac:dyDescent="0.25">
      <c r="A288" s="1046"/>
      <c r="B288" s="1076" t="s">
        <v>520</v>
      </c>
      <c r="C288" s="1036" t="s">
        <v>519</v>
      </c>
      <c r="D288" s="172"/>
      <c r="E288" s="172"/>
      <c r="F288" s="282"/>
      <c r="G288" s="222">
        <v>0.5</v>
      </c>
      <c r="H288" s="179" t="str">
        <f>IF(AND(ISNUMBER(D288),ISNUMBER(G288)),D288*G288,"")</f>
        <v/>
      </c>
      <c r="I288" s="722"/>
      <c r="J288" s="722"/>
      <c r="K288" s="1050"/>
    </row>
    <row r="289" spans="1:11" ht="15" customHeight="1" x14ac:dyDescent="0.25">
      <c r="A289" s="1025"/>
      <c r="B289" s="1076" t="s">
        <v>28</v>
      </c>
      <c r="C289" s="1036" t="s">
        <v>519</v>
      </c>
      <c r="D289" s="172"/>
      <c r="E289" s="172"/>
      <c r="F289" s="282"/>
      <c r="G289" s="222">
        <v>1</v>
      </c>
      <c r="H289" s="179" t="str">
        <f>IF(AND(ISNUMBER(D289),ISNUMBER(G289)),D289*G289,"")</f>
        <v/>
      </c>
      <c r="I289" s="732"/>
      <c r="J289" s="732"/>
      <c r="K289" s="979"/>
    </row>
    <row r="290" spans="1:11" ht="30" customHeight="1" x14ac:dyDescent="0.25">
      <c r="A290" s="1025"/>
      <c r="B290" s="1030" t="s">
        <v>912</v>
      </c>
      <c r="C290" s="1036" t="s">
        <v>519</v>
      </c>
      <c r="D290" s="224"/>
      <c r="E290" s="224"/>
      <c r="F290" s="282"/>
      <c r="G290" s="224"/>
      <c r="H290" s="279"/>
      <c r="I290" s="732"/>
      <c r="J290" s="732"/>
      <c r="K290" s="979"/>
    </row>
    <row r="291" spans="1:11" ht="15" customHeight="1" x14ac:dyDescent="0.25">
      <c r="A291" s="1025"/>
      <c r="B291" s="1076" t="s">
        <v>27</v>
      </c>
      <c r="C291" s="1036" t="s">
        <v>519</v>
      </c>
      <c r="D291" s="172"/>
      <c r="E291" s="172"/>
      <c r="F291" s="282"/>
      <c r="G291" s="222">
        <v>0</v>
      </c>
      <c r="H291" s="179" t="str">
        <f t="shared" ref="H291:H296" si="5">IF(AND(ISNUMBER(D291),ISNUMBER(G291)),D291*G291,"")</f>
        <v/>
      </c>
      <c r="I291" s="732"/>
      <c r="J291" s="732"/>
      <c r="K291" s="979"/>
    </row>
    <row r="292" spans="1:11" ht="15" customHeight="1" x14ac:dyDescent="0.25">
      <c r="A292" s="1025"/>
      <c r="B292" s="1076" t="s">
        <v>518</v>
      </c>
      <c r="C292" s="1036" t="s">
        <v>519</v>
      </c>
      <c r="D292" s="172"/>
      <c r="E292" s="172"/>
      <c r="F292" s="282"/>
      <c r="G292" s="222">
        <v>0</v>
      </c>
      <c r="H292" s="179" t="str">
        <f t="shared" si="5"/>
        <v/>
      </c>
      <c r="I292" s="732"/>
      <c r="J292" s="732"/>
      <c r="K292" s="979"/>
    </row>
    <row r="293" spans="1:11" ht="15" customHeight="1" x14ac:dyDescent="0.25">
      <c r="A293" s="1025"/>
      <c r="B293" s="1076" t="s">
        <v>521</v>
      </c>
      <c r="C293" s="1036" t="s">
        <v>519</v>
      </c>
      <c r="D293" s="195"/>
      <c r="E293" s="195"/>
      <c r="F293" s="282"/>
      <c r="G293" s="222">
        <v>0</v>
      </c>
      <c r="H293" s="179" t="str">
        <f t="shared" si="5"/>
        <v/>
      </c>
      <c r="I293" s="732"/>
      <c r="J293" s="732"/>
      <c r="K293" s="979"/>
    </row>
    <row r="294" spans="1:11" ht="15" customHeight="1" x14ac:dyDescent="0.25">
      <c r="A294" s="1025"/>
      <c r="B294" s="1076" t="s">
        <v>522</v>
      </c>
      <c r="C294" s="1036" t="s">
        <v>519</v>
      </c>
      <c r="D294" s="195"/>
      <c r="E294" s="195"/>
      <c r="F294" s="282"/>
      <c r="G294" s="222">
        <v>0</v>
      </c>
      <c r="H294" s="179" t="str">
        <f t="shared" si="5"/>
        <v/>
      </c>
      <c r="I294" s="732"/>
      <c r="J294" s="732"/>
      <c r="K294" s="979"/>
    </row>
    <row r="295" spans="1:11" ht="15" customHeight="1" x14ac:dyDescent="0.25">
      <c r="A295" s="1025"/>
      <c r="B295" s="1076" t="s">
        <v>520</v>
      </c>
      <c r="C295" s="1036" t="s">
        <v>519</v>
      </c>
      <c r="D295" s="172"/>
      <c r="E295" s="172"/>
      <c r="F295" s="282"/>
      <c r="G295" s="222">
        <v>0</v>
      </c>
      <c r="H295" s="179" t="str">
        <f t="shared" si="5"/>
        <v/>
      </c>
      <c r="I295" s="732"/>
      <c r="J295" s="732"/>
      <c r="K295" s="979"/>
    </row>
    <row r="296" spans="1:11" ht="15" customHeight="1" x14ac:dyDescent="0.25">
      <c r="A296" s="1025"/>
      <c r="B296" s="1131" t="s">
        <v>28</v>
      </c>
      <c r="C296" s="1037" t="s">
        <v>519</v>
      </c>
      <c r="D296" s="284"/>
      <c r="E296" s="284"/>
      <c r="F296" s="285"/>
      <c r="G296" s="286">
        <v>0</v>
      </c>
      <c r="H296" s="287" t="str">
        <f t="shared" si="5"/>
        <v/>
      </c>
      <c r="I296" s="732"/>
      <c r="J296" s="732"/>
      <c r="K296" s="979"/>
    </row>
    <row r="297" spans="1:11" ht="15" customHeight="1" x14ac:dyDescent="0.25">
      <c r="A297" s="1025"/>
      <c r="B297" s="1061" t="s">
        <v>19</v>
      </c>
      <c r="C297" s="288"/>
      <c r="D297" s="235"/>
      <c r="E297" s="235"/>
      <c r="F297" s="289"/>
      <c r="G297" s="235"/>
      <c r="H297" s="290" t="str">
        <f>IF(AND(ISNUMBER(H276),ISNUMBER(H279),ISNUMBER(H288),ISNUMBER(H289),ISNUMBER(H291),ISNUMBER(H292),ISNUMBER(H295),ISNUMBER(H296)),SUM(H276,H279,H282,H285,H288:H289,H291:H296),"")</f>
        <v/>
      </c>
      <c r="I297" s="732"/>
      <c r="J297" s="732"/>
      <c r="K297" s="979"/>
    </row>
    <row r="298" spans="1:11" s="929" customFormat="1" ht="45" customHeight="1" x14ac:dyDescent="0.3">
      <c r="A298" s="728" t="s">
        <v>56</v>
      </c>
      <c r="B298" s="976"/>
      <c r="C298" s="1018"/>
      <c r="D298" s="1018"/>
      <c r="E298" s="1019"/>
      <c r="F298" s="732"/>
      <c r="G298" s="732"/>
      <c r="H298" s="732"/>
      <c r="I298" s="732"/>
      <c r="J298" s="732"/>
      <c r="K298" s="979"/>
    </row>
    <row r="299" spans="1:11" s="929" customFormat="1" ht="15" customHeight="1" x14ac:dyDescent="0.3">
      <c r="A299" s="1046"/>
      <c r="B299" s="1132"/>
      <c r="C299" s="1133"/>
      <c r="D299" s="1134"/>
      <c r="E299" s="1024"/>
      <c r="F299" s="1135"/>
      <c r="G299" s="1024"/>
      <c r="H299" s="1024"/>
      <c r="I299" s="732"/>
      <c r="J299" s="732"/>
      <c r="K299" s="979"/>
    </row>
    <row r="300" spans="1:11" ht="30" customHeight="1" x14ac:dyDescent="0.25">
      <c r="A300" s="1025"/>
      <c r="B300" s="1090"/>
      <c r="C300" s="1562" t="s">
        <v>587</v>
      </c>
      <c r="D300" s="1562" t="s">
        <v>342</v>
      </c>
      <c r="E300" s="156"/>
      <c r="F300" s="156"/>
      <c r="G300" s="1562" t="s">
        <v>354</v>
      </c>
      <c r="H300" s="1027" t="s">
        <v>355</v>
      </c>
      <c r="I300" s="732"/>
      <c r="J300" s="732"/>
      <c r="K300" s="979"/>
    </row>
    <row r="301" spans="1:11" ht="15" customHeight="1" x14ac:dyDescent="0.25">
      <c r="A301" s="1025"/>
      <c r="B301" s="1028" t="str">
        <f>CONCATENATE("Contractual inflows due in ≤ 30 days from fully performing loans, not reported in lines ", ROW(B276), " to ", ROW(B296), ", from:")</f>
        <v>Contractual inflows due in ≤ 30 days from fully performing loans, not reported in lines 276 to 296, from:</v>
      </c>
      <c r="C301" s="251"/>
      <c r="D301" s="291"/>
      <c r="E301" s="292"/>
      <c r="F301" s="292"/>
      <c r="G301" s="291"/>
      <c r="H301" s="293"/>
      <c r="I301" s="732"/>
      <c r="J301" s="732"/>
      <c r="K301" s="979"/>
    </row>
    <row r="302" spans="1:11" ht="15" customHeight="1" x14ac:dyDescent="0.25">
      <c r="A302" s="1025"/>
      <c r="B302" s="1030" t="s">
        <v>20</v>
      </c>
      <c r="C302" s="1036">
        <v>153</v>
      </c>
      <c r="D302" s="172"/>
      <c r="E302" s="294"/>
      <c r="F302" s="294"/>
      <c r="G302" s="324">
        <v>0.5</v>
      </c>
      <c r="H302" s="184" t="str">
        <f>IF(AND(ISNUMBER(D302),ISNUMBER(G302)),D302*G302,"")</f>
        <v/>
      </c>
      <c r="I302" s="732"/>
      <c r="J302" s="732"/>
      <c r="K302" s="979"/>
    </row>
    <row r="303" spans="1:11" ht="15" customHeight="1" x14ac:dyDescent="0.25">
      <c r="A303" s="1025"/>
      <c r="B303" s="1030" t="s">
        <v>21</v>
      </c>
      <c r="C303" s="1036">
        <v>153</v>
      </c>
      <c r="D303" s="172"/>
      <c r="E303" s="294"/>
      <c r="F303" s="294"/>
      <c r="G303" s="324">
        <v>0.5</v>
      </c>
      <c r="H303" s="184" t="str">
        <f>IF(AND(ISNUMBER(D303),ISNUMBER(G303)),D303*G303,"")</f>
        <v/>
      </c>
      <c r="I303" s="732"/>
      <c r="J303" s="732"/>
      <c r="K303" s="979"/>
    </row>
    <row r="304" spans="1:11" ht="15" customHeight="1" x14ac:dyDescent="0.25">
      <c r="A304" s="1025"/>
      <c r="B304" s="1030" t="s">
        <v>39</v>
      </c>
      <c r="C304" s="1036">
        <v>154</v>
      </c>
      <c r="D304" s="172"/>
      <c r="E304" s="294"/>
      <c r="F304" s="294"/>
      <c r="G304" s="324">
        <v>0.5</v>
      </c>
      <c r="H304" s="184" t="str">
        <f>IF(AND(ISNUMBER(D304),ISNUMBER(G304)),D304*G304,"")</f>
        <v/>
      </c>
      <c r="I304" s="732"/>
      <c r="J304" s="732"/>
      <c r="K304" s="979"/>
    </row>
    <row r="305" spans="1:11" ht="15" customHeight="1" x14ac:dyDescent="0.25">
      <c r="A305" s="1025"/>
      <c r="B305" s="1030" t="s">
        <v>260</v>
      </c>
      <c r="C305" s="1036">
        <v>154</v>
      </c>
      <c r="D305" s="172"/>
      <c r="E305" s="294"/>
      <c r="F305" s="294"/>
      <c r="G305" s="324">
        <v>1</v>
      </c>
      <c r="H305" s="184" t="str">
        <f>IF(AND(ISNUMBER(D305),ISNUMBER(G305)),D305*G305,"")</f>
        <v/>
      </c>
      <c r="I305" s="732"/>
      <c r="J305" s="732"/>
      <c r="K305" s="979"/>
    </row>
    <row r="306" spans="1:11" ht="15" customHeight="1" x14ac:dyDescent="0.25">
      <c r="A306" s="1025"/>
      <c r="B306" s="1030" t="s">
        <v>40</v>
      </c>
      <c r="C306" s="1036">
        <v>154</v>
      </c>
      <c r="D306" s="224"/>
      <c r="E306" s="294"/>
      <c r="F306" s="294"/>
      <c r="G306" s="224"/>
      <c r="H306" s="279"/>
      <c r="I306" s="732"/>
      <c r="J306" s="732"/>
      <c r="K306" s="979"/>
    </row>
    <row r="307" spans="1:11" ht="15" customHeight="1" x14ac:dyDescent="0.25">
      <c r="A307" s="1025"/>
      <c r="B307" s="1076" t="s">
        <v>584</v>
      </c>
      <c r="C307" s="1036">
        <v>156</v>
      </c>
      <c r="D307" s="172"/>
      <c r="E307" s="294"/>
      <c r="F307" s="294"/>
      <c r="G307" s="324">
        <v>0</v>
      </c>
      <c r="H307" s="184" t="str">
        <f>IF(AND(ISNUMBER(D307),ISNUMBER(G307)),D307*G307,"")</f>
        <v/>
      </c>
      <c r="I307" s="732"/>
      <c r="J307" s="732"/>
      <c r="K307" s="979"/>
    </row>
    <row r="308" spans="1:11" ht="15" customHeight="1" x14ac:dyDescent="0.25">
      <c r="A308" s="1025"/>
      <c r="B308" s="1076" t="s">
        <v>41</v>
      </c>
      <c r="C308" s="1036">
        <v>157</v>
      </c>
      <c r="D308" s="172"/>
      <c r="E308" s="294"/>
      <c r="F308" s="294"/>
      <c r="G308" s="324">
        <v>0</v>
      </c>
      <c r="H308" s="184" t="str">
        <f>IF(AND(ISNUMBER(D308),ISNUMBER(G308)),D308*G308,"")</f>
        <v/>
      </c>
      <c r="I308" s="732"/>
      <c r="J308" s="732"/>
      <c r="K308" s="979"/>
    </row>
    <row r="309" spans="1:11" ht="15" customHeight="1" x14ac:dyDescent="0.25">
      <c r="A309" s="1025"/>
      <c r="B309" s="1076" t="s">
        <v>585</v>
      </c>
      <c r="C309" s="1036">
        <v>154</v>
      </c>
      <c r="D309" s="172"/>
      <c r="E309" s="294"/>
      <c r="F309" s="294"/>
      <c r="G309" s="324">
        <v>1</v>
      </c>
      <c r="H309" s="184" t="str">
        <f>IF(AND(ISNUMBER(D309),ISNUMBER(G309)),D309*G309,"")</f>
        <v/>
      </c>
      <c r="I309" s="732"/>
      <c r="J309" s="732"/>
      <c r="K309" s="979"/>
    </row>
    <row r="310" spans="1:11" ht="15" customHeight="1" x14ac:dyDescent="0.25">
      <c r="A310" s="1025"/>
      <c r="B310" s="1087" t="s">
        <v>42</v>
      </c>
      <c r="C310" s="1039">
        <v>154</v>
      </c>
      <c r="D310" s="173"/>
      <c r="E310" s="295"/>
      <c r="F310" s="295"/>
      <c r="G310" s="1081">
        <v>0.5</v>
      </c>
      <c r="H310" s="1106" t="str">
        <f>IF(AND(ISNUMBER(D310),ISNUMBER(G310)),D310*G310,"")</f>
        <v/>
      </c>
      <c r="I310" s="732"/>
      <c r="J310" s="732"/>
      <c r="K310" s="979"/>
    </row>
    <row r="311" spans="1:11" ht="15" customHeight="1" x14ac:dyDescent="0.25">
      <c r="A311" s="1025"/>
      <c r="B311" s="1061" t="s">
        <v>43</v>
      </c>
      <c r="C311" s="234"/>
      <c r="D311" s="235"/>
      <c r="E311" s="296"/>
      <c r="F311" s="296"/>
      <c r="G311" s="235"/>
      <c r="H311" s="1136" t="str">
        <f>IF(AND(ISNUMBER(H302),ISNUMBER(H303),ISNUMBER(H304),ISNUMBER(H305),ISNUMBER(H307),ISNUMBER(H308),ISNUMBER(H309),ISNUMBER(H310)),SUM(H302:H305,H307:H310),"")</f>
        <v/>
      </c>
      <c r="I311" s="732"/>
      <c r="J311" s="732"/>
      <c r="K311" s="979"/>
    </row>
    <row r="312" spans="1:11" s="929" customFormat="1" ht="45" customHeight="1" x14ac:dyDescent="0.3">
      <c r="A312" s="728" t="s">
        <v>57</v>
      </c>
      <c r="B312" s="976"/>
      <c r="C312" s="1018"/>
      <c r="D312" s="1018"/>
      <c r="E312" s="1019"/>
      <c r="F312" s="732"/>
      <c r="G312" s="732"/>
      <c r="H312" s="732"/>
      <c r="I312" s="732"/>
      <c r="J312" s="732"/>
      <c r="K312" s="979"/>
    </row>
    <row r="313" spans="1:11" s="929" customFormat="1" ht="15" customHeight="1" x14ac:dyDescent="0.25">
      <c r="A313" s="1046"/>
      <c r="B313" s="1110"/>
      <c r="C313" s="1111"/>
      <c r="D313" s="1023"/>
      <c r="E313" s="1024"/>
      <c r="F313" s="1024"/>
      <c r="G313" s="1024"/>
      <c r="H313" s="1024"/>
      <c r="I313" s="732"/>
      <c r="J313" s="732"/>
      <c r="K313" s="979"/>
    </row>
    <row r="314" spans="1:11" ht="30" customHeight="1" x14ac:dyDescent="0.25">
      <c r="A314" s="1046"/>
      <c r="B314" s="1090"/>
      <c r="C314" s="1562" t="s">
        <v>587</v>
      </c>
      <c r="D314" s="1562" t="s">
        <v>342</v>
      </c>
      <c r="E314" s="156"/>
      <c r="F314" s="156"/>
      <c r="G314" s="1562" t="s">
        <v>354</v>
      </c>
      <c r="H314" s="1027" t="s">
        <v>355</v>
      </c>
      <c r="I314" s="732"/>
      <c r="J314" s="732"/>
      <c r="K314" s="979"/>
    </row>
    <row r="315" spans="1:11" ht="15" customHeight="1" x14ac:dyDescent="0.25">
      <c r="A315" s="1025"/>
      <c r="B315" s="334" t="s">
        <v>44</v>
      </c>
      <c r="C315" s="251"/>
      <c r="D315" s="291"/>
      <c r="E315" s="292"/>
      <c r="F315" s="292"/>
      <c r="G315" s="291"/>
      <c r="H315" s="293"/>
      <c r="I315" s="732"/>
      <c r="J315" s="732"/>
      <c r="K315" s="979"/>
    </row>
    <row r="316" spans="1:11" ht="15" customHeight="1" x14ac:dyDescent="0.25">
      <c r="A316" s="1025"/>
      <c r="B316" s="1030" t="s">
        <v>523</v>
      </c>
      <c r="C316" s="1036" t="s">
        <v>524</v>
      </c>
      <c r="D316" s="172"/>
      <c r="E316" s="294"/>
      <c r="F316" s="294"/>
      <c r="G316" s="324">
        <v>1</v>
      </c>
      <c r="H316" s="184" t="str">
        <f>IF(AND(ISNUMBER(D316),ISNUMBER(G316)),D316*G316,"")</f>
        <v/>
      </c>
      <c r="I316" s="732"/>
      <c r="J316" s="732"/>
      <c r="K316" s="979"/>
    </row>
    <row r="317" spans="1:11" ht="15" customHeight="1" x14ac:dyDescent="0.25">
      <c r="A317" s="1025"/>
      <c r="B317" s="1030" t="s">
        <v>45</v>
      </c>
      <c r="C317" s="1036">
        <v>155</v>
      </c>
      <c r="D317" s="172"/>
      <c r="E317" s="294"/>
      <c r="F317" s="294"/>
      <c r="G317" s="324">
        <v>1</v>
      </c>
      <c r="H317" s="184" t="str">
        <f>IF(AND(ISNUMBER(D317),ISNUMBER(G317)),D317*G317,"")</f>
        <v/>
      </c>
      <c r="I317" s="732"/>
      <c r="J317" s="732"/>
      <c r="K317" s="979"/>
    </row>
    <row r="318" spans="1:11" ht="15" customHeight="1" x14ac:dyDescent="0.25">
      <c r="A318" s="1025"/>
      <c r="B318" s="1087" t="s">
        <v>46</v>
      </c>
      <c r="C318" s="1039">
        <v>160</v>
      </c>
      <c r="D318" s="173"/>
      <c r="E318" s="295"/>
      <c r="F318" s="295"/>
      <c r="G318" s="1081">
        <f>Parameters!F69</f>
        <v>0</v>
      </c>
      <c r="H318" s="1106" t="str">
        <f>IF(AND(ISNUMBER(D318),ISNUMBER(G318)),D318*G318,"")</f>
        <v/>
      </c>
      <c r="I318" s="732"/>
      <c r="J318" s="732"/>
      <c r="K318" s="979"/>
    </row>
    <row r="319" spans="1:11" ht="15" customHeight="1" x14ac:dyDescent="0.25">
      <c r="A319" s="1025"/>
      <c r="B319" s="1061" t="s">
        <v>58</v>
      </c>
      <c r="C319" s="234"/>
      <c r="D319" s="235"/>
      <c r="E319" s="296"/>
      <c r="F319" s="296"/>
      <c r="G319" s="235"/>
      <c r="H319" s="1136" t="str">
        <f>IF(AND(ISNUMBER(H316),ISNUMBER(H317),ISNUMBER(H318)),H316+H317+H318,"")</f>
        <v/>
      </c>
      <c r="I319" s="732"/>
      <c r="J319" s="732"/>
      <c r="K319" s="979"/>
    </row>
    <row r="320" spans="1:11" s="929" customFormat="1" ht="45" customHeight="1" x14ac:dyDescent="0.3">
      <c r="A320" s="728" t="s">
        <v>179</v>
      </c>
      <c r="B320" s="976"/>
      <c r="C320" s="1018"/>
      <c r="D320" s="1018"/>
      <c r="E320" s="1019"/>
      <c r="F320" s="732"/>
      <c r="G320" s="732"/>
      <c r="H320" s="732"/>
      <c r="I320" s="732"/>
      <c r="J320" s="732"/>
      <c r="K320" s="979"/>
    </row>
    <row r="321" spans="1:11" s="929" customFormat="1" ht="15" customHeight="1" x14ac:dyDescent="0.3">
      <c r="A321" s="1622"/>
      <c r="B321" s="1563"/>
      <c r="C321" s="1563"/>
      <c r="D321" s="1563"/>
      <c r="E321" s="1563"/>
      <c r="F321" s="1563"/>
      <c r="G321" s="1563"/>
      <c r="H321" s="1563"/>
      <c r="I321" s="1563"/>
      <c r="J321" s="1563"/>
      <c r="K321" s="1564"/>
    </row>
    <row r="322" spans="1:11" ht="30" customHeight="1" x14ac:dyDescent="0.3">
      <c r="A322" s="1622"/>
      <c r="B322" s="1144"/>
      <c r="C322" s="1562" t="s">
        <v>587</v>
      </c>
      <c r="D322" s="1562" t="s">
        <v>342</v>
      </c>
      <c r="E322" s="156"/>
      <c r="F322" s="156"/>
      <c r="G322" s="1562" t="s">
        <v>354</v>
      </c>
      <c r="H322" s="1027" t="s">
        <v>355</v>
      </c>
      <c r="I322" s="1563"/>
      <c r="J322" s="1563"/>
      <c r="K322" s="1564"/>
    </row>
    <row r="323" spans="1:11" ht="15" customHeight="1" x14ac:dyDescent="0.25">
      <c r="A323" s="1025"/>
      <c r="B323" s="1028" t="s">
        <v>47</v>
      </c>
      <c r="C323" s="1035">
        <v>144</v>
      </c>
      <c r="D323" s="291"/>
      <c r="E323" s="292"/>
      <c r="F323" s="292"/>
      <c r="G323" s="291"/>
      <c r="H323" s="1059" t="str">
        <f>IF(AND(ISNUMBER(H297),ISNUMBER(H311),ISNUMBER(H319),ISNUMBER(J431)),H297+H311+H319+J431,"")</f>
        <v/>
      </c>
      <c r="I323" s="732"/>
      <c r="J323" s="732"/>
      <c r="K323" s="979"/>
    </row>
    <row r="324" spans="1:11" ht="15" customHeight="1" x14ac:dyDescent="0.25">
      <c r="A324" s="1025"/>
      <c r="B324" s="1034" t="s">
        <v>48</v>
      </c>
      <c r="C324" s="1039" t="s">
        <v>525</v>
      </c>
      <c r="D324" s="1053" t="str">
        <f>H270</f>
        <v/>
      </c>
      <c r="E324" s="295"/>
      <c r="F324" s="295"/>
      <c r="G324" s="1081">
        <v>0.75</v>
      </c>
      <c r="H324" s="1106" t="str">
        <f>IF(AND(ISNUMBER(D324),ISNUMBER(G324)),D324*G324,"")</f>
        <v/>
      </c>
      <c r="I324" s="732"/>
      <c r="J324" s="732"/>
      <c r="K324" s="979"/>
    </row>
    <row r="325" spans="1:11" ht="15" customHeight="1" x14ac:dyDescent="0.25">
      <c r="A325" s="1025"/>
      <c r="B325" s="274" t="s">
        <v>49</v>
      </c>
      <c r="C325" s="297" t="s">
        <v>525</v>
      </c>
      <c r="D325" s="298"/>
      <c r="E325" s="298"/>
      <c r="F325" s="298"/>
      <c r="G325" s="298"/>
      <c r="H325" s="299" t="str">
        <f>IF(AND(ISNUMBER(H323),ISNUMBER(H324)),MIN(H323,H324),"")</f>
        <v/>
      </c>
      <c r="I325" s="732"/>
      <c r="J325" s="732"/>
      <c r="K325" s="979"/>
    </row>
    <row r="326" spans="1:11" s="929" customFormat="1" ht="15" customHeight="1" x14ac:dyDescent="0.25">
      <c r="A326" s="1046"/>
      <c r="B326" s="1137"/>
      <c r="C326" s="1099"/>
      <c r="D326" s="1138"/>
      <c r="E326" s="1139"/>
      <c r="F326" s="1140"/>
      <c r="G326" s="1024"/>
      <c r="H326" s="1024"/>
      <c r="I326" s="732"/>
      <c r="J326" s="732"/>
      <c r="K326" s="979"/>
    </row>
    <row r="327" spans="1:11" s="929" customFormat="1" ht="30" customHeight="1" x14ac:dyDescent="0.3">
      <c r="A327" s="767" t="s">
        <v>131</v>
      </c>
      <c r="B327" s="768"/>
      <c r="C327" s="768"/>
      <c r="D327" s="768"/>
      <c r="E327" s="768"/>
      <c r="F327" s="768"/>
      <c r="G327" s="768"/>
      <c r="H327" s="768"/>
      <c r="I327" s="768"/>
      <c r="J327" s="768"/>
      <c r="K327" s="1017"/>
    </row>
    <row r="328" spans="1:11" s="929" customFormat="1" ht="15" customHeight="1" x14ac:dyDescent="0.25">
      <c r="A328" s="1046"/>
      <c r="B328" s="1141"/>
      <c r="C328" s="1111"/>
      <c r="D328" s="1072"/>
      <c r="E328" s="1142"/>
      <c r="F328" s="1143"/>
      <c r="G328" s="1024"/>
      <c r="H328" s="1024"/>
      <c r="I328" s="732"/>
      <c r="J328" s="732"/>
      <c r="K328" s="979"/>
    </row>
    <row r="329" spans="1:11" ht="45" customHeight="1" x14ac:dyDescent="0.25">
      <c r="A329" s="1046"/>
      <c r="B329" s="1090"/>
      <c r="C329" s="1562" t="s">
        <v>587</v>
      </c>
      <c r="D329" s="1562" t="s">
        <v>132</v>
      </c>
      <c r="E329" s="1562" t="s">
        <v>133</v>
      </c>
      <c r="F329" s="253"/>
      <c r="G329" s="1562" t="s">
        <v>134</v>
      </c>
      <c r="H329" s="1562" t="s">
        <v>135</v>
      </c>
      <c r="I329" s="1562" t="s">
        <v>136</v>
      </c>
      <c r="J329" s="1027" t="s">
        <v>137</v>
      </c>
      <c r="K329" s="979"/>
    </row>
    <row r="330" spans="1:11" ht="15" customHeight="1" x14ac:dyDescent="0.25">
      <c r="A330" s="1046"/>
      <c r="B330" s="1129" t="s">
        <v>371</v>
      </c>
      <c r="C330" s="300"/>
      <c r="D330" s="300"/>
      <c r="E330" s="300"/>
      <c r="F330" s="300"/>
      <c r="G330" s="300"/>
      <c r="H330" s="300"/>
      <c r="I330" s="301"/>
      <c r="J330" s="302"/>
      <c r="K330" s="979"/>
    </row>
    <row r="331" spans="1:11" ht="15" customHeight="1" x14ac:dyDescent="0.25">
      <c r="A331" s="1046"/>
      <c r="B331" s="1030" t="s">
        <v>913</v>
      </c>
      <c r="C331" s="213"/>
      <c r="D331" s="303"/>
      <c r="E331" s="303"/>
      <c r="F331" s="51"/>
      <c r="G331" s="213"/>
      <c r="H331" s="213"/>
      <c r="I331" s="304"/>
      <c r="J331" s="305"/>
      <c r="K331" s="979"/>
    </row>
    <row r="332" spans="1:11" ht="15" customHeight="1" x14ac:dyDescent="0.25">
      <c r="A332" s="1046"/>
      <c r="B332" s="1076" t="s">
        <v>95</v>
      </c>
      <c r="C332" s="1036" t="s">
        <v>526</v>
      </c>
      <c r="D332" s="244"/>
      <c r="E332" s="244"/>
      <c r="F332" s="306"/>
      <c r="G332" s="222">
        <v>0</v>
      </c>
      <c r="H332" s="266" t="str">
        <f>IF(AND(ISNUMBER(G332),ISNUMBER(E332)),G332*E332,"")</f>
        <v/>
      </c>
      <c r="I332" s="307">
        <v>0</v>
      </c>
      <c r="J332" s="223" t="str">
        <f>IF(AND(ISNUMBER(I332),ISNUMBER(D332)),I332*D332,"")</f>
        <v/>
      </c>
      <c r="K332" s="979"/>
    </row>
    <row r="333" spans="1:11" ht="15" customHeight="1" x14ac:dyDescent="0.25">
      <c r="A333" s="1046"/>
      <c r="B333" s="1084" t="s">
        <v>98</v>
      </c>
      <c r="C333" s="1036" t="s">
        <v>526</v>
      </c>
      <c r="D333" s="244"/>
      <c r="E333" s="244"/>
      <c r="F333" s="308"/>
      <c r="G333" s="309"/>
      <c r="H333" s="306"/>
      <c r="I333" s="310"/>
      <c r="J333" s="311"/>
      <c r="K333" s="979"/>
    </row>
    <row r="334" spans="1:11" ht="15" customHeight="1" x14ac:dyDescent="0.25">
      <c r="A334" s="1025"/>
      <c r="B334" s="1145" t="str">
        <f>CONCATENATE("Check: row ", ROW(B333), " ≤ row ", ROW(LCR!B332),)</f>
        <v>Check: row 333 ≤ row 332</v>
      </c>
      <c r="C334" s="230"/>
      <c r="D334" s="164" t="str">
        <f>IF((D333&lt;=D332),"Pass","Fail")</f>
        <v>Pass</v>
      </c>
      <c r="E334" s="164" t="str">
        <f>IF((E333&lt;=E332),"Pass","Fail")</f>
        <v>Pass</v>
      </c>
      <c r="F334" s="51"/>
      <c r="G334" s="175"/>
      <c r="H334" s="213"/>
      <c r="I334" s="304"/>
      <c r="J334" s="305"/>
      <c r="K334" s="979"/>
    </row>
    <row r="335" spans="1:11" ht="15" customHeight="1" x14ac:dyDescent="0.25">
      <c r="A335" s="1046"/>
      <c r="B335" s="1076" t="s">
        <v>527</v>
      </c>
      <c r="C335" s="1036" t="s">
        <v>526</v>
      </c>
      <c r="D335" s="161"/>
      <c r="E335" s="161"/>
      <c r="F335" s="213"/>
      <c r="G335" s="175"/>
      <c r="H335" s="312"/>
      <c r="I335" s="307">
        <v>0.15</v>
      </c>
      <c r="J335" s="313" t="str">
        <f>IF(AND(ISNUMBER(I335),ISNUMBER(D335)),I335*D335,"")</f>
        <v/>
      </c>
      <c r="K335" s="979"/>
    </row>
    <row r="336" spans="1:11" ht="15" customHeight="1" x14ac:dyDescent="0.25">
      <c r="A336" s="1046"/>
      <c r="B336" s="1084" t="s">
        <v>98</v>
      </c>
      <c r="C336" s="1036" t="s">
        <v>526</v>
      </c>
      <c r="D336" s="161"/>
      <c r="E336" s="161"/>
      <c r="F336" s="51"/>
      <c r="G336" s="175"/>
      <c r="H336" s="213"/>
      <c r="I336" s="304"/>
      <c r="J336" s="305"/>
      <c r="K336" s="979"/>
    </row>
    <row r="337" spans="1:11" ht="15" customHeight="1" x14ac:dyDescent="0.25">
      <c r="A337" s="1046"/>
      <c r="B337" s="1145" t="str">
        <f>CONCATENATE("Check: row ", ROW(B336), " ≤ row ", ROW(LCR!B335),)</f>
        <v>Check: row 336 ≤ row 335</v>
      </c>
      <c r="C337" s="230"/>
      <c r="D337" s="164" t="str">
        <f>IF((D336&lt;=D335),"Pass","Fail")</f>
        <v>Pass</v>
      </c>
      <c r="E337" s="164" t="str">
        <f>IF((E336&lt;=E335),"Pass","Fail")</f>
        <v>Pass</v>
      </c>
      <c r="F337" s="51"/>
      <c r="G337" s="175"/>
      <c r="H337" s="213"/>
      <c r="I337" s="304"/>
      <c r="J337" s="305"/>
      <c r="K337" s="979"/>
    </row>
    <row r="338" spans="1:11" ht="15" customHeight="1" x14ac:dyDescent="0.25">
      <c r="A338" s="1046"/>
      <c r="B338" s="1076" t="s">
        <v>528</v>
      </c>
      <c r="C338" s="1036" t="s">
        <v>526</v>
      </c>
      <c r="D338" s="178"/>
      <c r="E338" s="178"/>
      <c r="F338" s="213"/>
      <c r="G338" s="175"/>
      <c r="H338" s="312"/>
      <c r="I338" s="307">
        <v>0.25</v>
      </c>
      <c r="J338" s="313" t="str">
        <f>IF(AND(ISNUMBER(I338),ISNUMBER(D338)),I338*D338,"")</f>
        <v/>
      </c>
      <c r="K338" s="979"/>
    </row>
    <row r="339" spans="1:11" ht="15" customHeight="1" x14ac:dyDescent="0.25">
      <c r="A339" s="1046"/>
      <c r="B339" s="1084" t="s">
        <v>98</v>
      </c>
      <c r="C339" s="1036" t="s">
        <v>526</v>
      </c>
      <c r="D339" s="178"/>
      <c r="E339" s="178"/>
      <c r="F339" s="51"/>
      <c r="G339" s="175"/>
      <c r="H339" s="213"/>
      <c r="I339" s="304"/>
      <c r="J339" s="305"/>
      <c r="K339" s="979"/>
    </row>
    <row r="340" spans="1:11" ht="15" customHeight="1" x14ac:dyDescent="0.25">
      <c r="A340" s="1046"/>
      <c r="B340" s="1145" t="str">
        <f>CONCATENATE("Check: row ", ROW(B339), " ≤ row ", ROW(LCR!B338),)</f>
        <v>Check: row 339 ≤ row 338</v>
      </c>
      <c r="C340" s="230"/>
      <c r="D340" s="164" t="str">
        <f>IF((D339&lt;=D338),"Pass","Fail")</f>
        <v>Pass</v>
      </c>
      <c r="E340" s="164" t="str">
        <f>IF((E339&lt;=E338),"Pass","Fail")</f>
        <v>Pass</v>
      </c>
      <c r="F340" s="51"/>
      <c r="G340" s="175"/>
      <c r="H340" s="213"/>
      <c r="I340" s="304"/>
      <c r="J340" s="305"/>
      <c r="K340" s="979"/>
    </row>
    <row r="341" spans="1:11" ht="15" customHeight="1" x14ac:dyDescent="0.25">
      <c r="A341" s="1046"/>
      <c r="B341" s="1076" t="s">
        <v>529</v>
      </c>
      <c r="C341" s="1036" t="s">
        <v>526</v>
      </c>
      <c r="D341" s="178"/>
      <c r="E341" s="178"/>
      <c r="F341" s="213"/>
      <c r="G341" s="175"/>
      <c r="H341" s="312"/>
      <c r="I341" s="307">
        <v>0.5</v>
      </c>
      <c r="J341" s="313" t="str">
        <f>IF(AND(ISNUMBER(I341),ISNUMBER(D341)),I341*D341,"")</f>
        <v/>
      </c>
      <c r="K341" s="979"/>
    </row>
    <row r="342" spans="1:11" ht="15" customHeight="1" x14ac:dyDescent="0.25">
      <c r="A342" s="1046"/>
      <c r="B342" s="1084" t="s">
        <v>98</v>
      </c>
      <c r="C342" s="1036" t="s">
        <v>526</v>
      </c>
      <c r="D342" s="178"/>
      <c r="E342" s="178"/>
      <c r="F342" s="51"/>
      <c r="G342" s="175"/>
      <c r="H342" s="213"/>
      <c r="I342" s="314"/>
      <c r="J342" s="315"/>
      <c r="K342" s="979"/>
    </row>
    <row r="343" spans="1:11" ht="15" customHeight="1" x14ac:dyDescent="0.25">
      <c r="A343" s="1046"/>
      <c r="B343" s="1145" t="str">
        <f>CONCATENATE("Check: row ", ROW(B342), " ≤ row ", ROW(LCR!B341),)</f>
        <v>Check: row 342 ≤ row 341</v>
      </c>
      <c r="C343" s="230"/>
      <c r="D343" s="164" t="str">
        <f>IF((D342&lt;=D341),"Pass","Fail")</f>
        <v>Pass</v>
      </c>
      <c r="E343" s="164" t="str">
        <f>IF((E342&lt;=E341),"Pass","Fail")</f>
        <v>Pass</v>
      </c>
      <c r="F343" s="51"/>
      <c r="G343" s="175"/>
      <c r="H343" s="213"/>
      <c r="I343" s="314"/>
      <c r="J343" s="315"/>
      <c r="K343" s="979"/>
    </row>
    <row r="344" spans="1:11" ht="15" customHeight="1" x14ac:dyDescent="0.25">
      <c r="A344" s="1046"/>
      <c r="B344" s="1076" t="s">
        <v>96</v>
      </c>
      <c r="C344" s="1036" t="s">
        <v>526</v>
      </c>
      <c r="D344" s="161"/>
      <c r="E344" s="161"/>
      <c r="F344" s="213"/>
      <c r="G344" s="175"/>
      <c r="H344" s="312"/>
      <c r="I344" s="307">
        <v>1</v>
      </c>
      <c r="J344" s="313" t="str">
        <f>IF(AND(ISNUMBER(I344),ISNUMBER(D344)),I344*D344,"")</f>
        <v/>
      </c>
      <c r="K344" s="979"/>
    </row>
    <row r="345" spans="1:11" ht="15" customHeight="1" x14ac:dyDescent="0.25">
      <c r="A345" s="1046"/>
      <c r="B345" s="1084" t="s">
        <v>98</v>
      </c>
      <c r="C345" s="1036" t="s">
        <v>526</v>
      </c>
      <c r="D345" s="161"/>
      <c r="E345" s="161"/>
      <c r="F345" s="51"/>
      <c r="G345" s="175"/>
      <c r="H345" s="213"/>
      <c r="I345" s="304"/>
      <c r="J345" s="305"/>
      <c r="K345" s="979"/>
    </row>
    <row r="346" spans="1:11" ht="15" customHeight="1" x14ac:dyDescent="0.25">
      <c r="A346" s="1046"/>
      <c r="B346" s="1145" t="str">
        <f>CONCATENATE("Check: row ", ROW(B345), " ≤ row ", ROW(LCR!B344),)</f>
        <v>Check: row 345 ≤ row 344</v>
      </c>
      <c r="C346" s="230"/>
      <c r="D346" s="164" t="str">
        <f>IF((D345&lt;=D344),"Pass","Fail")</f>
        <v>Pass</v>
      </c>
      <c r="E346" s="164" t="str">
        <f>IF((E345&lt;=E344),"Pass","Fail")</f>
        <v>Pass</v>
      </c>
      <c r="F346" s="51"/>
      <c r="G346" s="175"/>
      <c r="H346" s="213"/>
      <c r="I346" s="304"/>
      <c r="J346" s="305"/>
      <c r="K346" s="979"/>
    </row>
    <row r="347" spans="1:11" ht="15" customHeight="1" x14ac:dyDescent="0.25">
      <c r="A347" s="1046"/>
      <c r="B347" s="1076" t="s">
        <v>530</v>
      </c>
      <c r="C347" s="1036" t="s">
        <v>526</v>
      </c>
      <c r="D347" s="161"/>
      <c r="E347" s="161"/>
      <c r="F347" s="213"/>
      <c r="G347" s="222">
        <v>0.15</v>
      </c>
      <c r="H347" s="181" t="str">
        <f>IF(AND(ISNUMBER(G347),ISNUMBER(E347)),G347*E347,"")</f>
        <v/>
      </c>
      <c r="I347" s="304"/>
      <c r="J347" s="316"/>
      <c r="K347" s="979"/>
    </row>
    <row r="348" spans="1:11" ht="15" customHeight="1" x14ac:dyDescent="0.25">
      <c r="A348" s="1046"/>
      <c r="B348" s="1084" t="s">
        <v>98</v>
      </c>
      <c r="C348" s="1036" t="s">
        <v>526</v>
      </c>
      <c r="D348" s="161"/>
      <c r="E348" s="161"/>
      <c r="F348" s="51"/>
      <c r="G348" s="175"/>
      <c r="H348" s="213"/>
      <c r="I348" s="304"/>
      <c r="J348" s="305"/>
      <c r="K348" s="979"/>
    </row>
    <row r="349" spans="1:11" ht="15" customHeight="1" x14ac:dyDescent="0.25">
      <c r="A349" s="1046"/>
      <c r="B349" s="1145" t="str">
        <f>CONCATENATE("Check: row ", ROW(B348), " ≤ row ", ROW(LCR!B347),)</f>
        <v>Check: row 348 ≤ row 347</v>
      </c>
      <c r="C349" s="230"/>
      <c r="D349" s="164" t="str">
        <f>IF((D348&lt;=D347),"Pass","Fail")</f>
        <v>Pass</v>
      </c>
      <c r="E349" s="164" t="str">
        <f>IF((E348&lt;=E347),"Pass","Fail")</f>
        <v>Pass</v>
      </c>
      <c r="F349" s="51"/>
      <c r="G349" s="175"/>
      <c r="H349" s="213"/>
      <c r="I349" s="304"/>
      <c r="J349" s="305"/>
      <c r="K349" s="979"/>
    </row>
    <row r="350" spans="1:11" ht="15" customHeight="1" x14ac:dyDescent="0.25">
      <c r="A350" s="1046"/>
      <c r="B350" s="1076" t="s">
        <v>531</v>
      </c>
      <c r="C350" s="1036" t="s">
        <v>526</v>
      </c>
      <c r="D350" s="161"/>
      <c r="E350" s="161"/>
      <c r="F350" s="213"/>
      <c r="G350" s="222">
        <v>0</v>
      </c>
      <c r="H350" s="181" t="str">
        <f>IF(AND(ISNUMBER(G350),ISNUMBER(E350)),G350*E350,"")</f>
        <v/>
      </c>
      <c r="I350" s="307">
        <v>0</v>
      </c>
      <c r="J350" s="313" t="str">
        <f>IF(AND(ISNUMBER(I350),ISNUMBER(D350)),I350*D350,"")</f>
        <v/>
      </c>
      <c r="K350" s="979"/>
    </row>
    <row r="351" spans="1:11" ht="15" customHeight="1" x14ac:dyDescent="0.25">
      <c r="A351" s="1046"/>
      <c r="B351" s="1084" t="s">
        <v>98</v>
      </c>
      <c r="C351" s="1036" t="s">
        <v>526</v>
      </c>
      <c r="D351" s="161"/>
      <c r="E351" s="161"/>
      <c r="F351" s="51"/>
      <c r="G351" s="175"/>
      <c r="H351" s="213"/>
      <c r="I351" s="304"/>
      <c r="J351" s="305"/>
      <c r="K351" s="979"/>
    </row>
    <row r="352" spans="1:11" ht="15" customHeight="1" x14ac:dyDescent="0.25">
      <c r="A352" s="1046"/>
      <c r="B352" s="1145" t="str">
        <f>CONCATENATE("Check: row ", ROW(B351), " ≤ row ", ROW(LCR!B350),)</f>
        <v>Check: row 351 ≤ row 350</v>
      </c>
      <c r="C352" s="230"/>
      <c r="D352" s="164" t="str">
        <f>IF((D351&lt;=D350),"Pass","Fail")</f>
        <v>Pass</v>
      </c>
      <c r="E352" s="164" t="str">
        <f>IF((E351&lt;=E350),"Pass","Fail")</f>
        <v>Pass</v>
      </c>
      <c r="F352" s="51"/>
      <c r="G352" s="175"/>
      <c r="H352" s="213"/>
      <c r="I352" s="304"/>
      <c r="J352" s="305"/>
      <c r="K352" s="979"/>
    </row>
    <row r="353" spans="1:11" ht="15" customHeight="1" x14ac:dyDescent="0.25">
      <c r="A353" s="1046"/>
      <c r="B353" s="1076" t="s">
        <v>532</v>
      </c>
      <c r="C353" s="1036" t="s">
        <v>526</v>
      </c>
      <c r="D353" s="178"/>
      <c r="E353" s="178"/>
      <c r="F353" s="213"/>
      <c r="G353" s="175"/>
      <c r="H353" s="312"/>
      <c r="I353" s="317">
        <v>0.1</v>
      </c>
      <c r="J353" s="313" t="str">
        <f>IF(AND(ISNUMBER(I353),ISNUMBER(D353)),I353*D353,"")</f>
        <v/>
      </c>
      <c r="K353" s="979"/>
    </row>
    <row r="354" spans="1:11" ht="15" customHeight="1" x14ac:dyDescent="0.25">
      <c r="A354" s="1046"/>
      <c r="B354" s="1084" t="s">
        <v>98</v>
      </c>
      <c r="C354" s="1036" t="s">
        <v>526</v>
      </c>
      <c r="D354" s="178"/>
      <c r="E354" s="178"/>
      <c r="F354" s="51"/>
      <c r="G354" s="175"/>
      <c r="H354" s="213"/>
      <c r="I354" s="304"/>
      <c r="J354" s="305"/>
      <c r="K354" s="979"/>
    </row>
    <row r="355" spans="1:11" ht="15" customHeight="1" x14ac:dyDescent="0.25">
      <c r="A355" s="1046"/>
      <c r="B355" s="1145" t="str">
        <f>CONCATENATE("Check: row ", ROW(B354), " ≤ row ", ROW(LCR!B353),)</f>
        <v>Check: row 354 ≤ row 353</v>
      </c>
      <c r="C355" s="230"/>
      <c r="D355" s="164" t="str">
        <f>IF((D354&lt;=D353),"Pass","Fail")</f>
        <v>Pass</v>
      </c>
      <c r="E355" s="164" t="str">
        <f>IF((E354&lt;=E353),"Pass","Fail")</f>
        <v>Pass</v>
      </c>
      <c r="F355" s="51"/>
      <c r="G355" s="175"/>
      <c r="H355" s="213"/>
      <c r="I355" s="304"/>
      <c r="J355" s="305"/>
      <c r="K355" s="979"/>
    </row>
    <row r="356" spans="1:11" ht="15" customHeight="1" x14ac:dyDescent="0.25">
      <c r="A356" s="1046"/>
      <c r="B356" s="1076" t="s">
        <v>533</v>
      </c>
      <c r="C356" s="1036" t="s">
        <v>526</v>
      </c>
      <c r="D356" s="178"/>
      <c r="E356" s="178"/>
      <c r="F356" s="213"/>
      <c r="G356" s="175"/>
      <c r="H356" s="312"/>
      <c r="I356" s="317">
        <v>0.35</v>
      </c>
      <c r="J356" s="313" t="str">
        <f>IF(AND(ISNUMBER(I356),ISNUMBER(D356)),I356*D356,"")</f>
        <v/>
      </c>
      <c r="K356" s="979"/>
    </row>
    <row r="357" spans="1:11" ht="15" customHeight="1" x14ac:dyDescent="0.25">
      <c r="A357" s="1046"/>
      <c r="B357" s="1084" t="s">
        <v>98</v>
      </c>
      <c r="C357" s="1036" t="s">
        <v>526</v>
      </c>
      <c r="D357" s="178"/>
      <c r="E357" s="178"/>
      <c r="F357" s="51"/>
      <c r="G357" s="175"/>
      <c r="H357" s="213"/>
      <c r="I357" s="304"/>
      <c r="J357" s="305"/>
      <c r="K357" s="979"/>
    </row>
    <row r="358" spans="1:11" ht="15" customHeight="1" x14ac:dyDescent="0.25">
      <c r="A358" s="1046"/>
      <c r="B358" s="1145" t="str">
        <f>CONCATENATE("Check: row ", ROW(B357), " ≤ row ", ROW(LCR!B356),)</f>
        <v>Check: row 357 ≤ row 356</v>
      </c>
      <c r="C358" s="230"/>
      <c r="D358" s="164" t="str">
        <f>IF((D357&lt;=D356),"Pass","Fail")</f>
        <v>Pass</v>
      </c>
      <c r="E358" s="164" t="str">
        <f>IF((E357&lt;=E356),"Pass","Fail")</f>
        <v>Pass</v>
      </c>
      <c r="F358" s="51"/>
      <c r="G358" s="175"/>
      <c r="H358" s="213"/>
      <c r="I358" s="304"/>
      <c r="J358" s="305"/>
      <c r="K358" s="979"/>
    </row>
    <row r="359" spans="1:11" ht="15" customHeight="1" x14ac:dyDescent="0.25">
      <c r="A359" s="1046"/>
      <c r="B359" s="1076" t="s">
        <v>534</v>
      </c>
      <c r="C359" s="1036" t="s">
        <v>526</v>
      </c>
      <c r="D359" s="161"/>
      <c r="E359" s="161"/>
      <c r="F359" s="213"/>
      <c r="G359" s="175"/>
      <c r="H359" s="312"/>
      <c r="I359" s="307">
        <v>0.85</v>
      </c>
      <c r="J359" s="313" t="str">
        <f>IF(AND(ISNUMBER(I359),ISNUMBER(D359)),I359*D359,"")</f>
        <v/>
      </c>
      <c r="K359" s="979"/>
    </row>
    <row r="360" spans="1:11" ht="15" customHeight="1" x14ac:dyDescent="0.25">
      <c r="A360" s="1046"/>
      <c r="B360" s="1084" t="s">
        <v>98</v>
      </c>
      <c r="C360" s="1036" t="s">
        <v>526</v>
      </c>
      <c r="D360" s="161"/>
      <c r="E360" s="161"/>
      <c r="F360" s="51"/>
      <c r="G360" s="175"/>
      <c r="H360" s="213"/>
      <c r="I360" s="304"/>
      <c r="J360" s="305"/>
      <c r="K360" s="979"/>
    </row>
    <row r="361" spans="1:11" ht="15" customHeight="1" x14ac:dyDescent="0.25">
      <c r="A361" s="1046"/>
      <c r="B361" s="1145" t="str">
        <f>CONCATENATE("Check: row ", ROW(B360), " ≤ row ", ROW(LCR!B359),)</f>
        <v>Check: row 360 ≤ row 359</v>
      </c>
      <c r="C361" s="230"/>
      <c r="D361" s="164" t="str">
        <f>IF((D360&lt;=D359),"Pass","Fail")</f>
        <v>Pass</v>
      </c>
      <c r="E361" s="164" t="str">
        <f>IF((E360&lt;=E359),"Pass","Fail")</f>
        <v>Pass</v>
      </c>
      <c r="F361" s="51"/>
      <c r="G361" s="175"/>
      <c r="H361" s="213"/>
      <c r="I361" s="304"/>
      <c r="J361" s="305"/>
      <c r="K361" s="979"/>
    </row>
    <row r="362" spans="1:11" ht="15" customHeight="1" x14ac:dyDescent="0.25">
      <c r="A362" s="1046"/>
      <c r="B362" s="1076" t="s">
        <v>535</v>
      </c>
      <c r="C362" s="1036" t="s">
        <v>526</v>
      </c>
      <c r="D362" s="178"/>
      <c r="E362" s="178"/>
      <c r="F362" s="51"/>
      <c r="G362" s="318">
        <v>0.25</v>
      </c>
      <c r="H362" s="181" t="str">
        <f>IF(AND(ISNUMBER(G362),ISNUMBER(E362)),G362*E362,"")</f>
        <v/>
      </c>
      <c r="I362" s="304"/>
      <c r="J362" s="316"/>
      <c r="K362" s="979"/>
    </row>
    <row r="363" spans="1:11" ht="15" customHeight="1" x14ac:dyDescent="0.25">
      <c r="A363" s="1046"/>
      <c r="B363" s="1084" t="s">
        <v>98</v>
      </c>
      <c r="C363" s="1036" t="s">
        <v>526</v>
      </c>
      <c r="D363" s="178"/>
      <c r="E363" s="178"/>
      <c r="F363" s="51"/>
      <c r="G363" s="175"/>
      <c r="H363" s="213"/>
      <c r="I363" s="304"/>
      <c r="J363" s="305"/>
      <c r="K363" s="979"/>
    </row>
    <row r="364" spans="1:11" ht="15" customHeight="1" x14ac:dyDescent="0.25">
      <c r="A364" s="1046"/>
      <c r="B364" s="1145" t="str">
        <f>CONCATENATE("Check: row ", ROW(B363), " ≤ row ", ROW(LCR!B362),)</f>
        <v>Check: row 363 ≤ row 362</v>
      </c>
      <c r="C364" s="230"/>
      <c r="D364" s="164" t="str">
        <f>IF((D363&lt;=D362),"Pass","Fail")</f>
        <v>Pass</v>
      </c>
      <c r="E364" s="164" t="str">
        <f>IF((E363&lt;=E362),"Pass","Fail")</f>
        <v>Pass</v>
      </c>
      <c r="F364" s="51"/>
      <c r="G364" s="175"/>
      <c r="H364" s="213"/>
      <c r="I364" s="304"/>
      <c r="J364" s="305"/>
      <c r="K364" s="979"/>
    </row>
    <row r="365" spans="1:11" ht="15" customHeight="1" x14ac:dyDescent="0.25">
      <c r="A365" s="1046"/>
      <c r="B365" s="1076" t="s">
        <v>536</v>
      </c>
      <c r="C365" s="1036" t="s">
        <v>526</v>
      </c>
      <c r="D365" s="178"/>
      <c r="E365" s="178"/>
      <c r="F365" s="51"/>
      <c r="G365" s="318">
        <v>0.1</v>
      </c>
      <c r="H365" s="181" t="str">
        <f>IF(AND(ISNUMBER(G365),ISNUMBER(E365)),G365*E365,"")</f>
        <v/>
      </c>
      <c r="I365" s="304"/>
      <c r="J365" s="316"/>
      <c r="K365" s="979"/>
    </row>
    <row r="366" spans="1:11" ht="15" customHeight="1" x14ac:dyDescent="0.25">
      <c r="A366" s="1046"/>
      <c r="B366" s="1084" t="s">
        <v>98</v>
      </c>
      <c r="C366" s="1036" t="s">
        <v>526</v>
      </c>
      <c r="D366" s="178"/>
      <c r="E366" s="178"/>
      <c r="F366" s="51"/>
      <c r="G366" s="175"/>
      <c r="H366" s="213"/>
      <c r="I366" s="304"/>
      <c r="J366" s="305"/>
      <c r="K366" s="979"/>
    </row>
    <row r="367" spans="1:11" ht="15" customHeight="1" x14ac:dyDescent="0.25">
      <c r="A367" s="1046"/>
      <c r="B367" s="1145" t="str">
        <f>CONCATENATE("Check: row ", ROW(B366), " ≤ row ", ROW(LCR!B365),)</f>
        <v>Check: row 366 ≤ row 365</v>
      </c>
      <c r="C367" s="230"/>
      <c r="D367" s="164" t="str">
        <f>IF((D366&lt;=D365),"Pass","Fail")</f>
        <v>Pass</v>
      </c>
      <c r="E367" s="164" t="str">
        <f>IF((E366&lt;=E365),"Pass","Fail")</f>
        <v>Pass</v>
      </c>
      <c r="F367" s="51"/>
      <c r="G367" s="175"/>
      <c r="H367" s="213"/>
      <c r="I367" s="304"/>
      <c r="J367" s="305"/>
      <c r="K367" s="979"/>
    </row>
    <row r="368" spans="1:11" ht="15" customHeight="1" x14ac:dyDescent="0.25">
      <c r="A368" s="1046"/>
      <c r="B368" s="1076" t="s">
        <v>537</v>
      </c>
      <c r="C368" s="1036" t="s">
        <v>526</v>
      </c>
      <c r="D368" s="178"/>
      <c r="E368" s="178"/>
      <c r="F368" s="51"/>
      <c r="G368" s="222">
        <v>0</v>
      </c>
      <c r="H368" s="181" t="str">
        <f>IF(AND(ISNUMBER(G368),ISNUMBER(E368)),G368*E368,"")</f>
        <v/>
      </c>
      <c r="I368" s="307">
        <v>0</v>
      </c>
      <c r="J368" s="313" t="str">
        <f>IF(AND(ISNUMBER(I368),ISNUMBER(D368)),I368*D368,"")</f>
        <v/>
      </c>
      <c r="K368" s="979"/>
    </row>
    <row r="369" spans="1:11" ht="15" customHeight="1" x14ac:dyDescent="0.25">
      <c r="A369" s="1046"/>
      <c r="B369" s="1084" t="s">
        <v>98</v>
      </c>
      <c r="C369" s="1036" t="s">
        <v>526</v>
      </c>
      <c r="D369" s="178"/>
      <c r="E369" s="178"/>
      <c r="F369" s="51"/>
      <c r="G369" s="175"/>
      <c r="H369" s="213"/>
      <c r="I369" s="304"/>
      <c r="J369" s="305"/>
      <c r="K369" s="979"/>
    </row>
    <row r="370" spans="1:11" ht="15" customHeight="1" x14ac:dyDescent="0.25">
      <c r="A370" s="1046"/>
      <c r="B370" s="1145" t="str">
        <f>CONCATENATE("Check: row ", ROW(B369), " ≤ row ", ROW(LCR!B368),)</f>
        <v>Check: row 369 ≤ row 368</v>
      </c>
      <c r="C370" s="230"/>
      <c r="D370" s="164" t="str">
        <f>IF((D369&lt;=D368),"Pass","Fail")</f>
        <v>Pass</v>
      </c>
      <c r="E370" s="164" t="str">
        <f>IF((E369&lt;=E368),"Pass","Fail")</f>
        <v>Pass</v>
      </c>
      <c r="F370" s="51"/>
      <c r="G370" s="175"/>
      <c r="H370" s="213"/>
      <c r="I370" s="304"/>
      <c r="J370" s="305"/>
      <c r="K370" s="979"/>
    </row>
    <row r="371" spans="1:11" ht="15" customHeight="1" x14ac:dyDescent="0.25">
      <c r="A371" s="1046"/>
      <c r="B371" s="1076" t="s">
        <v>538</v>
      </c>
      <c r="C371" s="1036" t="s">
        <v>526</v>
      </c>
      <c r="D371" s="178"/>
      <c r="E371" s="178"/>
      <c r="F371" s="51"/>
      <c r="G371" s="175"/>
      <c r="H371" s="312"/>
      <c r="I371" s="319">
        <v>0.25</v>
      </c>
      <c r="J371" s="313" t="str">
        <f>IF(AND(ISNUMBER(I371),ISNUMBER(D371)),I371*D371,"")</f>
        <v/>
      </c>
      <c r="K371" s="979"/>
    </row>
    <row r="372" spans="1:11" ht="15" customHeight="1" x14ac:dyDescent="0.25">
      <c r="A372" s="1046"/>
      <c r="B372" s="1084" t="s">
        <v>98</v>
      </c>
      <c r="C372" s="1036" t="s">
        <v>526</v>
      </c>
      <c r="D372" s="178"/>
      <c r="E372" s="178"/>
      <c r="F372" s="51"/>
      <c r="G372" s="175"/>
      <c r="H372" s="213"/>
      <c r="I372" s="304"/>
      <c r="J372" s="305"/>
      <c r="K372" s="979"/>
    </row>
    <row r="373" spans="1:11" ht="15" customHeight="1" x14ac:dyDescent="0.25">
      <c r="A373" s="1046"/>
      <c r="B373" s="1145" t="str">
        <f>CONCATENATE("Check: row ", ROW(B372), " ≤ row ", ROW(LCR!B371),)</f>
        <v>Check: row 372 ≤ row 371</v>
      </c>
      <c r="C373" s="230"/>
      <c r="D373" s="164" t="str">
        <f>IF((D372&lt;=D371),"Pass","Fail")</f>
        <v>Pass</v>
      </c>
      <c r="E373" s="164" t="str">
        <f>IF((E372&lt;=E371),"Pass","Fail")</f>
        <v>Pass</v>
      </c>
      <c r="F373" s="51"/>
      <c r="G373" s="175"/>
      <c r="H373" s="213"/>
      <c r="I373" s="304"/>
      <c r="J373" s="305"/>
      <c r="K373" s="979"/>
    </row>
    <row r="374" spans="1:11" ht="15" customHeight="1" x14ac:dyDescent="0.25">
      <c r="A374" s="1046"/>
      <c r="B374" s="1076" t="s">
        <v>539</v>
      </c>
      <c r="C374" s="1036" t="s">
        <v>526</v>
      </c>
      <c r="D374" s="178"/>
      <c r="E374" s="178"/>
      <c r="F374" s="51"/>
      <c r="G374" s="175"/>
      <c r="H374" s="312"/>
      <c r="I374" s="319">
        <v>0.75</v>
      </c>
      <c r="J374" s="313" t="str">
        <f>IF(AND(ISNUMBER(I374),ISNUMBER(D374)),I374*D374,"")</f>
        <v/>
      </c>
      <c r="K374" s="979"/>
    </row>
    <row r="375" spans="1:11" ht="15" customHeight="1" x14ac:dyDescent="0.25">
      <c r="A375" s="1046"/>
      <c r="B375" s="1084" t="s">
        <v>98</v>
      </c>
      <c r="C375" s="1036" t="s">
        <v>526</v>
      </c>
      <c r="D375" s="178"/>
      <c r="E375" s="178"/>
      <c r="F375" s="51"/>
      <c r="G375" s="175"/>
      <c r="H375" s="213"/>
      <c r="I375" s="304"/>
      <c r="J375" s="305"/>
      <c r="K375" s="979"/>
    </row>
    <row r="376" spans="1:11" ht="15" customHeight="1" x14ac:dyDescent="0.25">
      <c r="A376" s="1046"/>
      <c r="B376" s="1145" t="str">
        <f>CONCATENATE("Check: row ", ROW(B375), " ≤ row ", ROW(LCR!B374),)</f>
        <v>Check: row 375 ≤ row 374</v>
      </c>
      <c r="C376" s="230"/>
      <c r="D376" s="164" t="str">
        <f>IF((D375&lt;=D374),"Pass","Fail")</f>
        <v>Pass</v>
      </c>
      <c r="E376" s="164" t="str">
        <f>IF((E375&lt;=E374),"Pass","Fail")</f>
        <v>Pass</v>
      </c>
      <c r="F376" s="51"/>
      <c r="G376" s="175"/>
      <c r="H376" s="213"/>
      <c r="I376" s="304"/>
      <c r="J376" s="305"/>
      <c r="K376" s="979"/>
    </row>
    <row r="377" spans="1:11" ht="15" customHeight="1" x14ac:dyDescent="0.25">
      <c r="A377" s="1046"/>
      <c r="B377" s="1076" t="s">
        <v>540</v>
      </c>
      <c r="C377" s="1036" t="s">
        <v>526</v>
      </c>
      <c r="D377" s="178"/>
      <c r="E377" s="178"/>
      <c r="F377" s="51"/>
      <c r="G377" s="318">
        <v>0.5</v>
      </c>
      <c r="H377" s="181" t="str">
        <f>IF(AND(ISNUMBER(G377),ISNUMBER(E377)),G377*E377,"")</f>
        <v/>
      </c>
      <c r="I377" s="304"/>
      <c r="J377" s="316"/>
      <c r="K377" s="979"/>
    </row>
    <row r="378" spans="1:11" ht="15" customHeight="1" x14ac:dyDescent="0.25">
      <c r="A378" s="1046"/>
      <c r="B378" s="1084" t="s">
        <v>98</v>
      </c>
      <c r="C378" s="1036" t="s">
        <v>526</v>
      </c>
      <c r="D378" s="178"/>
      <c r="E378" s="178"/>
      <c r="F378" s="51"/>
      <c r="G378" s="175"/>
      <c r="H378" s="213"/>
      <c r="I378" s="304"/>
      <c r="J378" s="305"/>
      <c r="K378" s="979"/>
    </row>
    <row r="379" spans="1:11" ht="15" customHeight="1" x14ac:dyDescent="0.25">
      <c r="A379" s="1046"/>
      <c r="B379" s="1145" t="str">
        <f>CONCATENATE("Check: row ", ROW(B378), " ≤ row ", ROW(LCR!B377),)</f>
        <v>Check: row 378 ≤ row 377</v>
      </c>
      <c r="C379" s="230"/>
      <c r="D379" s="164" t="str">
        <f>IF((D378&lt;=D377),"Pass","Fail")</f>
        <v>Pass</v>
      </c>
      <c r="E379" s="164" t="str">
        <f>IF((E378&lt;=E377),"Pass","Fail")</f>
        <v>Pass</v>
      </c>
      <c r="F379" s="51"/>
      <c r="G379" s="175"/>
      <c r="H379" s="213"/>
      <c r="I379" s="304"/>
      <c r="J379" s="305"/>
      <c r="K379" s="979"/>
    </row>
    <row r="380" spans="1:11" ht="15" customHeight="1" x14ac:dyDescent="0.25">
      <c r="A380" s="1046"/>
      <c r="B380" s="1076" t="s">
        <v>541</v>
      </c>
      <c r="C380" s="1036" t="s">
        <v>526</v>
      </c>
      <c r="D380" s="178"/>
      <c r="E380" s="178"/>
      <c r="F380" s="51"/>
      <c r="G380" s="318">
        <v>0.35</v>
      </c>
      <c r="H380" s="181" t="str">
        <f>IF(AND(ISNUMBER(G380),ISNUMBER(E380)),G380*E380,"")</f>
        <v/>
      </c>
      <c r="I380" s="304"/>
      <c r="J380" s="316"/>
      <c r="K380" s="979"/>
    </row>
    <row r="381" spans="1:11" ht="15" customHeight="1" x14ac:dyDescent="0.25">
      <c r="A381" s="1046"/>
      <c r="B381" s="1084" t="s">
        <v>98</v>
      </c>
      <c r="C381" s="1036" t="s">
        <v>526</v>
      </c>
      <c r="D381" s="178"/>
      <c r="E381" s="178"/>
      <c r="F381" s="51"/>
      <c r="G381" s="175"/>
      <c r="H381" s="213"/>
      <c r="I381" s="304"/>
      <c r="J381" s="305"/>
      <c r="K381" s="979"/>
    </row>
    <row r="382" spans="1:11" ht="15" customHeight="1" x14ac:dyDescent="0.25">
      <c r="A382" s="1046"/>
      <c r="B382" s="1145" t="str">
        <f>CONCATENATE("Check: row ", ROW(B381), " ≤ row ", ROW(LCR!B380),)</f>
        <v>Check: row 381 ≤ row 380</v>
      </c>
      <c r="C382" s="230"/>
      <c r="D382" s="164" t="str">
        <f>IF((D381&lt;=D380),"Pass","Fail")</f>
        <v>Pass</v>
      </c>
      <c r="E382" s="164" t="str">
        <f>IF((E381&lt;=E380),"Pass","Fail")</f>
        <v>Pass</v>
      </c>
      <c r="F382" s="51"/>
      <c r="G382" s="175"/>
      <c r="H382" s="213"/>
      <c r="I382" s="304"/>
      <c r="J382" s="305"/>
      <c r="K382" s="979"/>
    </row>
    <row r="383" spans="1:11" ht="15" customHeight="1" x14ac:dyDescent="0.25">
      <c r="A383" s="1046"/>
      <c r="B383" s="1076" t="s">
        <v>542</v>
      </c>
      <c r="C383" s="1036" t="s">
        <v>526</v>
      </c>
      <c r="D383" s="178"/>
      <c r="E383" s="178"/>
      <c r="F383" s="51"/>
      <c r="G383" s="318">
        <v>0.25</v>
      </c>
      <c r="H383" s="181" t="str">
        <f>IF(AND(ISNUMBER(G383),ISNUMBER(E383)),G383*E383,"")</f>
        <v/>
      </c>
      <c r="I383" s="304"/>
      <c r="J383" s="316"/>
      <c r="K383" s="979"/>
    </row>
    <row r="384" spans="1:11" ht="15" customHeight="1" x14ac:dyDescent="0.25">
      <c r="A384" s="1046"/>
      <c r="B384" s="1084" t="s">
        <v>98</v>
      </c>
      <c r="C384" s="1036" t="s">
        <v>526</v>
      </c>
      <c r="D384" s="178"/>
      <c r="E384" s="178"/>
      <c r="F384" s="51"/>
      <c r="G384" s="175"/>
      <c r="H384" s="213"/>
      <c r="I384" s="304"/>
      <c r="J384" s="305"/>
      <c r="K384" s="979"/>
    </row>
    <row r="385" spans="1:11" ht="15" customHeight="1" x14ac:dyDescent="0.25">
      <c r="A385" s="1046"/>
      <c r="B385" s="1145" t="str">
        <f>CONCATENATE("Check: row ", ROW(B384), " ≤ row ", ROW(LCR!B383),)</f>
        <v>Check: row 384 ≤ row 383</v>
      </c>
      <c r="C385" s="230"/>
      <c r="D385" s="164" t="str">
        <f>IF((D384&lt;=D383),"Pass","Fail")</f>
        <v>Pass</v>
      </c>
      <c r="E385" s="164" t="str">
        <f>IF((E384&lt;=E383),"Pass","Fail")</f>
        <v>Pass</v>
      </c>
      <c r="F385" s="51"/>
      <c r="G385" s="175"/>
      <c r="H385" s="213"/>
      <c r="I385" s="304"/>
      <c r="J385" s="305"/>
      <c r="K385" s="979"/>
    </row>
    <row r="386" spans="1:11" ht="15" customHeight="1" x14ac:dyDescent="0.25">
      <c r="A386" s="1046"/>
      <c r="B386" s="1076" t="s">
        <v>543</v>
      </c>
      <c r="C386" s="1036" t="s">
        <v>526</v>
      </c>
      <c r="D386" s="178"/>
      <c r="E386" s="178"/>
      <c r="F386" s="51"/>
      <c r="G386" s="222">
        <v>0</v>
      </c>
      <c r="H386" s="181" t="str">
        <f>IF(AND(ISNUMBER(G386),ISNUMBER(E386)),G386*E386,"")</f>
        <v/>
      </c>
      <c r="I386" s="307">
        <v>0</v>
      </c>
      <c r="J386" s="313" t="str">
        <f>IF(AND(ISNUMBER(I386),ISNUMBER(D386)),I386*D386,"")</f>
        <v/>
      </c>
      <c r="K386" s="979"/>
    </row>
    <row r="387" spans="1:11" ht="15" customHeight="1" x14ac:dyDescent="0.25">
      <c r="A387" s="1046"/>
      <c r="B387" s="1084" t="s">
        <v>98</v>
      </c>
      <c r="C387" s="1036" t="s">
        <v>526</v>
      </c>
      <c r="D387" s="178"/>
      <c r="E387" s="178"/>
      <c r="F387" s="51"/>
      <c r="G387" s="175"/>
      <c r="H387" s="213"/>
      <c r="I387" s="304"/>
      <c r="J387" s="305"/>
      <c r="K387" s="979"/>
    </row>
    <row r="388" spans="1:11" ht="15" customHeight="1" x14ac:dyDescent="0.25">
      <c r="A388" s="1046"/>
      <c r="B388" s="1145" t="str">
        <f>CONCATENATE("Check: row ", ROW(B387), " ≤ row ", ROW(LCR!B386),)</f>
        <v>Check: row 387 ≤ row 386</v>
      </c>
      <c r="C388" s="230"/>
      <c r="D388" s="164" t="str">
        <f>IF((D387&lt;=D386),"Pass","Fail")</f>
        <v>Pass</v>
      </c>
      <c r="E388" s="164" t="str">
        <f>IF((E387&lt;=E386),"Pass","Fail")</f>
        <v>Pass</v>
      </c>
      <c r="F388" s="51"/>
      <c r="G388" s="175"/>
      <c r="H388" s="213"/>
      <c r="I388" s="304"/>
      <c r="J388" s="305"/>
      <c r="K388" s="979"/>
    </row>
    <row r="389" spans="1:11" ht="15" customHeight="1" x14ac:dyDescent="0.25">
      <c r="A389" s="1046"/>
      <c r="B389" s="1076" t="s">
        <v>544</v>
      </c>
      <c r="C389" s="1036" t="s">
        <v>526</v>
      </c>
      <c r="D389" s="178"/>
      <c r="E389" s="178"/>
      <c r="F389" s="51"/>
      <c r="G389" s="175"/>
      <c r="H389" s="312"/>
      <c r="I389" s="319">
        <v>0.5</v>
      </c>
      <c r="J389" s="313" t="str">
        <f>IF(AND(ISNUMBER(I389),ISNUMBER(D389)),I389*D389,"")</f>
        <v/>
      </c>
      <c r="K389" s="979"/>
    </row>
    <row r="390" spans="1:11" ht="15" customHeight="1" x14ac:dyDescent="0.25">
      <c r="A390" s="1046"/>
      <c r="B390" s="1084" t="s">
        <v>98</v>
      </c>
      <c r="C390" s="1036" t="s">
        <v>526</v>
      </c>
      <c r="D390" s="178"/>
      <c r="E390" s="178"/>
      <c r="F390" s="51"/>
      <c r="G390" s="175"/>
      <c r="H390" s="213"/>
      <c r="I390" s="304"/>
      <c r="J390" s="305"/>
      <c r="K390" s="979"/>
    </row>
    <row r="391" spans="1:11" ht="15" customHeight="1" x14ac:dyDescent="0.25">
      <c r="A391" s="1046"/>
      <c r="B391" s="1145" t="str">
        <f>CONCATENATE("Check: row ", ROW(B390), " ≤ row ", ROW(LCR!B389),)</f>
        <v>Check: row 390 ≤ row 389</v>
      </c>
      <c r="C391" s="230"/>
      <c r="D391" s="164" t="str">
        <f>IF((D390&lt;=D389),"Pass","Fail")</f>
        <v>Pass</v>
      </c>
      <c r="E391" s="164" t="str">
        <f>IF((E390&lt;=E389),"Pass","Fail")</f>
        <v>Pass</v>
      </c>
      <c r="F391" s="51"/>
      <c r="G391" s="175"/>
      <c r="H391" s="213"/>
      <c r="I391" s="304"/>
      <c r="J391" s="305"/>
      <c r="K391" s="979"/>
    </row>
    <row r="392" spans="1:11" ht="15" customHeight="1" x14ac:dyDescent="0.25">
      <c r="A392" s="1046"/>
      <c r="B392" s="1076" t="s">
        <v>97</v>
      </c>
      <c r="C392" s="1036" t="s">
        <v>526</v>
      </c>
      <c r="D392" s="161"/>
      <c r="E392" s="161"/>
      <c r="F392" s="213"/>
      <c r="G392" s="222">
        <v>1</v>
      </c>
      <c r="H392" s="181" t="str">
        <f>IF(AND(ISNUMBER(G392),ISNUMBER(E392)),G392*E392,"")</f>
        <v/>
      </c>
      <c r="I392" s="304"/>
      <c r="J392" s="316"/>
      <c r="K392" s="979"/>
    </row>
    <row r="393" spans="1:11" ht="15" customHeight="1" x14ac:dyDescent="0.25">
      <c r="A393" s="1046"/>
      <c r="B393" s="1084" t="s">
        <v>98</v>
      </c>
      <c r="C393" s="1036" t="s">
        <v>526</v>
      </c>
      <c r="D393" s="161"/>
      <c r="E393" s="161"/>
      <c r="F393" s="51"/>
      <c r="G393" s="175"/>
      <c r="H393" s="213"/>
      <c r="I393" s="304"/>
      <c r="J393" s="305"/>
      <c r="K393" s="979"/>
    </row>
    <row r="394" spans="1:11" ht="15" customHeight="1" x14ac:dyDescent="0.25">
      <c r="A394" s="1046"/>
      <c r="B394" s="1145" t="str">
        <f>CONCATENATE("Check: row ", ROW(B393), " ≤ row ", ROW(LCR!B392),)</f>
        <v>Check: row 393 ≤ row 392</v>
      </c>
      <c r="C394" s="230"/>
      <c r="D394" s="164" t="str">
        <f>IF((D393&lt;=D392),"Pass","Fail")</f>
        <v>Pass</v>
      </c>
      <c r="E394" s="164" t="str">
        <f>IF((E393&lt;=E392),"Pass","Fail")</f>
        <v>Pass</v>
      </c>
      <c r="F394" s="51"/>
      <c r="G394" s="175"/>
      <c r="H394" s="213"/>
      <c r="I394" s="304"/>
      <c r="J394" s="305"/>
      <c r="K394" s="979"/>
    </row>
    <row r="395" spans="1:11" ht="15" customHeight="1" x14ac:dyDescent="0.25">
      <c r="A395" s="1046"/>
      <c r="B395" s="1076" t="s">
        <v>545</v>
      </c>
      <c r="C395" s="1036" t="s">
        <v>526</v>
      </c>
      <c r="D395" s="172"/>
      <c r="E395" s="244"/>
      <c r="F395" s="213"/>
      <c r="G395" s="222">
        <v>0.85</v>
      </c>
      <c r="H395" s="181" t="str">
        <f>IF(AND(ISNUMBER(G395),ISNUMBER(E395)),G395*E395,"")</f>
        <v/>
      </c>
      <c r="I395" s="304"/>
      <c r="J395" s="316"/>
      <c r="K395" s="979"/>
    </row>
    <row r="396" spans="1:11" ht="15" customHeight="1" x14ac:dyDescent="0.25">
      <c r="A396" s="1046"/>
      <c r="B396" s="1084" t="s">
        <v>98</v>
      </c>
      <c r="C396" s="1036" t="s">
        <v>526</v>
      </c>
      <c r="D396" s="172"/>
      <c r="E396" s="172"/>
      <c r="F396" s="51"/>
      <c r="G396" s="175"/>
      <c r="H396" s="213"/>
      <c r="I396" s="304"/>
      <c r="J396" s="305"/>
      <c r="K396" s="979"/>
    </row>
    <row r="397" spans="1:11" ht="15" customHeight="1" x14ac:dyDescent="0.25">
      <c r="A397" s="1046"/>
      <c r="B397" s="1145" t="str">
        <f>CONCATENATE("Check: row ", ROW(B396), " ≤ row ", ROW(LCR!B395),)</f>
        <v>Check: row 396 ≤ row 395</v>
      </c>
      <c r="C397" s="230"/>
      <c r="D397" s="164" t="str">
        <f>IF((D396&lt;=D395),"Pass","Fail")</f>
        <v>Pass</v>
      </c>
      <c r="E397" s="164" t="str">
        <f>IF((E396&lt;=E395),"Pass","Fail")</f>
        <v>Pass</v>
      </c>
      <c r="F397" s="51"/>
      <c r="G397" s="175"/>
      <c r="H397" s="213"/>
      <c r="I397" s="304"/>
      <c r="J397" s="305"/>
      <c r="K397" s="979"/>
    </row>
    <row r="398" spans="1:11" ht="15" customHeight="1" x14ac:dyDescent="0.25">
      <c r="A398" s="1046"/>
      <c r="B398" s="1076" t="s">
        <v>546</v>
      </c>
      <c r="C398" s="1036" t="s">
        <v>526</v>
      </c>
      <c r="D398" s="178"/>
      <c r="E398" s="178"/>
      <c r="F398" s="51"/>
      <c r="G398" s="318">
        <v>0.75</v>
      </c>
      <c r="H398" s="181" t="str">
        <f>IF(AND(ISNUMBER(G398),ISNUMBER(E398)),G398*E398,"")</f>
        <v/>
      </c>
      <c r="I398" s="304"/>
      <c r="J398" s="316"/>
      <c r="K398" s="979"/>
    </row>
    <row r="399" spans="1:11" ht="15" customHeight="1" x14ac:dyDescent="0.25">
      <c r="A399" s="1046"/>
      <c r="B399" s="1084" t="s">
        <v>98</v>
      </c>
      <c r="C399" s="1036" t="s">
        <v>526</v>
      </c>
      <c r="D399" s="178"/>
      <c r="E399" s="178"/>
      <c r="F399" s="51"/>
      <c r="G399" s="175"/>
      <c r="H399" s="213"/>
      <c r="I399" s="304"/>
      <c r="J399" s="305"/>
      <c r="K399" s="979"/>
    </row>
    <row r="400" spans="1:11" ht="15" customHeight="1" x14ac:dyDescent="0.25">
      <c r="A400" s="1046"/>
      <c r="B400" s="1145" t="str">
        <f>CONCATENATE("Check: row ", ROW(B399), " ≤ row ", ROW(LCR!B398),)</f>
        <v>Check: row 399 ≤ row 398</v>
      </c>
      <c r="C400" s="230"/>
      <c r="D400" s="164" t="str">
        <f>IF((D399&lt;=D398),"Pass","Fail")</f>
        <v>Pass</v>
      </c>
      <c r="E400" s="164" t="str">
        <f>IF((E399&lt;=E398),"Pass","Fail")</f>
        <v>Pass</v>
      </c>
      <c r="F400" s="51"/>
      <c r="G400" s="175"/>
      <c r="H400" s="213"/>
      <c r="I400" s="304"/>
      <c r="J400" s="305"/>
      <c r="K400" s="979"/>
    </row>
    <row r="401" spans="1:11" ht="15" customHeight="1" x14ac:dyDescent="0.25">
      <c r="A401" s="1025"/>
      <c r="B401" s="1076" t="s">
        <v>547</v>
      </c>
      <c r="C401" s="1036" t="s">
        <v>526</v>
      </c>
      <c r="D401" s="178"/>
      <c r="E401" s="178"/>
      <c r="F401" s="51"/>
      <c r="G401" s="318">
        <v>0.5</v>
      </c>
      <c r="H401" s="181" t="str">
        <f>IF(AND(ISNUMBER(G401),ISNUMBER(E401)),G401*E401,"")</f>
        <v/>
      </c>
      <c r="I401" s="304"/>
      <c r="J401" s="316"/>
      <c r="K401" s="979"/>
    </row>
    <row r="402" spans="1:11" ht="15" customHeight="1" x14ac:dyDescent="0.25">
      <c r="A402" s="1046"/>
      <c r="B402" s="1084" t="s">
        <v>98</v>
      </c>
      <c r="C402" s="1036" t="s">
        <v>526</v>
      </c>
      <c r="D402" s="178"/>
      <c r="E402" s="178"/>
      <c r="F402" s="51"/>
      <c r="G402" s="175"/>
      <c r="H402" s="213"/>
      <c r="I402" s="304"/>
      <c r="J402" s="305"/>
      <c r="K402" s="979"/>
    </row>
    <row r="403" spans="1:11" ht="15" customHeight="1" x14ac:dyDescent="0.25">
      <c r="A403" s="1046"/>
      <c r="B403" s="1145" t="str">
        <f>CONCATENATE("Check: row ", ROW(B402), " ≤ row ", ROW(LCR!B401),)</f>
        <v>Check: row 402 ≤ row 401</v>
      </c>
      <c r="C403" s="230"/>
      <c r="D403" s="164" t="str">
        <f>IF((D402&lt;=D401),"Pass","Fail")</f>
        <v>Pass</v>
      </c>
      <c r="E403" s="164" t="str">
        <f>IF((E402&lt;=E401),"Pass","Fail")</f>
        <v>Pass</v>
      </c>
      <c r="F403" s="51"/>
      <c r="G403" s="175"/>
      <c r="H403" s="213"/>
      <c r="I403" s="304"/>
      <c r="J403" s="305"/>
      <c r="K403" s="979"/>
    </row>
    <row r="404" spans="1:11" ht="15" customHeight="1" x14ac:dyDescent="0.25">
      <c r="A404" s="1025"/>
      <c r="B404" s="1076" t="s">
        <v>149</v>
      </c>
      <c r="C404" s="1036" t="s">
        <v>526</v>
      </c>
      <c r="D404" s="172"/>
      <c r="E404" s="244"/>
      <c r="F404" s="214"/>
      <c r="G404" s="222">
        <v>0</v>
      </c>
      <c r="H404" s="266" t="str">
        <f>IF(AND(ISNUMBER(G404),ISNUMBER(E404)),G404*E404,"")</f>
        <v/>
      </c>
      <c r="I404" s="307">
        <v>0</v>
      </c>
      <c r="J404" s="223" t="str">
        <f>IF(AND(ISNUMBER(I404),ISNUMBER(D404)),I404*D404,"")</f>
        <v/>
      </c>
      <c r="K404" s="979"/>
    </row>
    <row r="405" spans="1:11" ht="15" customHeight="1" x14ac:dyDescent="0.25">
      <c r="A405" s="1046"/>
      <c r="B405" s="1030" t="s">
        <v>914</v>
      </c>
      <c r="C405" s="227"/>
      <c r="D405" s="224"/>
      <c r="E405" s="224"/>
      <c r="F405" s="320"/>
      <c r="G405" s="228"/>
      <c r="H405" s="321"/>
      <c r="I405" s="322"/>
      <c r="J405" s="323"/>
      <c r="K405" s="979"/>
    </row>
    <row r="406" spans="1:11" ht="15" customHeight="1" x14ac:dyDescent="0.25">
      <c r="A406" s="1046"/>
      <c r="B406" s="1076" t="s">
        <v>138</v>
      </c>
      <c r="C406" s="1036" t="s">
        <v>526</v>
      </c>
      <c r="D406" s="244"/>
      <c r="E406" s="244"/>
      <c r="F406" s="214"/>
      <c r="G406" s="222">
        <v>0</v>
      </c>
      <c r="H406" s="266" t="str">
        <f>IF(AND(ISNUMBER(G406),ISNUMBER(E406)),G406*E406,"")</f>
        <v/>
      </c>
      <c r="I406" s="307">
        <v>0</v>
      </c>
      <c r="J406" s="223" t="str">
        <f>IF(AND(ISNUMBER(I406),ISNUMBER(D406)),I406*D406,"")</f>
        <v/>
      </c>
      <c r="K406" s="979"/>
    </row>
    <row r="407" spans="1:11" ht="15" customHeight="1" x14ac:dyDescent="0.25">
      <c r="A407" s="1025"/>
      <c r="B407" s="1076" t="s">
        <v>548</v>
      </c>
      <c r="C407" s="1036" t="s">
        <v>526</v>
      </c>
      <c r="D407" s="244"/>
      <c r="E407" s="244"/>
      <c r="F407" s="214"/>
      <c r="G407" s="228"/>
      <c r="H407" s="321"/>
      <c r="I407" s="307">
        <v>0</v>
      </c>
      <c r="J407" s="223" t="str">
        <f>IF(AND(ISNUMBER(I407),ISNUMBER(D407)),I407*D407,"")</f>
        <v/>
      </c>
      <c r="K407" s="979"/>
    </row>
    <row r="408" spans="1:11" ht="15" customHeight="1" x14ac:dyDescent="0.25">
      <c r="A408" s="1046"/>
      <c r="B408" s="1076" t="s">
        <v>549</v>
      </c>
      <c r="C408" s="1036" t="s">
        <v>526</v>
      </c>
      <c r="D408" s="195"/>
      <c r="E408" s="195"/>
      <c r="F408" s="214"/>
      <c r="G408" s="228"/>
      <c r="H408" s="321"/>
      <c r="I408" s="307">
        <v>0</v>
      </c>
      <c r="J408" s="223" t="str">
        <f>IF(AND(ISNUMBER(I408),ISNUMBER(D408)),I408*D408,"")</f>
        <v/>
      </c>
      <c r="K408" s="979"/>
    </row>
    <row r="409" spans="1:11" ht="15" customHeight="1" x14ac:dyDescent="0.25">
      <c r="A409" s="1046"/>
      <c r="B409" s="1076" t="s">
        <v>550</v>
      </c>
      <c r="C409" s="1036" t="s">
        <v>526</v>
      </c>
      <c r="D409" s="195"/>
      <c r="E409" s="195"/>
      <c r="F409" s="214"/>
      <c r="G409" s="228"/>
      <c r="H409" s="321"/>
      <c r="I409" s="307">
        <v>0</v>
      </c>
      <c r="J409" s="223" t="str">
        <f>IF(AND(ISNUMBER(I409),ISNUMBER(D409)),I409*D409,"")</f>
        <v/>
      </c>
      <c r="K409" s="979"/>
    </row>
    <row r="410" spans="1:11" ht="15" customHeight="1" x14ac:dyDescent="0.25">
      <c r="A410" s="1025"/>
      <c r="B410" s="1076" t="s">
        <v>146</v>
      </c>
      <c r="C410" s="1036" t="s">
        <v>526</v>
      </c>
      <c r="D410" s="244"/>
      <c r="E410" s="244"/>
      <c r="F410" s="214"/>
      <c r="G410" s="228"/>
      <c r="H410" s="321"/>
      <c r="I410" s="307">
        <v>0</v>
      </c>
      <c r="J410" s="223" t="str">
        <f>IF(AND(ISNUMBER(I410),ISNUMBER(D410)),I410*D410,"")</f>
        <v/>
      </c>
      <c r="K410" s="979"/>
    </row>
    <row r="411" spans="1:11" ht="15" customHeight="1" x14ac:dyDescent="0.25">
      <c r="A411" s="1046"/>
      <c r="B411" s="1076" t="s">
        <v>551</v>
      </c>
      <c r="C411" s="1036" t="s">
        <v>526</v>
      </c>
      <c r="D411" s="244"/>
      <c r="E411" s="244"/>
      <c r="F411" s="214"/>
      <c r="G411" s="222">
        <v>0.15</v>
      </c>
      <c r="H411" s="266" t="str">
        <f>IF(AND(ISNUMBER(G411),ISNUMBER(E411)),G411*E411,"")</f>
        <v/>
      </c>
      <c r="I411" s="322"/>
      <c r="J411" s="323"/>
      <c r="K411" s="979"/>
    </row>
    <row r="412" spans="1:11" ht="15" customHeight="1" x14ac:dyDescent="0.25">
      <c r="A412" s="1046"/>
      <c r="B412" s="1076" t="s">
        <v>552</v>
      </c>
      <c r="C412" s="1036" t="s">
        <v>526</v>
      </c>
      <c r="D412" s="244"/>
      <c r="E412" s="244"/>
      <c r="F412" s="214"/>
      <c r="G412" s="222">
        <v>0</v>
      </c>
      <c r="H412" s="266" t="str">
        <f>IF(AND(ISNUMBER(G412),ISNUMBER(E412),ISNUMBER(D412)),G412*MAX(E412-D412,0),"")</f>
        <v/>
      </c>
      <c r="I412" s="307">
        <v>0</v>
      </c>
      <c r="J412" s="223" t="str">
        <f>IF(AND(ISNUMBER(I412),ISNUMBER(D412)),I412*D412,"")</f>
        <v/>
      </c>
      <c r="K412" s="979"/>
    </row>
    <row r="413" spans="1:11" ht="15" customHeight="1" x14ac:dyDescent="0.25">
      <c r="A413" s="1025"/>
      <c r="B413" s="1076" t="s">
        <v>553</v>
      </c>
      <c r="C413" s="1036" t="s">
        <v>526</v>
      </c>
      <c r="D413" s="195"/>
      <c r="E413" s="195"/>
      <c r="F413" s="214"/>
      <c r="G413" s="228"/>
      <c r="H413" s="321"/>
      <c r="I413" s="317">
        <v>0</v>
      </c>
      <c r="J413" s="223" t="str">
        <f>IF(AND(ISNUMBER(I413),ISNUMBER(D413)),I413*D413,"")</f>
        <v/>
      </c>
      <c r="K413" s="979"/>
    </row>
    <row r="414" spans="1:11" ht="15" customHeight="1" x14ac:dyDescent="0.25">
      <c r="A414" s="1046"/>
      <c r="B414" s="1076" t="s">
        <v>554</v>
      </c>
      <c r="C414" s="1036" t="s">
        <v>526</v>
      </c>
      <c r="D414" s="195"/>
      <c r="E414" s="195"/>
      <c r="F414" s="214"/>
      <c r="G414" s="228"/>
      <c r="H414" s="321"/>
      <c r="I414" s="317">
        <v>0</v>
      </c>
      <c r="J414" s="223" t="str">
        <f>IF(AND(ISNUMBER(I414),ISNUMBER(D414)),I414*D414,"")</f>
        <v/>
      </c>
      <c r="K414" s="979"/>
    </row>
    <row r="415" spans="1:11" ht="15" customHeight="1" x14ac:dyDescent="0.25">
      <c r="A415" s="1046"/>
      <c r="B415" s="1076" t="s">
        <v>555</v>
      </c>
      <c r="C415" s="1036" t="s">
        <v>526</v>
      </c>
      <c r="D415" s="244"/>
      <c r="E415" s="244"/>
      <c r="F415" s="214"/>
      <c r="G415" s="228"/>
      <c r="H415" s="321"/>
      <c r="I415" s="307">
        <v>0</v>
      </c>
      <c r="J415" s="223" t="str">
        <f>IF(AND(ISNUMBER(I415),ISNUMBER(D415)),I415*D415,"")</f>
        <v/>
      </c>
      <c r="K415" s="979"/>
    </row>
    <row r="416" spans="1:11" ht="15" customHeight="1" x14ac:dyDescent="0.25">
      <c r="A416" s="1025"/>
      <c r="B416" s="1076" t="s">
        <v>556</v>
      </c>
      <c r="C416" s="1036" t="s">
        <v>526</v>
      </c>
      <c r="D416" s="195"/>
      <c r="E416" s="195"/>
      <c r="F416" s="214"/>
      <c r="G416" s="324">
        <v>0.25</v>
      </c>
      <c r="H416" s="266" t="str">
        <f>IF(AND(ISNUMBER(G416),ISNUMBER(E416)),G416*E416,"")</f>
        <v/>
      </c>
      <c r="I416" s="322"/>
      <c r="J416" s="323"/>
      <c r="K416" s="979"/>
    </row>
    <row r="417" spans="1:11" ht="15" customHeight="1" x14ac:dyDescent="0.25">
      <c r="A417" s="1046"/>
      <c r="B417" s="1076" t="s">
        <v>557</v>
      </c>
      <c r="C417" s="1036" t="s">
        <v>526</v>
      </c>
      <c r="D417" s="195"/>
      <c r="E417" s="195"/>
      <c r="F417" s="214"/>
      <c r="G417" s="324">
        <v>0.1</v>
      </c>
      <c r="H417" s="266" t="str">
        <f>IF(AND(ISNUMBER(G417),ISNUMBER(E417)),G417*E417,"")</f>
        <v/>
      </c>
      <c r="I417" s="322"/>
      <c r="J417" s="323"/>
      <c r="K417" s="979"/>
    </row>
    <row r="418" spans="1:11" ht="15" customHeight="1" x14ac:dyDescent="0.25">
      <c r="A418" s="1046"/>
      <c r="B418" s="1076" t="s">
        <v>558</v>
      </c>
      <c r="C418" s="1036" t="s">
        <v>526</v>
      </c>
      <c r="D418" s="195"/>
      <c r="E418" s="195"/>
      <c r="F418" s="214"/>
      <c r="G418" s="222">
        <v>0</v>
      </c>
      <c r="H418" s="266" t="str">
        <f>IF(AND(ISNUMBER(D418),ISNUMBER(E418),ISNUMBER(G418)),G418*MAX(E418-D418,0),"")</f>
        <v/>
      </c>
      <c r="I418" s="307">
        <v>0</v>
      </c>
      <c r="J418" s="223" t="str">
        <f>IF(AND(ISNUMBER(I418),ISNUMBER(D418)),I418*D418,"")</f>
        <v/>
      </c>
      <c r="K418" s="979"/>
    </row>
    <row r="419" spans="1:11" ht="15" customHeight="1" x14ac:dyDescent="0.25">
      <c r="A419" s="1025"/>
      <c r="B419" s="1076" t="s">
        <v>559</v>
      </c>
      <c r="C419" s="1036" t="s">
        <v>526</v>
      </c>
      <c r="D419" s="195"/>
      <c r="E419" s="195"/>
      <c r="F419" s="214"/>
      <c r="G419" s="228"/>
      <c r="H419" s="321"/>
      <c r="I419" s="307">
        <v>0</v>
      </c>
      <c r="J419" s="223" t="str">
        <f>IF(AND(ISNUMBER(I419),ISNUMBER(D419)),I419*D419,"")</f>
        <v/>
      </c>
      <c r="K419" s="979"/>
    </row>
    <row r="420" spans="1:11" ht="15" customHeight="1" x14ac:dyDescent="0.25">
      <c r="A420" s="1046"/>
      <c r="B420" s="1076" t="s">
        <v>560</v>
      </c>
      <c r="C420" s="1036" t="s">
        <v>526</v>
      </c>
      <c r="D420" s="195"/>
      <c r="E420" s="195"/>
      <c r="F420" s="214"/>
      <c r="G420" s="228"/>
      <c r="H420" s="321"/>
      <c r="I420" s="307">
        <v>0</v>
      </c>
      <c r="J420" s="223" t="str">
        <f>IF(AND(ISNUMBER(I420),ISNUMBER(D420)),I420*D420,"")</f>
        <v/>
      </c>
      <c r="K420" s="979"/>
    </row>
    <row r="421" spans="1:11" ht="15" customHeight="1" x14ac:dyDescent="0.25">
      <c r="A421" s="1046"/>
      <c r="B421" s="1076" t="s">
        <v>561</v>
      </c>
      <c r="C421" s="1036" t="s">
        <v>526</v>
      </c>
      <c r="D421" s="195"/>
      <c r="E421" s="195"/>
      <c r="F421" s="214"/>
      <c r="G421" s="324">
        <v>0.5</v>
      </c>
      <c r="H421" s="266" t="str">
        <f>IF(AND(ISNUMBER(G421),ISNUMBER(E421)),G421*E421,"")</f>
        <v/>
      </c>
      <c r="I421" s="322"/>
      <c r="J421" s="323"/>
      <c r="K421" s="979"/>
    </row>
    <row r="422" spans="1:11" ht="15" customHeight="1" x14ac:dyDescent="0.25">
      <c r="A422" s="1046"/>
      <c r="B422" s="1076" t="s">
        <v>562</v>
      </c>
      <c r="C422" s="1036" t="s">
        <v>526</v>
      </c>
      <c r="D422" s="195"/>
      <c r="E422" s="195"/>
      <c r="F422" s="214"/>
      <c r="G422" s="324">
        <v>0.35</v>
      </c>
      <c r="H422" s="266" t="str">
        <f>IF(AND(ISNUMBER(G422),ISNUMBER(E422)),G422*E422,"")</f>
        <v/>
      </c>
      <c r="I422" s="322"/>
      <c r="J422" s="323"/>
      <c r="K422" s="979"/>
    </row>
    <row r="423" spans="1:11" ht="15" customHeight="1" x14ac:dyDescent="0.25">
      <c r="A423" s="1046"/>
      <c r="B423" s="1076" t="s">
        <v>563</v>
      </c>
      <c r="C423" s="1036" t="s">
        <v>526</v>
      </c>
      <c r="D423" s="195"/>
      <c r="E423" s="195"/>
      <c r="F423" s="214"/>
      <c r="G423" s="324">
        <v>0.25</v>
      </c>
      <c r="H423" s="266" t="str">
        <f>IF(AND(ISNUMBER(G423),ISNUMBER(E423)),G423*E423,"")</f>
        <v/>
      </c>
      <c r="I423" s="322"/>
      <c r="J423" s="323"/>
      <c r="K423" s="979"/>
    </row>
    <row r="424" spans="1:11" ht="15" customHeight="1" x14ac:dyDescent="0.25">
      <c r="A424" s="1046"/>
      <c r="B424" s="1076" t="s">
        <v>564</v>
      </c>
      <c r="C424" s="1036" t="s">
        <v>526</v>
      </c>
      <c r="D424" s="195"/>
      <c r="E424" s="195"/>
      <c r="F424" s="214"/>
      <c r="G424" s="222">
        <v>0</v>
      </c>
      <c r="H424" s="266" t="str">
        <f>IF(AND(ISNUMBER(D424),ISNUMBER(E424),ISNUMBER(G424)),G424*MAX(E424-D424,0),"")</f>
        <v/>
      </c>
      <c r="I424" s="307">
        <v>0</v>
      </c>
      <c r="J424" s="223" t="str">
        <f>IF(AND(ISNUMBER(I424),ISNUMBER(D424)),I424*D424,"")</f>
        <v/>
      </c>
      <c r="K424" s="979"/>
    </row>
    <row r="425" spans="1:11" ht="15" customHeight="1" x14ac:dyDescent="0.25">
      <c r="A425" s="1046"/>
      <c r="B425" s="1076" t="s">
        <v>565</v>
      </c>
      <c r="C425" s="1036" t="s">
        <v>526</v>
      </c>
      <c r="D425" s="195"/>
      <c r="E425" s="195"/>
      <c r="F425" s="214"/>
      <c r="G425" s="228"/>
      <c r="H425" s="321"/>
      <c r="I425" s="307">
        <v>0</v>
      </c>
      <c r="J425" s="223" t="str">
        <f>IF(AND(ISNUMBER(I425),ISNUMBER(D425)),I425*D425,"")</f>
        <v/>
      </c>
      <c r="K425" s="979"/>
    </row>
    <row r="426" spans="1:11" ht="15" customHeight="1" x14ac:dyDescent="0.25">
      <c r="A426" s="1046"/>
      <c r="B426" s="1076" t="s">
        <v>148</v>
      </c>
      <c r="C426" s="1036" t="s">
        <v>526</v>
      </c>
      <c r="D426" s="244"/>
      <c r="E426" s="244"/>
      <c r="F426" s="214"/>
      <c r="G426" s="222">
        <v>1</v>
      </c>
      <c r="H426" s="266" t="str">
        <f>IF(AND(ISNUMBER(G426),ISNUMBER(E426)),G426*E426,"")</f>
        <v/>
      </c>
      <c r="I426" s="322"/>
      <c r="J426" s="323"/>
      <c r="K426" s="979"/>
    </row>
    <row r="427" spans="1:11" ht="15" customHeight="1" x14ac:dyDescent="0.25">
      <c r="A427" s="1046"/>
      <c r="B427" s="1076" t="s">
        <v>566</v>
      </c>
      <c r="C427" s="1036" t="s">
        <v>526</v>
      </c>
      <c r="D427" s="172"/>
      <c r="E427" s="244"/>
      <c r="F427" s="214"/>
      <c r="G427" s="222">
        <v>0.85</v>
      </c>
      <c r="H427" s="266" t="str">
        <f>IF(AND(ISNUMBER(G427),ISNUMBER(E427)),G427*E427,"")</f>
        <v/>
      </c>
      <c r="I427" s="322"/>
      <c r="J427" s="323"/>
      <c r="K427" s="979"/>
    </row>
    <row r="428" spans="1:11" ht="15" customHeight="1" x14ac:dyDescent="0.25">
      <c r="A428" s="1046"/>
      <c r="B428" s="1076" t="s">
        <v>567</v>
      </c>
      <c r="C428" s="1036" t="s">
        <v>526</v>
      </c>
      <c r="D428" s="195"/>
      <c r="E428" s="195"/>
      <c r="F428" s="214"/>
      <c r="G428" s="324">
        <v>0.75</v>
      </c>
      <c r="H428" s="266" t="str">
        <f>IF(AND(ISNUMBER(G428),ISNUMBER(E428)),G428*E428,"")</f>
        <v/>
      </c>
      <c r="I428" s="322"/>
      <c r="J428" s="323"/>
      <c r="K428" s="979"/>
    </row>
    <row r="429" spans="1:11" ht="15" customHeight="1" x14ac:dyDescent="0.25">
      <c r="A429" s="1046"/>
      <c r="B429" s="1076" t="s">
        <v>568</v>
      </c>
      <c r="C429" s="1036" t="s">
        <v>526</v>
      </c>
      <c r="D429" s="195"/>
      <c r="E429" s="195"/>
      <c r="F429" s="214"/>
      <c r="G429" s="324">
        <v>0.5</v>
      </c>
      <c r="H429" s="266" t="str">
        <f>IF(AND(ISNUMBER(G429),ISNUMBER(E429)),G429*E429,"")</f>
        <v/>
      </c>
      <c r="I429" s="322"/>
      <c r="J429" s="323"/>
      <c r="K429" s="979"/>
    </row>
    <row r="430" spans="1:11" ht="15" customHeight="1" x14ac:dyDescent="0.25">
      <c r="A430" s="1046"/>
      <c r="B430" s="1131" t="s">
        <v>149</v>
      </c>
      <c r="C430" s="1037" t="s">
        <v>526</v>
      </c>
      <c r="D430" s="284"/>
      <c r="E430" s="325"/>
      <c r="F430" s="326"/>
      <c r="G430" s="286">
        <v>0</v>
      </c>
      <c r="H430" s="327" t="str">
        <f>IF(AND(ISNUMBER(G430),ISNUMBER(E430),ISNUMBER(D430)),G430*MAX(E430-D430,0),"")</f>
        <v/>
      </c>
      <c r="I430" s="328">
        <v>0</v>
      </c>
      <c r="J430" s="329" t="str">
        <f>IF(AND(ISNUMBER(I430),ISNUMBER(D430)),I430*D430,"")</f>
        <v/>
      </c>
      <c r="K430" s="979"/>
    </row>
    <row r="431" spans="1:11" ht="15" customHeight="1" x14ac:dyDescent="0.25">
      <c r="A431" s="1046"/>
      <c r="B431" s="1088" t="s">
        <v>150</v>
      </c>
      <c r="C431" s="330"/>
      <c r="D431" s="235"/>
      <c r="E431" s="235"/>
      <c r="F431" s="331"/>
      <c r="G431" s="250"/>
      <c r="H431" s="332" t="str">
        <f>IF(AND(ISNUMBER(H332),ISNUMBER(H347),ISNUMBER(H350),ISNUMBER(H392),ISNUMBER(H395),ISNUMBER(H404),ISNUMBER(H406),ISNUMBER(H411),ISNUMBER(H412),ISNUMBER(H426),ISNUMBER(H427),ISNUMBER(H430)),SUM(H332,H347,H350,H362,H365,H368,H377,H380,H383,H386,H392,H395,H398,H401,H404,H406,H411,H412,H416,H417,H418,H421,H422,H423,H424,H426,H427,H428,H429,H430),"")</f>
        <v/>
      </c>
      <c r="I431" s="250"/>
      <c r="J431" s="333" t="str">
        <f>IF(AND(ISNUMBER(J332),ISNUMBER(J335),ISNUMBER(J344),ISNUMBER(J350),ISNUMBER(J359),ISNUMBER(J404),ISNUMBER(J406),ISNUMBER(J407),ISNUMBER(J410),ISNUMBER(J412),ISNUMBER(J415),ISNUMBER(J430)),SUM(J332,J335,J338,J341,J344,J350,J353,J356,J359,J368,J371,J374,J386,J389,J404,J406,J407,J408,J409,J410,J412,J413,J414,J415,J418,J419,J420,J424,J425,J430),"")</f>
        <v/>
      </c>
      <c r="K431" s="979"/>
    </row>
    <row r="432" spans="1:11" s="929" customFormat="1" ht="30" customHeight="1" x14ac:dyDescent="0.25">
      <c r="A432" s="1046"/>
      <c r="B432" s="1146"/>
      <c r="C432" s="1147"/>
      <c r="D432" s="1147"/>
      <c r="E432" s="1147"/>
      <c r="F432" s="1147"/>
      <c r="G432" s="1147"/>
      <c r="H432" s="1147"/>
      <c r="I432" s="1147"/>
      <c r="J432" s="1147"/>
      <c r="K432" s="979"/>
    </row>
    <row r="433" spans="1:11" s="929" customFormat="1" ht="15" customHeight="1" x14ac:dyDescent="0.25">
      <c r="A433" s="1046"/>
      <c r="B433" s="1148"/>
      <c r="C433" s="1149"/>
      <c r="D433" s="1562" t="s">
        <v>151</v>
      </c>
      <c r="E433" s="1562" t="s">
        <v>152</v>
      </c>
      <c r="F433" s="1149"/>
      <c r="G433" s="1149"/>
      <c r="H433" s="1150"/>
      <c r="I433" s="1151"/>
      <c r="J433" s="1152"/>
      <c r="K433" s="979"/>
    </row>
    <row r="434" spans="1:11" ht="15" customHeight="1" x14ac:dyDescent="0.25">
      <c r="A434" s="1046"/>
      <c r="B434" s="334" t="s">
        <v>153</v>
      </c>
      <c r="C434" s="335"/>
      <c r="D434" s="336" t="str">
        <f>IF(AND(ISNUMBER(D333),ISNUMBER(D336)),SUM(D333,D336,D339,D342),"")</f>
        <v/>
      </c>
      <c r="E434" s="336" t="str">
        <f>IF(AND(ISNUMBER(E333),ISNUMBER(E348)),SUM(E333,E348,E363,E378),"")</f>
        <v/>
      </c>
      <c r="F434" s="208"/>
      <c r="G434" s="174"/>
      <c r="H434" s="337"/>
      <c r="I434" s="1151"/>
      <c r="J434" s="1152"/>
      <c r="K434" s="979"/>
    </row>
    <row r="435" spans="1:11" ht="15" customHeight="1" x14ac:dyDescent="0.25">
      <c r="A435" s="1046"/>
      <c r="B435" s="338" t="s">
        <v>569</v>
      </c>
      <c r="C435" s="303"/>
      <c r="D435" s="339" t="str">
        <f>IF(AND(ISNUMBER(D348),ISNUMBER(D351)),SUM(D348,D351,D354,D357),"")</f>
        <v/>
      </c>
      <c r="E435" s="339" t="str">
        <f>IF(AND(ISNUMBER(E336),ISNUMBER(E351)),SUM(E336,E351,E366,E381),"")</f>
        <v/>
      </c>
      <c r="F435" s="213"/>
      <c r="G435" s="175"/>
      <c r="H435" s="305"/>
      <c r="I435" s="1151"/>
      <c r="J435" s="1152"/>
      <c r="K435" s="979"/>
    </row>
    <row r="436" spans="1:11" ht="15" customHeight="1" x14ac:dyDescent="0.25">
      <c r="A436" s="1046"/>
      <c r="B436" s="338" t="s">
        <v>570</v>
      </c>
      <c r="C436" s="303"/>
      <c r="D436" s="339" t="str">
        <f>IF(OR(ISNUMBER(D363),ISNUMBER(D366),ISNUMBER(D369),ISNUMBER(D372)),SUM(D363,D366,D369,D372),"")</f>
        <v/>
      </c>
      <c r="E436" s="339" t="str">
        <f>IF(OR(ISNUMBER(E339),ISNUMBER(E354),ISNUMBER(E369),ISNUMBER(E384)),SUM(E339,E354,E369,E384),"")</f>
        <v/>
      </c>
      <c r="F436" s="213"/>
      <c r="G436" s="175"/>
      <c r="H436" s="305"/>
      <c r="I436" s="1151"/>
      <c r="J436" s="1152"/>
      <c r="K436" s="979"/>
    </row>
    <row r="437" spans="1:11" ht="15" customHeight="1" x14ac:dyDescent="0.25">
      <c r="A437" s="1046"/>
      <c r="B437" s="340" t="s">
        <v>571</v>
      </c>
      <c r="C437" s="246"/>
      <c r="D437" s="341" t="str">
        <f>IF(OR(ISNUMBER(D378),ISNUMBER(D381),ISNUMBER(D384),ISNUMBER(D387)),SUM(D378,D381,D384,D387),"")</f>
        <v/>
      </c>
      <c r="E437" s="341" t="str">
        <f>IF(OR(ISNUMBER(E342),ISNUMBER(E357),ISNUMBER(E372),ISNUMBER(E387)),SUM(E342,E357,E372,E387),"")</f>
        <v/>
      </c>
      <c r="F437" s="342"/>
      <c r="G437" s="185"/>
      <c r="H437" s="343"/>
      <c r="I437" s="1151"/>
      <c r="J437" s="1152"/>
      <c r="K437" s="979"/>
    </row>
    <row r="438" spans="1:11" s="929" customFormat="1" ht="15" customHeight="1" x14ac:dyDescent="0.25">
      <c r="A438" s="1046"/>
      <c r="B438" s="1137"/>
      <c r="C438" s="1099"/>
      <c r="D438" s="1138"/>
      <c r="E438" s="1139"/>
      <c r="F438" s="1140"/>
      <c r="G438" s="1024"/>
      <c r="H438" s="1024"/>
      <c r="I438" s="732"/>
      <c r="J438" s="732"/>
      <c r="K438" s="979"/>
    </row>
    <row r="439" spans="1:11" s="929" customFormat="1" ht="30" customHeight="1" x14ac:dyDescent="0.3">
      <c r="A439" s="767" t="s">
        <v>154</v>
      </c>
      <c r="B439" s="768"/>
      <c r="C439" s="768"/>
      <c r="D439" s="768"/>
      <c r="E439" s="768"/>
      <c r="F439" s="768"/>
      <c r="G439" s="768"/>
      <c r="H439" s="768"/>
      <c r="I439" s="768"/>
      <c r="J439" s="768"/>
      <c r="K439" s="1017"/>
    </row>
    <row r="440" spans="1:11" s="929" customFormat="1" ht="15" customHeight="1" x14ac:dyDescent="0.25">
      <c r="A440" s="1049"/>
      <c r="B440" s="732"/>
      <c r="C440" s="732"/>
      <c r="D440" s="732"/>
      <c r="E440" s="732"/>
      <c r="F440" s="732"/>
      <c r="G440" s="732"/>
      <c r="H440" s="732"/>
      <c r="I440" s="732"/>
      <c r="J440" s="732"/>
      <c r="K440" s="979"/>
    </row>
    <row r="441" spans="1:11" s="929" customFormat="1" ht="15" customHeight="1" x14ac:dyDescent="0.25">
      <c r="A441" s="1025"/>
      <c r="B441" s="1153" t="s">
        <v>378</v>
      </c>
      <c r="C441" s="1154"/>
      <c r="D441" s="1155"/>
      <c r="E441" s="1155"/>
      <c r="F441" s="1156"/>
      <c r="G441" s="1157"/>
      <c r="H441" s="188" t="str">
        <f>H78</f>
        <v/>
      </c>
      <c r="I441" s="732"/>
      <c r="J441" s="732"/>
      <c r="K441" s="979"/>
    </row>
    <row r="442" spans="1:11" s="929" customFormat="1" ht="15" customHeight="1" x14ac:dyDescent="0.25">
      <c r="A442" s="1025"/>
      <c r="B442" s="1158" t="s">
        <v>50</v>
      </c>
      <c r="C442" s="1159"/>
      <c r="D442" s="1160"/>
      <c r="E442" s="1160"/>
      <c r="F442" s="1161"/>
      <c r="G442" s="1162"/>
      <c r="H442" s="1044" t="str">
        <f>IF(AND(ISNUMBER(H270),ISNUMBER(H325)),H270-H325,"")</f>
        <v/>
      </c>
      <c r="I442" s="732"/>
      <c r="J442" s="732"/>
      <c r="K442" s="979"/>
    </row>
    <row r="443" spans="1:11" ht="15" customHeight="1" x14ac:dyDescent="0.25">
      <c r="A443" s="1025"/>
      <c r="B443" s="274" t="s">
        <v>353</v>
      </c>
      <c r="C443" s="345"/>
      <c r="D443" s="345"/>
      <c r="E443" s="345"/>
      <c r="F443" s="345"/>
      <c r="G443" s="345"/>
      <c r="H443" s="346" t="str">
        <f>IF(AND(ISNUMBER(H442),ISNUMBER(H78)),IF(H442&gt;0,H78/H442,""),"")</f>
        <v/>
      </c>
      <c r="I443" s="732"/>
      <c r="J443" s="732"/>
      <c r="K443" s="979"/>
    </row>
    <row r="444" spans="1:11" s="929" customFormat="1" ht="15" customHeight="1" x14ac:dyDescent="0.25">
      <c r="A444" s="774"/>
      <c r="B444" s="775"/>
      <c r="C444" s="775"/>
      <c r="D444" s="775"/>
      <c r="E444" s="775"/>
      <c r="F444" s="775"/>
      <c r="G444" s="775"/>
      <c r="H444" s="775"/>
      <c r="I444" s="775"/>
      <c r="J444" s="775"/>
      <c r="K444" s="980"/>
    </row>
  </sheetData>
  <mergeCells count="12">
    <mergeCell ref="C55:C56"/>
    <mergeCell ref="D55:G55"/>
    <mergeCell ref="A22:H22"/>
    <mergeCell ref="A35:H35"/>
    <mergeCell ref="A51:H51"/>
    <mergeCell ref="C52:G52"/>
    <mergeCell ref="B55:B56"/>
    <mergeCell ref="A176:K176"/>
    <mergeCell ref="A272:K272"/>
    <mergeCell ref="A212:K212"/>
    <mergeCell ref="A82:K82"/>
    <mergeCell ref="A110:K110"/>
  </mergeCells>
  <phoneticPr fontId="5" type="noConversion"/>
  <conditionalFormatting sqref="D9 D59:G59 D62:G62 D171 D173 D175 D181:E181 D184:E184 D187:E187 D190:E190 D194:E194 D197:E197 D200:E200 D204:E204 D207:E207 D278:E278 D281:E281 D284:E284 D287:E287 D334:E334 D337:E337 D340:E340 D343:E343 D346:E346 D349:E349 D352:E352 D355:E355 D358:E358 D361:E361 D364:E364 D367:E367 D370:E370 D373:E373 D376:E376 D379:E379 D382:E382 D385:E385 D388:E388 D391:E391 D394:E394 D397:E397 D400:E400 D403:E403">
    <cfRule type="cellIs" dxfId="102" priority="1" operator="equal">
      <formula>"Fail"</formula>
    </cfRule>
    <cfRule type="cellIs" dxfId="101" priority="3" stopIfTrue="1" operator="equal">
      <formula>"Pass"</formula>
    </cfRule>
  </conditionalFormatting>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10" manualBreakCount="10">
    <brk id="34" max="10" man="1"/>
    <brk id="79" max="10" man="1"/>
    <brk id="129" max="10" man="1"/>
    <brk id="175" max="10" man="1"/>
    <brk id="211" max="10" man="1"/>
    <brk id="252" max="10" man="1"/>
    <brk id="297" max="10" man="1"/>
    <brk id="326" max="10" man="1"/>
    <brk id="382" max="10" man="1"/>
    <brk id="438" max="10" man="1"/>
  </rowBreaks>
  <ignoredErrors>
    <ignoredError sqref="D6:H6 D25:H34 D41:H43 D59:G62 H68:H75 H88:H109 H117:H167 D171:D175 D179:H210 H214:H239 D242:H247 H254:H266 D276:H284 H302:H310 H316:H318 D332:J430 D434:E437 D8:H21 E7:H7 D37:H39 D45:H47 D44:G44 H40 D286:H296 F285:H285" emptyCellReferenc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EC72"/>
  </sheetPr>
  <dimension ref="A1:R383"/>
  <sheetViews>
    <sheetView zoomScale="75" zoomScaleNormal="75" zoomScaleSheetLayoutView="75" workbookViewId="0">
      <pane ySplit="1" topLeftCell="A2" activePane="bottomLeft" state="frozen"/>
      <selection pane="bottomLeft"/>
    </sheetView>
  </sheetViews>
  <sheetFormatPr defaultColWidth="0" defaultRowHeight="0" customHeight="1" zeroHeight="1" x14ac:dyDescent="0.25"/>
  <cols>
    <col min="1" max="1" width="1.7109375" style="1623" customWidth="1"/>
    <col min="2" max="2" width="75.7109375" style="1223" customWidth="1"/>
    <col min="3" max="6" width="16.7109375" style="1223" customWidth="1"/>
    <col min="7" max="7" width="1.7109375" style="1223" customWidth="1"/>
    <col min="8" max="10" width="12.7109375" style="1223" customWidth="1"/>
    <col min="11" max="11" width="1.7109375" style="1223" customWidth="1"/>
    <col min="12" max="15" width="16.7109375" style="1223" customWidth="1"/>
    <col min="16" max="16" width="1.7109375" style="1227" customWidth="1"/>
    <col min="17" max="17" width="16.7109375" style="928" hidden="1" customWidth="1"/>
    <col min="18" max="18" width="65.28515625" style="928" hidden="1" customWidth="1"/>
    <col min="19" max="16384" width="16.7109375" style="928" hidden="1"/>
  </cols>
  <sheetData>
    <row r="1" spans="1:18" ht="30" customHeight="1" x14ac:dyDescent="0.55000000000000004">
      <c r="A1" s="146" t="s">
        <v>59</v>
      </c>
      <c r="B1" s="147"/>
      <c r="C1" s="1511" t="str">
        <f>CONCATENATE("Reporting unit: ", 'General Info'!$C$50, " ", 'General Info'!$C$49)</f>
        <v xml:space="preserve">Reporting unit: 1 </v>
      </c>
      <c r="D1" s="147"/>
      <c r="E1" s="147"/>
      <c r="F1" s="147"/>
      <c r="G1" s="147"/>
      <c r="H1" s="344"/>
      <c r="I1" s="344"/>
      <c r="J1" s="149"/>
      <c r="K1" s="149"/>
      <c r="L1" s="149"/>
      <c r="M1" s="344"/>
      <c r="N1" s="149"/>
      <c r="O1" s="149"/>
      <c r="P1" s="150"/>
      <c r="R1" s="34"/>
    </row>
    <row r="2" spans="1:18" ht="30" customHeight="1" x14ac:dyDescent="0.3">
      <c r="A2" s="350" t="s">
        <v>664</v>
      </c>
      <c r="B2" s="344"/>
      <c r="C2" s="344"/>
      <c r="D2" s="344"/>
      <c r="E2" s="344"/>
      <c r="F2" s="344"/>
      <c r="G2" s="344"/>
      <c r="H2" s="344"/>
      <c r="I2" s="344"/>
      <c r="J2" s="344"/>
      <c r="K2" s="82"/>
      <c r="L2" s="82"/>
      <c r="M2" s="82"/>
      <c r="N2" s="82"/>
      <c r="O2" s="82"/>
      <c r="P2" s="404"/>
      <c r="R2" s="3"/>
    </row>
    <row r="3" spans="1:18" ht="15" customHeight="1" x14ac:dyDescent="0.25">
      <c r="A3" s="187"/>
      <c r="B3" s="1433"/>
      <c r="C3" s="1433"/>
      <c r="D3" s="1433"/>
      <c r="E3" s="1433"/>
      <c r="F3" s="1433"/>
      <c r="G3" s="1433"/>
      <c r="H3" s="1433"/>
      <c r="I3" s="1433"/>
      <c r="J3" s="1433"/>
      <c r="K3" s="1433"/>
      <c r="L3" s="1433"/>
      <c r="M3" s="1433"/>
      <c r="N3" s="1433"/>
      <c r="O3" s="1433"/>
      <c r="P3" s="148"/>
      <c r="R3" s="34"/>
    </row>
    <row r="4" spans="1:18" ht="15" customHeight="1" x14ac:dyDescent="0.25">
      <c r="A4" s="187"/>
      <c r="B4" s="1756"/>
      <c r="C4" s="1742" t="s">
        <v>587</v>
      </c>
      <c r="D4" s="1752" t="s">
        <v>342</v>
      </c>
      <c r="E4" s="1753"/>
      <c r="F4" s="1753"/>
      <c r="G4" s="1433"/>
      <c r="H4" s="1746" t="s">
        <v>697</v>
      </c>
      <c r="I4" s="1747"/>
      <c r="J4" s="1748"/>
      <c r="K4" s="1433"/>
      <c r="L4" s="1749" t="s">
        <v>698</v>
      </c>
      <c r="M4" s="1749"/>
      <c r="N4" s="1749"/>
      <c r="O4" s="1749"/>
      <c r="P4" s="148"/>
      <c r="R4" s="34"/>
    </row>
    <row r="5" spans="1:18" ht="30" customHeight="1" x14ac:dyDescent="0.25">
      <c r="A5" s="187"/>
      <c r="B5" s="1757"/>
      <c r="C5" s="1743"/>
      <c r="D5" s="351" t="s">
        <v>699</v>
      </c>
      <c r="E5" s="352" t="s">
        <v>734</v>
      </c>
      <c r="F5" s="353" t="s">
        <v>396</v>
      </c>
      <c r="G5" s="1433"/>
      <c r="H5" s="351" t="s">
        <v>699</v>
      </c>
      <c r="I5" s="352" t="s">
        <v>734</v>
      </c>
      <c r="J5" s="353" t="s">
        <v>700</v>
      </c>
      <c r="K5" s="1433"/>
      <c r="L5" s="351" t="s">
        <v>699</v>
      </c>
      <c r="M5" s="352" t="s">
        <v>734</v>
      </c>
      <c r="N5" s="352" t="s">
        <v>700</v>
      </c>
      <c r="O5" s="353" t="s">
        <v>677</v>
      </c>
      <c r="P5" s="148"/>
      <c r="R5" s="34"/>
    </row>
    <row r="6" spans="1:18" ht="45" customHeight="1" x14ac:dyDescent="0.25">
      <c r="A6" s="187"/>
      <c r="B6" s="354" t="s">
        <v>735</v>
      </c>
      <c r="C6" s="1438" t="s">
        <v>1039</v>
      </c>
      <c r="D6" s="1436"/>
      <c r="E6" s="1436"/>
      <c r="F6" s="355"/>
      <c r="G6" s="1433"/>
      <c r="H6" s="356"/>
      <c r="I6" s="160"/>
      <c r="J6" s="357">
        <v>1</v>
      </c>
      <c r="K6" s="1433"/>
      <c r="L6" s="356"/>
      <c r="M6" s="160"/>
      <c r="N6" s="36" t="str">
        <f>IF(AND(ISNUMBER(F6),ISNUMBER(J6)),SUM(F6)*J6,"")</f>
        <v/>
      </c>
      <c r="O6" s="129" t="str">
        <f>IF(ISNUMBER(N6),SUM(N6),"")</f>
        <v/>
      </c>
      <c r="P6" s="148"/>
      <c r="R6" s="607" t="s">
        <v>1413</v>
      </c>
    </row>
    <row r="7" spans="1:18" ht="15" customHeight="1" x14ac:dyDescent="0.25">
      <c r="A7" s="187"/>
      <c r="B7" s="358" t="str">
        <f>CONCATENATE("Check: row ", ROW(B6), " ≤ ", ADDRESS(ROW('General Info'!E65), COLUMN('General Info'!E65), 4), " + ", ADDRESS(ROW('General Info'!E68), COLUMN('General Info'!E68), 4), " + ", ADDRESS(ROW('General Info'!E73), COLUMN('General Info'!E73), 4), " in the General Info worksheet")</f>
        <v>Check: row 6 ≤ E65 + E68 + E73 in the General Info worksheet</v>
      </c>
      <c r="C7" s="1436"/>
      <c r="D7" s="1436"/>
      <c r="E7" s="1436"/>
      <c r="F7" s="359" t="str">
        <f>IF(F6&lt;=SUM('General Info'!E65,'General Info'!E68,'General Info'!E73),"Pass","Fail")</f>
        <v>Pass</v>
      </c>
      <c r="G7" s="1433"/>
      <c r="H7" s="360"/>
      <c r="I7" s="1436"/>
      <c r="J7" s="1437"/>
      <c r="K7" s="1433"/>
      <c r="L7" s="360"/>
      <c r="M7" s="1436"/>
      <c r="N7" s="1436"/>
      <c r="O7" s="1437"/>
      <c r="P7" s="148"/>
      <c r="R7" s="34"/>
    </row>
    <row r="8" spans="1:18" ht="28.5" x14ac:dyDescent="0.25">
      <c r="A8" s="187"/>
      <c r="B8" s="361" t="s">
        <v>741</v>
      </c>
      <c r="C8" s="1438" t="s">
        <v>1040</v>
      </c>
      <c r="D8" s="1436"/>
      <c r="E8" s="1436"/>
      <c r="F8" s="1439"/>
      <c r="G8" s="1433"/>
      <c r="H8" s="360"/>
      <c r="I8" s="1436"/>
      <c r="J8" s="362">
        <v>1</v>
      </c>
      <c r="K8" s="1433"/>
      <c r="L8" s="360"/>
      <c r="M8" s="1436"/>
      <c r="N8" s="85" t="str">
        <f>IF(AND(ISNUMBER(F8),ISNUMBER(J8)),SUM(F8)*J8,"")</f>
        <v/>
      </c>
      <c r="O8" s="19" t="str">
        <f>IF(ISNUMBER(N8),SUM(N8),"")</f>
        <v/>
      </c>
      <c r="P8" s="148"/>
      <c r="R8" s="607" t="s">
        <v>1413</v>
      </c>
    </row>
    <row r="9" spans="1:18" ht="28.5" x14ac:dyDescent="0.25">
      <c r="A9" s="187"/>
      <c r="B9" s="361" t="s">
        <v>665</v>
      </c>
      <c r="C9" s="1438" t="s">
        <v>1041</v>
      </c>
      <c r="D9" s="161"/>
      <c r="E9" s="161"/>
      <c r="F9" s="1439"/>
      <c r="G9" s="1433"/>
      <c r="H9" s="1440">
        <v>0.95</v>
      </c>
      <c r="I9" s="363">
        <v>0.95</v>
      </c>
      <c r="J9" s="362">
        <v>1</v>
      </c>
      <c r="K9" s="1433"/>
      <c r="L9" s="1435" t="str">
        <f>IF(AND(ISNUMBER(D9),ISNUMBER(H9)), D9*H9, "")</f>
        <v/>
      </c>
      <c r="M9" s="85" t="str">
        <f>IF(AND(ISNUMBER(E9),ISNUMBER(I9)), E9*I9, "")</f>
        <v/>
      </c>
      <c r="N9" s="85" t="str">
        <f>IF(AND(ISNUMBER(F9),ISNUMBER(J9)),SUM(F9)*J9,"")</f>
        <v/>
      </c>
      <c r="O9" s="19" t="str">
        <f>IF(AND(ISNUMBER(L9),ISNUMBER(M9),ISNUMBER(N9)), SUM(L9:N9), "")</f>
        <v/>
      </c>
      <c r="P9" s="148"/>
      <c r="R9" s="607" t="s">
        <v>1413</v>
      </c>
    </row>
    <row r="10" spans="1:18" ht="15" customHeight="1" x14ac:dyDescent="0.25">
      <c r="A10" s="187"/>
      <c r="B10" s="358" t="str">
        <f>CONCATENATE("Check: row ", ROW(B9), " ≥ LCR stable retail and small business customer deposits")</f>
        <v>Check: row 9 ≥ LCR stable retail and small business customer deposits</v>
      </c>
      <c r="C10" s="1436"/>
      <c r="D10" s="359" t="str">
        <f>IF(D9&gt;=SUM(LCR!D88:D89,LCR!D91:D92,LCR!D95:D96,LCR!D98:D99,LCR!D117:D118,LCR!D120:D121,LCR!D124:D125,LCR!D127:D128),"Pass","Fail")</f>
        <v>Pass</v>
      </c>
      <c r="E10" s="1436"/>
      <c r="F10" s="1437"/>
      <c r="G10" s="1433"/>
      <c r="H10" s="360"/>
      <c r="I10" s="1436"/>
      <c r="J10" s="1437"/>
      <c r="K10" s="1433"/>
      <c r="L10" s="360"/>
      <c r="M10" s="1436"/>
      <c r="N10" s="1436"/>
      <c r="O10" s="1437"/>
      <c r="P10" s="148"/>
      <c r="R10" s="34"/>
    </row>
    <row r="11" spans="1:18" ht="30" customHeight="1" x14ac:dyDescent="0.25">
      <c r="A11" s="187"/>
      <c r="B11" s="361" t="s">
        <v>666</v>
      </c>
      <c r="C11" s="1438" t="s">
        <v>1042</v>
      </c>
      <c r="D11" s="161"/>
      <c r="E11" s="161"/>
      <c r="F11" s="1439"/>
      <c r="G11" s="1433"/>
      <c r="H11" s="1440">
        <v>0.9</v>
      </c>
      <c r="I11" s="363">
        <v>0.9</v>
      </c>
      <c r="J11" s="362">
        <v>1</v>
      </c>
      <c r="K11" s="1433"/>
      <c r="L11" s="1435" t="str">
        <f>IF(AND(ISNUMBER(D11),ISNUMBER(H11)), D11*H11, "")</f>
        <v/>
      </c>
      <c r="M11" s="85" t="str">
        <f>IF(AND(ISNUMBER(E11),ISNUMBER(I11)), E11*I11, "")</f>
        <v/>
      </c>
      <c r="N11" s="85" t="str">
        <f>IF(AND(ISNUMBER(F11),ISNUMBER(J11)),SUM(F11)*J11,"")</f>
        <v/>
      </c>
      <c r="O11" s="19" t="str">
        <f>IF(AND(ISNUMBER(L11),ISNUMBER(M11),ISNUMBER(N11)), SUM(L11:N11), "")</f>
        <v/>
      </c>
      <c r="P11" s="148"/>
      <c r="R11" s="607" t="s">
        <v>1413</v>
      </c>
    </row>
    <row r="12" spans="1:18" ht="15" customHeight="1" x14ac:dyDescent="0.25">
      <c r="A12" s="187"/>
      <c r="B12" s="358" t="str">
        <f>CONCATENATE("Check: row ", ROW(B11), " ≥ LCR less stable retail and small business customer deposits")</f>
        <v>Check: row 11 ≥ LCR less stable retail and small business customer deposits</v>
      </c>
      <c r="C12" s="1436"/>
      <c r="D12" s="359" t="str">
        <f>IF(D11&gt;=SUM(LCR!D100:D101,LCR!D103:D105,LCR!D129:D130,LCR!D132:D134),"Pass","Fail")</f>
        <v>Pass</v>
      </c>
      <c r="E12" s="1436"/>
      <c r="F12" s="1437"/>
      <c r="G12" s="1433"/>
      <c r="H12" s="360"/>
      <c r="I12" s="1436"/>
      <c r="J12" s="1437"/>
      <c r="K12" s="1433"/>
      <c r="L12" s="360"/>
      <c r="M12" s="1436"/>
      <c r="N12" s="1436"/>
      <c r="O12" s="1437"/>
      <c r="P12" s="148"/>
      <c r="R12" s="34"/>
    </row>
    <row r="13" spans="1:18" ht="15" customHeight="1" x14ac:dyDescent="0.25">
      <c r="A13" s="187"/>
      <c r="B13" s="361" t="s">
        <v>667</v>
      </c>
      <c r="C13" s="1438" t="s">
        <v>1043</v>
      </c>
      <c r="D13" s="161"/>
      <c r="E13" s="161"/>
      <c r="F13" s="1439"/>
      <c r="G13" s="1433"/>
      <c r="H13" s="360"/>
      <c r="I13" s="1436"/>
      <c r="J13" s="1437"/>
      <c r="K13" s="1433"/>
      <c r="L13" s="360"/>
      <c r="M13" s="1436"/>
      <c r="N13" s="1436"/>
      <c r="O13" s="1437"/>
      <c r="P13" s="148"/>
      <c r="R13" s="607" t="s">
        <v>1413</v>
      </c>
    </row>
    <row r="14" spans="1:18" ht="15" customHeight="1" x14ac:dyDescent="0.25">
      <c r="A14" s="187"/>
      <c r="B14" s="1203" t="s">
        <v>668</v>
      </c>
      <c r="C14" s="1436"/>
      <c r="D14" s="161"/>
      <c r="E14" s="161"/>
      <c r="F14" s="1439"/>
      <c r="G14" s="1433"/>
      <c r="H14" s="1440">
        <v>0.5</v>
      </c>
      <c r="I14" s="363">
        <v>0.5</v>
      </c>
      <c r="J14" s="362">
        <v>1</v>
      </c>
      <c r="K14" s="1433"/>
      <c r="L14" s="1435" t="str">
        <f t="shared" ref="L14:M16" si="0">IF(AND(ISNUMBER(D14),ISNUMBER(H14)), D14*H14, "")</f>
        <v/>
      </c>
      <c r="M14" s="85" t="str">
        <f t="shared" si="0"/>
        <v/>
      </c>
      <c r="N14" s="85" t="str">
        <f>IF(AND(ISNUMBER(F14),ISNUMBER(J14)),SUM(F14)*J14,"")</f>
        <v/>
      </c>
      <c r="O14" s="19" t="str">
        <f>IF(AND(ISNUMBER(L14),ISNUMBER(M14),ISNUMBER(N14)), SUM(L14:N14), "")</f>
        <v/>
      </c>
      <c r="P14" s="148"/>
      <c r="R14" s="34"/>
    </row>
    <row r="15" spans="1:18" ht="15" customHeight="1" x14ac:dyDescent="0.25">
      <c r="A15" s="187"/>
      <c r="B15" s="1203" t="s">
        <v>669</v>
      </c>
      <c r="C15" s="1436"/>
      <c r="D15" s="161"/>
      <c r="E15" s="161"/>
      <c r="F15" s="1439"/>
      <c r="G15" s="1433"/>
      <c r="H15" s="1440">
        <v>0.5</v>
      </c>
      <c r="I15" s="363">
        <v>0.5</v>
      </c>
      <c r="J15" s="362">
        <v>1</v>
      </c>
      <c r="K15" s="1433"/>
      <c r="L15" s="1435" t="str">
        <f t="shared" si="0"/>
        <v/>
      </c>
      <c r="M15" s="85" t="str">
        <f t="shared" si="0"/>
        <v/>
      </c>
      <c r="N15" s="85" t="str">
        <f t="shared" ref="N15" si="1">IF(AND(ISNUMBER(F15),ISNUMBER(J15)),SUM(F15)*J15,"")</f>
        <v/>
      </c>
      <c r="O15" s="19" t="str">
        <f>IF(AND(ISNUMBER(L15),ISNUMBER(M15),ISNUMBER(N15)), SUM(L15:N15), "")</f>
        <v/>
      </c>
      <c r="P15" s="148"/>
      <c r="R15" s="34"/>
    </row>
    <row r="16" spans="1:18" ht="15" customHeight="1" x14ac:dyDescent="0.25">
      <c r="A16" s="187"/>
      <c r="B16" s="1203" t="s">
        <v>736</v>
      </c>
      <c r="C16" s="1436"/>
      <c r="D16" s="161"/>
      <c r="E16" s="161"/>
      <c r="F16" s="1439"/>
      <c r="G16" s="1433"/>
      <c r="H16" s="1440">
        <v>0.5</v>
      </c>
      <c r="I16" s="363">
        <v>0.5</v>
      </c>
      <c r="J16" s="362">
        <v>1</v>
      </c>
      <c r="K16" s="1433"/>
      <c r="L16" s="1435" t="str">
        <f t="shared" si="0"/>
        <v/>
      </c>
      <c r="M16" s="85" t="str">
        <f t="shared" si="0"/>
        <v/>
      </c>
      <c r="N16" s="85" t="str">
        <f t="shared" ref="N16" si="2">IF(AND(ISNUMBER(F16),ISNUMBER(J16)),SUM(F16)*J16,"")</f>
        <v/>
      </c>
      <c r="O16" s="19" t="str">
        <f>IF(AND(ISNUMBER(L16),ISNUMBER(M16),ISNUMBER(N16)), SUM(L16:N16), "")</f>
        <v/>
      </c>
      <c r="P16" s="148"/>
      <c r="R16" s="34"/>
    </row>
    <row r="17" spans="1:18" ht="15" customHeight="1" x14ac:dyDescent="0.25">
      <c r="A17" s="187"/>
      <c r="B17" s="358" t="str">
        <f>CONCATENATE("Check: row ", ROW(B13), " ≥ LCR unsecured funding from non-financial corporates")</f>
        <v>Check: row 13 ≥ LCR unsecured funding from non-financial corporates</v>
      </c>
      <c r="C17" s="1436"/>
      <c r="D17" s="359" t="str">
        <f>IF(D13&gt;=SUM(LCR!D140:D142,LCR!D157:D158),"Pass","Fail")</f>
        <v>Pass</v>
      </c>
      <c r="E17" s="1436"/>
      <c r="F17" s="1437"/>
      <c r="G17" s="1433"/>
      <c r="H17" s="360"/>
      <c r="I17" s="1436"/>
      <c r="J17" s="1437"/>
      <c r="K17" s="1433"/>
      <c r="L17" s="360"/>
      <c r="M17" s="1436"/>
      <c r="N17" s="1436"/>
      <c r="O17" s="1437"/>
      <c r="P17" s="148"/>
      <c r="R17" s="34"/>
    </row>
    <row r="18" spans="1:18" ht="15" customHeight="1" x14ac:dyDescent="0.25">
      <c r="A18" s="187"/>
      <c r="B18" s="358" t="str">
        <f>CONCATENATE("Check: row ", ROW(B14), " ≥ LCR operational deposits from non-financial corporates")</f>
        <v>Check: row 14 ≥ LCR operational deposits from non-financial corporates</v>
      </c>
      <c r="C18" s="1436"/>
      <c r="D18" s="359" t="str">
        <f>IF(D14&gt;=SUM(LCR!D140:D142),"Pass","Fail")</f>
        <v>Pass</v>
      </c>
      <c r="E18" s="1436"/>
      <c r="F18" s="1437"/>
      <c r="G18" s="1433"/>
      <c r="H18" s="360"/>
      <c r="I18" s="1436"/>
      <c r="J18" s="1437"/>
      <c r="K18" s="1433"/>
      <c r="L18" s="360"/>
      <c r="M18" s="1436"/>
      <c r="N18" s="1436"/>
      <c r="O18" s="1437"/>
      <c r="P18" s="148"/>
      <c r="R18" s="34"/>
    </row>
    <row r="19" spans="1:18" ht="15" customHeight="1" x14ac:dyDescent="0.25">
      <c r="A19" s="187"/>
      <c r="B19" s="358" t="str">
        <f>CONCATENATE("Check: sum of rows ", ROW(B14)," to row ", ROW(B16), " = row ", ROW(B13), " for each column")</f>
        <v>Check: sum of rows 14 to row 16 = row 13 for each column</v>
      </c>
      <c r="C19" s="1436"/>
      <c r="D19" s="359" t="str">
        <f>IF(SUM(D14:D16)=D13,"Pass","Fail")</f>
        <v>Pass</v>
      </c>
      <c r="E19" s="359" t="str">
        <f t="shared" ref="E19:F19" si="3">IF(SUM(E14:E16)=E13,"Pass","Fail")</f>
        <v>Pass</v>
      </c>
      <c r="F19" s="359" t="str">
        <f t="shared" si="3"/>
        <v>Pass</v>
      </c>
      <c r="G19" s="1433"/>
      <c r="H19" s="360"/>
      <c r="I19" s="1436"/>
      <c r="J19" s="1437"/>
      <c r="K19" s="1433"/>
      <c r="L19" s="360"/>
      <c r="M19" s="1436"/>
      <c r="N19" s="1436"/>
      <c r="O19" s="1437"/>
      <c r="P19" s="148"/>
      <c r="R19" s="34"/>
    </row>
    <row r="20" spans="1:18" ht="30" customHeight="1" x14ac:dyDescent="0.25">
      <c r="A20" s="187"/>
      <c r="B20" s="361" t="s">
        <v>670</v>
      </c>
      <c r="C20" s="1438" t="s">
        <v>1044</v>
      </c>
      <c r="D20" s="161"/>
      <c r="E20" s="161"/>
      <c r="F20" s="1439"/>
      <c r="G20" s="1433"/>
      <c r="H20" s="360"/>
      <c r="I20" s="1436"/>
      <c r="J20" s="1437"/>
      <c r="K20" s="1433"/>
      <c r="L20" s="360"/>
      <c r="M20" s="1436"/>
      <c r="N20" s="1436"/>
      <c r="O20" s="1437"/>
      <c r="P20" s="148"/>
      <c r="R20" s="607" t="s">
        <v>1413</v>
      </c>
    </row>
    <row r="21" spans="1:18" ht="15" customHeight="1" x14ac:dyDescent="0.25">
      <c r="A21" s="187"/>
      <c r="B21" s="1203" t="s">
        <v>668</v>
      </c>
      <c r="C21" s="1436"/>
      <c r="D21" s="161"/>
      <c r="E21" s="161"/>
      <c r="F21" s="1439"/>
      <c r="G21" s="1433"/>
      <c r="H21" s="1440">
        <v>0.5</v>
      </c>
      <c r="I21" s="363">
        <v>0.5</v>
      </c>
      <c r="J21" s="362">
        <v>1</v>
      </c>
      <c r="K21" s="1433"/>
      <c r="L21" s="1435" t="str">
        <f t="shared" ref="L21:M23" si="4">IF(AND(ISNUMBER(D21),ISNUMBER(H21)), D21*H21, "")</f>
        <v/>
      </c>
      <c r="M21" s="85" t="str">
        <f t="shared" si="4"/>
        <v/>
      </c>
      <c r="N21" s="85" t="str">
        <f>IF(AND(ISNUMBER(F21),ISNUMBER(J21)),SUM(F21)*J21,"")</f>
        <v/>
      </c>
      <c r="O21" s="19" t="str">
        <f>IF(AND(ISNUMBER(L21),ISNUMBER(M21),ISNUMBER(N21)), SUM(L21:N21), "")</f>
        <v/>
      </c>
      <c r="P21" s="148"/>
      <c r="R21" s="34"/>
    </row>
    <row r="22" spans="1:18" ht="15" customHeight="1" x14ac:dyDescent="0.25">
      <c r="A22" s="187"/>
      <c r="B22" s="1203" t="s">
        <v>669</v>
      </c>
      <c r="C22" s="1436"/>
      <c r="D22" s="161"/>
      <c r="E22" s="161"/>
      <c r="F22" s="1439"/>
      <c r="G22" s="1433"/>
      <c r="H22" s="1440">
        <v>0</v>
      </c>
      <c r="I22" s="363">
        <v>0.5</v>
      </c>
      <c r="J22" s="362">
        <v>1</v>
      </c>
      <c r="K22" s="1433"/>
      <c r="L22" s="1435" t="str">
        <f t="shared" si="4"/>
        <v/>
      </c>
      <c r="M22" s="85" t="str">
        <f t="shared" si="4"/>
        <v/>
      </c>
      <c r="N22" s="85" t="str">
        <f t="shared" ref="N22" si="5">IF(AND(ISNUMBER(F22),ISNUMBER(J22)),SUM(F22)*J22,"")</f>
        <v/>
      </c>
      <c r="O22" s="19" t="str">
        <f>IF(AND(ISNUMBER(L22),ISNUMBER(M22),ISNUMBER(N22)), SUM(L22:N22), "")</f>
        <v/>
      </c>
      <c r="P22" s="148"/>
      <c r="R22" s="34"/>
    </row>
    <row r="23" spans="1:18" ht="15" customHeight="1" x14ac:dyDescent="0.25">
      <c r="A23" s="187"/>
      <c r="B23" s="1203" t="s">
        <v>736</v>
      </c>
      <c r="C23" s="1436"/>
      <c r="D23" s="161"/>
      <c r="E23" s="161"/>
      <c r="F23" s="1439"/>
      <c r="G23" s="1433"/>
      <c r="H23" s="1440">
        <v>0</v>
      </c>
      <c r="I23" s="363">
        <v>0.5</v>
      </c>
      <c r="J23" s="362">
        <v>1</v>
      </c>
      <c r="K23" s="1433"/>
      <c r="L23" s="1435" t="str">
        <f t="shared" si="4"/>
        <v/>
      </c>
      <c r="M23" s="85" t="str">
        <f t="shared" si="4"/>
        <v/>
      </c>
      <c r="N23" s="85" t="str">
        <f t="shared" ref="N23" si="6">IF(AND(ISNUMBER(F23),ISNUMBER(J23)),SUM(F23)*J23,"")</f>
        <v/>
      </c>
      <c r="O23" s="19" t="str">
        <f>IF(AND(ISNUMBER(L23),ISNUMBER(M23),ISNUMBER(N23)), SUM(L23:N23), "")</f>
        <v/>
      </c>
      <c r="P23" s="148"/>
      <c r="R23" s="34"/>
    </row>
    <row r="24" spans="1:18" ht="15" customHeight="1" x14ac:dyDescent="0.25">
      <c r="A24" s="187"/>
      <c r="B24" s="358" t="str">
        <f>CONCATENATE("Check: sum of row ", ROW(B21)," to row ", ROW(B23), " = row ", ROW(B20), " for each column")</f>
        <v>Check: sum of row 21 to row 23 = row 20 for each column</v>
      </c>
      <c r="C24" s="1436"/>
      <c r="D24" s="359" t="str">
        <f>IF(SUM(D21:D23)=D20,"Pass","Fail")</f>
        <v>Pass</v>
      </c>
      <c r="E24" s="359" t="str">
        <f t="shared" ref="E24:F24" si="7">IF(SUM(E21:E23)=E20,"Pass","Fail")</f>
        <v>Pass</v>
      </c>
      <c r="F24" s="359" t="str">
        <f t="shared" si="7"/>
        <v>Pass</v>
      </c>
      <c r="G24" s="1433"/>
      <c r="H24" s="360"/>
      <c r="I24" s="1436"/>
      <c r="J24" s="1437"/>
      <c r="K24" s="1433"/>
      <c r="L24" s="360"/>
      <c r="M24" s="1436"/>
      <c r="N24" s="1436"/>
      <c r="O24" s="1437"/>
      <c r="P24" s="148"/>
      <c r="R24" s="34"/>
    </row>
    <row r="25" spans="1:18" ht="15" customHeight="1" x14ac:dyDescent="0.25">
      <c r="A25" s="187"/>
      <c r="B25" s="364" t="s">
        <v>737</v>
      </c>
      <c r="C25" s="1438" t="s">
        <v>1045</v>
      </c>
      <c r="D25" s="161"/>
      <c r="E25" s="161"/>
      <c r="F25" s="1439"/>
      <c r="G25" s="1433"/>
      <c r="H25" s="360"/>
      <c r="I25" s="1436"/>
      <c r="J25" s="1437"/>
      <c r="K25" s="1433"/>
      <c r="L25" s="360"/>
      <c r="M25" s="1436"/>
      <c r="N25" s="1436"/>
      <c r="O25" s="1437"/>
      <c r="P25" s="148"/>
      <c r="R25" s="607" t="s">
        <v>1413</v>
      </c>
    </row>
    <row r="26" spans="1:18" ht="15" customHeight="1" x14ac:dyDescent="0.25">
      <c r="A26" s="187"/>
      <c r="B26" s="1203" t="s">
        <v>668</v>
      </c>
      <c r="C26" s="1436"/>
      <c r="D26" s="161"/>
      <c r="E26" s="161"/>
      <c r="F26" s="1439"/>
      <c r="G26" s="1433"/>
      <c r="H26" s="1440">
        <v>0.5</v>
      </c>
      <c r="I26" s="363">
        <v>0.5</v>
      </c>
      <c r="J26" s="362">
        <v>1</v>
      </c>
      <c r="K26" s="1433"/>
      <c r="L26" s="1435" t="str">
        <f t="shared" ref="L26:M28" si="8">IF(AND(ISNUMBER(D26),ISNUMBER(H26)), D26*H26, "")</f>
        <v/>
      </c>
      <c r="M26" s="85" t="str">
        <f t="shared" si="8"/>
        <v/>
      </c>
      <c r="N26" s="85" t="str">
        <f>IF(AND(ISNUMBER(F26),ISNUMBER(J26)),SUM(F26)*J26,"")</f>
        <v/>
      </c>
      <c r="O26" s="19" t="str">
        <f>IF(AND(ISNUMBER(L26),ISNUMBER(M26),ISNUMBER(N26)), SUM(L26:N26), "")</f>
        <v/>
      </c>
      <c r="P26" s="148"/>
      <c r="R26" s="34"/>
    </row>
    <row r="27" spans="1:18" ht="15" customHeight="1" x14ac:dyDescent="0.25">
      <c r="A27" s="187"/>
      <c r="B27" s="1203" t="s">
        <v>669</v>
      </c>
      <c r="C27" s="1436"/>
      <c r="D27" s="161"/>
      <c r="E27" s="161"/>
      <c r="F27" s="1439"/>
      <c r="G27" s="1433"/>
      <c r="H27" s="365">
        <v>0.5</v>
      </c>
      <c r="I27" s="363">
        <v>0.5</v>
      </c>
      <c r="J27" s="362">
        <v>1</v>
      </c>
      <c r="K27" s="1433"/>
      <c r="L27" s="1435" t="str">
        <f t="shared" si="8"/>
        <v/>
      </c>
      <c r="M27" s="85" t="str">
        <f t="shared" si="8"/>
        <v/>
      </c>
      <c r="N27" s="85" t="str">
        <f t="shared" ref="N27" si="9">IF(AND(ISNUMBER(F27),ISNUMBER(J27)),SUM(F27)*J27,"")</f>
        <v/>
      </c>
      <c r="O27" s="19" t="str">
        <f>IF(AND(ISNUMBER(L27),ISNUMBER(M27),ISNUMBER(N27)), SUM(L27:N27), "")</f>
        <v/>
      </c>
      <c r="P27" s="148"/>
      <c r="R27" s="34"/>
    </row>
    <row r="28" spans="1:18" ht="15" customHeight="1" x14ac:dyDescent="0.25">
      <c r="A28" s="187"/>
      <c r="B28" s="1203" t="s">
        <v>736</v>
      </c>
      <c r="C28" s="1436"/>
      <c r="D28" s="161"/>
      <c r="E28" s="161"/>
      <c r="F28" s="1439"/>
      <c r="G28" s="1433"/>
      <c r="H28" s="365">
        <v>0.5</v>
      </c>
      <c r="I28" s="363">
        <v>0.5</v>
      </c>
      <c r="J28" s="362">
        <v>1</v>
      </c>
      <c r="K28" s="1433"/>
      <c r="L28" s="1435" t="str">
        <f t="shared" si="8"/>
        <v/>
      </c>
      <c r="M28" s="85" t="str">
        <f t="shared" si="8"/>
        <v/>
      </c>
      <c r="N28" s="85" t="str">
        <f t="shared" ref="N28" si="10">IF(AND(ISNUMBER(F28),ISNUMBER(J28)),SUM(F28)*J28,"")</f>
        <v/>
      </c>
      <c r="O28" s="19" t="str">
        <f>IF(AND(ISNUMBER(L28),ISNUMBER(M28),ISNUMBER(N28)), SUM(L28:N28), "")</f>
        <v/>
      </c>
      <c r="P28" s="148"/>
      <c r="R28" s="34"/>
    </row>
    <row r="29" spans="1:18" ht="15" customHeight="1" x14ac:dyDescent="0.25">
      <c r="A29" s="187"/>
      <c r="B29" s="358" t="str">
        <f>CONCATENATE("Check: sum of row ", ROW(B26)," to row ", ROW(B28), " = row ", ROW(B25), " for each column")</f>
        <v>Check: sum of row 26 to row 28 = row 25 for each column</v>
      </c>
      <c r="C29" s="1436"/>
      <c r="D29" s="359" t="str">
        <f>IF(SUM(D26:D28)=D25,"Pass","Fail")</f>
        <v>Pass</v>
      </c>
      <c r="E29" s="359" t="str">
        <f t="shared" ref="E29:F29" si="11">IF(SUM(E26:E28)=E25,"Pass","Fail")</f>
        <v>Pass</v>
      </c>
      <c r="F29" s="359" t="str">
        <f t="shared" si="11"/>
        <v>Pass</v>
      </c>
      <c r="G29" s="1433"/>
      <c r="H29" s="360"/>
      <c r="I29" s="1436"/>
      <c r="J29" s="1437"/>
      <c r="K29" s="1433"/>
      <c r="L29" s="360"/>
      <c r="M29" s="1436"/>
      <c r="N29" s="1436"/>
      <c r="O29" s="1437"/>
      <c r="P29" s="148"/>
      <c r="R29" s="34"/>
    </row>
    <row r="30" spans="1:18" ht="30" customHeight="1" x14ac:dyDescent="0.25">
      <c r="A30" s="187"/>
      <c r="B30" s="358" t="str">
        <f>CONCATENATE("Check: sum of row ", ROW(B20), " and row ", ROW(B25), " ≥ LCR unsecured funding from sovereigns/central banks/PSEs/MDBs")</f>
        <v>Check: sum of row 20 and row 25 ≥ LCR unsecured funding from sovereigns/central banks/PSEs/MDBs</v>
      </c>
      <c r="C30" s="1436"/>
      <c r="D30" s="359" t="str">
        <f>IF(SUM(D20,D25)&gt;=SUM(LCR!D144:D146,LCR!D160:D161),"Pass","Fail")</f>
        <v>Pass</v>
      </c>
      <c r="E30" s="1436"/>
      <c r="F30" s="1437"/>
      <c r="G30" s="1433"/>
      <c r="H30" s="360"/>
      <c r="I30" s="1436"/>
      <c r="J30" s="1437"/>
      <c r="K30" s="1433"/>
      <c r="L30" s="360"/>
      <c r="M30" s="1436"/>
      <c r="N30" s="1436"/>
      <c r="O30" s="1437"/>
      <c r="P30" s="148"/>
      <c r="R30" s="34"/>
    </row>
    <row r="31" spans="1:18" ht="30" customHeight="1" x14ac:dyDescent="0.25">
      <c r="A31" s="187"/>
      <c r="B31" s="358" t="str">
        <f>CONCATENATE("Check: sum of row ", ROW(B21), " and row ", ROW(B26), " ≥ LCR operational deposits from sovereigns/central banks/PSEs/MDBs")</f>
        <v>Check: sum of row 21 and row 26 ≥ LCR operational deposits from sovereigns/central banks/PSEs/MDBs</v>
      </c>
      <c r="C31" s="1436"/>
      <c r="D31" s="359" t="str">
        <f>IF(SUM(D21,D26)&gt;=SUM(LCR!D144:D146),"Pass","Fail")</f>
        <v>Pass</v>
      </c>
      <c r="E31" s="1436"/>
      <c r="F31" s="1437"/>
      <c r="G31" s="1433"/>
      <c r="H31" s="360"/>
      <c r="I31" s="1436"/>
      <c r="J31" s="1437"/>
      <c r="K31" s="1433"/>
      <c r="L31" s="360"/>
      <c r="M31" s="1436"/>
      <c r="N31" s="1436"/>
      <c r="O31" s="1437"/>
      <c r="P31" s="148"/>
      <c r="R31" s="34"/>
    </row>
    <row r="32" spans="1:18" ht="30" customHeight="1" x14ac:dyDescent="0.25">
      <c r="A32" s="187"/>
      <c r="B32" s="361" t="s">
        <v>671</v>
      </c>
      <c r="C32" s="1438" t="s">
        <v>1044</v>
      </c>
      <c r="D32" s="161"/>
      <c r="E32" s="161"/>
      <c r="F32" s="1439"/>
      <c r="G32" s="1433"/>
      <c r="H32" s="360"/>
      <c r="I32" s="1436"/>
      <c r="J32" s="1437"/>
      <c r="K32" s="1433"/>
      <c r="L32" s="360"/>
      <c r="M32" s="1436"/>
      <c r="N32" s="1436"/>
      <c r="O32" s="1437"/>
      <c r="P32" s="148"/>
      <c r="R32" s="607" t="s">
        <v>1413</v>
      </c>
    </row>
    <row r="33" spans="1:18" ht="15" customHeight="1" x14ac:dyDescent="0.25">
      <c r="A33" s="187"/>
      <c r="B33" s="1203" t="s">
        <v>668</v>
      </c>
      <c r="C33" s="1436"/>
      <c r="D33" s="161"/>
      <c r="E33" s="161"/>
      <c r="F33" s="1439"/>
      <c r="G33" s="1433"/>
      <c r="H33" s="1440">
        <v>0.5</v>
      </c>
      <c r="I33" s="363">
        <v>0.5</v>
      </c>
      <c r="J33" s="362">
        <v>1</v>
      </c>
      <c r="K33" s="1433"/>
      <c r="L33" s="1435" t="str">
        <f t="shared" ref="L33:M35" si="12">IF(AND(ISNUMBER(D33),ISNUMBER(H33)), D33*H33, "")</f>
        <v/>
      </c>
      <c r="M33" s="85" t="str">
        <f t="shared" si="12"/>
        <v/>
      </c>
      <c r="N33" s="85" t="str">
        <f>IF(AND(ISNUMBER(F33),ISNUMBER(J33)),SUM(F33)*J33,"")</f>
        <v/>
      </c>
      <c r="O33" s="19" t="str">
        <f>IF(AND(ISNUMBER(L33),ISNUMBER(M33),ISNUMBER(N33)), SUM(L33:N33), "")</f>
        <v/>
      </c>
      <c r="P33" s="148"/>
      <c r="R33" s="34"/>
    </row>
    <row r="34" spans="1:18" ht="15" customHeight="1" x14ac:dyDescent="0.25">
      <c r="A34" s="187"/>
      <c r="B34" s="1203" t="s">
        <v>669</v>
      </c>
      <c r="C34" s="1436"/>
      <c r="D34" s="161"/>
      <c r="E34" s="161"/>
      <c r="F34" s="1439"/>
      <c r="G34" s="1433"/>
      <c r="H34" s="1440">
        <v>0</v>
      </c>
      <c r="I34" s="363">
        <v>0.5</v>
      </c>
      <c r="J34" s="362">
        <v>1</v>
      </c>
      <c r="K34" s="1433"/>
      <c r="L34" s="1435" t="str">
        <f t="shared" si="12"/>
        <v/>
      </c>
      <c r="M34" s="85" t="str">
        <f t="shared" si="12"/>
        <v/>
      </c>
      <c r="N34" s="85" t="str">
        <f t="shared" ref="N34" si="13">IF(AND(ISNUMBER(F34),ISNUMBER(J34)),SUM(F34)*J34,"")</f>
        <v/>
      </c>
      <c r="O34" s="19" t="str">
        <f>IF(AND(ISNUMBER(L34),ISNUMBER(M34),ISNUMBER(N34)), SUM(L34:N34), "")</f>
        <v/>
      </c>
      <c r="P34" s="148"/>
      <c r="R34" s="34"/>
    </row>
    <row r="35" spans="1:18" ht="15" customHeight="1" x14ac:dyDescent="0.25">
      <c r="A35" s="187"/>
      <c r="B35" s="1203" t="s">
        <v>736</v>
      </c>
      <c r="C35" s="1436"/>
      <c r="D35" s="161"/>
      <c r="E35" s="161"/>
      <c r="F35" s="1439"/>
      <c r="G35" s="1433"/>
      <c r="H35" s="1440">
        <v>0</v>
      </c>
      <c r="I35" s="363">
        <v>0.5</v>
      </c>
      <c r="J35" s="362">
        <v>1</v>
      </c>
      <c r="K35" s="1433"/>
      <c r="L35" s="1435" t="str">
        <f t="shared" si="12"/>
        <v/>
      </c>
      <c r="M35" s="85" t="str">
        <f t="shared" si="12"/>
        <v/>
      </c>
      <c r="N35" s="85" t="str">
        <f t="shared" ref="N35" si="14">IF(AND(ISNUMBER(F35),ISNUMBER(J35)),SUM(F35)*J35,"")</f>
        <v/>
      </c>
      <c r="O35" s="19" t="str">
        <f>IF(AND(ISNUMBER(L35),ISNUMBER(M35),ISNUMBER(N35)), SUM(L35:N35), "")</f>
        <v/>
      </c>
      <c r="P35" s="148"/>
      <c r="R35" s="34"/>
    </row>
    <row r="36" spans="1:18" ht="15" customHeight="1" x14ac:dyDescent="0.25">
      <c r="A36" s="187"/>
      <c r="B36" s="358" t="str">
        <f>CONCATENATE("Check: row ", ROW(B32), " ≥ LCR unsecured funding from other legal entities")</f>
        <v>Check: row 32 ≥ LCR unsecured funding from other legal entities</v>
      </c>
      <c r="C36" s="1436"/>
      <c r="D36" s="359" t="str">
        <f>IF(D32&gt;=SUM(LCR!D148:D150,LCR!D152:D154,LCR!D163:D164),"Pass","Fail")</f>
        <v>Pass</v>
      </c>
      <c r="E36" s="1436"/>
      <c r="F36" s="1437"/>
      <c r="G36" s="1433"/>
      <c r="H36" s="360"/>
      <c r="I36" s="1436"/>
      <c r="J36" s="1437"/>
      <c r="K36" s="1433"/>
      <c r="L36" s="360"/>
      <c r="M36" s="1436"/>
      <c r="N36" s="1436"/>
      <c r="O36" s="1437"/>
      <c r="P36" s="148"/>
      <c r="R36" s="34"/>
    </row>
    <row r="37" spans="1:18" ht="15" customHeight="1" x14ac:dyDescent="0.25">
      <c r="A37" s="187"/>
      <c r="B37" s="358" t="str">
        <f>CONCATENATE("Check: row ", ROW(B33), " ≥ LCR operational deposits from other legal entities")</f>
        <v>Check: row 33 ≥ LCR operational deposits from other legal entities</v>
      </c>
      <c r="C37" s="1436"/>
      <c r="D37" s="359" t="str">
        <f>IF(D33&gt;=SUM(LCR!D148:D150,LCR!D152:D154),"Pass","Fail")</f>
        <v>Pass</v>
      </c>
      <c r="E37" s="1436"/>
      <c r="F37" s="1437"/>
      <c r="G37" s="1433"/>
      <c r="H37" s="360"/>
      <c r="I37" s="1436"/>
      <c r="J37" s="1437"/>
      <c r="K37" s="1433"/>
      <c r="L37" s="360"/>
      <c r="M37" s="1436"/>
      <c r="N37" s="1436"/>
      <c r="O37" s="1437"/>
      <c r="P37" s="148"/>
      <c r="R37" s="34"/>
    </row>
    <row r="38" spans="1:18" ht="15" customHeight="1" x14ac:dyDescent="0.25">
      <c r="A38" s="187"/>
      <c r="B38" s="358" t="str">
        <f>CONCATENATE("Check: sum of row ", ROW(B33)," to row ", ROW(B35), " = row ", ROW(B32), " for each column")</f>
        <v>Check: sum of row 33 to row 35 = row 32 for each column</v>
      </c>
      <c r="C38" s="1436"/>
      <c r="D38" s="359" t="str">
        <f>IF(SUM(D33:D35)=D32,"Pass","Fail")</f>
        <v>Pass</v>
      </c>
      <c r="E38" s="359" t="str">
        <f t="shared" ref="E38:F38" si="15">IF(SUM(E33:E35)=E32,"Pass","Fail")</f>
        <v>Pass</v>
      </c>
      <c r="F38" s="359" t="str">
        <f t="shared" si="15"/>
        <v>Pass</v>
      </c>
      <c r="G38" s="1433"/>
      <c r="H38" s="360"/>
      <c r="I38" s="1436"/>
      <c r="J38" s="1437"/>
      <c r="K38" s="1433"/>
      <c r="L38" s="360"/>
      <c r="M38" s="1436"/>
      <c r="N38" s="1436"/>
      <c r="O38" s="1437"/>
      <c r="P38" s="148"/>
      <c r="R38" s="34"/>
    </row>
    <row r="39" spans="1:18" ht="30" customHeight="1" x14ac:dyDescent="0.25">
      <c r="A39" s="187"/>
      <c r="B39" s="361" t="s">
        <v>1384</v>
      </c>
      <c r="C39" s="1438" t="s">
        <v>1461</v>
      </c>
      <c r="D39" s="161"/>
      <c r="E39" s="161"/>
      <c r="F39" s="1439"/>
      <c r="G39" s="1433"/>
      <c r="H39" s="875" t="s">
        <v>1385</v>
      </c>
      <c r="I39" s="875" t="s">
        <v>1385</v>
      </c>
      <c r="J39" s="362">
        <v>1</v>
      </c>
      <c r="K39" s="1433"/>
      <c r="L39" s="360"/>
      <c r="M39" s="1436"/>
      <c r="N39" s="85" t="str">
        <f>IF(AND(ISNUMBER(F39),ISNUMBER(J39)),SUM(F39)*J39,"")</f>
        <v/>
      </c>
      <c r="O39" s="19" t="str">
        <f>IF(ISNUMBER(N39),SUM(N39),"")</f>
        <v/>
      </c>
      <c r="P39" s="148"/>
      <c r="R39" s="607" t="s">
        <v>1414</v>
      </c>
    </row>
    <row r="40" spans="1:18" ht="30" customHeight="1" x14ac:dyDescent="0.25">
      <c r="A40" s="187"/>
      <c r="B40" s="358" t="str">
        <f>CONCATENATE("Check: row ", ROW(B39), " ≥ LCR unsecured funding from members of the institutional networks of cooperative banks")</f>
        <v>Check: row 39 ≥ LCR unsecured funding from members of the institutional networks of cooperative banks</v>
      </c>
      <c r="C40" s="1436"/>
      <c r="D40" s="359" t="str">
        <f>IF(D39&gt;=SUM(LCR!D162),"Pass","Fail")</f>
        <v>Pass</v>
      </c>
      <c r="E40" s="1436"/>
      <c r="F40" s="1437"/>
      <c r="G40" s="1433"/>
      <c r="H40" s="360"/>
      <c r="I40" s="1436"/>
      <c r="J40" s="1437"/>
      <c r="K40" s="1433"/>
      <c r="L40" s="360"/>
      <c r="M40" s="1436"/>
      <c r="N40" s="1436"/>
      <c r="O40" s="1437"/>
      <c r="P40" s="148"/>
      <c r="R40" s="34"/>
    </row>
    <row r="41" spans="1:18" ht="15" customHeight="1" x14ac:dyDescent="0.25">
      <c r="A41" s="187"/>
      <c r="B41" s="361" t="s">
        <v>1462</v>
      </c>
      <c r="C41" s="1436"/>
      <c r="D41" s="161"/>
      <c r="E41" s="161"/>
      <c r="F41" s="1439"/>
      <c r="G41" s="1433"/>
      <c r="H41" s="1440">
        <v>0</v>
      </c>
      <c r="I41" s="363">
        <v>0.5</v>
      </c>
      <c r="J41" s="362">
        <v>1</v>
      </c>
      <c r="K41" s="1433"/>
      <c r="L41" s="1435" t="str">
        <f>IF(AND(ISNUMBER(D41),ISNUMBER(H41)), D41*H41, "")</f>
        <v/>
      </c>
      <c r="M41" s="85" t="str">
        <f>IF(AND(ISNUMBER(E41),ISNUMBER(I41)), E41*I41, "")</f>
        <v/>
      </c>
      <c r="N41" s="85" t="str">
        <f>IF(AND(ISNUMBER(F41),ISNUMBER(J41)),SUM(F41)*J41,"")</f>
        <v/>
      </c>
      <c r="O41" s="19" t="str">
        <f>IF(AND(ISNUMBER(L41),ISNUMBER(M41),ISNUMBER(N41)), SUM(L41:N41), "")</f>
        <v/>
      </c>
      <c r="P41" s="148"/>
      <c r="R41" s="607" t="s">
        <v>1415</v>
      </c>
    </row>
    <row r="42" spans="1:18" ht="30" customHeight="1" x14ac:dyDescent="0.25">
      <c r="A42" s="187"/>
      <c r="B42" s="361" t="s">
        <v>673</v>
      </c>
      <c r="C42" s="1438" t="s">
        <v>1463</v>
      </c>
      <c r="D42" s="1436"/>
      <c r="E42" s="1436"/>
      <c r="F42" s="1437"/>
      <c r="G42" s="1433"/>
      <c r="H42" s="360"/>
      <c r="I42" s="1436"/>
      <c r="J42" s="1437"/>
      <c r="K42" s="1433"/>
      <c r="L42" s="360"/>
      <c r="M42" s="1436"/>
      <c r="N42" s="1436"/>
      <c r="O42" s="1437"/>
      <c r="P42" s="148"/>
      <c r="R42" s="607" t="s">
        <v>1464</v>
      </c>
    </row>
    <row r="43" spans="1:18" ht="15" customHeight="1" x14ac:dyDescent="0.25">
      <c r="A43" s="187"/>
      <c r="B43" s="1203" t="s">
        <v>674</v>
      </c>
      <c r="C43" s="1436"/>
      <c r="D43" s="161"/>
      <c r="E43" s="161"/>
      <c r="F43" s="1439"/>
      <c r="G43" s="1433"/>
      <c r="H43" s="1440">
        <v>0</v>
      </c>
      <c r="I43" s="363">
        <v>0.5</v>
      </c>
      <c r="J43" s="362">
        <v>1</v>
      </c>
      <c r="K43" s="1433"/>
      <c r="L43" s="1435" t="str">
        <f t="shared" ref="L43:M47" si="16">IF(AND(ISNUMBER(D43),ISNUMBER(H43)), D43*H43, "")</f>
        <v/>
      </c>
      <c r="M43" s="85" t="str">
        <f t="shared" si="16"/>
        <v/>
      </c>
      <c r="N43" s="85" t="str">
        <f>IF(AND(ISNUMBER(F43),ISNUMBER(J43)),SUM(F43)*J43,"")</f>
        <v/>
      </c>
      <c r="O43" s="19" t="str">
        <f>IF(AND(ISNUMBER(L43),ISNUMBER(M43),ISNUMBER(N43)), SUM(L43:N43), "")</f>
        <v/>
      </c>
      <c r="P43" s="148"/>
      <c r="R43" s="34"/>
    </row>
    <row r="44" spans="1:18" ht="15" customHeight="1" x14ac:dyDescent="0.25">
      <c r="A44" s="187"/>
      <c r="B44" s="1203" t="s">
        <v>39</v>
      </c>
      <c r="C44" s="1436"/>
      <c r="D44" s="161"/>
      <c r="E44" s="161"/>
      <c r="F44" s="1439"/>
      <c r="G44" s="1433"/>
      <c r="H44" s="1440">
        <v>0.5</v>
      </c>
      <c r="I44" s="363">
        <v>0.5</v>
      </c>
      <c r="J44" s="362">
        <v>1</v>
      </c>
      <c r="K44" s="1433"/>
      <c r="L44" s="1435" t="str">
        <f t="shared" si="16"/>
        <v/>
      </c>
      <c r="M44" s="85" t="str">
        <f t="shared" si="16"/>
        <v/>
      </c>
      <c r="N44" s="85" t="str">
        <f>IF(AND(ISNUMBER(F44),ISNUMBER(J44)),SUM(F44)*J44,"")</f>
        <v/>
      </c>
      <c r="O44" s="19" t="str">
        <f>IF(AND(ISNUMBER(L44),ISNUMBER(M44),ISNUMBER(N44)), SUM(L44:N44), "")</f>
        <v/>
      </c>
      <c r="P44" s="148"/>
      <c r="R44" s="34"/>
    </row>
    <row r="45" spans="1:18" ht="15" customHeight="1" x14ac:dyDescent="0.25">
      <c r="A45" s="187"/>
      <c r="B45" s="1203" t="s">
        <v>260</v>
      </c>
      <c r="C45" s="1436"/>
      <c r="D45" s="161"/>
      <c r="E45" s="161"/>
      <c r="F45" s="1439"/>
      <c r="G45" s="1433"/>
      <c r="H45" s="1440">
        <v>0</v>
      </c>
      <c r="I45" s="363">
        <v>0.5</v>
      </c>
      <c r="J45" s="362">
        <v>1</v>
      </c>
      <c r="K45" s="1433"/>
      <c r="L45" s="1435" t="str">
        <f t="shared" si="16"/>
        <v/>
      </c>
      <c r="M45" s="85" t="str">
        <f t="shared" si="16"/>
        <v/>
      </c>
      <c r="N45" s="85" t="str">
        <f>IF(AND(ISNUMBER(F45),ISNUMBER(J45)),SUM(F45)*J45,"")</f>
        <v/>
      </c>
      <c r="O45" s="19" t="str">
        <f>IF(AND(ISNUMBER(L45),ISNUMBER(M45),ISNUMBER(N45)), SUM(L45:N45), "")</f>
        <v/>
      </c>
      <c r="P45" s="148"/>
      <c r="R45" s="34"/>
    </row>
    <row r="46" spans="1:18" ht="15" customHeight="1" x14ac:dyDescent="0.25">
      <c r="A46" s="187"/>
      <c r="B46" s="1203" t="s">
        <v>738</v>
      </c>
      <c r="C46" s="1436"/>
      <c r="D46" s="161"/>
      <c r="E46" s="161"/>
      <c r="F46" s="1439"/>
      <c r="G46" s="1433"/>
      <c r="H46" s="1440">
        <v>0.5</v>
      </c>
      <c r="I46" s="363">
        <v>0.5</v>
      </c>
      <c r="J46" s="362">
        <v>1</v>
      </c>
      <c r="K46" s="1433"/>
      <c r="L46" s="1435" t="str">
        <f t="shared" si="16"/>
        <v/>
      </c>
      <c r="M46" s="85" t="str">
        <f t="shared" si="16"/>
        <v/>
      </c>
      <c r="N46" s="85" t="str">
        <f>IF(AND(ISNUMBER(F46),ISNUMBER(J46)),SUM(F46)*J46,"")</f>
        <v/>
      </c>
      <c r="O46" s="19" t="str">
        <f>IF(AND(ISNUMBER(L46),ISNUMBER(M46),ISNUMBER(N46)), SUM(L46:N46), "")</f>
        <v/>
      </c>
      <c r="P46" s="148"/>
      <c r="R46" s="34"/>
    </row>
    <row r="47" spans="1:18" ht="15" customHeight="1" x14ac:dyDescent="0.25">
      <c r="A47" s="187"/>
      <c r="B47" s="1203" t="s">
        <v>675</v>
      </c>
      <c r="C47" s="1436"/>
      <c r="D47" s="161"/>
      <c r="E47" s="161"/>
      <c r="F47" s="1439"/>
      <c r="G47" s="1433"/>
      <c r="H47" s="1440">
        <v>0</v>
      </c>
      <c r="I47" s="363">
        <v>0.5</v>
      </c>
      <c r="J47" s="362">
        <v>1</v>
      </c>
      <c r="K47" s="1433"/>
      <c r="L47" s="1435" t="str">
        <f t="shared" si="16"/>
        <v/>
      </c>
      <c r="M47" s="85" t="str">
        <f t="shared" si="16"/>
        <v/>
      </c>
      <c r="N47" s="85" t="str">
        <f>IF(AND(ISNUMBER(F47),ISNUMBER(J47)),SUM(F47)*J47,"")</f>
        <v/>
      </c>
      <c r="O47" s="19" t="str">
        <f>IF(AND(ISNUMBER(L47),ISNUMBER(M47),ISNUMBER(N47)), SUM(L47:N47), "")</f>
        <v/>
      </c>
      <c r="P47" s="148"/>
      <c r="R47" s="34"/>
    </row>
    <row r="48" spans="1:18" ht="15" customHeight="1" x14ac:dyDescent="0.25">
      <c r="A48" s="187"/>
      <c r="B48" s="361" t="s">
        <v>239</v>
      </c>
      <c r="C48" s="1436"/>
      <c r="D48" s="1436"/>
      <c r="E48" s="1436"/>
      <c r="F48" s="1437"/>
      <c r="G48" s="1433"/>
      <c r="H48" s="360"/>
      <c r="I48" s="1436"/>
      <c r="J48" s="1437"/>
      <c r="K48" s="1433"/>
      <c r="L48" s="360"/>
      <c r="M48" s="1436"/>
      <c r="N48" s="1436"/>
      <c r="O48" s="1437"/>
      <c r="P48" s="148"/>
      <c r="R48" s="607" t="s">
        <v>1089</v>
      </c>
    </row>
    <row r="49" spans="1:18" ht="15" customHeight="1" x14ac:dyDescent="0.25">
      <c r="A49" s="187"/>
      <c r="B49" s="1203" t="s">
        <v>1465</v>
      </c>
      <c r="C49" s="1438">
        <v>19</v>
      </c>
      <c r="D49" s="1436"/>
      <c r="E49" s="1436"/>
      <c r="F49" s="1439"/>
      <c r="G49" s="1433"/>
      <c r="H49" s="360"/>
      <c r="I49" s="1436"/>
      <c r="J49" s="1437"/>
      <c r="K49" s="1433"/>
      <c r="L49" s="360"/>
      <c r="M49" s="1436"/>
      <c r="N49" s="1436"/>
      <c r="O49" s="1437"/>
      <c r="P49" s="148"/>
      <c r="R49" s="607" t="s">
        <v>1089</v>
      </c>
    </row>
    <row r="50" spans="1:18" ht="30" customHeight="1" x14ac:dyDescent="0.25">
      <c r="A50" s="187"/>
      <c r="B50" s="1198" t="s">
        <v>1466</v>
      </c>
      <c r="C50" s="1436"/>
      <c r="D50" s="1436"/>
      <c r="E50" s="1436"/>
      <c r="F50" s="1437"/>
      <c r="G50" s="1433"/>
      <c r="H50" s="360"/>
      <c r="I50" s="1436"/>
      <c r="J50" s="1437"/>
      <c r="K50" s="1433"/>
      <c r="L50" s="360"/>
      <c r="M50" s="1436"/>
      <c r="N50" s="1436"/>
      <c r="O50" s="1437"/>
      <c r="P50" s="148"/>
      <c r="R50" s="607" t="s">
        <v>1089</v>
      </c>
    </row>
    <row r="51" spans="1:18" ht="15" customHeight="1" x14ac:dyDescent="0.25">
      <c r="A51" s="187"/>
      <c r="B51" s="218" t="s">
        <v>1036</v>
      </c>
      <c r="C51" s="1436"/>
      <c r="D51" s="1436"/>
      <c r="E51" s="1436"/>
      <c r="F51" s="1439"/>
      <c r="G51" s="1433"/>
      <c r="H51" s="360"/>
      <c r="I51" s="1436"/>
      <c r="J51" s="1437"/>
      <c r="K51" s="1433"/>
      <c r="L51" s="360"/>
      <c r="M51" s="1436"/>
      <c r="N51" s="1436"/>
      <c r="O51" s="1437"/>
      <c r="P51" s="148"/>
      <c r="R51" s="607" t="s">
        <v>1089</v>
      </c>
    </row>
    <row r="52" spans="1:18" ht="15" customHeight="1" x14ac:dyDescent="0.25">
      <c r="A52" s="187"/>
      <c r="B52" s="218" t="s">
        <v>1038</v>
      </c>
      <c r="C52" s="1436"/>
      <c r="D52" s="1436"/>
      <c r="E52" s="1436"/>
      <c r="F52" s="1439"/>
      <c r="G52" s="1433"/>
      <c r="H52" s="360"/>
      <c r="I52" s="1436"/>
      <c r="J52" s="1437"/>
      <c r="K52" s="1433"/>
      <c r="L52" s="360"/>
      <c r="M52" s="1436"/>
      <c r="N52" s="1436"/>
      <c r="O52" s="1437"/>
      <c r="P52" s="148"/>
      <c r="R52" s="607" t="s">
        <v>1089</v>
      </c>
    </row>
    <row r="53" spans="1:18" ht="15" customHeight="1" x14ac:dyDescent="0.25">
      <c r="A53" s="187"/>
      <c r="B53" s="1568" t="str">
        <f>CONCATENATE("Check: row ", ROW(B49)," ≥ sum of rows ", ROW(B51), " to ", ROW(B52))</f>
        <v>Check: row 49 ≥ sum of rows 51 to 52</v>
      </c>
      <c r="C53" s="1436"/>
      <c r="D53" s="1436"/>
      <c r="E53" s="1436"/>
      <c r="F53" s="635" t="str">
        <f>IF(F49&gt;=SUM(F51:F52),"Pass","Fail")</f>
        <v>Pass</v>
      </c>
      <c r="G53" s="1433"/>
      <c r="H53" s="360"/>
      <c r="I53" s="1436"/>
      <c r="J53" s="1437"/>
      <c r="K53" s="1433"/>
      <c r="L53" s="360"/>
      <c r="M53" s="1436"/>
      <c r="N53" s="1436"/>
      <c r="O53" s="1437"/>
      <c r="P53" s="148"/>
      <c r="R53" s="607" t="s">
        <v>1089</v>
      </c>
    </row>
    <row r="54" spans="1:18" ht="15" customHeight="1" x14ac:dyDescent="0.25">
      <c r="A54" s="187"/>
      <c r="B54" s="1203" t="s">
        <v>1403</v>
      </c>
      <c r="C54" s="1436"/>
      <c r="D54" s="1436"/>
      <c r="E54" s="1436"/>
      <c r="F54" s="611"/>
      <c r="G54" s="1433"/>
      <c r="H54" s="360"/>
      <c r="I54" s="1436"/>
      <c r="J54" s="1437"/>
      <c r="K54" s="1433"/>
      <c r="L54" s="360"/>
      <c r="M54" s="1436"/>
      <c r="N54" s="1436"/>
      <c r="O54" s="1437"/>
      <c r="P54" s="148"/>
      <c r="R54" s="607" t="s">
        <v>1089</v>
      </c>
    </row>
    <row r="55" spans="1:18" ht="30" customHeight="1" x14ac:dyDescent="0.25">
      <c r="A55" s="613"/>
      <c r="B55" s="218" t="s">
        <v>1404</v>
      </c>
      <c r="C55" s="1436"/>
      <c r="D55" s="612"/>
      <c r="E55" s="612"/>
      <c r="F55" s="1437"/>
      <c r="G55" s="610"/>
      <c r="H55" s="609"/>
      <c r="I55" s="612"/>
      <c r="J55" s="1437"/>
      <c r="K55" s="610"/>
      <c r="L55" s="609"/>
      <c r="M55" s="612"/>
      <c r="N55" s="1436"/>
      <c r="O55" s="1437"/>
      <c r="P55" s="608"/>
      <c r="R55" s="606" t="s">
        <v>1089</v>
      </c>
    </row>
    <row r="56" spans="1:18" ht="15" customHeight="1" x14ac:dyDescent="0.25">
      <c r="A56" s="187"/>
      <c r="B56" s="1" t="s">
        <v>1036</v>
      </c>
      <c r="C56" s="1436"/>
      <c r="D56" s="1436"/>
      <c r="E56" s="1436"/>
      <c r="F56" s="1439"/>
      <c r="G56" s="1433"/>
      <c r="H56" s="360"/>
      <c r="I56" s="1436"/>
      <c r="J56" s="1437"/>
      <c r="K56" s="1433"/>
      <c r="L56" s="360"/>
      <c r="M56" s="1436"/>
      <c r="N56" s="1436"/>
      <c r="O56" s="1437"/>
      <c r="P56" s="148"/>
      <c r="R56" s="607" t="s">
        <v>1089</v>
      </c>
    </row>
    <row r="57" spans="1:18" ht="15" customHeight="1" x14ac:dyDescent="0.25">
      <c r="A57" s="187"/>
      <c r="B57" s="1" t="s">
        <v>1038</v>
      </c>
      <c r="C57" s="1436"/>
      <c r="D57" s="1436"/>
      <c r="E57" s="1436"/>
      <c r="F57" s="1439"/>
      <c r="G57" s="1433"/>
      <c r="H57" s="360"/>
      <c r="I57" s="1436"/>
      <c r="J57" s="1437"/>
      <c r="K57" s="1433"/>
      <c r="L57" s="360"/>
      <c r="M57" s="1436"/>
      <c r="N57" s="1436"/>
      <c r="O57" s="1437"/>
      <c r="P57" s="148"/>
      <c r="R57" s="607" t="s">
        <v>1089</v>
      </c>
    </row>
    <row r="58" spans="1:18" ht="15" customHeight="1" x14ac:dyDescent="0.25">
      <c r="A58" s="187"/>
      <c r="B58" s="1568" t="str">
        <f>CONCATENATE("Check: row ", ROW(B54),"  ≥ sum of rows ", ROW(B56), " to ", ROW(B57))</f>
        <v>Check: row 54  ≥ sum of rows 56 to 57</v>
      </c>
      <c r="C58" s="1436"/>
      <c r="D58" s="1436"/>
      <c r="E58" s="1436"/>
      <c r="F58" s="635" t="str">
        <f>IF(F54&gt;=SUM(F56:F57),"Pass","Fail")</f>
        <v>Pass</v>
      </c>
      <c r="G58" s="1433"/>
      <c r="H58" s="360"/>
      <c r="I58" s="1436"/>
      <c r="J58" s="1437"/>
      <c r="K58" s="1433"/>
      <c r="L58" s="360"/>
      <c r="M58" s="1436"/>
      <c r="N58" s="1436"/>
      <c r="O58" s="1437"/>
      <c r="P58" s="148"/>
      <c r="R58" s="607" t="s">
        <v>1089</v>
      </c>
    </row>
    <row r="59" spans="1:18" ht="30" customHeight="1" x14ac:dyDescent="0.25">
      <c r="A59" s="187"/>
      <c r="B59" s="1203" t="s">
        <v>1037</v>
      </c>
      <c r="C59" s="1438" t="s">
        <v>1467</v>
      </c>
      <c r="D59" s="1436"/>
      <c r="E59" s="1436"/>
      <c r="F59" s="494" t="str">
        <f>IF(AND(ISNUMBER(F49),ISNUMBER(F54)),F49-F54,"")</f>
        <v/>
      </c>
      <c r="G59" s="1433"/>
      <c r="H59" s="360"/>
      <c r="I59" s="1436"/>
      <c r="J59" s="362">
        <v>0</v>
      </c>
      <c r="K59" s="1433"/>
      <c r="L59" s="360"/>
      <c r="M59" s="1436"/>
      <c r="N59" s="85" t="str">
        <f>IF(AND(ISNUMBER(F59),ISNUMBER(F230),ISNUMBER(J59)),MAX((F59-F230),0)*J59,"")</f>
        <v/>
      </c>
      <c r="O59" s="19" t="str">
        <f>IF(ISNUMBER(N59),SUM(N59),"")</f>
        <v/>
      </c>
      <c r="P59" s="148"/>
      <c r="R59" s="607" t="s">
        <v>1089</v>
      </c>
    </row>
    <row r="60" spans="1:18" ht="15" customHeight="1" x14ac:dyDescent="0.25">
      <c r="A60" s="187"/>
      <c r="B60" s="1203" t="s">
        <v>1643</v>
      </c>
      <c r="C60" s="1436"/>
      <c r="D60" s="1436"/>
      <c r="E60" s="1436"/>
      <c r="F60" s="1439"/>
      <c r="G60" s="1433"/>
      <c r="H60" s="360"/>
      <c r="I60" s="1436"/>
      <c r="J60" s="1437"/>
      <c r="K60" s="1433"/>
      <c r="L60" s="360"/>
      <c r="M60" s="1436"/>
      <c r="N60" s="1436"/>
      <c r="O60" s="1437"/>
      <c r="P60" s="148"/>
      <c r="R60" s="607" t="s">
        <v>1089</v>
      </c>
    </row>
    <row r="61" spans="1:18" ht="15" customHeight="1" x14ac:dyDescent="0.25">
      <c r="A61" s="187"/>
      <c r="B61" s="1198" t="s">
        <v>1644</v>
      </c>
      <c r="C61" s="1436"/>
      <c r="D61" s="1436"/>
      <c r="E61" s="1436"/>
      <c r="F61" s="1439"/>
      <c r="G61" s="1433"/>
      <c r="H61" s="360"/>
      <c r="I61" s="1436"/>
      <c r="J61" s="1437"/>
      <c r="K61" s="1433"/>
      <c r="L61" s="360"/>
      <c r="M61" s="1436"/>
      <c r="N61" s="1436"/>
      <c r="O61" s="1437"/>
      <c r="P61" s="148"/>
      <c r="R61" s="607" t="s">
        <v>1089</v>
      </c>
    </row>
    <row r="62" spans="1:18" ht="15" customHeight="1" x14ac:dyDescent="0.25">
      <c r="A62" s="187"/>
      <c r="B62" s="1198" t="s">
        <v>1645</v>
      </c>
      <c r="C62" s="1436"/>
      <c r="D62" s="1436"/>
      <c r="E62" s="1436"/>
      <c r="F62" s="1439"/>
      <c r="G62" s="1433"/>
      <c r="H62" s="360"/>
      <c r="I62" s="1436"/>
      <c r="J62" s="1437"/>
      <c r="K62" s="1433"/>
      <c r="L62" s="360"/>
      <c r="M62" s="1436"/>
      <c r="N62" s="1436"/>
      <c r="O62" s="1437"/>
      <c r="P62" s="148"/>
      <c r="R62" s="607" t="s">
        <v>1089</v>
      </c>
    </row>
    <row r="63" spans="1:18" ht="15" customHeight="1" x14ac:dyDescent="0.25">
      <c r="A63" s="187"/>
      <c r="B63" s="1198" t="s">
        <v>1646</v>
      </c>
      <c r="C63" s="1436"/>
      <c r="D63" s="1436"/>
      <c r="E63" s="1436"/>
      <c r="F63" s="1439"/>
      <c r="G63" s="1433"/>
      <c r="H63" s="360"/>
      <c r="I63" s="1436"/>
      <c r="J63" s="1437"/>
      <c r="K63" s="1433"/>
      <c r="L63" s="360"/>
      <c r="M63" s="1436"/>
      <c r="N63" s="1436"/>
      <c r="O63" s="1437"/>
      <c r="P63" s="148"/>
      <c r="R63" s="607" t="s">
        <v>1089</v>
      </c>
    </row>
    <row r="64" spans="1:18" ht="15" customHeight="1" x14ac:dyDescent="0.25">
      <c r="A64" s="187"/>
      <c r="B64" s="1568" t="str">
        <f>CONCATENATE("Check: sum of row ", ROW(B61)," to row ", ROW(B63), " = row ", ROW(B60))</f>
        <v>Check: sum of row 61 to row 63 = row 60</v>
      </c>
      <c r="C64" s="1436"/>
      <c r="D64" s="1436"/>
      <c r="E64" s="1436"/>
      <c r="F64" s="635" t="str">
        <f>IF(SUM(F61:F63)=F60,"Pass","Fail")</f>
        <v>Pass</v>
      </c>
      <c r="G64" s="1433"/>
      <c r="H64" s="360"/>
      <c r="I64" s="1436"/>
      <c r="J64" s="1437"/>
      <c r="K64" s="1433"/>
      <c r="L64" s="360"/>
      <c r="M64" s="1436"/>
      <c r="N64" s="1436"/>
      <c r="O64" s="1437"/>
      <c r="P64" s="148"/>
      <c r="R64" s="607" t="s">
        <v>1089</v>
      </c>
    </row>
    <row r="65" spans="1:18" ht="30" customHeight="1" x14ac:dyDescent="0.25">
      <c r="A65" s="187"/>
      <c r="B65" s="1203" t="s">
        <v>1405</v>
      </c>
      <c r="C65" s="1436"/>
      <c r="D65" s="161"/>
      <c r="E65" s="161"/>
      <c r="F65" s="1439"/>
      <c r="G65" s="1433"/>
      <c r="H65" s="360"/>
      <c r="I65" s="1436"/>
      <c r="J65" s="1437"/>
      <c r="K65" s="1433"/>
      <c r="L65" s="360"/>
      <c r="M65" s="1436"/>
      <c r="N65" s="1436"/>
      <c r="O65" s="1437"/>
      <c r="P65" s="148"/>
      <c r="R65" s="607" t="s">
        <v>1089</v>
      </c>
    </row>
    <row r="66" spans="1:18" ht="15" customHeight="1" x14ac:dyDescent="0.25">
      <c r="A66" s="187"/>
      <c r="B66" s="358" t="str">
        <f>CONCATENATE("Check: sum of row ", ROW(B65), " = row ", ROW(B60))</f>
        <v>Check: sum of row 65 = row 60</v>
      </c>
      <c r="C66" s="1436"/>
      <c r="D66" s="1436"/>
      <c r="E66" s="1436"/>
      <c r="F66" s="635" t="str">
        <f>IF(SUM(D65:F65)=F60,"Pass","Fail")</f>
        <v>Pass</v>
      </c>
      <c r="G66" s="1433"/>
      <c r="H66" s="360"/>
      <c r="I66" s="1436"/>
      <c r="J66" s="1437"/>
      <c r="K66" s="1433"/>
      <c r="L66" s="360"/>
      <c r="M66" s="1436"/>
      <c r="N66" s="1436"/>
      <c r="O66" s="1437"/>
      <c r="P66" s="148"/>
      <c r="R66" s="607" t="s">
        <v>1089</v>
      </c>
    </row>
    <row r="67" spans="1:18" ht="30" customHeight="1" x14ac:dyDescent="0.25">
      <c r="A67" s="187"/>
      <c r="B67" s="1203" t="s">
        <v>1468</v>
      </c>
      <c r="C67" s="1436"/>
      <c r="D67" s="1436"/>
      <c r="E67" s="1436"/>
      <c r="F67" s="1437"/>
      <c r="G67" s="1433"/>
      <c r="H67" s="360"/>
      <c r="I67" s="1436"/>
      <c r="J67" s="1437"/>
      <c r="K67" s="1433"/>
      <c r="L67" s="360"/>
      <c r="M67" s="1436"/>
      <c r="N67" s="1436"/>
      <c r="O67" s="1437"/>
      <c r="P67" s="148"/>
      <c r="R67" s="607" t="s">
        <v>1089</v>
      </c>
    </row>
    <row r="68" spans="1:18" ht="15" customHeight="1" x14ac:dyDescent="0.25">
      <c r="A68" s="187"/>
      <c r="B68" s="1198" t="s">
        <v>1036</v>
      </c>
      <c r="C68" s="1436"/>
      <c r="D68" s="1436"/>
      <c r="E68" s="1436"/>
      <c r="F68" s="1439"/>
      <c r="G68" s="1433"/>
      <c r="H68" s="360"/>
      <c r="I68" s="1436"/>
      <c r="J68" s="1437"/>
      <c r="K68" s="1433"/>
      <c r="L68" s="360"/>
      <c r="M68" s="1436"/>
      <c r="N68" s="1436"/>
      <c r="O68" s="1437"/>
      <c r="P68" s="148"/>
      <c r="R68" s="607" t="s">
        <v>1089</v>
      </c>
    </row>
    <row r="69" spans="1:18" ht="15" customHeight="1" x14ac:dyDescent="0.25">
      <c r="A69" s="187"/>
      <c r="B69" s="1198" t="s">
        <v>1038</v>
      </c>
      <c r="C69" s="1436"/>
      <c r="D69" s="1436"/>
      <c r="E69" s="1436"/>
      <c r="F69" s="1439"/>
      <c r="G69" s="1433"/>
      <c r="H69" s="360"/>
      <c r="I69" s="1436"/>
      <c r="J69" s="1437"/>
      <c r="K69" s="1433"/>
      <c r="L69" s="360"/>
      <c r="M69" s="1436"/>
      <c r="N69" s="1436"/>
      <c r="O69" s="1437"/>
      <c r="P69" s="148"/>
      <c r="R69" s="607" t="s">
        <v>1089</v>
      </c>
    </row>
    <row r="70" spans="1:18" ht="15" customHeight="1" x14ac:dyDescent="0.25">
      <c r="A70" s="187"/>
      <c r="B70" s="358" t="str">
        <f>CONCATENATE("Check: row ", ROW(B60)," ≥ sum of rows ", ROW(B68), " to ", ROW(B69))</f>
        <v>Check: row 60 ≥ sum of rows 68 to 69</v>
      </c>
      <c r="C70" s="1436"/>
      <c r="D70" s="1436"/>
      <c r="E70" s="1436"/>
      <c r="F70" s="635" t="str">
        <f>IF(F60&gt;=SUM(F68:F69),"Pass","Fail")</f>
        <v>Pass</v>
      </c>
      <c r="G70" s="1433"/>
      <c r="H70" s="360"/>
      <c r="I70" s="1436"/>
      <c r="J70" s="1437"/>
      <c r="K70" s="1433"/>
      <c r="L70" s="360"/>
      <c r="M70" s="1436"/>
      <c r="N70" s="1436"/>
      <c r="O70" s="1437"/>
      <c r="P70" s="148"/>
      <c r="R70" s="607" t="s">
        <v>1089</v>
      </c>
    </row>
    <row r="71" spans="1:18" ht="15" customHeight="1" x14ac:dyDescent="0.25">
      <c r="A71" s="187"/>
      <c r="B71" s="361" t="s">
        <v>676</v>
      </c>
      <c r="C71" s="1436"/>
      <c r="D71" s="1436"/>
      <c r="E71" s="1436"/>
      <c r="F71" s="1437"/>
      <c r="G71" s="1433"/>
      <c r="H71" s="360"/>
      <c r="I71" s="1436"/>
      <c r="J71" s="1437"/>
      <c r="K71" s="1433"/>
      <c r="L71" s="360"/>
      <c r="M71" s="1436"/>
      <c r="N71" s="1436"/>
      <c r="O71" s="1437"/>
      <c r="P71" s="148"/>
      <c r="R71" s="1434"/>
    </row>
    <row r="72" spans="1:18" ht="15" customHeight="1" x14ac:dyDescent="0.25">
      <c r="A72" s="187"/>
      <c r="B72" s="1203" t="s">
        <v>705</v>
      </c>
      <c r="C72" s="1438" t="s">
        <v>1046</v>
      </c>
      <c r="D72" s="161"/>
      <c r="E72" s="161"/>
      <c r="F72" s="1439"/>
      <c r="G72" s="1433"/>
      <c r="H72" s="1440">
        <v>0</v>
      </c>
      <c r="I72" s="363">
        <v>0.5</v>
      </c>
      <c r="J72" s="362">
        <v>1</v>
      </c>
      <c r="K72" s="1433"/>
      <c r="L72" s="1435" t="str">
        <f t="shared" ref="L72:N76" si="17">IF(AND(ISNUMBER(D72),ISNUMBER(H72)), D72*H72, "")</f>
        <v/>
      </c>
      <c r="M72" s="85" t="str">
        <f t="shared" si="17"/>
        <v/>
      </c>
      <c r="N72" s="85" t="str">
        <f>IF(AND(ISNUMBER(F72),ISNUMBER(J72)),SUM(F72)*J72,"")</f>
        <v/>
      </c>
      <c r="O72" s="19" t="str">
        <f>IF(AND(ISNUMBER(L72),ISNUMBER(M72),ISNUMBER(N72)), SUM(L72:N72), "")</f>
        <v/>
      </c>
      <c r="P72" s="148"/>
      <c r="R72" s="607" t="s">
        <v>1413</v>
      </c>
    </row>
    <row r="73" spans="1:18" ht="15" customHeight="1" x14ac:dyDescent="0.25">
      <c r="A73" s="187"/>
      <c r="B73" s="1203" t="s">
        <v>706</v>
      </c>
      <c r="C73" s="1438" t="s">
        <v>1046</v>
      </c>
      <c r="D73" s="161"/>
      <c r="E73" s="161"/>
      <c r="F73" s="1439"/>
      <c r="G73" s="1433"/>
      <c r="H73" s="1440">
        <v>0</v>
      </c>
      <c r="I73" s="363">
        <v>0.5</v>
      </c>
      <c r="J73" s="362">
        <v>1</v>
      </c>
      <c r="K73" s="1433"/>
      <c r="L73" s="1435" t="str">
        <f t="shared" si="17"/>
        <v/>
      </c>
      <c r="M73" s="85" t="str">
        <f t="shared" si="17"/>
        <v/>
      </c>
      <c r="N73" s="85" t="str">
        <f>IF(AND(ISNUMBER(F73),ISNUMBER(J73)),SUM(F73)*J73,"")</f>
        <v/>
      </c>
      <c r="O73" s="19" t="str">
        <f>IF(AND(ISNUMBER(L73),ISNUMBER(M73),ISNUMBER(N73)), SUM(L73:N73), "")</f>
        <v/>
      </c>
      <c r="P73" s="148"/>
      <c r="R73" s="607" t="s">
        <v>1413</v>
      </c>
    </row>
    <row r="74" spans="1:18" ht="15" customHeight="1" x14ac:dyDescent="0.25">
      <c r="A74" s="187"/>
      <c r="B74" s="1203" t="s">
        <v>1050</v>
      </c>
      <c r="C74" s="1438" t="s">
        <v>1047</v>
      </c>
      <c r="D74" s="1439"/>
      <c r="E74" s="1436"/>
      <c r="F74" s="1437"/>
      <c r="G74" s="1433"/>
      <c r="H74" s="1440">
        <v>0</v>
      </c>
      <c r="I74" s="1436"/>
      <c r="J74" s="1437"/>
      <c r="K74" s="1433"/>
      <c r="L74" s="1435" t="str">
        <f t="shared" si="17"/>
        <v/>
      </c>
      <c r="M74" s="1436"/>
      <c r="N74" s="1436"/>
      <c r="O74" s="19" t="str">
        <f>IF(ISNUMBER(L74), L74, "")</f>
        <v/>
      </c>
      <c r="P74" s="148"/>
      <c r="R74" s="607" t="s">
        <v>1089</v>
      </c>
    </row>
    <row r="75" spans="1:18" ht="15" customHeight="1" x14ac:dyDescent="0.25">
      <c r="A75" s="187"/>
      <c r="B75" s="1203" t="s">
        <v>1049</v>
      </c>
      <c r="C75" s="1438">
        <v>45</v>
      </c>
      <c r="D75" s="161"/>
      <c r="E75" s="161"/>
      <c r="F75" s="1439"/>
      <c r="G75" s="1433"/>
      <c r="H75" s="1440">
        <v>0</v>
      </c>
      <c r="I75" s="363">
        <v>0</v>
      </c>
      <c r="J75" s="362">
        <v>0</v>
      </c>
      <c r="K75" s="1433"/>
      <c r="L75" s="1435" t="str">
        <f t="shared" si="17"/>
        <v/>
      </c>
      <c r="M75" s="85" t="str">
        <f t="shared" si="17"/>
        <v/>
      </c>
      <c r="N75" s="85" t="str">
        <f t="shared" si="17"/>
        <v/>
      </c>
      <c r="O75" s="19" t="str">
        <f>IF(AND(ISNUMBER(L75),ISNUMBER(M75),ISNUMBER(N75)), SUM(L75:N75), "")</f>
        <v/>
      </c>
      <c r="P75" s="148"/>
      <c r="R75" s="607" t="s">
        <v>1089</v>
      </c>
    </row>
    <row r="76" spans="1:18" ht="30" customHeight="1" x14ac:dyDescent="0.25">
      <c r="A76" s="187"/>
      <c r="B76" s="1203" t="s">
        <v>696</v>
      </c>
      <c r="C76" s="1438" t="s">
        <v>1048</v>
      </c>
      <c r="D76" s="161"/>
      <c r="E76" s="161"/>
      <c r="F76" s="1439"/>
      <c r="G76" s="1433"/>
      <c r="H76" s="1440">
        <v>0</v>
      </c>
      <c r="I76" s="363">
        <v>0.5</v>
      </c>
      <c r="J76" s="362">
        <v>1</v>
      </c>
      <c r="K76" s="1433"/>
      <c r="L76" s="1435" t="str">
        <f t="shared" si="17"/>
        <v/>
      </c>
      <c r="M76" s="85" t="str">
        <f t="shared" si="17"/>
        <v/>
      </c>
      <c r="N76" s="85" t="str">
        <f>IF(AND(ISNUMBER(F76),ISNUMBER(J76)),SUM(F76)*J76,"")</f>
        <v/>
      </c>
      <c r="O76" s="109" t="str">
        <f>IF(AND(ISNUMBER(L76),ISNUMBER(M76),ISNUMBER(N76)), SUM(L76:N76), "")</f>
        <v/>
      </c>
      <c r="P76" s="148"/>
      <c r="R76" s="1441" t="s">
        <v>1413</v>
      </c>
    </row>
    <row r="77" spans="1:18" ht="15" customHeight="1" x14ac:dyDescent="0.25">
      <c r="A77" s="187"/>
      <c r="B77" s="369"/>
      <c r="C77" s="369"/>
      <c r="D77" s="369"/>
      <c r="E77" s="369"/>
      <c r="F77" s="369"/>
      <c r="G77" s="1433"/>
      <c r="H77" s="370"/>
      <c r="I77" s="370"/>
      <c r="J77" s="370"/>
      <c r="K77" s="1433"/>
      <c r="L77" s="371" t="s">
        <v>677</v>
      </c>
      <c r="M77" s="371"/>
      <c r="N77" s="371"/>
      <c r="O77" s="372" t="str">
        <f>IF(AND(ISNUMBER(O6),ISNUMBER(O8),ISNUMBER(O9),ISNUMBER(O11),ISNUMBER(O14),ISNUMBER(O15),ISNUMBER(O16),ISNUMBER(O21),ISNUMBER(O22),ISNUMBER(O23),ISNUMBER(O26),ISNUMBER(O27),ISNUMBER(O28),ISNUMBER(O33),ISNUMBER(O34),ISNUMBER(O35),ISNUMBER(O39),ISNUMBER(O41),ISNUMBER(O43),ISNUMBER(O44),ISNUMBER(O45),ISNUMBER(O46),ISNUMBER(O47),ISNUMBER(O59),ISNUMBER(O72),ISNUMBER(O73),ISNUMBER(O74),ISNUMBER(O75),ISNUMBER(O76)),SUM(O6:O47,O59,O72:O76,L279:M284,L288:M292,L294:M294),"")</f>
        <v/>
      </c>
      <c r="P77" s="148"/>
      <c r="R77" s="605"/>
    </row>
    <row r="78" spans="1:18" ht="15" customHeight="1" x14ac:dyDescent="0.25">
      <c r="A78" s="187"/>
      <c r="B78" s="1433"/>
      <c r="C78" s="1433"/>
      <c r="D78" s="1433"/>
      <c r="E78" s="1433"/>
      <c r="F78" s="1433"/>
      <c r="G78" s="1433"/>
      <c r="H78" s="1433"/>
      <c r="I78" s="1433"/>
      <c r="J78" s="1433"/>
      <c r="K78" s="1433"/>
      <c r="L78" s="1433"/>
      <c r="M78" s="1433"/>
      <c r="N78" s="1433"/>
      <c r="O78" s="1433"/>
      <c r="P78" s="148"/>
      <c r="R78" s="34"/>
    </row>
    <row r="79" spans="1:18" ht="30" customHeight="1" x14ac:dyDescent="0.3">
      <c r="A79" s="350" t="s">
        <v>678</v>
      </c>
      <c r="B79" s="344"/>
      <c r="C79" s="344"/>
      <c r="D79" s="344"/>
      <c r="E79" s="344"/>
      <c r="F79" s="344"/>
      <c r="G79" s="344"/>
      <c r="H79" s="344"/>
      <c r="I79" s="344"/>
      <c r="J79" s="344"/>
      <c r="K79" s="82"/>
      <c r="L79" s="82"/>
      <c r="M79" s="82"/>
      <c r="N79" s="82"/>
      <c r="O79" s="82"/>
      <c r="P79" s="404"/>
      <c r="R79" s="3"/>
    </row>
    <row r="80" spans="1:18" ht="30" customHeight="1" x14ac:dyDescent="0.3">
      <c r="A80" s="2" t="s">
        <v>679</v>
      </c>
      <c r="B80" s="151"/>
      <c r="C80" s="151"/>
      <c r="D80" s="152"/>
      <c r="E80" s="153"/>
      <c r="F80" s="1433"/>
      <c r="G80" s="1433"/>
      <c r="H80" s="1433"/>
      <c r="I80" s="1433"/>
      <c r="J80" s="1433"/>
      <c r="K80" s="1433"/>
      <c r="L80" s="1433"/>
      <c r="M80" s="1433"/>
      <c r="N80" s="1433"/>
      <c r="O80" s="1433"/>
      <c r="P80" s="148"/>
      <c r="R80" s="34"/>
    </row>
    <row r="81" spans="1:18" ht="15" customHeight="1" x14ac:dyDescent="0.25">
      <c r="A81" s="187"/>
      <c r="B81" s="1433"/>
      <c r="C81" s="1433"/>
      <c r="D81" s="1433"/>
      <c r="E81" s="1433"/>
      <c r="F81" s="1433"/>
      <c r="G81" s="1433"/>
      <c r="H81" s="1433"/>
      <c r="I81" s="1433"/>
      <c r="J81" s="1433"/>
      <c r="K81" s="1433"/>
      <c r="L81" s="1433"/>
      <c r="M81" s="1433"/>
      <c r="N81" s="1433"/>
      <c r="O81" s="1433"/>
      <c r="P81" s="148"/>
      <c r="R81" s="34"/>
    </row>
    <row r="82" spans="1:18" ht="15" customHeight="1" x14ac:dyDescent="0.25">
      <c r="A82" s="187"/>
      <c r="B82" s="1756"/>
      <c r="C82" s="1742" t="s">
        <v>587</v>
      </c>
      <c r="D82" s="1752" t="s">
        <v>342</v>
      </c>
      <c r="E82" s="1753"/>
      <c r="F82" s="1753"/>
      <c r="G82" s="1433"/>
      <c r="H82" s="1746" t="s">
        <v>701</v>
      </c>
      <c r="I82" s="1747" t="s">
        <v>680</v>
      </c>
      <c r="J82" s="1748" t="s">
        <v>681</v>
      </c>
      <c r="K82" s="1433"/>
      <c r="L82" s="1749" t="s">
        <v>702</v>
      </c>
      <c r="M82" s="1749" t="s">
        <v>682</v>
      </c>
      <c r="N82" s="1749" t="s">
        <v>683</v>
      </c>
      <c r="O82" s="1749" t="s">
        <v>684</v>
      </c>
      <c r="P82" s="148"/>
      <c r="R82" s="34"/>
    </row>
    <row r="83" spans="1:18" ht="30" customHeight="1" x14ac:dyDescent="0.25">
      <c r="A83" s="187"/>
      <c r="B83" s="1757"/>
      <c r="C83" s="1743"/>
      <c r="D83" s="351" t="s">
        <v>699</v>
      </c>
      <c r="E83" s="352" t="s">
        <v>734</v>
      </c>
      <c r="F83" s="353" t="s">
        <v>396</v>
      </c>
      <c r="G83" s="1433"/>
      <c r="H83" s="351" t="s">
        <v>699</v>
      </c>
      <c r="I83" s="352" t="s">
        <v>734</v>
      </c>
      <c r="J83" s="353" t="s">
        <v>700</v>
      </c>
      <c r="K83" s="1433"/>
      <c r="L83" s="351" t="s">
        <v>699</v>
      </c>
      <c r="M83" s="352" t="s">
        <v>734</v>
      </c>
      <c r="N83" s="352" t="s">
        <v>700</v>
      </c>
      <c r="O83" s="353" t="s">
        <v>691</v>
      </c>
      <c r="P83" s="148"/>
      <c r="R83" s="34"/>
    </row>
    <row r="84" spans="1:18" ht="15" customHeight="1" x14ac:dyDescent="0.25">
      <c r="A84" s="187"/>
      <c r="B84" s="656" t="s">
        <v>420</v>
      </c>
      <c r="C84" s="1438" t="s">
        <v>1067</v>
      </c>
      <c r="D84" s="374"/>
      <c r="E84" s="1436"/>
      <c r="F84" s="403"/>
      <c r="G84" s="1433"/>
      <c r="H84" s="1440">
        <v>0</v>
      </c>
      <c r="I84" s="375"/>
      <c r="J84" s="376"/>
      <c r="K84" s="1433"/>
      <c r="L84" s="39" t="str">
        <f>IF(ISNUMBER(D84), D84*H84, "")</f>
        <v/>
      </c>
      <c r="M84" s="367"/>
      <c r="N84" s="377"/>
      <c r="O84" s="19" t="str">
        <f>IF(ISNUMBER(L84), L84, "")</f>
        <v/>
      </c>
      <c r="P84" s="148"/>
      <c r="Q84" s="928">
        <f>IF(ISNUMBER(O84),1,0)</f>
        <v>0</v>
      </c>
      <c r="R84" s="607" t="s">
        <v>1413</v>
      </c>
    </row>
    <row r="85" spans="1:18" ht="15" customHeight="1" x14ac:dyDescent="0.25">
      <c r="A85" s="187"/>
      <c r="B85" s="373" t="s">
        <v>685</v>
      </c>
      <c r="C85" s="1438" t="s">
        <v>1068</v>
      </c>
      <c r="D85" s="378"/>
      <c r="E85" s="161"/>
      <c r="F85" s="1439"/>
      <c r="G85" s="1433"/>
      <c r="H85" s="1440">
        <v>0</v>
      </c>
      <c r="I85" s="1440">
        <v>0</v>
      </c>
      <c r="J85" s="362">
        <v>0</v>
      </c>
      <c r="K85" s="1433"/>
      <c r="L85" s="1435" t="str">
        <f>IF(AND(ISNUMBER(D85),ISNUMBER(H85)), D85*H85, "")</f>
        <v/>
      </c>
      <c r="M85" s="85" t="str">
        <f>IF(AND(ISNUMBER(E85),ISNUMBER(I85)), E85*I85, "")</f>
        <v/>
      </c>
      <c r="N85" s="1435" t="str">
        <f>IF(AND(ISNUMBER(F85),ISNUMBER(J85)),F85*J85,"")</f>
        <v/>
      </c>
      <c r="O85" s="19" t="str">
        <f>IF(AND(ISNUMBER(L85),ISNUMBER(M85),ISNUMBER(N85)), SUM(L85:N85), "")</f>
        <v/>
      </c>
      <c r="P85" s="148"/>
      <c r="Q85" s="928">
        <f>IF(ISNUMBER(O85),1,0)</f>
        <v>0</v>
      </c>
      <c r="R85" s="607" t="s">
        <v>1413</v>
      </c>
    </row>
    <row r="86" spans="1:18" ht="15" customHeight="1" x14ac:dyDescent="0.25">
      <c r="A86" s="187"/>
      <c r="B86" s="1202" t="s">
        <v>1387</v>
      </c>
      <c r="C86" s="1438" t="s">
        <v>1386</v>
      </c>
      <c r="D86" s="378"/>
      <c r="E86" s="161"/>
      <c r="F86" s="1439"/>
      <c r="G86" s="1433"/>
      <c r="H86" s="1440">
        <f>Parameters!F73</f>
        <v>0</v>
      </c>
      <c r="I86" s="1440">
        <f>Parameters!G73</f>
        <v>0</v>
      </c>
      <c r="J86" s="1440">
        <f>Parameters!H73</f>
        <v>0</v>
      </c>
      <c r="K86" s="1433"/>
      <c r="L86" s="1435" t="str">
        <f>IF(AND(ISNUMBER(D86),ISNUMBER(H86)), D86*H86, "")</f>
        <v/>
      </c>
      <c r="M86" s="85" t="str">
        <f>IF(AND(ISNUMBER(E86),ISNUMBER(I86)), E86*I86, "")</f>
        <v/>
      </c>
      <c r="N86" s="1435" t="str">
        <f>IF(AND(ISNUMBER(F86),ISNUMBER(J86)),F86*J86,"")</f>
        <v/>
      </c>
      <c r="O86" s="19" t="str">
        <f>IF(AND(ISNUMBER(L86),ISNUMBER(M86),ISNUMBER(N86)), SUM(L86:N86), "")</f>
        <v/>
      </c>
      <c r="P86" s="148"/>
      <c r="Q86" s="1207">
        <f>IF(ISNUMBER(O86),1,0)</f>
        <v>0</v>
      </c>
      <c r="R86" s="607" t="s">
        <v>1089</v>
      </c>
    </row>
    <row r="87" spans="1:18" ht="15" customHeight="1" x14ac:dyDescent="0.25">
      <c r="A87" s="187"/>
      <c r="B87" s="379" t="str">
        <f>CONCATENATE("Check: row ", ROW(B85), " ≥ LCR total central bank reserves")</f>
        <v>Check: row 85 ≥ LCR total central bank reserves</v>
      </c>
      <c r="C87" s="1436"/>
      <c r="D87" s="380" t="str">
        <f>IF(D85&gt;=LCR!D7,"Pass","Fail")</f>
        <v>Pass</v>
      </c>
      <c r="E87" s="1436"/>
      <c r="F87" s="1437"/>
      <c r="G87" s="1433"/>
      <c r="H87" s="366"/>
      <c r="I87" s="367"/>
      <c r="J87" s="377"/>
      <c r="K87" s="1433"/>
      <c r="L87" s="366"/>
      <c r="M87" s="367"/>
      <c r="N87" s="377"/>
      <c r="O87" s="377"/>
      <c r="P87" s="148"/>
      <c r="R87" s="34"/>
    </row>
    <row r="88" spans="1:18" ht="60" customHeight="1" x14ac:dyDescent="0.25">
      <c r="A88" s="187"/>
      <c r="B88" s="373" t="s">
        <v>1469</v>
      </c>
      <c r="C88" s="1436"/>
      <c r="D88" s="381"/>
      <c r="E88" s="1436"/>
      <c r="F88" s="1437"/>
      <c r="G88" s="1433"/>
      <c r="H88" s="360"/>
      <c r="I88" s="1436"/>
      <c r="J88" s="1437"/>
      <c r="K88" s="1433"/>
      <c r="L88" s="360"/>
      <c r="M88" s="1436"/>
      <c r="N88" s="1436"/>
      <c r="O88" s="1437"/>
      <c r="P88" s="148"/>
      <c r="R88" s="1204"/>
    </row>
    <row r="89" spans="1:18" ht="15" customHeight="1" x14ac:dyDescent="0.25">
      <c r="A89" s="187"/>
      <c r="B89" s="1202" t="s">
        <v>686</v>
      </c>
      <c r="C89" s="1436"/>
      <c r="D89" s="378"/>
      <c r="E89" s="161"/>
      <c r="F89" s="1439"/>
      <c r="G89" s="1433"/>
      <c r="H89" s="1440">
        <v>0</v>
      </c>
      <c r="I89" s="1440">
        <v>0</v>
      </c>
      <c r="J89" s="362">
        <v>0</v>
      </c>
      <c r="K89" s="1433"/>
      <c r="L89" s="1435" t="str">
        <f>IF(AND(ISNUMBER(D89),ISNUMBER(H89)), D89*H89, "")</f>
        <v/>
      </c>
      <c r="M89" s="85" t="str">
        <f>IF(AND(ISNUMBER(E89),ISNUMBER(I89)), E89*I89, "")</f>
        <v/>
      </c>
      <c r="N89" s="1435" t="str">
        <f>IF(AND(ISNUMBER(F89),ISNUMBER(J89)),F89*J89,"")</f>
        <v/>
      </c>
      <c r="O89" s="19" t="str">
        <f>IF(AND(ISNUMBER(L89),ISNUMBER(M89),ISNUMBER(N89)), SUM(L89:N89), "")</f>
        <v/>
      </c>
      <c r="P89" s="148"/>
      <c r="Q89" s="928">
        <f>IF(ISNUMBER(O89),1,0)</f>
        <v>0</v>
      </c>
      <c r="R89" s="34"/>
    </row>
    <row r="90" spans="1:18" ht="15" customHeight="1" x14ac:dyDescent="0.25">
      <c r="A90" s="187"/>
      <c r="B90" s="1202" t="s">
        <v>1053</v>
      </c>
      <c r="C90" s="1436"/>
      <c r="D90" s="381"/>
      <c r="E90" s="1436"/>
      <c r="F90" s="1437"/>
      <c r="G90" s="1433"/>
      <c r="H90" s="360"/>
      <c r="I90" s="1436"/>
      <c r="J90" s="1437"/>
      <c r="K90" s="1433"/>
      <c r="L90" s="360"/>
      <c r="M90" s="1436"/>
      <c r="N90" s="1436"/>
      <c r="O90" s="1437"/>
      <c r="P90" s="148"/>
      <c r="R90" s="607" t="s">
        <v>1416</v>
      </c>
    </row>
    <row r="91" spans="1:18" ht="15" customHeight="1" x14ac:dyDescent="0.25">
      <c r="A91" s="187"/>
      <c r="B91" s="1201" t="s">
        <v>1389</v>
      </c>
      <c r="C91" s="1436"/>
      <c r="D91" s="378"/>
      <c r="E91" s="161"/>
      <c r="F91" s="1439"/>
      <c r="G91" s="1433"/>
      <c r="H91" s="1440">
        <v>0</v>
      </c>
      <c r="I91" s="1440">
        <v>0</v>
      </c>
      <c r="J91" s="362">
        <v>0</v>
      </c>
      <c r="K91" s="1433"/>
      <c r="L91" s="1435" t="str">
        <f t="shared" ref="L91:M93" si="18">IF(AND(ISNUMBER(D91),ISNUMBER(H91)), D91*H91, "")</f>
        <v/>
      </c>
      <c r="M91" s="85" t="str">
        <f t="shared" si="18"/>
        <v/>
      </c>
      <c r="N91" s="1435" t="str">
        <f t="shared" ref="N91:N94" si="19">IF(AND(ISNUMBER(F91),ISNUMBER(J91)),F91*J91,"")</f>
        <v/>
      </c>
      <c r="O91" s="19" t="str">
        <f>IF(AND(ISNUMBER(L91),ISNUMBER(M91),ISNUMBER(N91)), SUM(L91:N91), "")</f>
        <v/>
      </c>
      <c r="P91" s="148"/>
      <c r="Q91" s="928">
        <f t="shared" ref="Q91:Q101" si="20">IF(ISNUMBER(O91),1,0)</f>
        <v>0</v>
      </c>
      <c r="R91" s="607" t="s">
        <v>1416</v>
      </c>
    </row>
    <row r="92" spans="1:18" ht="15" customHeight="1" x14ac:dyDescent="0.25">
      <c r="A92" s="187"/>
      <c r="B92" s="1201" t="s">
        <v>1391</v>
      </c>
      <c r="C92" s="1436"/>
      <c r="D92" s="378"/>
      <c r="E92" s="161"/>
      <c r="F92" s="1439"/>
      <c r="G92" s="1433"/>
      <c r="H92" s="1440">
        <v>0</v>
      </c>
      <c r="I92" s="1440">
        <v>0</v>
      </c>
      <c r="J92" s="362">
        <v>0</v>
      </c>
      <c r="K92" s="1433"/>
      <c r="L92" s="1435" t="str">
        <f t="shared" si="18"/>
        <v/>
      </c>
      <c r="M92" s="85" t="str">
        <f t="shared" si="18"/>
        <v/>
      </c>
      <c r="N92" s="1435" t="str">
        <f t="shared" si="19"/>
        <v/>
      </c>
      <c r="O92" s="19" t="str">
        <f>IF(AND(ISNUMBER(L92),ISNUMBER(M92),ISNUMBER(N92)), SUM(L92:N92), "")</f>
        <v/>
      </c>
      <c r="P92" s="148"/>
      <c r="Q92" s="928">
        <f t="shared" si="20"/>
        <v>0</v>
      </c>
      <c r="R92" s="607" t="s">
        <v>1416</v>
      </c>
    </row>
    <row r="93" spans="1:18" ht="15" customHeight="1" x14ac:dyDescent="0.25">
      <c r="A93" s="187"/>
      <c r="B93" s="1201" t="s">
        <v>1392</v>
      </c>
      <c r="C93" s="1436"/>
      <c r="D93" s="378"/>
      <c r="E93" s="161"/>
      <c r="F93" s="1439"/>
      <c r="G93" s="1433"/>
      <c r="H93" s="1440">
        <v>0</v>
      </c>
      <c r="I93" s="1440">
        <v>0</v>
      </c>
      <c r="J93" s="362">
        <v>0</v>
      </c>
      <c r="K93" s="1433"/>
      <c r="L93" s="1435" t="str">
        <f t="shared" si="18"/>
        <v/>
      </c>
      <c r="M93" s="85" t="str">
        <f t="shared" si="18"/>
        <v/>
      </c>
      <c r="N93" s="1435" t="str">
        <f t="shared" si="19"/>
        <v/>
      </c>
      <c r="O93" s="19" t="str">
        <f>IF(AND(ISNUMBER(L93),ISNUMBER(M93),ISNUMBER(N93)), SUM(L93:N93), "")</f>
        <v/>
      </c>
      <c r="P93" s="148"/>
      <c r="Q93" s="928">
        <f t="shared" si="20"/>
        <v>0</v>
      </c>
      <c r="R93" s="607" t="s">
        <v>1416</v>
      </c>
    </row>
    <row r="94" spans="1:18" ht="30" customHeight="1" x14ac:dyDescent="0.25">
      <c r="A94" s="187"/>
      <c r="B94" s="1202" t="s">
        <v>1388</v>
      </c>
      <c r="C94" s="1438" t="s">
        <v>1393</v>
      </c>
      <c r="D94" s="378"/>
      <c r="E94" s="161"/>
      <c r="F94" s="1439"/>
      <c r="G94" s="1433"/>
      <c r="H94" s="1178" t="s">
        <v>1385</v>
      </c>
      <c r="I94" s="1178" t="s">
        <v>1385</v>
      </c>
      <c r="J94" s="362">
        <v>1</v>
      </c>
      <c r="K94" s="1433"/>
      <c r="L94" s="360"/>
      <c r="M94" s="1436"/>
      <c r="N94" s="1435" t="str">
        <f t="shared" si="19"/>
        <v/>
      </c>
      <c r="O94" s="19" t="str">
        <f>IF(ISNUMBER(N94), N94, "")</f>
        <v/>
      </c>
      <c r="P94" s="148"/>
      <c r="Q94" s="1207">
        <f t="shared" si="20"/>
        <v>0</v>
      </c>
      <c r="R94" s="607" t="s">
        <v>1089</v>
      </c>
    </row>
    <row r="95" spans="1:18" ht="30" customHeight="1" x14ac:dyDescent="0.25">
      <c r="A95" s="187"/>
      <c r="B95" s="379" t="str">
        <f>CONCATENATE("Check: row ", ROW(B94), " ≥ LCR deposits at the central institution of an institutional network that receives 25% run-off")</f>
        <v>Check: row 94 ≥ LCR deposits at the central institution of an institutional network that receives 25% run-off</v>
      </c>
      <c r="C95" s="1436"/>
      <c r="D95" s="380" t="str">
        <f>IF(D94&gt;=LCR!D308,"Pass","Fail")</f>
        <v>Pass</v>
      </c>
      <c r="E95" s="1436"/>
      <c r="F95" s="1437"/>
      <c r="G95" s="1433"/>
      <c r="H95" s="366"/>
      <c r="I95" s="367"/>
      <c r="J95" s="377"/>
      <c r="K95" s="1433"/>
      <c r="L95" s="366"/>
      <c r="M95" s="367"/>
      <c r="N95" s="377"/>
      <c r="O95" s="377"/>
      <c r="P95" s="148"/>
      <c r="R95" s="607" t="s">
        <v>1089</v>
      </c>
    </row>
    <row r="96" spans="1:18" ht="30" customHeight="1" x14ac:dyDescent="0.25">
      <c r="A96" s="187"/>
      <c r="B96" s="1404" t="s">
        <v>1757</v>
      </c>
      <c r="C96" s="1436"/>
      <c r="D96" s="381"/>
      <c r="E96" s="1436"/>
      <c r="F96" s="1437"/>
      <c r="G96" s="1433"/>
      <c r="H96" s="360"/>
      <c r="I96" s="1436"/>
      <c r="J96" s="1437"/>
      <c r="K96" s="1433"/>
      <c r="L96" s="366"/>
      <c r="M96" s="367"/>
      <c r="N96" s="377"/>
      <c r="O96" s="377"/>
      <c r="P96" s="148"/>
      <c r="R96" s="607" t="s">
        <v>1089</v>
      </c>
    </row>
    <row r="97" spans="1:18" ht="15" customHeight="1" x14ac:dyDescent="0.25">
      <c r="A97" s="187"/>
      <c r="B97" s="1201" t="s">
        <v>686</v>
      </c>
      <c r="C97" s="1436"/>
      <c r="D97" s="378"/>
      <c r="E97" s="161"/>
      <c r="F97" s="1439"/>
      <c r="G97" s="1433"/>
      <c r="H97" s="1440">
        <v>0.15</v>
      </c>
      <c r="I97" s="1440">
        <v>0.5</v>
      </c>
      <c r="J97" s="362">
        <v>1</v>
      </c>
      <c r="K97" s="1433"/>
      <c r="L97" s="1435" t="str">
        <f>IF(AND(ISNUMBER(D97),ISNUMBER(H97)), D97*H97, "")</f>
        <v/>
      </c>
      <c r="M97" s="85" t="str">
        <f>IF(AND(ISNUMBER(E97),ISNUMBER(I97)), E97*I97, "")</f>
        <v/>
      </c>
      <c r="N97" s="1435" t="str">
        <f t="shared" ref="N97" si="21">IF(AND(ISNUMBER(F97),ISNUMBER(J97)),F97*J97,"")</f>
        <v/>
      </c>
      <c r="O97" s="19" t="str">
        <f>IF(AND(ISNUMBER(L97),ISNUMBER(M97),ISNUMBER(N97)), SUM(L97:N97), "")</f>
        <v/>
      </c>
      <c r="P97" s="148"/>
      <c r="Q97" s="1207">
        <f t="shared" si="20"/>
        <v>0</v>
      </c>
      <c r="R97" s="607" t="s">
        <v>1089</v>
      </c>
    </row>
    <row r="98" spans="1:18" ht="15" customHeight="1" x14ac:dyDescent="0.25">
      <c r="A98" s="187"/>
      <c r="B98" s="1201" t="s">
        <v>1390</v>
      </c>
      <c r="C98" s="1436"/>
      <c r="D98" s="381"/>
      <c r="E98" s="1436"/>
      <c r="F98" s="1437"/>
      <c r="G98" s="1433"/>
      <c r="H98" s="360"/>
      <c r="I98" s="1436"/>
      <c r="J98" s="1437"/>
      <c r="K98" s="1433"/>
      <c r="L98" s="360"/>
      <c r="M98" s="1436"/>
      <c r="N98" s="1436"/>
      <c r="O98" s="1437"/>
      <c r="P98" s="148"/>
      <c r="R98" s="607" t="s">
        <v>1089</v>
      </c>
    </row>
    <row r="99" spans="1:18" ht="15" customHeight="1" x14ac:dyDescent="0.25">
      <c r="A99" s="187"/>
      <c r="B99" s="1206" t="s">
        <v>1389</v>
      </c>
      <c r="C99" s="1436"/>
      <c r="D99" s="378"/>
      <c r="E99" s="161"/>
      <c r="F99" s="1439"/>
      <c r="G99" s="1433"/>
      <c r="H99" s="1440">
        <v>0.15</v>
      </c>
      <c r="I99" s="1440">
        <v>0.5</v>
      </c>
      <c r="J99" s="362">
        <v>1</v>
      </c>
      <c r="K99" s="1433"/>
      <c r="L99" s="1435" t="str">
        <f t="shared" ref="L99:M101" si="22">IF(AND(ISNUMBER(D99),ISNUMBER(H99)), D99*H99, "")</f>
        <v/>
      </c>
      <c r="M99" s="85" t="str">
        <f t="shared" si="22"/>
        <v/>
      </c>
      <c r="N99" s="1435" t="str">
        <f t="shared" ref="N99:N101" si="23">IF(AND(ISNUMBER(F99),ISNUMBER(J99)),F99*J99,"")</f>
        <v/>
      </c>
      <c r="O99" s="19" t="str">
        <f>IF(AND(ISNUMBER(L99),ISNUMBER(M99),ISNUMBER(N99)), SUM(L99:N99), "")</f>
        <v/>
      </c>
      <c r="P99" s="148"/>
      <c r="Q99" s="1207">
        <f t="shared" si="20"/>
        <v>0</v>
      </c>
      <c r="R99" s="607" t="s">
        <v>1089</v>
      </c>
    </row>
    <row r="100" spans="1:18" ht="15" customHeight="1" x14ac:dyDescent="0.25">
      <c r="A100" s="187"/>
      <c r="B100" s="1206" t="s">
        <v>1391</v>
      </c>
      <c r="C100" s="1436"/>
      <c r="D100" s="378"/>
      <c r="E100" s="161"/>
      <c r="F100" s="1439"/>
      <c r="G100" s="1433"/>
      <c r="H100" s="1440">
        <v>0.5</v>
      </c>
      <c r="I100" s="1440">
        <v>0.5</v>
      </c>
      <c r="J100" s="362">
        <v>1</v>
      </c>
      <c r="K100" s="1433"/>
      <c r="L100" s="1435" t="str">
        <f t="shared" si="22"/>
        <v/>
      </c>
      <c r="M100" s="85" t="str">
        <f t="shared" si="22"/>
        <v/>
      </c>
      <c r="N100" s="1435" t="str">
        <f t="shared" si="23"/>
        <v/>
      </c>
      <c r="O100" s="19" t="str">
        <f>IF(AND(ISNUMBER(L100),ISNUMBER(M100),ISNUMBER(N100)), SUM(L100:N100), "")</f>
        <v/>
      </c>
      <c r="P100" s="148"/>
      <c r="Q100" s="1207">
        <f t="shared" si="20"/>
        <v>0</v>
      </c>
      <c r="R100" s="607" t="s">
        <v>1089</v>
      </c>
    </row>
    <row r="101" spans="1:18" ht="15" customHeight="1" x14ac:dyDescent="0.25">
      <c r="A101" s="187"/>
      <c r="B101" s="1206" t="s">
        <v>1392</v>
      </c>
      <c r="C101" s="1436"/>
      <c r="D101" s="378"/>
      <c r="E101" s="161"/>
      <c r="F101" s="1439"/>
      <c r="G101" s="1433"/>
      <c r="H101" s="1440">
        <v>1</v>
      </c>
      <c r="I101" s="1440">
        <v>1</v>
      </c>
      <c r="J101" s="362">
        <v>1</v>
      </c>
      <c r="K101" s="1433"/>
      <c r="L101" s="1435" t="str">
        <f t="shared" si="22"/>
        <v/>
      </c>
      <c r="M101" s="85" t="str">
        <f t="shared" si="22"/>
        <v/>
      </c>
      <c r="N101" s="1435" t="str">
        <f t="shared" si="23"/>
        <v/>
      </c>
      <c r="O101" s="19" t="str">
        <f>IF(AND(ISNUMBER(L101),ISNUMBER(M101),ISNUMBER(N101)), SUM(L101:N101), "")</f>
        <v/>
      </c>
      <c r="P101" s="148"/>
      <c r="Q101" s="1207">
        <f t="shared" si="20"/>
        <v>0</v>
      </c>
      <c r="R101" s="607" t="s">
        <v>1089</v>
      </c>
    </row>
    <row r="102" spans="1:18" ht="15" customHeight="1" x14ac:dyDescent="0.25">
      <c r="A102" s="187"/>
      <c r="B102" s="373" t="s">
        <v>1054</v>
      </c>
      <c r="C102" s="1436"/>
      <c r="D102" s="381"/>
      <c r="E102" s="1436"/>
      <c r="F102" s="1437"/>
      <c r="G102" s="1433"/>
      <c r="H102" s="360"/>
      <c r="I102" s="1436"/>
      <c r="J102" s="1437"/>
      <c r="K102" s="1433"/>
      <c r="L102" s="360"/>
      <c r="M102" s="1436"/>
      <c r="N102" s="1436"/>
      <c r="O102" s="1437"/>
      <c r="P102" s="148"/>
      <c r="R102" s="607" t="s">
        <v>1089</v>
      </c>
    </row>
    <row r="103" spans="1:18" ht="45" customHeight="1" x14ac:dyDescent="0.25">
      <c r="A103" s="187"/>
      <c r="B103" s="1202" t="s">
        <v>1394</v>
      </c>
      <c r="C103" s="1438" t="s">
        <v>1070</v>
      </c>
      <c r="D103" s="381"/>
      <c r="E103" s="1436"/>
      <c r="F103" s="1437"/>
      <c r="G103" s="1433"/>
      <c r="H103" s="360"/>
      <c r="I103" s="1436"/>
      <c r="J103" s="1437"/>
      <c r="K103" s="1433"/>
      <c r="L103" s="360"/>
      <c r="M103" s="1436"/>
      <c r="N103" s="1436"/>
      <c r="O103" s="1437"/>
      <c r="P103" s="148"/>
      <c r="R103" s="607" t="s">
        <v>1089</v>
      </c>
    </row>
    <row r="104" spans="1:18" ht="15" customHeight="1" x14ac:dyDescent="0.25">
      <c r="A104" s="187"/>
      <c r="B104" s="1201" t="s">
        <v>686</v>
      </c>
      <c r="C104" s="1436"/>
      <c r="D104" s="378"/>
      <c r="E104" s="161"/>
      <c r="F104" s="1439"/>
      <c r="G104" s="1433"/>
      <c r="H104" s="1440">
        <v>0.1</v>
      </c>
      <c r="I104" s="1440">
        <v>0.5</v>
      </c>
      <c r="J104" s="362">
        <v>1</v>
      </c>
      <c r="K104" s="1433"/>
      <c r="L104" s="1435" t="str">
        <f>IF(AND(ISNUMBER(D104),ISNUMBER(H104)), D104*H104, "")</f>
        <v/>
      </c>
      <c r="M104" s="85" t="str">
        <f>IF(AND(ISNUMBER(E104),ISNUMBER(I104)), E104*I104, "")</f>
        <v/>
      </c>
      <c r="N104" s="1435" t="str">
        <f>IF(AND(ISNUMBER(F104),ISNUMBER(J104)),F104*J104,"")</f>
        <v/>
      </c>
      <c r="O104" s="19" t="str">
        <f>IF(AND(ISNUMBER(L104),ISNUMBER(M104),ISNUMBER(N104)),SUM(L104:N104),"")</f>
        <v/>
      </c>
      <c r="P104" s="148"/>
      <c r="Q104" s="928">
        <f>IF(ISNUMBER(O104),1,0)</f>
        <v>0</v>
      </c>
      <c r="R104" s="607" t="s">
        <v>1089</v>
      </c>
    </row>
    <row r="105" spans="1:18" ht="15" customHeight="1" x14ac:dyDescent="0.25">
      <c r="A105" s="187"/>
      <c r="B105" s="1201" t="s">
        <v>1053</v>
      </c>
      <c r="C105" s="1436"/>
      <c r="D105" s="381"/>
      <c r="E105" s="1436"/>
      <c r="F105" s="1437"/>
      <c r="G105" s="1433"/>
      <c r="H105" s="360"/>
      <c r="I105" s="1436"/>
      <c r="J105" s="1437"/>
      <c r="K105" s="1433"/>
      <c r="L105" s="360"/>
      <c r="M105" s="1436"/>
      <c r="N105" s="1436"/>
      <c r="O105" s="1437"/>
      <c r="P105" s="148"/>
      <c r="R105" s="607" t="s">
        <v>1089</v>
      </c>
    </row>
    <row r="106" spans="1:18" ht="15" customHeight="1" x14ac:dyDescent="0.25">
      <c r="A106" s="187"/>
      <c r="B106" s="1206" t="s">
        <v>1389</v>
      </c>
      <c r="C106" s="1436"/>
      <c r="D106" s="378"/>
      <c r="E106" s="161"/>
      <c r="F106" s="1439"/>
      <c r="G106" s="1433"/>
      <c r="H106" s="1440">
        <v>0.1</v>
      </c>
      <c r="I106" s="1440">
        <v>0.5</v>
      </c>
      <c r="J106" s="362">
        <v>1</v>
      </c>
      <c r="K106" s="1433"/>
      <c r="L106" s="1435" t="str">
        <f t="shared" ref="L106:M108" si="24">IF(AND(ISNUMBER(D106),ISNUMBER(H106)), D106*H106, "")</f>
        <v/>
      </c>
      <c r="M106" s="85" t="str">
        <f t="shared" si="24"/>
        <v/>
      </c>
      <c r="N106" s="1435" t="str">
        <f>IF(AND(ISNUMBER(F106),ISNUMBER(J106)),F106*J106,"")</f>
        <v/>
      </c>
      <c r="O106" s="19" t="str">
        <f>IF(AND(ISNUMBER(L106),ISNUMBER(M106),ISNUMBER(N106)),SUM(L106:N106),"")</f>
        <v/>
      </c>
      <c r="P106" s="148"/>
      <c r="Q106" s="928">
        <f t="shared" ref="Q106:Q108" si="25">IF(ISNUMBER(O106),1,0)</f>
        <v>0</v>
      </c>
      <c r="R106" s="607" t="s">
        <v>1089</v>
      </c>
    </row>
    <row r="107" spans="1:18" ht="15" customHeight="1" x14ac:dyDescent="0.25">
      <c r="A107" s="187"/>
      <c r="B107" s="1206" t="s">
        <v>1391</v>
      </c>
      <c r="C107" s="1436"/>
      <c r="D107" s="378"/>
      <c r="E107" s="161"/>
      <c r="F107" s="1439"/>
      <c r="G107" s="1433"/>
      <c r="H107" s="1440">
        <v>0.5</v>
      </c>
      <c r="I107" s="1440">
        <v>0.5</v>
      </c>
      <c r="J107" s="362">
        <v>1</v>
      </c>
      <c r="K107" s="1433"/>
      <c r="L107" s="1435" t="str">
        <f t="shared" si="24"/>
        <v/>
      </c>
      <c r="M107" s="85" t="str">
        <f t="shared" si="24"/>
        <v/>
      </c>
      <c r="N107" s="1435" t="str">
        <f>IF(AND(ISNUMBER(F107),ISNUMBER(J107)),F107*J107,"")</f>
        <v/>
      </c>
      <c r="O107" s="19" t="str">
        <f>IF(AND(ISNUMBER(L107),ISNUMBER(M107),ISNUMBER(N107)),SUM(L107:N107),"")</f>
        <v/>
      </c>
      <c r="P107" s="148"/>
      <c r="Q107" s="928">
        <f t="shared" si="25"/>
        <v>0</v>
      </c>
      <c r="R107" s="607" t="s">
        <v>1089</v>
      </c>
    </row>
    <row r="108" spans="1:18" ht="15" customHeight="1" x14ac:dyDescent="0.25">
      <c r="A108" s="187"/>
      <c r="B108" s="1206" t="s">
        <v>1392</v>
      </c>
      <c r="C108" s="1436"/>
      <c r="D108" s="378"/>
      <c r="E108" s="161"/>
      <c r="F108" s="1439"/>
      <c r="G108" s="1433"/>
      <c r="H108" s="1440">
        <v>1</v>
      </c>
      <c r="I108" s="1440">
        <v>1</v>
      </c>
      <c r="J108" s="362">
        <v>1</v>
      </c>
      <c r="K108" s="1433"/>
      <c r="L108" s="1435" t="str">
        <f t="shared" si="24"/>
        <v/>
      </c>
      <c r="M108" s="85" t="str">
        <f t="shared" si="24"/>
        <v/>
      </c>
      <c r="N108" s="1435" t="str">
        <f>IF(AND(ISNUMBER(F108),ISNUMBER(J108)),F108*J108,"")</f>
        <v/>
      </c>
      <c r="O108" s="19" t="str">
        <f>IF(AND(ISNUMBER(L108),ISNUMBER(M108),ISNUMBER(N108)),SUM(L108:N108),"")</f>
        <v/>
      </c>
      <c r="P108" s="148"/>
      <c r="Q108" s="928">
        <f t="shared" si="25"/>
        <v>0</v>
      </c>
      <c r="R108" s="607" t="s">
        <v>1089</v>
      </c>
    </row>
    <row r="109" spans="1:18" ht="30" customHeight="1" x14ac:dyDescent="0.25">
      <c r="A109" s="187"/>
      <c r="B109" s="1202" t="s">
        <v>1055</v>
      </c>
      <c r="C109" s="1438" t="s">
        <v>1071</v>
      </c>
      <c r="D109" s="381"/>
      <c r="E109" s="1436"/>
      <c r="F109" s="1437"/>
      <c r="G109" s="1433"/>
      <c r="H109" s="360"/>
      <c r="I109" s="360"/>
      <c r="J109" s="1437"/>
      <c r="K109" s="1433"/>
      <c r="L109" s="360"/>
      <c r="M109" s="360"/>
      <c r="N109" s="360"/>
      <c r="O109" s="1437"/>
      <c r="P109" s="148"/>
      <c r="R109" s="607" t="s">
        <v>1089</v>
      </c>
    </row>
    <row r="110" spans="1:18" ht="15" customHeight="1" x14ac:dyDescent="0.25">
      <c r="A110" s="187"/>
      <c r="B110" s="1201" t="s">
        <v>686</v>
      </c>
      <c r="C110" s="1436"/>
      <c r="D110" s="378"/>
      <c r="E110" s="161"/>
      <c r="F110" s="1439"/>
      <c r="G110" s="1433"/>
      <c r="H110" s="1440">
        <v>0.15</v>
      </c>
      <c r="I110" s="1440">
        <v>0.5</v>
      </c>
      <c r="J110" s="362">
        <v>1</v>
      </c>
      <c r="K110" s="1433"/>
      <c r="L110" s="1435" t="str">
        <f>IF(AND(ISNUMBER(D110),ISNUMBER(H110)), D110*H110, "")</f>
        <v/>
      </c>
      <c r="M110" s="85" t="str">
        <f>IF(AND(ISNUMBER(E110),ISNUMBER(I110)), E110*I110, "")</f>
        <v/>
      </c>
      <c r="N110" s="1435" t="str">
        <f>IF(AND(ISNUMBER(F110),ISNUMBER(J110)),F110*J110,"")</f>
        <v/>
      </c>
      <c r="O110" s="19" t="str">
        <f>IF(AND(ISNUMBER(L110),ISNUMBER(M110),ISNUMBER(N110)),SUM(L110:N110),"")</f>
        <v/>
      </c>
      <c r="P110" s="148"/>
      <c r="Q110" s="928">
        <f>IF(ISNUMBER(O110),1,0)</f>
        <v>0</v>
      </c>
      <c r="R110" s="607" t="s">
        <v>1089</v>
      </c>
    </row>
    <row r="111" spans="1:18" ht="15" customHeight="1" x14ac:dyDescent="0.25">
      <c r="A111" s="187"/>
      <c r="B111" s="1201" t="s">
        <v>1053</v>
      </c>
      <c r="C111" s="1436"/>
      <c r="D111" s="381"/>
      <c r="E111" s="1436"/>
      <c r="F111" s="1437"/>
      <c r="G111" s="1433"/>
      <c r="H111" s="360"/>
      <c r="I111" s="1436"/>
      <c r="J111" s="1437"/>
      <c r="K111" s="1433"/>
      <c r="L111" s="360"/>
      <c r="M111" s="1436"/>
      <c r="N111" s="1436"/>
      <c r="O111" s="1437"/>
      <c r="P111" s="148"/>
      <c r="R111" s="607" t="s">
        <v>1089</v>
      </c>
    </row>
    <row r="112" spans="1:18" ht="15" customHeight="1" x14ac:dyDescent="0.25">
      <c r="A112" s="187"/>
      <c r="B112" s="1206" t="s">
        <v>1389</v>
      </c>
      <c r="C112" s="1436"/>
      <c r="D112" s="378"/>
      <c r="E112" s="161"/>
      <c r="F112" s="1439"/>
      <c r="G112" s="1433"/>
      <c r="H112" s="1440">
        <v>0.15</v>
      </c>
      <c r="I112" s="1440">
        <v>0.5</v>
      </c>
      <c r="J112" s="362">
        <v>1</v>
      </c>
      <c r="K112" s="1433"/>
      <c r="L112" s="1435" t="str">
        <f t="shared" ref="L112:M114" si="26">IF(AND(ISNUMBER(D112),ISNUMBER(H112)), D112*H112, "")</f>
        <v/>
      </c>
      <c r="M112" s="85" t="str">
        <f t="shared" si="26"/>
        <v/>
      </c>
      <c r="N112" s="1435" t="str">
        <f>IF(AND(ISNUMBER(F112),ISNUMBER(J112)),F112*J112,"")</f>
        <v/>
      </c>
      <c r="O112" s="19" t="str">
        <f>IF(AND(ISNUMBER(L112),ISNUMBER(M112),ISNUMBER(N112)),SUM(L112:N112),"")</f>
        <v/>
      </c>
      <c r="P112" s="148"/>
      <c r="Q112" s="928">
        <f t="shared" ref="Q112:Q114" si="27">IF(ISNUMBER(O112),1,0)</f>
        <v>0</v>
      </c>
      <c r="R112" s="607" t="s">
        <v>1089</v>
      </c>
    </row>
    <row r="113" spans="1:18" ht="15" customHeight="1" x14ac:dyDescent="0.25">
      <c r="A113" s="187"/>
      <c r="B113" s="1206" t="s">
        <v>1391</v>
      </c>
      <c r="C113" s="1436"/>
      <c r="D113" s="378"/>
      <c r="E113" s="161"/>
      <c r="F113" s="1439"/>
      <c r="G113" s="1433"/>
      <c r="H113" s="1440">
        <v>0.5</v>
      </c>
      <c r="I113" s="1440">
        <v>0.5</v>
      </c>
      <c r="J113" s="362">
        <v>1</v>
      </c>
      <c r="K113" s="1433"/>
      <c r="L113" s="1435" t="str">
        <f t="shared" si="26"/>
        <v/>
      </c>
      <c r="M113" s="85" t="str">
        <f t="shared" si="26"/>
        <v/>
      </c>
      <c r="N113" s="1435" t="str">
        <f>IF(AND(ISNUMBER(F113),ISNUMBER(J113)),F113*J113,"")</f>
        <v/>
      </c>
      <c r="O113" s="19" t="str">
        <f>IF(AND(ISNUMBER(L113),ISNUMBER(M113),ISNUMBER(N113)),SUM(L113:N113),"")</f>
        <v/>
      </c>
      <c r="P113" s="148"/>
      <c r="Q113" s="928">
        <f t="shared" si="27"/>
        <v>0</v>
      </c>
      <c r="R113" s="607" t="s">
        <v>1089</v>
      </c>
    </row>
    <row r="114" spans="1:18" ht="15" customHeight="1" x14ac:dyDescent="0.25">
      <c r="A114" s="187"/>
      <c r="B114" s="1206" t="s">
        <v>1392</v>
      </c>
      <c r="C114" s="1436"/>
      <c r="D114" s="378"/>
      <c r="E114" s="161"/>
      <c r="F114" s="1439"/>
      <c r="G114" s="1433"/>
      <c r="H114" s="1440">
        <v>1</v>
      </c>
      <c r="I114" s="1440">
        <v>1</v>
      </c>
      <c r="J114" s="362">
        <v>1</v>
      </c>
      <c r="K114" s="1433"/>
      <c r="L114" s="1435" t="str">
        <f t="shared" si="26"/>
        <v/>
      </c>
      <c r="M114" s="85" t="str">
        <f t="shared" si="26"/>
        <v/>
      </c>
      <c r="N114" s="1435" t="str">
        <f>IF(AND(ISNUMBER(F114),ISNUMBER(J114)),F114*J114,"")</f>
        <v/>
      </c>
      <c r="O114" s="19" t="str">
        <f>IF(AND(ISNUMBER(L114),ISNUMBER(M114),ISNUMBER(N114)),SUM(L114:N114),"")</f>
        <v/>
      </c>
      <c r="P114" s="148"/>
      <c r="Q114" s="928">
        <f t="shared" si="27"/>
        <v>0</v>
      </c>
      <c r="R114" s="607" t="s">
        <v>1089</v>
      </c>
    </row>
    <row r="115" spans="1:18" ht="30" customHeight="1" x14ac:dyDescent="0.25">
      <c r="A115" s="187"/>
      <c r="B115" s="1202" t="s">
        <v>1056</v>
      </c>
      <c r="C115" s="1438" t="s">
        <v>1071</v>
      </c>
      <c r="D115" s="381"/>
      <c r="E115" s="1436"/>
      <c r="F115" s="1437"/>
      <c r="G115" s="1433"/>
      <c r="H115" s="360"/>
      <c r="I115" s="360"/>
      <c r="J115" s="1437"/>
      <c r="K115" s="1433"/>
      <c r="L115" s="360"/>
      <c r="M115" s="360"/>
      <c r="N115" s="360"/>
      <c r="O115" s="1437"/>
      <c r="P115" s="148"/>
      <c r="R115" s="607" t="s">
        <v>1089</v>
      </c>
    </row>
    <row r="116" spans="1:18" ht="15" customHeight="1" x14ac:dyDescent="0.25">
      <c r="A116" s="187"/>
      <c r="B116" s="1201" t="s">
        <v>686</v>
      </c>
      <c r="C116" s="1436"/>
      <c r="D116" s="378"/>
      <c r="E116" s="161"/>
      <c r="F116" s="1439"/>
      <c r="G116" s="1433"/>
      <c r="H116" s="1440">
        <v>0.15</v>
      </c>
      <c r="I116" s="1440">
        <v>0.5</v>
      </c>
      <c r="J116" s="362">
        <v>1</v>
      </c>
      <c r="K116" s="1433"/>
      <c r="L116" s="1435" t="str">
        <f>IF(AND(ISNUMBER(D116),ISNUMBER(H116)), D116*H116, "")</f>
        <v/>
      </c>
      <c r="M116" s="85" t="str">
        <f>IF(AND(ISNUMBER(E116),ISNUMBER(I116)), E116*I116, "")</f>
        <v/>
      </c>
      <c r="N116" s="1435" t="str">
        <f>IF(AND(ISNUMBER(F116),ISNUMBER(J116)),F116*J116,"")</f>
        <v/>
      </c>
      <c r="O116" s="19" t="str">
        <f>IF(AND(ISNUMBER(L116),ISNUMBER(M116),ISNUMBER(N116)),SUM(L116:N116),"")</f>
        <v/>
      </c>
      <c r="P116" s="148"/>
      <c r="Q116" s="928">
        <f>IF(ISNUMBER(O116),1,0)</f>
        <v>0</v>
      </c>
      <c r="R116" s="607" t="s">
        <v>1089</v>
      </c>
    </row>
    <row r="117" spans="1:18" ht="15" customHeight="1" x14ac:dyDescent="0.25">
      <c r="A117" s="187"/>
      <c r="B117" s="1201" t="s">
        <v>1053</v>
      </c>
      <c r="C117" s="1436"/>
      <c r="D117" s="381"/>
      <c r="E117" s="1436"/>
      <c r="F117" s="1437"/>
      <c r="G117" s="1433"/>
      <c r="H117" s="360"/>
      <c r="I117" s="1436"/>
      <c r="J117" s="1437"/>
      <c r="K117" s="1433"/>
      <c r="L117" s="360"/>
      <c r="M117" s="1436"/>
      <c r="N117" s="1436"/>
      <c r="O117" s="1437"/>
      <c r="P117" s="148"/>
      <c r="R117" s="607" t="s">
        <v>1089</v>
      </c>
    </row>
    <row r="118" spans="1:18" ht="15" customHeight="1" x14ac:dyDescent="0.25">
      <c r="A118" s="187"/>
      <c r="B118" s="1206" t="s">
        <v>1389</v>
      </c>
      <c r="C118" s="1436"/>
      <c r="D118" s="378"/>
      <c r="E118" s="161"/>
      <c r="F118" s="1439"/>
      <c r="G118" s="1433"/>
      <c r="H118" s="1440">
        <v>0.15</v>
      </c>
      <c r="I118" s="1440">
        <v>0.5</v>
      </c>
      <c r="J118" s="362">
        <v>1</v>
      </c>
      <c r="K118" s="1433"/>
      <c r="L118" s="1435" t="str">
        <f t="shared" ref="L118:M120" si="28">IF(AND(ISNUMBER(D118),ISNUMBER(H118)), D118*H118, "")</f>
        <v/>
      </c>
      <c r="M118" s="85" t="str">
        <f t="shared" si="28"/>
        <v/>
      </c>
      <c r="N118" s="1435" t="str">
        <f t="shared" ref="N118:N120" si="29">IF(AND(ISNUMBER(F118),ISNUMBER(J118)),F118*J118,"")</f>
        <v/>
      </c>
      <c r="O118" s="19" t="str">
        <f>IF(AND(ISNUMBER(L118),ISNUMBER(M118),ISNUMBER(N118)),SUM(L118:N118),"")</f>
        <v/>
      </c>
      <c r="P118" s="148"/>
      <c r="Q118" s="928">
        <f t="shared" ref="Q118:Q120" si="30">IF(ISNUMBER(O118),1,0)</f>
        <v>0</v>
      </c>
      <c r="R118" s="607" t="s">
        <v>1089</v>
      </c>
    </row>
    <row r="119" spans="1:18" ht="15" customHeight="1" x14ac:dyDescent="0.25">
      <c r="A119" s="187"/>
      <c r="B119" s="1206" t="s">
        <v>1391</v>
      </c>
      <c r="C119" s="1436"/>
      <c r="D119" s="378"/>
      <c r="E119" s="161"/>
      <c r="F119" s="1439"/>
      <c r="G119" s="1433"/>
      <c r="H119" s="1440">
        <v>0.5</v>
      </c>
      <c r="I119" s="1440">
        <v>0.5</v>
      </c>
      <c r="J119" s="362">
        <v>1</v>
      </c>
      <c r="K119" s="1433"/>
      <c r="L119" s="1435" t="str">
        <f t="shared" si="28"/>
        <v/>
      </c>
      <c r="M119" s="85" t="str">
        <f t="shared" si="28"/>
        <v/>
      </c>
      <c r="N119" s="1435" t="str">
        <f t="shared" si="29"/>
        <v/>
      </c>
      <c r="O119" s="19" t="str">
        <f>IF(AND(ISNUMBER(L119),ISNUMBER(M119),ISNUMBER(N119)),SUM(L119:N119),"")</f>
        <v/>
      </c>
      <c r="P119" s="148"/>
      <c r="Q119" s="928">
        <f t="shared" si="30"/>
        <v>0</v>
      </c>
      <c r="R119" s="607" t="s">
        <v>1089</v>
      </c>
    </row>
    <row r="120" spans="1:18" ht="15" customHeight="1" x14ac:dyDescent="0.25">
      <c r="A120" s="187"/>
      <c r="B120" s="1206" t="s">
        <v>1392</v>
      </c>
      <c r="C120" s="1436"/>
      <c r="D120" s="378"/>
      <c r="E120" s="161"/>
      <c r="F120" s="1439"/>
      <c r="G120" s="1433"/>
      <c r="H120" s="1440">
        <v>1</v>
      </c>
      <c r="I120" s="1440">
        <v>1</v>
      </c>
      <c r="J120" s="362">
        <v>1</v>
      </c>
      <c r="K120" s="1433"/>
      <c r="L120" s="1435" t="str">
        <f t="shared" si="28"/>
        <v/>
      </c>
      <c r="M120" s="85" t="str">
        <f t="shared" si="28"/>
        <v/>
      </c>
      <c r="N120" s="1435" t="str">
        <f t="shared" si="29"/>
        <v/>
      </c>
      <c r="O120" s="19" t="str">
        <f>IF(AND(ISNUMBER(L120),ISNUMBER(M120),ISNUMBER(N120)),SUM(L120:N120),"")</f>
        <v/>
      </c>
      <c r="P120" s="148"/>
      <c r="Q120" s="928">
        <f t="shared" si="30"/>
        <v>0</v>
      </c>
      <c r="R120" s="607" t="s">
        <v>1089</v>
      </c>
    </row>
    <row r="121" spans="1:18" ht="30" customHeight="1" x14ac:dyDescent="0.25">
      <c r="A121" s="187"/>
      <c r="B121" s="373" t="s">
        <v>1470</v>
      </c>
      <c r="C121" s="1438" t="s">
        <v>1072</v>
      </c>
      <c r="D121" s="381"/>
      <c r="E121" s="1436"/>
      <c r="F121" s="1437"/>
      <c r="G121" s="1433"/>
      <c r="H121" s="360"/>
      <c r="I121" s="1436"/>
      <c r="J121" s="1437"/>
      <c r="K121" s="1433"/>
      <c r="L121" s="360"/>
      <c r="M121" s="1436"/>
      <c r="N121" s="1436"/>
      <c r="O121" s="1437"/>
      <c r="P121" s="148"/>
      <c r="R121" s="607" t="s">
        <v>1417</v>
      </c>
    </row>
    <row r="122" spans="1:18" ht="15" customHeight="1" x14ac:dyDescent="0.25">
      <c r="A122" s="187"/>
      <c r="B122" s="1202" t="s">
        <v>686</v>
      </c>
      <c r="C122" s="1436"/>
      <c r="D122" s="378"/>
      <c r="E122" s="161"/>
      <c r="F122" s="1439"/>
      <c r="G122" s="1433"/>
      <c r="H122" s="1440">
        <v>0.05</v>
      </c>
      <c r="I122" s="1440">
        <v>0.05</v>
      </c>
      <c r="J122" s="362">
        <v>0.05</v>
      </c>
      <c r="K122" s="1433"/>
      <c r="L122" s="1435" t="str">
        <f>IF(AND(ISNUMBER(D122),ISNUMBER(H122)), D122*H122, "")</f>
        <v/>
      </c>
      <c r="M122" s="85" t="str">
        <f>IF(AND(ISNUMBER(E122),ISNUMBER(I122)), E122*I122, "")</f>
        <v/>
      </c>
      <c r="N122" s="1435" t="str">
        <f>IF(AND(ISNUMBER(F122),ISNUMBER(J122)),F122*J122,"")</f>
        <v/>
      </c>
      <c r="O122" s="19" t="str">
        <f>IF(AND(ISNUMBER(L122),ISNUMBER(M122),ISNUMBER(N122)),SUM(L122:N122),"")</f>
        <v/>
      </c>
      <c r="P122" s="148"/>
      <c r="Q122" s="928">
        <f>IF(ISNUMBER(O122),1,0)</f>
        <v>0</v>
      </c>
      <c r="R122" s="34"/>
    </row>
    <row r="123" spans="1:18" ht="15" customHeight="1" x14ac:dyDescent="0.25">
      <c r="A123" s="187"/>
      <c r="B123" s="1202" t="s">
        <v>1053</v>
      </c>
      <c r="C123" s="1436"/>
      <c r="D123" s="381"/>
      <c r="E123" s="1436"/>
      <c r="F123" s="1437"/>
      <c r="G123" s="1433"/>
      <c r="H123" s="360"/>
      <c r="I123" s="1436"/>
      <c r="J123" s="1437"/>
      <c r="K123" s="1433"/>
      <c r="L123" s="360"/>
      <c r="M123" s="1436"/>
      <c r="N123" s="1436"/>
      <c r="O123" s="1437"/>
      <c r="P123" s="148"/>
      <c r="R123" s="607" t="s">
        <v>1416</v>
      </c>
    </row>
    <row r="124" spans="1:18" ht="15" customHeight="1" x14ac:dyDescent="0.25">
      <c r="A124" s="187"/>
      <c r="B124" s="1201" t="s">
        <v>1389</v>
      </c>
      <c r="C124" s="1436"/>
      <c r="D124" s="378"/>
      <c r="E124" s="161"/>
      <c r="F124" s="1439"/>
      <c r="G124" s="1433"/>
      <c r="H124" s="1440">
        <v>0.05</v>
      </c>
      <c r="I124" s="1440">
        <v>0.05</v>
      </c>
      <c r="J124" s="362">
        <v>0.05</v>
      </c>
      <c r="K124" s="1433"/>
      <c r="L124" s="1435" t="str">
        <f t="shared" ref="L124:M126" si="31">IF(AND(ISNUMBER(D124),ISNUMBER(H124)), D124*H124, "")</f>
        <v/>
      </c>
      <c r="M124" s="85" t="str">
        <f t="shared" si="31"/>
        <v/>
      </c>
      <c r="N124" s="1435" t="str">
        <f t="shared" ref="N124:N126" si="32">IF(AND(ISNUMBER(F124),ISNUMBER(J124)),F124*J124,"")</f>
        <v/>
      </c>
      <c r="O124" s="19" t="str">
        <f>IF(AND(ISNUMBER(L124),ISNUMBER(M124),ISNUMBER(N124)),SUM(L124:N124),"")</f>
        <v/>
      </c>
      <c r="P124" s="148"/>
      <c r="Q124" s="928">
        <f t="shared" ref="Q124:Q126" si="33">IF(ISNUMBER(O124),1,0)</f>
        <v>0</v>
      </c>
      <c r="R124" s="607" t="s">
        <v>1416</v>
      </c>
    </row>
    <row r="125" spans="1:18" ht="15" customHeight="1" x14ac:dyDescent="0.25">
      <c r="A125" s="187"/>
      <c r="B125" s="1201" t="s">
        <v>1391</v>
      </c>
      <c r="C125" s="1436"/>
      <c r="D125" s="378"/>
      <c r="E125" s="161"/>
      <c r="F125" s="1439"/>
      <c r="G125" s="1433"/>
      <c r="H125" s="1440">
        <v>0.5</v>
      </c>
      <c r="I125" s="1440">
        <v>0.5</v>
      </c>
      <c r="J125" s="362">
        <v>0.5</v>
      </c>
      <c r="K125" s="1433"/>
      <c r="L125" s="1435" t="str">
        <f t="shared" si="31"/>
        <v/>
      </c>
      <c r="M125" s="85" t="str">
        <f t="shared" si="31"/>
        <v/>
      </c>
      <c r="N125" s="1435" t="str">
        <f t="shared" si="32"/>
        <v/>
      </c>
      <c r="O125" s="19" t="str">
        <f>IF(AND(ISNUMBER(L125),ISNUMBER(M125),ISNUMBER(N125)),SUM(L125:N125),"")</f>
        <v/>
      </c>
      <c r="P125" s="148"/>
      <c r="Q125" s="928">
        <f t="shared" si="33"/>
        <v>0</v>
      </c>
      <c r="R125" s="607" t="s">
        <v>1416</v>
      </c>
    </row>
    <row r="126" spans="1:18" ht="15" customHeight="1" x14ac:dyDescent="0.25">
      <c r="A126" s="187"/>
      <c r="B126" s="1201" t="s">
        <v>1392</v>
      </c>
      <c r="C126" s="1436"/>
      <c r="D126" s="378"/>
      <c r="E126" s="161"/>
      <c r="F126" s="1439"/>
      <c r="G126" s="1433"/>
      <c r="H126" s="1440">
        <v>1</v>
      </c>
      <c r="I126" s="1440">
        <v>1</v>
      </c>
      <c r="J126" s="362">
        <v>1</v>
      </c>
      <c r="K126" s="1433"/>
      <c r="L126" s="1435" t="str">
        <f t="shared" si="31"/>
        <v/>
      </c>
      <c r="M126" s="85" t="str">
        <f t="shared" si="31"/>
        <v/>
      </c>
      <c r="N126" s="1435" t="str">
        <f t="shared" si="32"/>
        <v/>
      </c>
      <c r="O126" s="19" t="str">
        <f>IF(AND(ISNUMBER(L126),ISNUMBER(M126),ISNUMBER(N126)),SUM(L126:N126),"")</f>
        <v/>
      </c>
      <c r="P126" s="148"/>
      <c r="Q126" s="928">
        <f t="shared" si="33"/>
        <v>0</v>
      </c>
      <c r="R126" s="607" t="s">
        <v>1416</v>
      </c>
    </row>
    <row r="127" spans="1:18" ht="30" customHeight="1" x14ac:dyDescent="0.25">
      <c r="A127" s="187"/>
      <c r="B127" s="373" t="s">
        <v>1471</v>
      </c>
      <c r="C127" s="1438" t="s">
        <v>1073</v>
      </c>
      <c r="D127" s="381"/>
      <c r="E127" s="1436"/>
      <c r="F127" s="1437"/>
      <c r="G127" s="1433"/>
      <c r="H127" s="360"/>
      <c r="I127" s="1436"/>
      <c r="J127" s="1437"/>
      <c r="K127" s="1433"/>
      <c r="L127" s="360"/>
      <c r="M127" s="1436"/>
      <c r="N127" s="1436"/>
      <c r="O127" s="1437"/>
      <c r="P127" s="148"/>
      <c r="R127" s="607" t="s">
        <v>1417</v>
      </c>
    </row>
    <row r="128" spans="1:18" ht="15" customHeight="1" x14ac:dyDescent="0.25">
      <c r="A128" s="187"/>
      <c r="B128" s="1202" t="s">
        <v>686</v>
      </c>
      <c r="C128" s="1436"/>
      <c r="D128" s="378"/>
      <c r="E128" s="161"/>
      <c r="F128" s="1439"/>
      <c r="G128" s="1433"/>
      <c r="H128" s="1440">
        <v>0.15</v>
      </c>
      <c r="I128" s="1440">
        <v>0.15</v>
      </c>
      <c r="J128" s="362">
        <v>0.15</v>
      </c>
      <c r="K128" s="1433"/>
      <c r="L128" s="1435" t="str">
        <f>IF(AND(ISNUMBER(D128),ISNUMBER(H128)), D128*H128, "")</f>
        <v/>
      </c>
      <c r="M128" s="85" t="str">
        <f>IF(AND(ISNUMBER(E128),ISNUMBER(I128)), E128*I128, "")</f>
        <v/>
      </c>
      <c r="N128" s="1435" t="str">
        <f>IF(AND(ISNUMBER(F128),ISNUMBER(J128)),F128*J128,"")</f>
        <v/>
      </c>
      <c r="O128" s="19" t="str">
        <f>IF(AND(ISNUMBER(L128),ISNUMBER(M128),ISNUMBER(N128)),SUM(L128:N128),"")</f>
        <v/>
      </c>
      <c r="P128" s="148"/>
      <c r="Q128" s="928">
        <f>IF(ISNUMBER(O128),1,0)</f>
        <v>0</v>
      </c>
      <c r="R128" s="34"/>
    </row>
    <row r="129" spans="1:18" ht="15" customHeight="1" x14ac:dyDescent="0.25">
      <c r="A129" s="187"/>
      <c r="B129" s="1202" t="s">
        <v>1053</v>
      </c>
      <c r="C129" s="1436"/>
      <c r="D129" s="381"/>
      <c r="E129" s="1436"/>
      <c r="F129" s="1437"/>
      <c r="G129" s="1433"/>
      <c r="H129" s="360"/>
      <c r="I129" s="1436"/>
      <c r="J129" s="1437"/>
      <c r="K129" s="1433"/>
      <c r="L129" s="360"/>
      <c r="M129" s="1436"/>
      <c r="N129" s="1436"/>
      <c r="O129" s="1437"/>
      <c r="P129" s="148"/>
      <c r="R129" s="607" t="s">
        <v>1416</v>
      </c>
    </row>
    <row r="130" spans="1:18" ht="15" customHeight="1" x14ac:dyDescent="0.25">
      <c r="A130" s="187"/>
      <c r="B130" s="1201" t="s">
        <v>1389</v>
      </c>
      <c r="C130" s="1436"/>
      <c r="D130" s="378"/>
      <c r="E130" s="161"/>
      <c r="F130" s="1439"/>
      <c r="G130" s="1433"/>
      <c r="H130" s="1440">
        <v>0.15</v>
      </c>
      <c r="I130" s="1440">
        <v>0.15</v>
      </c>
      <c r="J130" s="362">
        <v>0.15</v>
      </c>
      <c r="K130" s="1433"/>
      <c r="L130" s="1435" t="str">
        <f t="shared" ref="L130:M132" si="34">IF(AND(ISNUMBER(D130),ISNUMBER(H130)), D130*H130, "")</f>
        <v/>
      </c>
      <c r="M130" s="85" t="str">
        <f t="shared" si="34"/>
        <v/>
      </c>
      <c r="N130" s="1435" t="str">
        <f>IF(AND(ISNUMBER(F130),ISNUMBER(J130)),F130*J130,"")</f>
        <v/>
      </c>
      <c r="O130" s="19" t="str">
        <f>IF(AND(ISNUMBER(L130),ISNUMBER(M130),ISNUMBER(N130)),SUM(L130:N130),"")</f>
        <v/>
      </c>
      <c r="P130" s="148"/>
      <c r="Q130" s="928">
        <f t="shared" ref="Q130:Q132" si="35">IF(ISNUMBER(O130),1,0)</f>
        <v>0</v>
      </c>
      <c r="R130" s="607" t="s">
        <v>1416</v>
      </c>
    </row>
    <row r="131" spans="1:18" ht="15" customHeight="1" x14ac:dyDescent="0.25">
      <c r="A131" s="187"/>
      <c r="B131" s="1201" t="s">
        <v>1391</v>
      </c>
      <c r="C131" s="1436"/>
      <c r="D131" s="378"/>
      <c r="E131" s="161"/>
      <c r="F131" s="1439"/>
      <c r="G131" s="1433"/>
      <c r="H131" s="1440">
        <v>0.5</v>
      </c>
      <c r="I131" s="1440">
        <v>0.5</v>
      </c>
      <c r="J131" s="362">
        <v>0.5</v>
      </c>
      <c r="K131" s="1433"/>
      <c r="L131" s="1435" t="str">
        <f t="shared" si="34"/>
        <v/>
      </c>
      <c r="M131" s="85" t="str">
        <f t="shared" si="34"/>
        <v/>
      </c>
      <c r="N131" s="1435" t="str">
        <f>IF(AND(ISNUMBER(F131),ISNUMBER(J131)),F131*J131,"")</f>
        <v/>
      </c>
      <c r="O131" s="19" t="str">
        <f>IF(AND(ISNUMBER(L131),ISNUMBER(M131),ISNUMBER(N131)),SUM(L131:N131),"")</f>
        <v/>
      </c>
      <c r="P131" s="148"/>
      <c r="Q131" s="928">
        <f t="shared" si="35"/>
        <v>0</v>
      </c>
      <c r="R131" s="607" t="s">
        <v>1416</v>
      </c>
    </row>
    <row r="132" spans="1:18" ht="15" customHeight="1" x14ac:dyDescent="0.25">
      <c r="A132" s="187"/>
      <c r="B132" s="1201" t="s">
        <v>1392</v>
      </c>
      <c r="C132" s="1436"/>
      <c r="D132" s="378"/>
      <c r="E132" s="161"/>
      <c r="F132" s="1439"/>
      <c r="G132" s="1433"/>
      <c r="H132" s="1440">
        <v>1</v>
      </c>
      <c r="I132" s="1440">
        <v>1</v>
      </c>
      <c r="J132" s="362">
        <v>1</v>
      </c>
      <c r="K132" s="1433"/>
      <c r="L132" s="1435" t="str">
        <f t="shared" si="34"/>
        <v/>
      </c>
      <c r="M132" s="85" t="str">
        <f t="shared" si="34"/>
        <v/>
      </c>
      <c r="N132" s="1435" t="str">
        <f>IF(AND(ISNUMBER(F132),ISNUMBER(J132)),F132*J132,"")</f>
        <v/>
      </c>
      <c r="O132" s="19" t="str">
        <f>IF(AND(ISNUMBER(L132),ISNUMBER(M132),ISNUMBER(N132)),SUM(L132:N132),"")</f>
        <v/>
      </c>
      <c r="P132" s="148"/>
      <c r="Q132" s="928">
        <f t="shared" si="35"/>
        <v>0</v>
      </c>
      <c r="R132" s="607" t="s">
        <v>1416</v>
      </c>
    </row>
    <row r="133" spans="1:18" ht="30" customHeight="1" x14ac:dyDescent="0.25">
      <c r="A133" s="187"/>
      <c r="B133" s="373" t="s">
        <v>1472</v>
      </c>
      <c r="C133" s="1438" t="s">
        <v>1074</v>
      </c>
      <c r="D133" s="381"/>
      <c r="E133" s="1436"/>
      <c r="F133" s="1437"/>
      <c r="G133" s="1433"/>
      <c r="H133" s="360"/>
      <c r="I133" s="1436"/>
      <c r="J133" s="1437"/>
      <c r="K133" s="1433"/>
      <c r="L133" s="360"/>
      <c r="M133" s="1436"/>
      <c r="N133" s="1436"/>
      <c r="O133" s="1437"/>
      <c r="P133" s="148"/>
      <c r="R133" s="607" t="s">
        <v>1417</v>
      </c>
    </row>
    <row r="134" spans="1:18" ht="15" customHeight="1" x14ac:dyDescent="0.25">
      <c r="A134" s="187"/>
      <c r="B134" s="1202" t="s">
        <v>686</v>
      </c>
      <c r="C134" s="1436"/>
      <c r="D134" s="378"/>
      <c r="E134" s="161"/>
      <c r="F134" s="1439"/>
      <c r="G134" s="1433"/>
      <c r="H134" s="1440">
        <v>0.5</v>
      </c>
      <c r="I134" s="1440">
        <v>0.5</v>
      </c>
      <c r="J134" s="362">
        <v>0.5</v>
      </c>
      <c r="K134" s="1433"/>
      <c r="L134" s="1435" t="str">
        <f>IF(AND(ISNUMBER(D134),ISNUMBER(H134)), D134*H134, "")</f>
        <v/>
      </c>
      <c r="M134" s="85" t="str">
        <f>IF(AND(ISNUMBER(E134),ISNUMBER(I134)), E134*I134, "")</f>
        <v/>
      </c>
      <c r="N134" s="1435" t="str">
        <f>IF(AND(ISNUMBER(F134),ISNUMBER(J134)),F134*J134,"")</f>
        <v/>
      </c>
      <c r="O134" s="19" t="str">
        <f>IF(AND(ISNUMBER(L134),ISNUMBER(M134),ISNUMBER(N134)),SUM(L134:N134),"")</f>
        <v/>
      </c>
      <c r="P134" s="148"/>
      <c r="Q134" s="928">
        <f>IF(ISNUMBER(O134),1,0)</f>
        <v>0</v>
      </c>
      <c r="R134" s="34"/>
    </row>
    <row r="135" spans="1:18" ht="15" customHeight="1" x14ac:dyDescent="0.25">
      <c r="A135" s="187"/>
      <c r="B135" s="1202" t="s">
        <v>1053</v>
      </c>
      <c r="C135" s="1436"/>
      <c r="D135" s="381"/>
      <c r="E135" s="1436"/>
      <c r="F135" s="1437"/>
      <c r="G135" s="1433"/>
      <c r="H135" s="360"/>
      <c r="I135" s="1436"/>
      <c r="J135" s="1437"/>
      <c r="K135" s="1433"/>
      <c r="L135" s="360"/>
      <c r="M135" s="1436"/>
      <c r="N135" s="1436"/>
      <c r="O135" s="1437"/>
      <c r="P135" s="148"/>
      <c r="R135" s="607" t="s">
        <v>1416</v>
      </c>
    </row>
    <row r="136" spans="1:18" ht="15" customHeight="1" x14ac:dyDescent="0.25">
      <c r="A136" s="187"/>
      <c r="B136" s="1201" t="s">
        <v>1389</v>
      </c>
      <c r="C136" s="1436"/>
      <c r="D136" s="378"/>
      <c r="E136" s="161"/>
      <c r="F136" s="1439"/>
      <c r="G136" s="1433"/>
      <c r="H136" s="1440">
        <v>0.5</v>
      </c>
      <c r="I136" s="1440">
        <v>0.5</v>
      </c>
      <c r="J136" s="362">
        <v>0.5</v>
      </c>
      <c r="K136" s="1433"/>
      <c r="L136" s="1435" t="str">
        <f t="shared" ref="L136:M138" si="36">IF(AND(ISNUMBER(D136),ISNUMBER(H136)), D136*H136, "")</f>
        <v/>
      </c>
      <c r="M136" s="85" t="str">
        <f t="shared" si="36"/>
        <v/>
      </c>
      <c r="N136" s="1435" t="str">
        <f>IF(AND(ISNUMBER(F136),ISNUMBER(J136)),F136*J136,"")</f>
        <v/>
      </c>
      <c r="O136" s="19" t="str">
        <f>IF(AND(ISNUMBER(L136),ISNUMBER(M136),ISNUMBER(N136)),SUM(L136:N136),"")</f>
        <v/>
      </c>
      <c r="P136" s="148"/>
      <c r="Q136" s="928">
        <f t="shared" ref="Q136:Q138" si="37">IF(ISNUMBER(O136),1,0)</f>
        <v>0</v>
      </c>
      <c r="R136" s="607" t="s">
        <v>1416</v>
      </c>
    </row>
    <row r="137" spans="1:18" ht="15" customHeight="1" x14ac:dyDescent="0.25">
      <c r="A137" s="187"/>
      <c r="B137" s="1201" t="s">
        <v>1391</v>
      </c>
      <c r="C137" s="1436"/>
      <c r="D137" s="378"/>
      <c r="E137" s="161"/>
      <c r="F137" s="1439"/>
      <c r="G137" s="1433"/>
      <c r="H137" s="1440">
        <v>0.5</v>
      </c>
      <c r="I137" s="1440">
        <v>0.5</v>
      </c>
      <c r="J137" s="362">
        <v>0.5</v>
      </c>
      <c r="K137" s="1433"/>
      <c r="L137" s="1435" t="str">
        <f t="shared" si="36"/>
        <v/>
      </c>
      <c r="M137" s="85" t="str">
        <f t="shared" si="36"/>
        <v/>
      </c>
      <c r="N137" s="1435" t="str">
        <f>IF(AND(ISNUMBER(F137),ISNUMBER(J137)),F137*J137,"")</f>
        <v/>
      </c>
      <c r="O137" s="19" t="str">
        <f>IF(AND(ISNUMBER(L137),ISNUMBER(M137),ISNUMBER(N137)),SUM(L137:N137),"")</f>
        <v/>
      </c>
      <c r="P137" s="148"/>
      <c r="Q137" s="928">
        <f t="shared" si="37"/>
        <v>0</v>
      </c>
      <c r="R137" s="607" t="s">
        <v>1416</v>
      </c>
    </row>
    <row r="138" spans="1:18" ht="15" customHeight="1" x14ac:dyDescent="0.25">
      <c r="A138" s="187"/>
      <c r="B138" s="1201" t="s">
        <v>1392</v>
      </c>
      <c r="C138" s="1436"/>
      <c r="D138" s="378"/>
      <c r="E138" s="161"/>
      <c r="F138" s="1439"/>
      <c r="G138" s="1433"/>
      <c r="H138" s="1440">
        <v>1</v>
      </c>
      <c r="I138" s="1440">
        <v>1</v>
      </c>
      <c r="J138" s="362">
        <v>1</v>
      </c>
      <c r="K138" s="1433"/>
      <c r="L138" s="1435" t="str">
        <f t="shared" si="36"/>
        <v/>
      </c>
      <c r="M138" s="85" t="str">
        <f t="shared" si="36"/>
        <v/>
      </c>
      <c r="N138" s="1435" t="str">
        <f>IF(AND(ISNUMBER(F138),ISNUMBER(J138)),F138*J138,"")</f>
        <v/>
      </c>
      <c r="O138" s="19" t="str">
        <f>IF(AND(ISNUMBER(L138),ISNUMBER(M138),ISNUMBER(N138)),SUM(L138:N138),"")</f>
        <v/>
      </c>
      <c r="P138" s="148"/>
      <c r="Q138" s="928">
        <f t="shared" si="37"/>
        <v>0</v>
      </c>
      <c r="R138" s="607" t="s">
        <v>1416</v>
      </c>
    </row>
    <row r="139" spans="1:18" ht="30" customHeight="1" x14ac:dyDescent="0.25">
      <c r="A139" s="187"/>
      <c r="B139" s="373" t="s">
        <v>1395</v>
      </c>
      <c r="C139" s="1438" t="s">
        <v>1075</v>
      </c>
      <c r="D139" s="381"/>
      <c r="E139" s="1436"/>
      <c r="F139" s="1437"/>
      <c r="G139" s="1433"/>
      <c r="H139" s="360"/>
      <c r="I139" s="1436"/>
      <c r="J139" s="1437"/>
      <c r="K139" s="1433"/>
      <c r="L139" s="360"/>
      <c r="M139" s="1436"/>
      <c r="N139" s="1436"/>
      <c r="O139" s="1437"/>
      <c r="P139" s="148"/>
      <c r="R139" s="607" t="s">
        <v>1417</v>
      </c>
    </row>
    <row r="140" spans="1:18" ht="15" customHeight="1" x14ac:dyDescent="0.25">
      <c r="A140" s="187"/>
      <c r="B140" s="1202" t="s">
        <v>686</v>
      </c>
      <c r="C140" s="1436"/>
      <c r="D140" s="378"/>
      <c r="E140" s="161"/>
      <c r="F140" s="1439"/>
      <c r="G140" s="1433"/>
      <c r="H140" s="1440">
        <v>0.5</v>
      </c>
      <c r="I140" s="1440">
        <v>0.5</v>
      </c>
      <c r="J140" s="362">
        <v>1</v>
      </c>
      <c r="K140" s="1433"/>
      <c r="L140" s="1435" t="str">
        <f>IF(AND(ISNUMBER(D140),ISNUMBER(H140)), D140*H140, "")</f>
        <v/>
      </c>
      <c r="M140" s="85" t="str">
        <f>IF(AND(ISNUMBER(E140),ISNUMBER(I140)), E140*I140, "")</f>
        <v/>
      </c>
      <c r="N140" s="1435" t="str">
        <f>IF(AND(ISNUMBER(F140),ISNUMBER(J140)),F140*J140,"")</f>
        <v/>
      </c>
      <c r="O140" s="19" t="str">
        <f>IF(AND(ISNUMBER(L140),ISNUMBER(M140),ISNUMBER(N140)),SUM(L140:N140),"")</f>
        <v/>
      </c>
      <c r="P140" s="148"/>
      <c r="Q140" s="928">
        <f>IF(ISNUMBER(O140),1,0)</f>
        <v>0</v>
      </c>
      <c r="R140" s="34"/>
    </row>
    <row r="141" spans="1:18" ht="15" customHeight="1" x14ac:dyDescent="0.25">
      <c r="A141" s="187"/>
      <c r="B141" s="1202" t="s">
        <v>1053</v>
      </c>
      <c r="C141" s="1436"/>
      <c r="D141" s="381"/>
      <c r="E141" s="1436"/>
      <c r="F141" s="1437"/>
      <c r="G141" s="1433"/>
      <c r="H141" s="360"/>
      <c r="I141" s="1436"/>
      <c r="J141" s="1437"/>
      <c r="K141" s="1433"/>
      <c r="L141" s="360"/>
      <c r="M141" s="1436"/>
      <c r="N141" s="1436"/>
      <c r="O141" s="1437"/>
      <c r="P141" s="148"/>
      <c r="R141" s="607" t="s">
        <v>1416</v>
      </c>
    </row>
    <row r="142" spans="1:18" ht="15" customHeight="1" x14ac:dyDescent="0.25">
      <c r="A142" s="187"/>
      <c r="B142" s="1201" t="s">
        <v>1389</v>
      </c>
      <c r="C142" s="1436"/>
      <c r="D142" s="378"/>
      <c r="E142" s="161"/>
      <c r="F142" s="1439"/>
      <c r="G142" s="1433"/>
      <c r="H142" s="1440">
        <v>0.5</v>
      </c>
      <c r="I142" s="1440">
        <v>0.5</v>
      </c>
      <c r="J142" s="362">
        <v>1</v>
      </c>
      <c r="K142" s="1433"/>
      <c r="L142" s="1435" t="str">
        <f t="shared" ref="L142:M144" si="38">IF(AND(ISNUMBER(D142),ISNUMBER(H142)), D142*H142, "")</f>
        <v/>
      </c>
      <c r="M142" s="85" t="str">
        <f t="shared" si="38"/>
        <v/>
      </c>
      <c r="N142" s="1435" t="str">
        <f>IF(AND(ISNUMBER(F142),ISNUMBER(J142)),F142*J142,"")</f>
        <v/>
      </c>
      <c r="O142" s="19" t="str">
        <f>IF(AND(ISNUMBER(L142),ISNUMBER(M142),ISNUMBER(N142)),SUM(L142:N142),"")</f>
        <v/>
      </c>
      <c r="P142" s="148"/>
      <c r="Q142" s="928">
        <f t="shared" ref="Q142:Q144" si="39">IF(ISNUMBER(O142),1,0)</f>
        <v>0</v>
      </c>
      <c r="R142" s="607" t="s">
        <v>1416</v>
      </c>
    </row>
    <row r="143" spans="1:18" ht="15" customHeight="1" x14ac:dyDescent="0.25">
      <c r="A143" s="187"/>
      <c r="B143" s="1201" t="s">
        <v>1391</v>
      </c>
      <c r="C143" s="1436"/>
      <c r="D143" s="378"/>
      <c r="E143" s="161"/>
      <c r="F143" s="1439"/>
      <c r="G143" s="1433"/>
      <c r="H143" s="1440">
        <v>0.5</v>
      </c>
      <c r="I143" s="1440">
        <v>0.5</v>
      </c>
      <c r="J143" s="362">
        <v>1</v>
      </c>
      <c r="K143" s="1433"/>
      <c r="L143" s="1435" t="str">
        <f t="shared" si="38"/>
        <v/>
      </c>
      <c r="M143" s="85" t="str">
        <f t="shared" si="38"/>
        <v/>
      </c>
      <c r="N143" s="1435" t="str">
        <f>IF(AND(ISNUMBER(F143),ISNUMBER(J143)),F143*J143,"")</f>
        <v/>
      </c>
      <c r="O143" s="19" t="str">
        <f>IF(AND(ISNUMBER(L143),ISNUMBER(M143),ISNUMBER(N143)),SUM(L143:N143),"")</f>
        <v/>
      </c>
      <c r="P143" s="148"/>
      <c r="Q143" s="928">
        <f t="shared" si="39"/>
        <v>0</v>
      </c>
      <c r="R143" s="607" t="s">
        <v>1416</v>
      </c>
    </row>
    <row r="144" spans="1:18" ht="15" customHeight="1" x14ac:dyDescent="0.25">
      <c r="A144" s="187"/>
      <c r="B144" s="1201" t="s">
        <v>1392</v>
      </c>
      <c r="C144" s="1436"/>
      <c r="D144" s="378"/>
      <c r="E144" s="161"/>
      <c r="F144" s="1439"/>
      <c r="G144" s="1433"/>
      <c r="H144" s="1440">
        <v>1</v>
      </c>
      <c r="I144" s="1440">
        <v>1</v>
      </c>
      <c r="J144" s="362">
        <v>1</v>
      </c>
      <c r="K144" s="1433"/>
      <c r="L144" s="1435" t="str">
        <f t="shared" si="38"/>
        <v/>
      </c>
      <c r="M144" s="85" t="str">
        <f t="shared" si="38"/>
        <v/>
      </c>
      <c r="N144" s="1435" t="str">
        <f>IF(AND(ISNUMBER(F144),ISNUMBER(J144)),F144*J144,"")</f>
        <v/>
      </c>
      <c r="O144" s="19" t="str">
        <f>IF(AND(ISNUMBER(L144),ISNUMBER(M144),ISNUMBER(N144)),SUM(L144:N144),"")</f>
        <v/>
      </c>
      <c r="P144" s="148"/>
      <c r="Q144" s="928">
        <f t="shared" si="39"/>
        <v>0</v>
      </c>
      <c r="R144" s="607" t="s">
        <v>1416</v>
      </c>
    </row>
    <row r="145" spans="1:18" ht="30" customHeight="1" x14ac:dyDescent="0.25">
      <c r="A145" s="187"/>
      <c r="B145" s="1541" t="s">
        <v>1758</v>
      </c>
      <c r="C145" s="1438" t="s">
        <v>1069</v>
      </c>
      <c r="D145" s="381"/>
      <c r="E145" s="1436"/>
      <c r="F145" s="1437"/>
      <c r="G145" s="1433"/>
      <c r="H145" s="360"/>
      <c r="I145" s="1436"/>
      <c r="J145" s="1437"/>
      <c r="K145" s="1433"/>
      <c r="L145" s="360"/>
      <c r="M145" s="1436"/>
      <c r="N145" s="1436"/>
      <c r="O145" s="1437"/>
      <c r="P145" s="148"/>
      <c r="R145" s="607" t="s">
        <v>1417</v>
      </c>
    </row>
    <row r="146" spans="1:18" ht="15" customHeight="1" x14ac:dyDescent="0.25">
      <c r="A146" s="187"/>
      <c r="B146" s="1202" t="s">
        <v>686</v>
      </c>
      <c r="C146" s="1436"/>
      <c r="D146" s="378"/>
      <c r="E146" s="161"/>
      <c r="F146" s="1437"/>
      <c r="G146" s="1433"/>
      <c r="H146" s="1440">
        <v>0.5</v>
      </c>
      <c r="I146" s="1440">
        <v>0.5</v>
      </c>
      <c r="J146" s="1437"/>
      <c r="K146" s="1433"/>
      <c r="L146" s="1435" t="str">
        <f>IF(AND(ISNUMBER(D146),ISNUMBER(H146)), D146*H146, "")</f>
        <v/>
      </c>
      <c r="M146" s="85" t="str">
        <f>IF(AND(ISNUMBER(E146),ISNUMBER(I146)), E146*I146, "")</f>
        <v/>
      </c>
      <c r="N146" s="1436"/>
      <c r="O146" s="19" t="str">
        <f>IF(AND(ISNUMBER(L146),ISNUMBER(M146)),SUM(L146:M146),"")</f>
        <v/>
      </c>
      <c r="P146" s="148"/>
      <c r="Q146" s="928">
        <f>IF(ISNUMBER(O146),1,0)</f>
        <v>0</v>
      </c>
      <c r="R146" s="34"/>
    </row>
    <row r="147" spans="1:18" ht="15" customHeight="1" x14ac:dyDescent="0.25">
      <c r="A147" s="187"/>
      <c r="B147" s="1202" t="s">
        <v>1053</v>
      </c>
      <c r="C147" s="1436"/>
      <c r="D147" s="381"/>
      <c r="E147" s="1436"/>
      <c r="F147" s="1437"/>
      <c r="G147" s="1433"/>
      <c r="H147" s="360"/>
      <c r="I147" s="1436"/>
      <c r="J147" s="1437"/>
      <c r="K147" s="1433"/>
      <c r="L147" s="360"/>
      <c r="M147" s="1436"/>
      <c r="N147" s="1436"/>
      <c r="O147" s="1437"/>
      <c r="P147" s="148"/>
      <c r="R147" s="607" t="s">
        <v>1416</v>
      </c>
    </row>
    <row r="148" spans="1:18" ht="15" customHeight="1" x14ac:dyDescent="0.25">
      <c r="A148" s="187"/>
      <c r="B148" s="1201" t="s">
        <v>1389</v>
      </c>
      <c r="C148" s="1436"/>
      <c r="D148" s="378"/>
      <c r="E148" s="161"/>
      <c r="F148" s="1437"/>
      <c r="G148" s="1433"/>
      <c r="H148" s="1440">
        <v>0.5</v>
      </c>
      <c r="I148" s="1440">
        <v>0.5</v>
      </c>
      <c r="J148" s="1437"/>
      <c r="K148" s="1433"/>
      <c r="L148" s="1435" t="str">
        <f t="shared" ref="L148:M150" si="40">IF(AND(ISNUMBER(D148),ISNUMBER(H148)), D148*H148, "")</f>
        <v/>
      </c>
      <c r="M148" s="85" t="str">
        <f t="shared" si="40"/>
        <v/>
      </c>
      <c r="N148" s="1436"/>
      <c r="O148" s="19" t="str">
        <f t="shared" ref="O148:O150" si="41">IF(AND(ISNUMBER(L148),ISNUMBER(M148)),SUM(L148:M148),"")</f>
        <v/>
      </c>
      <c r="P148" s="148"/>
      <c r="Q148" s="928">
        <f t="shared" ref="Q148:Q150" si="42">IF(ISNUMBER(O148),1,0)</f>
        <v>0</v>
      </c>
      <c r="R148" s="607" t="s">
        <v>1416</v>
      </c>
    </row>
    <row r="149" spans="1:18" ht="15" customHeight="1" x14ac:dyDescent="0.25">
      <c r="A149" s="187"/>
      <c r="B149" s="1201" t="s">
        <v>1391</v>
      </c>
      <c r="C149" s="1436"/>
      <c r="D149" s="378"/>
      <c r="E149" s="161"/>
      <c r="F149" s="1437"/>
      <c r="G149" s="1433"/>
      <c r="H149" s="1440">
        <v>0.5</v>
      </c>
      <c r="I149" s="1440">
        <v>0.5</v>
      </c>
      <c r="J149" s="1437"/>
      <c r="K149" s="1433"/>
      <c r="L149" s="1435" t="str">
        <f t="shared" si="40"/>
        <v/>
      </c>
      <c r="M149" s="85" t="str">
        <f t="shared" si="40"/>
        <v/>
      </c>
      <c r="N149" s="1436"/>
      <c r="O149" s="19" t="str">
        <f t="shared" si="41"/>
        <v/>
      </c>
      <c r="P149" s="148"/>
      <c r="Q149" s="928">
        <f t="shared" si="42"/>
        <v>0</v>
      </c>
      <c r="R149" s="607" t="s">
        <v>1416</v>
      </c>
    </row>
    <row r="150" spans="1:18" ht="15" customHeight="1" x14ac:dyDescent="0.25">
      <c r="A150" s="187"/>
      <c r="B150" s="1201" t="s">
        <v>1392</v>
      </c>
      <c r="C150" s="1436"/>
      <c r="D150" s="378"/>
      <c r="E150" s="161"/>
      <c r="F150" s="1437"/>
      <c r="G150" s="1433"/>
      <c r="H150" s="1440">
        <v>1</v>
      </c>
      <c r="I150" s="1440">
        <v>1</v>
      </c>
      <c r="J150" s="1437"/>
      <c r="K150" s="1433"/>
      <c r="L150" s="1435" t="str">
        <f t="shared" si="40"/>
        <v/>
      </c>
      <c r="M150" s="85" t="str">
        <f t="shared" si="40"/>
        <v/>
      </c>
      <c r="N150" s="1436"/>
      <c r="O150" s="19" t="str">
        <f t="shared" si="41"/>
        <v/>
      </c>
      <c r="P150" s="148"/>
      <c r="Q150" s="928">
        <f t="shared" si="42"/>
        <v>0</v>
      </c>
      <c r="R150" s="607" t="s">
        <v>1416</v>
      </c>
    </row>
    <row r="151" spans="1:18" ht="30" customHeight="1" x14ac:dyDescent="0.25">
      <c r="A151" s="187"/>
      <c r="B151" s="1541" t="s">
        <v>1759</v>
      </c>
      <c r="C151" s="1438" t="s">
        <v>1787</v>
      </c>
      <c r="D151" s="381"/>
      <c r="E151" s="1436"/>
      <c r="F151" s="1437"/>
      <c r="G151" s="1433"/>
      <c r="H151" s="360"/>
      <c r="I151" s="1436"/>
      <c r="J151" s="1437"/>
      <c r="K151" s="1433"/>
      <c r="L151" s="360"/>
      <c r="M151" s="1436"/>
      <c r="N151" s="1436"/>
      <c r="O151" s="1437"/>
      <c r="P151" s="148"/>
      <c r="R151" s="607" t="s">
        <v>1417</v>
      </c>
    </row>
    <row r="152" spans="1:18" ht="15" customHeight="1" x14ac:dyDescent="0.25">
      <c r="A152" s="187"/>
      <c r="B152" s="1202" t="s">
        <v>686</v>
      </c>
      <c r="C152" s="1436"/>
      <c r="D152" s="378"/>
      <c r="E152" s="161"/>
      <c r="F152" s="1437"/>
      <c r="G152" s="1433"/>
      <c r="H152" s="1440">
        <v>0</v>
      </c>
      <c r="I152" s="1440">
        <v>0.5</v>
      </c>
      <c r="J152" s="1437"/>
      <c r="K152" s="1433"/>
      <c r="L152" s="1435" t="str">
        <f>IF(AND(ISNUMBER(D152),ISNUMBER(H152)), D152*H152, "")</f>
        <v/>
      </c>
      <c r="M152" s="85" t="str">
        <f>IF(AND(ISNUMBER(E152),ISNUMBER(I152)), E152*I152, "")</f>
        <v/>
      </c>
      <c r="N152" s="1436"/>
      <c r="O152" s="19" t="str">
        <f>IF(AND(ISNUMBER(L152),ISNUMBER(M152)),SUM(L152:M152),"")</f>
        <v/>
      </c>
      <c r="P152" s="148"/>
      <c r="Q152" s="928">
        <f>IF(ISNUMBER(O152),1,0)</f>
        <v>0</v>
      </c>
    </row>
    <row r="153" spans="1:18" ht="15" customHeight="1" x14ac:dyDescent="0.25">
      <c r="A153" s="187"/>
      <c r="B153" s="1202" t="s">
        <v>1053</v>
      </c>
      <c r="C153" s="1436"/>
      <c r="D153" s="381"/>
      <c r="E153" s="1436"/>
      <c r="F153" s="1437"/>
      <c r="G153" s="1433"/>
      <c r="H153" s="360"/>
      <c r="I153" s="1436"/>
      <c r="J153" s="1437"/>
      <c r="K153" s="1433"/>
      <c r="L153" s="360"/>
      <c r="M153" s="1436"/>
      <c r="N153" s="1436"/>
      <c r="O153" s="1437"/>
      <c r="P153" s="148"/>
      <c r="R153" s="607" t="s">
        <v>1416</v>
      </c>
    </row>
    <row r="154" spans="1:18" ht="15" customHeight="1" x14ac:dyDescent="0.25">
      <c r="A154" s="187"/>
      <c r="B154" s="1201" t="s">
        <v>1389</v>
      </c>
      <c r="C154" s="1436"/>
      <c r="D154" s="378"/>
      <c r="E154" s="161"/>
      <c r="F154" s="1437"/>
      <c r="G154" s="1433"/>
      <c r="H154" s="1440">
        <v>0</v>
      </c>
      <c r="I154" s="1440">
        <v>0.5</v>
      </c>
      <c r="J154" s="1437"/>
      <c r="K154" s="1433"/>
      <c r="L154" s="1435" t="str">
        <f t="shared" ref="L154:M156" si="43">IF(AND(ISNUMBER(D154),ISNUMBER(H154)), D154*H154, "")</f>
        <v/>
      </c>
      <c r="M154" s="85" t="str">
        <f t="shared" si="43"/>
        <v/>
      </c>
      <c r="N154" s="1436"/>
      <c r="O154" s="19" t="str">
        <f t="shared" ref="O154:O156" si="44">IF(AND(ISNUMBER(L154),ISNUMBER(M154)),SUM(L154:M154),"")</f>
        <v/>
      </c>
      <c r="P154" s="148"/>
      <c r="Q154" s="928">
        <f t="shared" ref="Q154:Q156" si="45">IF(ISNUMBER(O154),1,0)</f>
        <v>0</v>
      </c>
      <c r="R154" s="633" t="s">
        <v>1416</v>
      </c>
    </row>
    <row r="155" spans="1:18" ht="15" customHeight="1" x14ac:dyDescent="0.25">
      <c r="A155" s="187"/>
      <c r="B155" s="1201" t="s">
        <v>1391</v>
      </c>
      <c r="C155" s="1436"/>
      <c r="D155" s="378"/>
      <c r="E155" s="161"/>
      <c r="F155" s="1437"/>
      <c r="G155" s="1433"/>
      <c r="H155" s="1440">
        <v>0.5</v>
      </c>
      <c r="I155" s="1440">
        <v>0.5</v>
      </c>
      <c r="J155" s="1437"/>
      <c r="K155" s="1433"/>
      <c r="L155" s="1435" t="str">
        <f t="shared" si="43"/>
        <v/>
      </c>
      <c r="M155" s="85" t="str">
        <f t="shared" si="43"/>
        <v/>
      </c>
      <c r="N155" s="1436"/>
      <c r="O155" s="19" t="str">
        <f t="shared" si="44"/>
        <v/>
      </c>
      <c r="P155" s="148"/>
      <c r="Q155" s="928">
        <f t="shared" si="45"/>
        <v>0</v>
      </c>
      <c r="R155" s="607" t="s">
        <v>1416</v>
      </c>
    </row>
    <row r="156" spans="1:18" ht="15" customHeight="1" x14ac:dyDescent="0.25">
      <c r="A156" s="187"/>
      <c r="B156" s="1201" t="s">
        <v>1392</v>
      </c>
      <c r="C156" s="1436"/>
      <c r="D156" s="378"/>
      <c r="E156" s="161"/>
      <c r="F156" s="1437"/>
      <c r="G156" s="1433"/>
      <c r="H156" s="1440">
        <v>1</v>
      </c>
      <c r="I156" s="1440">
        <v>1</v>
      </c>
      <c r="J156" s="1437"/>
      <c r="K156" s="1433"/>
      <c r="L156" s="1435" t="str">
        <f t="shared" si="43"/>
        <v/>
      </c>
      <c r="M156" s="85" t="str">
        <f t="shared" si="43"/>
        <v/>
      </c>
      <c r="N156" s="1436"/>
      <c r="O156" s="19" t="str">
        <f t="shared" si="44"/>
        <v/>
      </c>
      <c r="P156" s="148"/>
      <c r="Q156" s="928">
        <f t="shared" si="45"/>
        <v>0</v>
      </c>
      <c r="R156" s="607" t="s">
        <v>1416</v>
      </c>
    </row>
    <row r="157" spans="1:18" ht="30" customHeight="1" x14ac:dyDescent="0.25">
      <c r="A157" s="187"/>
      <c r="B157" s="373" t="s">
        <v>1396</v>
      </c>
      <c r="C157" s="1438" t="s">
        <v>1076</v>
      </c>
      <c r="D157" s="381"/>
      <c r="E157" s="1436"/>
      <c r="F157" s="1437"/>
      <c r="G157" s="1433"/>
      <c r="H157" s="360"/>
      <c r="I157" s="1436"/>
      <c r="J157" s="1437"/>
      <c r="K157" s="1433"/>
      <c r="L157" s="360"/>
      <c r="M157" s="1436"/>
      <c r="N157" s="1436"/>
      <c r="O157" s="1437"/>
      <c r="P157" s="148"/>
      <c r="R157" s="607" t="s">
        <v>1417</v>
      </c>
    </row>
    <row r="158" spans="1:18" ht="15" customHeight="1" x14ac:dyDescent="0.25">
      <c r="A158" s="187"/>
      <c r="B158" s="1202" t="s">
        <v>686</v>
      </c>
      <c r="C158" s="1436"/>
      <c r="D158" s="378"/>
      <c r="E158" s="161"/>
      <c r="F158" s="1437"/>
      <c r="G158" s="1433"/>
      <c r="H158" s="1440">
        <v>0.5</v>
      </c>
      <c r="I158" s="1440">
        <v>0.5</v>
      </c>
      <c r="J158" s="1437"/>
      <c r="K158" s="1433"/>
      <c r="L158" s="1435" t="str">
        <f>IF(AND(ISNUMBER(D158),ISNUMBER(H158)), D158*H158, "")</f>
        <v/>
      </c>
      <c r="M158" s="85" t="str">
        <f>IF(AND(ISNUMBER(E158),ISNUMBER(I158)), E158*I158, "")</f>
        <v/>
      </c>
      <c r="N158" s="1436"/>
      <c r="O158" s="19" t="str">
        <f>IF(AND(ISNUMBER(L158),ISNUMBER(M158)),SUM(L158:M158),"")</f>
        <v/>
      </c>
      <c r="P158" s="148"/>
      <c r="Q158" s="928">
        <f>IF(ISNUMBER(O158),1,0)</f>
        <v>0</v>
      </c>
      <c r="R158" s="34"/>
    </row>
    <row r="159" spans="1:18" ht="15" customHeight="1" x14ac:dyDescent="0.25">
      <c r="A159" s="187"/>
      <c r="B159" s="1202" t="s">
        <v>1053</v>
      </c>
      <c r="C159" s="1436"/>
      <c r="D159" s="381"/>
      <c r="E159" s="1436"/>
      <c r="F159" s="1437"/>
      <c r="G159" s="1433"/>
      <c r="H159" s="360"/>
      <c r="I159" s="1436"/>
      <c r="J159" s="1437"/>
      <c r="K159" s="1433"/>
      <c r="L159" s="360"/>
      <c r="M159" s="1436"/>
      <c r="N159" s="1436"/>
      <c r="O159" s="1437"/>
      <c r="P159" s="148"/>
      <c r="R159" s="607" t="s">
        <v>1416</v>
      </c>
    </row>
    <row r="160" spans="1:18" ht="15" customHeight="1" x14ac:dyDescent="0.25">
      <c r="A160" s="187"/>
      <c r="B160" s="1201" t="s">
        <v>1389</v>
      </c>
      <c r="C160" s="1436"/>
      <c r="D160" s="378"/>
      <c r="E160" s="161"/>
      <c r="F160" s="1437"/>
      <c r="G160" s="1433"/>
      <c r="H160" s="1440">
        <v>0.5</v>
      </c>
      <c r="I160" s="1440">
        <v>0.5</v>
      </c>
      <c r="J160" s="1437"/>
      <c r="K160" s="1433"/>
      <c r="L160" s="1435" t="str">
        <f t="shared" ref="L160:M162" si="46">IF(AND(ISNUMBER(D160),ISNUMBER(H160)), D160*H160, "")</f>
        <v/>
      </c>
      <c r="M160" s="85" t="str">
        <f t="shared" si="46"/>
        <v/>
      </c>
      <c r="N160" s="1436"/>
      <c r="O160" s="19" t="str">
        <f t="shared" ref="O160:O162" si="47">IF(AND(ISNUMBER(L160),ISNUMBER(M160)),SUM(L160:M160),"")</f>
        <v/>
      </c>
      <c r="P160" s="148"/>
      <c r="Q160" s="928">
        <f t="shared" ref="Q160:Q162" si="48">IF(ISNUMBER(O160),1,0)</f>
        <v>0</v>
      </c>
      <c r="R160" s="607" t="s">
        <v>1416</v>
      </c>
    </row>
    <row r="161" spans="1:18" ht="15" customHeight="1" x14ac:dyDescent="0.25">
      <c r="A161" s="187"/>
      <c r="B161" s="1201" t="s">
        <v>1391</v>
      </c>
      <c r="C161" s="1436"/>
      <c r="D161" s="378"/>
      <c r="E161" s="161"/>
      <c r="F161" s="1437"/>
      <c r="G161" s="1433"/>
      <c r="H161" s="1440">
        <v>0.5</v>
      </c>
      <c r="I161" s="1440">
        <v>0.5</v>
      </c>
      <c r="J161" s="1437"/>
      <c r="K161" s="1433"/>
      <c r="L161" s="1435" t="str">
        <f t="shared" si="46"/>
        <v/>
      </c>
      <c r="M161" s="85" t="str">
        <f t="shared" si="46"/>
        <v/>
      </c>
      <c r="N161" s="1436"/>
      <c r="O161" s="19" t="str">
        <f t="shared" si="47"/>
        <v/>
      </c>
      <c r="P161" s="148"/>
      <c r="Q161" s="928">
        <f t="shared" si="48"/>
        <v>0</v>
      </c>
      <c r="R161" s="607" t="s">
        <v>1416</v>
      </c>
    </row>
    <row r="162" spans="1:18" ht="15" customHeight="1" x14ac:dyDescent="0.25">
      <c r="A162" s="187"/>
      <c r="B162" s="1201" t="s">
        <v>1392</v>
      </c>
      <c r="C162" s="1436"/>
      <c r="D162" s="378"/>
      <c r="E162" s="161"/>
      <c r="F162" s="1437"/>
      <c r="G162" s="1433"/>
      <c r="H162" s="1440">
        <v>1</v>
      </c>
      <c r="I162" s="1440">
        <v>1</v>
      </c>
      <c r="J162" s="1437"/>
      <c r="K162" s="1433"/>
      <c r="L162" s="1435" t="str">
        <f t="shared" si="46"/>
        <v/>
      </c>
      <c r="M162" s="85" t="str">
        <f t="shared" si="46"/>
        <v/>
      </c>
      <c r="N162" s="1436"/>
      <c r="O162" s="19" t="str">
        <f t="shared" si="47"/>
        <v/>
      </c>
      <c r="P162" s="148"/>
      <c r="Q162" s="928">
        <f t="shared" si="48"/>
        <v>0</v>
      </c>
      <c r="R162" s="607" t="s">
        <v>1416</v>
      </c>
    </row>
    <row r="163" spans="1:18" ht="30" customHeight="1" x14ac:dyDescent="0.25">
      <c r="A163" s="187"/>
      <c r="B163" s="373" t="s">
        <v>1397</v>
      </c>
      <c r="C163" s="1438" t="s">
        <v>1077</v>
      </c>
      <c r="D163" s="381"/>
      <c r="E163" s="1436"/>
      <c r="F163" s="1437"/>
      <c r="G163" s="1433"/>
      <c r="H163" s="360"/>
      <c r="I163" s="1436"/>
      <c r="J163" s="1437"/>
      <c r="K163" s="1433"/>
      <c r="L163" s="360"/>
      <c r="M163" s="1436"/>
      <c r="N163" s="1436"/>
      <c r="O163" s="1437"/>
      <c r="P163" s="148"/>
      <c r="R163" s="607" t="s">
        <v>1417</v>
      </c>
    </row>
    <row r="164" spans="1:18" ht="15" customHeight="1" x14ac:dyDescent="0.25">
      <c r="A164" s="187"/>
      <c r="B164" s="1202" t="s">
        <v>686</v>
      </c>
      <c r="C164" s="1436"/>
      <c r="D164" s="378"/>
      <c r="E164" s="161"/>
      <c r="F164" s="1439"/>
      <c r="G164" s="1433"/>
      <c r="H164" s="1440">
        <v>0.5</v>
      </c>
      <c r="I164" s="1440">
        <v>0.5</v>
      </c>
      <c r="J164" s="362">
        <v>0.65</v>
      </c>
      <c r="K164" s="1433"/>
      <c r="L164" s="1435" t="str">
        <f>IF(AND(ISNUMBER(D164),ISNUMBER(H164)), D164*H164, "")</f>
        <v/>
      </c>
      <c r="M164" s="85" t="str">
        <f>IF(AND(ISNUMBER(E164),ISNUMBER(I164)), E164*I164, "")</f>
        <v/>
      </c>
      <c r="N164" s="1435" t="str">
        <f>IF(AND(ISNUMBER(F164),ISNUMBER(J164)),F164*J164,"")</f>
        <v/>
      </c>
      <c r="O164" s="19" t="str">
        <f>IF(AND(ISNUMBER(L164),ISNUMBER(M164),ISNUMBER(N164)),SUM(L164:N164),"")</f>
        <v/>
      </c>
      <c r="P164" s="148"/>
      <c r="Q164" s="928">
        <f>IF(ISNUMBER(O164),1,0)</f>
        <v>0</v>
      </c>
      <c r="R164" s="34"/>
    </row>
    <row r="165" spans="1:18" ht="15" customHeight="1" x14ac:dyDescent="0.25">
      <c r="A165" s="187"/>
      <c r="B165" s="1202" t="s">
        <v>1053</v>
      </c>
      <c r="C165" s="1436"/>
      <c r="D165" s="381"/>
      <c r="E165" s="1436"/>
      <c r="F165" s="1437"/>
      <c r="G165" s="1433"/>
      <c r="H165" s="360"/>
      <c r="I165" s="1436"/>
      <c r="J165" s="1437"/>
      <c r="K165" s="1433"/>
      <c r="L165" s="360"/>
      <c r="M165" s="1436"/>
      <c r="N165" s="1436"/>
      <c r="O165" s="1437"/>
      <c r="P165" s="148"/>
      <c r="R165" s="607" t="s">
        <v>1416</v>
      </c>
    </row>
    <row r="166" spans="1:18" ht="15" customHeight="1" x14ac:dyDescent="0.25">
      <c r="A166" s="187"/>
      <c r="B166" s="1201" t="s">
        <v>1389</v>
      </c>
      <c r="C166" s="1436"/>
      <c r="D166" s="378"/>
      <c r="E166" s="161"/>
      <c r="F166" s="1439"/>
      <c r="G166" s="1433"/>
      <c r="H166" s="1440">
        <v>0.5</v>
      </c>
      <c r="I166" s="1440">
        <v>0.5</v>
      </c>
      <c r="J166" s="362">
        <v>0.65</v>
      </c>
      <c r="K166" s="1433"/>
      <c r="L166" s="1435" t="str">
        <f t="shared" ref="L166:M168" si="49">IF(AND(ISNUMBER(D166),ISNUMBER(H166)), D166*H166, "")</f>
        <v/>
      </c>
      <c r="M166" s="85" t="str">
        <f t="shared" si="49"/>
        <v/>
      </c>
      <c r="N166" s="1435" t="str">
        <f t="shared" ref="N166:N168" si="50">IF(AND(ISNUMBER(F166),ISNUMBER(J166)),F166*J166,"")</f>
        <v/>
      </c>
      <c r="O166" s="19" t="str">
        <f>IF(AND(ISNUMBER(L166),ISNUMBER(M166),ISNUMBER(N166)),SUM(L166:N166),"")</f>
        <v/>
      </c>
      <c r="P166" s="148"/>
      <c r="Q166" s="928">
        <f t="shared" ref="Q166:Q168" si="51">IF(ISNUMBER(O166),1,0)</f>
        <v>0</v>
      </c>
      <c r="R166" s="607" t="s">
        <v>1416</v>
      </c>
    </row>
    <row r="167" spans="1:18" ht="15" customHeight="1" x14ac:dyDescent="0.25">
      <c r="A167" s="187"/>
      <c r="B167" s="1201" t="s">
        <v>1391</v>
      </c>
      <c r="C167" s="1436"/>
      <c r="D167" s="378"/>
      <c r="E167" s="161"/>
      <c r="F167" s="1439"/>
      <c r="G167" s="1433"/>
      <c r="H167" s="1440">
        <v>0.5</v>
      </c>
      <c r="I167" s="1440">
        <v>0.5</v>
      </c>
      <c r="J167" s="362">
        <v>0.65</v>
      </c>
      <c r="K167" s="1433"/>
      <c r="L167" s="1435" t="str">
        <f t="shared" si="49"/>
        <v/>
      </c>
      <c r="M167" s="85" t="str">
        <f t="shared" si="49"/>
        <v/>
      </c>
      <c r="N167" s="1435" t="str">
        <f t="shared" si="50"/>
        <v/>
      </c>
      <c r="O167" s="19" t="str">
        <f>IF(AND(ISNUMBER(L167),ISNUMBER(M167),ISNUMBER(N167)),SUM(L167:N167),"")</f>
        <v/>
      </c>
      <c r="P167" s="148"/>
      <c r="Q167" s="928">
        <f t="shared" si="51"/>
        <v>0</v>
      </c>
      <c r="R167" s="607" t="s">
        <v>1416</v>
      </c>
    </row>
    <row r="168" spans="1:18" ht="15" customHeight="1" x14ac:dyDescent="0.25">
      <c r="A168" s="187"/>
      <c r="B168" s="1201" t="s">
        <v>1392</v>
      </c>
      <c r="C168" s="1436"/>
      <c r="D168" s="378"/>
      <c r="E168" s="161"/>
      <c r="F168" s="1439"/>
      <c r="G168" s="1433"/>
      <c r="H168" s="1440">
        <v>1</v>
      </c>
      <c r="I168" s="1440">
        <v>1</v>
      </c>
      <c r="J168" s="362">
        <v>1</v>
      </c>
      <c r="K168" s="1433"/>
      <c r="L168" s="1435" t="str">
        <f t="shared" si="49"/>
        <v/>
      </c>
      <c r="M168" s="85" t="str">
        <f t="shared" si="49"/>
        <v/>
      </c>
      <c r="N168" s="1435" t="str">
        <f t="shared" si="50"/>
        <v/>
      </c>
      <c r="O168" s="19" t="str">
        <f>IF(AND(ISNUMBER(L168),ISNUMBER(M168),ISNUMBER(N168)),SUM(L168:N168),"")</f>
        <v/>
      </c>
      <c r="P168" s="148"/>
      <c r="Q168" s="928">
        <f t="shared" si="51"/>
        <v>0</v>
      </c>
      <c r="R168" s="607" t="s">
        <v>1416</v>
      </c>
    </row>
    <row r="169" spans="1:18" ht="42.75" x14ac:dyDescent="0.25">
      <c r="A169" s="187"/>
      <c r="B169" s="373" t="s">
        <v>1398</v>
      </c>
      <c r="C169" s="1438" t="s">
        <v>1078</v>
      </c>
      <c r="D169" s="381"/>
      <c r="E169" s="1436"/>
      <c r="F169" s="1437"/>
      <c r="G169" s="1433"/>
      <c r="H169" s="360"/>
      <c r="I169" s="1436"/>
      <c r="J169" s="1437"/>
      <c r="K169" s="1433"/>
      <c r="L169" s="360"/>
      <c r="M169" s="1436"/>
      <c r="N169" s="1436"/>
      <c r="O169" s="1437"/>
      <c r="P169" s="148"/>
      <c r="R169" s="607" t="s">
        <v>1417</v>
      </c>
    </row>
    <row r="170" spans="1:18" ht="15" customHeight="1" x14ac:dyDescent="0.25">
      <c r="A170" s="187"/>
      <c r="B170" s="1202" t="s">
        <v>686</v>
      </c>
      <c r="C170" s="1436"/>
      <c r="D170" s="381"/>
      <c r="E170" s="1436"/>
      <c r="F170" s="1439"/>
      <c r="G170" s="1433"/>
      <c r="H170" s="360"/>
      <c r="I170" s="1436"/>
      <c r="J170" s="362">
        <v>0.65</v>
      </c>
      <c r="K170" s="1433"/>
      <c r="L170" s="360"/>
      <c r="M170" s="1436"/>
      <c r="N170" s="1435" t="str">
        <f>IF(AND(ISNUMBER(F170),ISNUMBER(J170)),F170*J170,"")</f>
        <v/>
      </c>
      <c r="O170" s="19" t="str">
        <f>IF(ISNUMBER(N170),N170,"")</f>
        <v/>
      </c>
      <c r="P170" s="148"/>
      <c r="Q170" s="928">
        <f>IF(ISNUMBER(O170),1,0)</f>
        <v>0</v>
      </c>
      <c r="R170" s="34"/>
    </row>
    <row r="171" spans="1:18" ht="15" customHeight="1" x14ac:dyDescent="0.25">
      <c r="A171" s="187"/>
      <c r="B171" s="1202" t="s">
        <v>1053</v>
      </c>
      <c r="C171" s="1436"/>
      <c r="D171" s="381"/>
      <c r="E171" s="1436"/>
      <c r="F171" s="1437"/>
      <c r="G171" s="1433"/>
      <c r="H171" s="360"/>
      <c r="I171" s="1436"/>
      <c r="J171" s="1437"/>
      <c r="K171" s="1433"/>
      <c r="L171" s="360"/>
      <c r="M171" s="1436"/>
      <c r="N171" s="1436"/>
      <c r="O171" s="1437"/>
      <c r="P171" s="148"/>
      <c r="R171" s="607" t="s">
        <v>1416</v>
      </c>
    </row>
    <row r="172" spans="1:18" ht="15" customHeight="1" x14ac:dyDescent="0.25">
      <c r="A172" s="187"/>
      <c r="B172" s="1201" t="s">
        <v>1389</v>
      </c>
      <c r="C172" s="1436"/>
      <c r="D172" s="381"/>
      <c r="E172" s="1436"/>
      <c r="F172" s="1439"/>
      <c r="G172" s="1433"/>
      <c r="H172" s="360"/>
      <c r="I172" s="1436"/>
      <c r="J172" s="362">
        <v>0.65</v>
      </c>
      <c r="K172" s="1433"/>
      <c r="L172" s="360"/>
      <c r="M172" s="1436"/>
      <c r="N172" s="1435" t="str">
        <f>IF(AND(ISNUMBER(F172),ISNUMBER(J172)),F172*J172,"")</f>
        <v/>
      </c>
      <c r="O172" s="19" t="str">
        <f t="shared" ref="O172:O174" si="52">IF(ISNUMBER(N172),N172,"")</f>
        <v/>
      </c>
      <c r="P172" s="148"/>
      <c r="Q172" s="928">
        <f t="shared" ref="Q172:Q174" si="53">IF(ISNUMBER(O172),1,0)</f>
        <v>0</v>
      </c>
      <c r="R172" s="607" t="s">
        <v>1416</v>
      </c>
    </row>
    <row r="173" spans="1:18" ht="15" customHeight="1" x14ac:dyDescent="0.25">
      <c r="A173" s="187"/>
      <c r="B173" s="1201" t="s">
        <v>1391</v>
      </c>
      <c r="C173" s="1436"/>
      <c r="D173" s="381"/>
      <c r="E173" s="1436"/>
      <c r="F173" s="1439"/>
      <c r="G173" s="1433"/>
      <c r="H173" s="360"/>
      <c r="I173" s="1436"/>
      <c r="J173" s="362">
        <v>0.65</v>
      </c>
      <c r="K173" s="1433"/>
      <c r="L173" s="360"/>
      <c r="M173" s="1436"/>
      <c r="N173" s="1435" t="str">
        <f>IF(AND(ISNUMBER(F173),ISNUMBER(J173)),F173*J173,"")</f>
        <v/>
      </c>
      <c r="O173" s="19" t="str">
        <f t="shared" si="52"/>
        <v/>
      </c>
      <c r="P173" s="148"/>
      <c r="Q173" s="928">
        <f t="shared" si="53"/>
        <v>0</v>
      </c>
      <c r="R173" s="607" t="s">
        <v>1416</v>
      </c>
    </row>
    <row r="174" spans="1:18" ht="15" customHeight="1" x14ac:dyDescent="0.25">
      <c r="A174" s="187"/>
      <c r="B174" s="1201" t="s">
        <v>1392</v>
      </c>
      <c r="C174" s="1436"/>
      <c r="D174" s="381"/>
      <c r="E174" s="1436"/>
      <c r="F174" s="1439"/>
      <c r="G174" s="1433"/>
      <c r="H174" s="360"/>
      <c r="I174" s="1436"/>
      <c r="J174" s="362">
        <v>1</v>
      </c>
      <c r="K174" s="1433"/>
      <c r="L174" s="360"/>
      <c r="M174" s="1436"/>
      <c r="N174" s="1435" t="str">
        <f>IF(AND(ISNUMBER(F174),ISNUMBER(J174)),F174*J174,"")</f>
        <v/>
      </c>
      <c r="O174" s="19" t="str">
        <f t="shared" si="52"/>
        <v/>
      </c>
      <c r="P174" s="148"/>
      <c r="Q174" s="928">
        <f t="shared" si="53"/>
        <v>0</v>
      </c>
      <c r="R174" s="607" t="s">
        <v>1416</v>
      </c>
    </row>
    <row r="175" spans="1:18" ht="30" customHeight="1" x14ac:dyDescent="0.25">
      <c r="A175" s="187"/>
      <c r="B175" s="373" t="s">
        <v>1399</v>
      </c>
      <c r="C175" s="1438" t="s">
        <v>1069</v>
      </c>
      <c r="D175" s="381"/>
      <c r="E175" s="1436"/>
      <c r="F175" s="1437"/>
      <c r="G175" s="1433"/>
      <c r="H175" s="360"/>
      <c r="I175" s="1436"/>
      <c r="J175" s="1437"/>
      <c r="K175" s="1433"/>
      <c r="L175" s="360"/>
      <c r="M175" s="1436"/>
      <c r="N175" s="1436"/>
      <c r="O175" s="1437"/>
      <c r="P175" s="148"/>
      <c r="R175" s="607" t="s">
        <v>1417</v>
      </c>
    </row>
    <row r="176" spans="1:18" ht="15" customHeight="1" x14ac:dyDescent="0.25">
      <c r="A176" s="187"/>
      <c r="B176" s="1202" t="s">
        <v>686</v>
      </c>
      <c r="C176" s="1436"/>
      <c r="D176" s="378"/>
      <c r="E176" s="161"/>
      <c r="F176" s="1437"/>
      <c r="G176" s="1433"/>
      <c r="H176" s="1440">
        <v>0.5</v>
      </c>
      <c r="I176" s="1440">
        <v>0.5</v>
      </c>
      <c r="J176" s="1437"/>
      <c r="K176" s="1433"/>
      <c r="L176" s="1435" t="str">
        <f>IF(AND(ISNUMBER(D176),ISNUMBER(H176)), D176*H176, "")</f>
        <v/>
      </c>
      <c r="M176" s="85" t="str">
        <f>IF(AND(ISNUMBER(E176),ISNUMBER(I176)), E176*I176, "")</f>
        <v/>
      </c>
      <c r="N176" s="1436"/>
      <c r="O176" s="19" t="str">
        <f>IF(AND(ISNUMBER(L176),ISNUMBER(M176)),SUM(L176:M176),"")</f>
        <v/>
      </c>
      <c r="P176" s="148"/>
      <c r="Q176" s="928">
        <f>IF(ISNUMBER(O176),1,0)</f>
        <v>0</v>
      </c>
      <c r="R176" s="34"/>
    </row>
    <row r="177" spans="1:18" ht="15" customHeight="1" x14ac:dyDescent="0.25">
      <c r="A177" s="187"/>
      <c r="B177" s="1202" t="s">
        <v>1053</v>
      </c>
      <c r="C177" s="1436"/>
      <c r="D177" s="381"/>
      <c r="E177" s="1436"/>
      <c r="F177" s="1437"/>
      <c r="G177" s="1433"/>
      <c r="H177" s="360"/>
      <c r="I177" s="1436"/>
      <c r="J177" s="1437"/>
      <c r="K177" s="1433"/>
      <c r="L177" s="360"/>
      <c r="M177" s="1436"/>
      <c r="N177" s="1436"/>
      <c r="O177" s="1437"/>
      <c r="P177" s="148"/>
      <c r="R177" s="607" t="s">
        <v>1416</v>
      </c>
    </row>
    <row r="178" spans="1:18" ht="15" customHeight="1" x14ac:dyDescent="0.25">
      <c r="A178" s="187"/>
      <c r="B178" s="1201" t="s">
        <v>1389</v>
      </c>
      <c r="C178" s="1436"/>
      <c r="D178" s="378"/>
      <c r="E178" s="161"/>
      <c r="F178" s="1437"/>
      <c r="G178" s="1433"/>
      <c r="H178" s="1440">
        <v>0.5</v>
      </c>
      <c r="I178" s="1440">
        <v>0.5</v>
      </c>
      <c r="J178" s="1437"/>
      <c r="K178" s="1433"/>
      <c r="L178" s="1435" t="str">
        <f t="shared" ref="L178:M180" si="54">IF(AND(ISNUMBER(D178),ISNUMBER(H178)), D178*H178, "")</f>
        <v/>
      </c>
      <c r="M178" s="85" t="str">
        <f t="shared" si="54"/>
        <v/>
      </c>
      <c r="N178" s="1436"/>
      <c r="O178" s="19" t="str">
        <f t="shared" ref="O178:O180" si="55">IF(AND(ISNUMBER(L178),ISNUMBER(M178)),SUM(L178:M178),"")</f>
        <v/>
      </c>
      <c r="P178" s="148"/>
      <c r="Q178" s="928">
        <f t="shared" ref="Q178:Q180" si="56">IF(ISNUMBER(O178),1,0)</f>
        <v>0</v>
      </c>
      <c r="R178" s="607" t="s">
        <v>1416</v>
      </c>
    </row>
    <row r="179" spans="1:18" ht="15" customHeight="1" x14ac:dyDescent="0.25">
      <c r="A179" s="187"/>
      <c r="B179" s="1201" t="s">
        <v>1391</v>
      </c>
      <c r="C179" s="1436"/>
      <c r="D179" s="378"/>
      <c r="E179" s="161"/>
      <c r="F179" s="1437"/>
      <c r="G179" s="1433"/>
      <c r="H179" s="1440">
        <v>0.5</v>
      </c>
      <c r="I179" s="1440">
        <v>0.5</v>
      </c>
      <c r="J179" s="1437"/>
      <c r="K179" s="1433"/>
      <c r="L179" s="1435" t="str">
        <f t="shared" si="54"/>
        <v/>
      </c>
      <c r="M179" s="85" t="str">
        <f t="shared" si="54"/>
        <v/>
      </c>
      <c r="N179" s="1436"/>
      <c r="O179" s="19" t="str">
        <f t="shared" si="55"/>
        <v/>
      </c>
      <c r="P179" s="148"/>
      <c r="Q179" s="928">
        <f t="shared" si="56"/>
        <v>0</v>
      </c>
      <c r="R179" s="607" t="s">
        <v>1416</v>
      </c>
    </row>
    <row r="180" spans="1:18" ht="15" customHeight="1" x14ac:dyDescent="0.25">
      <c r="A180" s="187"/>
      <c r="B180" s="1201" t="s">
        <v>1392</v>
      </c>
      <c r="C180" s="1436"/>
      <c r="D180" s="378"/>
      <c r="E180" s="161"/>
      <c r="F180" s="1437"/>
      <c r="G180" s="1433"/>
      <c r="H180" s="1440">
        <v>1</v>
      </c>
      <c r="I180" s="1440">
        <v>1</v>
      </c>
      <c r="J180" s="1437"/>
      <c r="K180" s="1433"/>
      <c r="L180" s="1435" t="str">
        <f t="shared" si="54"/>
        <v/>
      </c>
      <c r="M180" s="85" t="str">
        <f t="shared" si="54"/>
        <v/>
      </c>
      <c r="N180" s="1436"/>
      <c r="O180" s="19" t="str">
        <f t="shared" si="55"/>
        <v/>
      </c>
      <c r="P180" s="148"/>
      <c r="Q180" s="928">
        <f t="shared" si="56"/>
        <v>0</v>
      </c>
      <c r="R180" s="607" t="s">
        <v>1416</v>
      </c>
    </row>
    <row r="181" spans="1:18" ht="42.75" x14ac:dyDescent="0.25">
      <c r="A181" s="187"/>
      <c r="B181" s="373" t="s">
        <v>1400</v>
      </c>
      <c r="C181" s="1438" t="s">
        <v>1079</v>
      </c>
      <c r="D181" s="381"/>
      <c r="E181" s="1436"/>
      <c r="F181" s="1437"/>
      <c r="G181" s="1433"/>
      <c r="H181" s="360"/>
      <c r="I181" s="1436"/>
      <c r="J181" s="1437"/>
      <c r="K181" s="1433"/>
      <c r="L181" s="360"/>
      <c r="M181" s="1436"/>
      <c r="N181" s="1436"/>
      <c r="O181" s="1437"/>
      <c r="P181" s="148"/>
      <c r="R181" s="607" t="s">
        <v>1417</v>
      </c>
    </row>
    <row r="182" spans="1:18" ht="15" customHeight="1" x14ac:dyDescent="0.25">
      <c r="A182" s="187"/>
      <c r="B182" s="1202" t="s">
        <v>686</v>
      </c>
      <c r="C182" s="1436"/>
      <c r="D182" s="378"/>
      <c r="E182" s="161"/>
      <c r="F182" s="1439"/>
      <c r="G182" s="1433"/>
      <c r="H182" s="1440">
        <v>0.5</v>
      </c>
      <c r="I182" s="1440">
        <v>0.5</v>
      </c>
      <c r="J182" s="362">
        <v>0.85</v>
      </c>
      <c r="K182" s="1433"/>
      <c r="L182" s="1435" t="str">
        <f>IF(AND(ISNUMBER(D182),ISNUMBER(H182)), D182*H182, "")</f>
        <v/>
      </c>
      <c r="M182" s="85" t="str">
        <f>IF(AND(ISNUMBER(E182),ISNUMBER(I182)), E182*I182, "")</f>
        <v/>
      </c>
      <c r="N182" s="1435" t="str">
        <f>IF(AND(ISNUMBER(F182),ISNUMBER(J182)),F182*J182,"")</f>
        <v/>
      </c>
      <c r="O182" s="19" t="str">
        <f>IF(AND(ISNUMBER(L182),ISNUMBER(M182),ISNUMBER(N182)),SUM(L182:N182),"")</f>
        <v/>
      </c>
      <c r="P182" s="148"/>
      <c r="Q182" s="928">
        <f>IF(ISNUMBER(O182),1,0)</f>
        <v>0</v>
      </c>
      <c r="R182" s="34"/>
    </row>
    <row r="183" spans="1:18" ht="15" customHeight="1" x14ac:dyDescent="0.25">
      <c r="A183" s="187"/>
      <c r="B183" s="1202" t="s">
        <v>1053</v>
      </c>
      <c r="C183" s="1436"/>
      <c r="D183" s="381"/>
      <c r="E183" s="1436"/>
      <c r="F183" s="1437"/>
      <c r="G183" s="1433"/>
      <c r="H183" s="360"/>
      <c r="I183" s="1436"/>
      <c r="J183" s="1437"/>
      <c r="K183" s="1433"/>
      <c r="L183" s="360"/>
      <c r="M183" s="1436"/>
      <c r="N183" s="1436"/>
      <c r="O183" s="1437"/>
      <c r="P183" s="148"/>
      <c r="R183" s="607" t="s">
        <v>1416</v>
      </c>
    </row>
    <row r="184" spans="1:18" ht="15" customHeight="1" x14ac:dyDescent="0.25">
      <c r="A184" s="187"/>
      <c r="B184" s="1201" t="s">
        <v>1389</v>
      </c>
      <c r="C184" s="1436"/>
      <c r="D184" s="378"/>
      <c r="E184" s="161"/>
      <c r="F184" s="1439"/>
      <c r="G184" s="1433"/>
      <c r="H184" s="1440">
        <v>0.5</v>
      </c>
      <c r="I184" s="1440">
        <v>0.5</v>
      </c>
      <c r="J184" s="362">
        <v>0.85</v>
      </c>
      <c r="K184" s="1433"/>
      <c r="L184" s="1435" t="str">
        <f t="shared" ref="L184:M186" si="57">IF(AND(ISNUMBER(D184),ISNUMBER(H184)), D184*H184, "")</f>
        <v/>
      </c>
      <c r="M184" s="85" t="str">
        <f t="shared" si="57"/>
        <v/>
      </c>
      <c r="N184" s="1435" t="str">
        <f>IF(AND(ISNUMBER(F184),ISNUMBER(J184)),F184*J184,"")</f>
        <v/>
      </c>
      <c r="O184" s="19" t="str">
        <f>IF(AND(ISNUMBER(L184),ISNUMBER(M184),ISNUMBER(N184)),SUM(L184:N184),"")</f>
        <v/>
      </c>
      <c r="P184" s="148"/>
      <c r="Q184" s="928">
        <f t="shared" ref="Q184:Q186" si="58">IF(ISNUMBER(O184),1,0)</f>
        <v>0</v>
      </c>
      <c r="R184" s="607" t="s">
        <v>1416</v>
      </c>
    </row>
    <row r="185" spans="1:18" ht="15" customHeight="1" x14ac:dyDescent="0.25">
      <c r="A185" s="187"/>
      <c r="B185" s="1201" t="s">
        <v>1391</v>
      </c>
      <c r="C185" s="1436"/>
      <c r="D185" s="378"/>
      <c r="E185" s="161"/>
      <c r="F185" s="1439"/>
      <c r="G185" s="1433"/>
      <c r="H185" s="1440">
        <v>0.5</v>
      </c>
      <c r="I185" s="1440">
        <v>0.5</v>
      </c>
      <c r="J185" s="362">
        <v>0.85</v>
      </c>
      <c r="K185" s="1433"/>
      <c r="L185" s="1435" t="str">
        <f t="shared" si="57"/>
        <v/>
      </c>
      <c r="M185" s="85" t="str">
        <f t="shared" si="57"/>
        <v/>
      </c>
      <c r="N185" s="1435" t="str">
        <f>IF(AND(ISNUMBER(F185),ISNUMBER(J185)),F185*J185,"")</f>
        <v/>
      </c>
      <c r="O185" s="19" t="str">
        <f>IF(AND(ISNUMBER(L185),ISNUMBER(M185),ISNUMBER(N185)),SUM(L185:N185),"")</f>
        <v/>
      </c>
      <c r="P185" s="148"/>
      <c r="Q185" s="928">
        <f t="shared" si="58"/>
        <v>0</v>
      </c>
      <c r="R185" s="607" t="s">
        <v>1416</v>
      </c>
    </row>
    <row r="186" spans="1:18" ht="15" customHeight="1" x14ac:dyDescent="0.25">
      <c r="A186" s="187"/>
      <c r="B186" s="1201" t="s">
        <v>1392</v>
      </c>
      <c r="C186" s="1436"/>
      <c r="D186" s="378"/>
      <c r="E186" s="161"/>
      <c r="F186" s="1439"/>
      <c r="G186" s="1433"/>
      <c r="H186" s="1440">
        <v>1</v>
      </c>
      <c r="I186" s="1440">
        <v>1</v>
      </c>
      <c r="J186" s="362">
        <v>1</v>
      </c>
      <c r="K186" s="1433"/>
      <c r="L186" s="1435" t="str">
        <f t="shared" si="57"/>
        <v/>
      </c>
      <c r="M186" s="85" t="str">
        <f t="shared" si="57"/>
        <v/>
      </c>
      <c r="N186" s="1435" t="str">
        <f>IF(AND(ISNUMBER(F186),ISNUMBER(J186)),F186*J186,"")</f>
        <v/>
      </c>
      <c r="O186" s="19" t="str">
        <f>IF(AND(ISNUMBER(L186),ISNUMBER(M186),ISNUMBER(N186)),SUM(L186:N186),"")</f>
        <v/>
      </c>
      <c r="P186" s="148"/>
      <c r="Q186" s="928">
        <f t="shared" si="58"/>
        <v>0</v>
      </c>
      <c r="R186" s="607" t="s">
        <v>1416</v>
      </c>
    </row>
    <row r="187" spans="1:18" ht="15" customHeight="1" x14ac:dyDescent="0.25">
      <c r="A187" s="187"/>
      <c r="B187" s="373" t="s">
        <v>1401</v>
      </c>
      <c r="C187" s="1438" t="s">
        <v>1080</v>
      </c>
      <c r="D187" s="381"/>
      <c r="E187" s="1436"/>
      <c r="F187" s="1437"/>
      <c r="G187" s="1433"/>
      <c r="H187" s="360"/>
      <c r="I187" s="1436"/>
      <c r="J187" s="1437"/>
      <c r="K187" s="1433"/>
      <c r="L187" s="360"/>
      <c r="M187" s="1436"/>
      <c r="N187" s="1436"/>
      <c r="O187" s="1437"/>
      <c r="P187" s="148"/>
      <c r="R187" s="607" t="s">
        <v>1417</v>
      </c>
    </row>
    <row r="188" spans="1:18" ht="15" customHeight="1" x14ac:dyDescent="0.25">
      <c r="A188" s="187"/>
      <c r="B188" s="1202" t="s">
        <v>686</v>
      </c>
      <c r="C188" s="1436"/>
      <c r="D188" s="381"/>
      <c r="E188" s="1436"/>
      <c r="F188" s="1439"/>
      <c r="G188" s="1433"/>
      <c r="H188" s="360"/>
      <c r="I188" s="1436"/>
      <c r="J188" s="362">
        <v>0.85</v>
      </c>
      <c r="K188" s="1433"/>
      <c r="L188" s="360"/>
      <c r="M188" s="1436"/>
      <c r="N188" s="1435" t="str">
        <f>IF(AND(ISNUMBER(F188),ISNUMBER(J188)),F188*J188,"")</f>
        <v/>
      </c>
      <c r="O188" s="19" t="str">
        <f>IF(ISNUMBER(N188),N188,"")</f>
        <v/>
      </c>
      <c r="P188" s="148"/>
      <c r="Q188" s="928">
        <f>IF(ISNUMBER(O188),1,0)</f>
        <v>0</v>
      </c>
      <c r="R188" s="34"/>
    </row>
    <row r="189" spans="1:18" ht="15" customHeight="1" x14ac:dyDescent="0.25">
      <c r="A189" s="187"/>
      <c r="B189" s="1202" t="s">
        <v>1053</v>
      </c>
      <c r="C189" s="1436"/>
      <c r="D189" s="381"/>
      <c r="E189" s="1436"/>
      <c r="F189" s="1437"/>
      <c r="G189" s="1433"/>
      <c r="H189" s="360"/>
      <c r="I189" s="1436"/>
      <c r="J189" s="1437"/>
      <c r="K189" s="1433"/>
      <c r="L189" s="360"/>
      <c r="M189" s="1436"/>
      <c r="N189" s="1436"/>
      <c r="O189" s="1437"/>
      <c r="P189" s="148"/>
      <c r="R189" s="607" t="s">
        <v>1416</v>
      </c>
    </row>
    <row r="190" spans="1:18" ht="15" customHeight="1" x14ac:dyDescent="0.25">
      <c r="A190" s="187"/>
      <c r="B190" s="1201" t="s">
        <v>1389</v>
      </c>
      <c r="C190" s="1436"/>
      <c r="D190" s="381"/>
      <c r="E190" s="1436"/>
      <c r="F190" s="1439"/>
      <c r="G190" s="1433"/>
      <c r="H190" s="360"/>
      <c r="I190" s="1436"/>
      <c r="J190" s="362">
        <v>0.85</v>
      </c>
      <c r="K190" s="1433"/>
      <c r="L190" s="360"/>
      <c r="M190" s="1436"/>
      <c r="N190" s="1435" t="str">
        <f>IF(AND(ISNUMBER(F190),ISNUMBER(J190)),F190*J190,"")</f>
        <v/>
      </c>
      <c r="O190" s="19" t="str">
        <f t="shared" ref="O190:O192" si="59">IF(ISNUMBER(N190),N190,"")</f>
        <v/>
      </c>
      <c r="P190" s="148"/>
      <c r="Q190" s="928">
        <f t="shared" ref="Q190:Q192" si="60">IF(ISNUMBER(O190),1,0)</f>
        <v>0</v>
      </c>
      <c r="R190" s="607" t="s">
        <v>1416</v>
      </c>
    </row>
    <row r="191" spans="1:18" ht="15" customHeight="1" x14ac:dyDescent="0.25">
      <c r="A191" s="187"/>
      <c r="B191" s="1201" t="s">
        <v>1391</v>
      </c>
      <c r="C191" s="1436"/>
      <c r="D191" s="381"/>
      <c r="E191" s="1436"/>
      <c r="F191" s="1439"/>
      <c r="G191" s="1433"/>
      <c r="H191" s="360"/>
      <c r="I191" s="1436"/>
      <c r="J191" s="362">
        <v>0.85</v>
      </c>
      <c r="K191" s="1433"/>
      <c r="L191" s="360"/>
      <c r="M191" s="1436"/>
      <c r="N191" s="1435" t="str">
        <f>IF(AND(ISNUMBER(F191),ISNUMBER(J191)),F191*J191,"")</f>
        <v/>
      </c>
      <c r="O191" s="19" t="str">
        <f t="shared" si="59"/>
        <v/>
      </c>
      <c r="P191" s="148"/>
      <c r="Q191" s="928">
        <f t="shared" si="60"/>
        <v>0</v>
      </c>
      <c r="R191" s="607" t="s">
        <v>1416</v>
      </c>
    </row>
    <row r="192" spans="1:18" ht="15" customHeight="1" x14ac:dyDescent="0.25">
      <c r="A192" s="187"/>
      <c r="B192" s="1201" t="s">
        <v>1392</v>
      </c>
      <c r="C192" s="1436"/>
      <c r="D192" s="381"/>
      <c r="E192" s="1436"/>
      <c r="F192" s="1439"/>
      <c r="G192" s="1433"/>
      <c r="H192" s="360"/>
      <c r="I192" s="1436"/>
      <c r="J192" s="362">
        <v>1</v>
      </c>
      <c r="K192" s="1433"/>
      <c r="L192" s="360"/>
      <c r="M192" s="1436"/>
      <c r="N192" s="1435" t="str">
        <f>IF(AND(ISNUMBER(F192),ISNUMBER(J192)),F192*J192,"")</f>
        <v/>
      </c>
      <c r="O192" s="19" t="str">
        <f t="shared" si="59"/>
        <v/>
      </c>
      <c r="P192" s="148"/>
      <c r="Q192" s="928">
        <f t="shared" si="60"/>
        <v>0</v>
      </c>
      <c r="R192" s="607" t="s">
        <v>1416</v>
      </c>
    </row>
    <row r="193" spans="1:18" ht="30" customHeight="1" x14ac:dyDescent="0.25">
      <c r="A193" s="187"/>
      <c r="B193" s="373" t="s">
        <v>1402</v>
      </c>
      <c r="C193" s="1438" t="s">
        <v>1081</v>
      </c>
      <c r="D193" s="381"/>
      <c r="E193" s="1436"/>
      <c r="F193" s="1437"/>
      <c r="G193" s="1433"/>
      <c r="H193" s="360"/>
      <c r="I193" s="1436"/>
      <c r="J193" s="1437"/>
      <c r="K193" s="1433"/>
      <c r="L193" s="360"/>
      <c r="M193" s="1436"/>
      <c r="N193" s="1436"/>
      <c r="O193" s="1437"/>
      <c r="P193" s="148"/>
      <c r="R193" s="607" t="s">
        <v>1417</v>
      </c>
    </row>
    <row r="194" spans="1:18" ht="15" customHeight="1" x14ac:dyDescent="0.25">
      <c r="A194" s="187"/>
      <c r="B194" s="1202" t="s">
        <v>686</v>
      </c>
      <c r="C194" s="1436"/>
      <c r="D194" s="378"/>
      <c r="E194" s="161"/>
      <c r="F194" s="1439"/>
      <c r="G194" s="1433"/>
      <c r="H194" s="1440">
        <v>0.5</v>
      </c>
      <c r="I194" s="1440">
        <v>0.5</v>
      </c>
      <c r="J194" s="362">
        <v>0.85</v>
      </c>
      <c r="K194" s="1433"/>
      <c r="L194" s="1435" t="str">
        <f>IF(AND(ISNUMBER(D194),ISNUMBER(H194)), D194*H194, "")</f>
        <v/>
      </c>
      <c r="M194" s="85" t="str">
        <f>IF(AND(ISNUMBER(E194),ISNUMBER(I194)), E194*I194, "")</f>
        <v/>
      </c>
      <c r="N194" s="1435" t="str">
        <f>IF(AND(ISNUMBER(F194),ISNUMBER(J194)),F194*J194,"")</f>
        <v/>
      </c>
      <c r="O194" s="19" t="str">
        <f>IF(AND(ISNUMBER(L194),ISNUMBER(M194),ISNUMBER(N194)),SUM(L194:N194),"")</f>
        <v/>
      </c>
      <c r="P194" s="148"/>
      <c r="Q194" s="928">
        <f>IF(ISNUMBER(O194),1,0)</f>
        <v>0</v>
      </c>
      <c r="R194" s="34"/>
    </row>
    <row r="195" spans="1:18" ht="15" customHeight="1" x14ac:dyDescent="0.25">
      <c r="A195" s="187"/>
      <c r="B195" s="1202" t="s">
        <v>1053</v>
      </c>
      <c r="C195" s="1436"/>
      <c r="D195" s="381"/>
      <c r="E195" s="1436"/>
      <c r="F195" s="1437"/>
      <c r="G195" s="1433"/>
      <c r="H195" s="360"/>
      <c r="I195" s="1436"/>
      <c r="J195" s="1437"/>
      <c r="K195" s="1433"/>
      <c r="L195" s="360"/>
      <c r="M195" s="1436"/>
      <c r="N195" s="1436"/>
      <c r="O195" s="1437"/>
      <c r="P195" s="148"/>
      <c r="R195" s="607" t="s">
        <v>1416</v>
      </c>
    </row>
    <row r="196" spans="1:18" ht="15" customHeight="1" x14ac:dyDescent="0.25">
      <c r="A196" s="187"/>
      <c r="B196" s="1201" t="s">
        <v>1389</v>
      </c>
      <c r="C196" s="1436"/>
      <c r="D196" s="378"/>
      <c r="E196" s="161"/>
      <c r="F196" s="1439"/>
      <c r="G196" s="1433"/>
      <c r="H196" s="1440">
        <v>0.5</v>
      </c>
      <c r="I196" s="1440">
        <v>0.5</v>
      </c>
      <c r="J196" s="362">
        <v>0.85</v>
      </c>
      <c r="K196" s="1433"/>
      <c r="L196" s="1435" t="str">
        <f t="shared" ref="L196:M198" si="61">IF(AND(ISNUMBER(D196),ISNUMBER(H196)), D196*H196, "")</f>
        <v/>
      </c>
      <c r="M196" s="85" t="str">
        <f t="shared" si="61"/>
        <v/>
      </c>
      <c r="N196" s="1435" t="str">
        <f>IF(AND(ISNUMBER(F196),ISNUMBER(J196)),F196*J196,"")</f>
        <v/>
      </c>
      <c r="O196" s="19" t="str">
        <f>IF(AND(ISNUMBER(L196),ISNUMBER(M196),ISNUMBER(N196)),SUM(L196:N196),"")</f>
        <v/>
      </c>
      <c r="P196" s="148"/>
      <c r="Q196" s="928">
        <f t="shared" ref="Q196:Q198" si="62">IF(ISNUMBER(O196),1,0)</f>
        <v>0</v>
      </c>
      <c r="R196" s="607" t="s">
        <v>1416</v>
      </c>
    </row>
    <row r="197" spans="1:18" ht="15" customHeight="1" x14ac:dyDescent="0.25">
      <c r="A197" s="187"/>
      <c r="B197" s="1201" t="s">
        <v>1391</v>
      </c>
      <c r="C197" s="1436"/>
      <c r="D197" s="378"/>
      <c r="E197" s="161"/>
      <c r="F197" s="1439"/>
      <c r="G197" s="1433"/>
      <c r="H197" s="1440">
        <v>0.5</v>
      </c>
      <c r="I197" s="1440">
        <v>0.5</v>
      </c>
      <c r="J197" s="362">
        <v>0.85</v>
      </c>
      <c r="K197" s="1433"/>
      <c r="L197" s="1435" t="str">
        <f t="shared" si="61"/>
        <v/>
      </c>
      <c r="M197" s="85" t="str">
        <f t="shared" si="61"/>
        <v/>
      </c>
      <c r="N197" s="1435" t="str">
        <f>IF(AND(ISNUMBER(F197),ISNUMBER(J197)),F197*J197,"")</f>
        <v/>
      </c>
      <c r="O197" s="19" t="str">
        <f>IF(AND(ISNUMBER(L197),ISNUMBER(M197),ISNUMBER(N197)),SUM(L197:N197),"")</f>
        <v/>
      </c>
      <c r="P197" s="148"/>
      <c r="Q197" s="928">
        <f t="shared" si="62"/>
        <v>0</v>
      </c>
      <c r="R197" s="607" t="s">
        <v>1416</v>
      </c>
    </row>
    <row r="198" spans="1:18" ht="15" customHeight="1" x14ac:dyDescent="0.25">
      <c r="A198" s="187"/>
      <c r="B198" s="1201" t="s">
        <v>1392</v>
      </c>
      <c r="C198" s="1436"/>
      <c r="D198" s="378"/>
      <c r="E198" s="161"/>
      <c r="F198" s="1439"/>
      <c r="G198" s="1433"/>
      <c r="H198" s="1440">
        <v>1</v>
      </c>
      <c r="I198" s="1440">
        <v>1</v>
      </c>
      <c r="J198" s="362">
        <v>1</v>
      </c>
      <c r="K198" s="1433"/>
      <c r="L198" s="1435" t="str">
        <f t="shared" si="61"/>
        <v/>
      </c>
      <c r="M198" s="85" t="str">
        <f t="shared" si="61"/>
        <v/>
      </c>
      <c r="N198" s="1435" t="str">
        <f>IF(AND(ISNUMBER(F198),ISNUMBER(J198)),F198*J198,"")</f>
        <v/>
      </c>
      <c r="O198" s="19" t="str">
        <f>IF(AND(ISNUMBER(L198),ISNUMBER(M198),ISNUMBER(N198)),SUM(L198:N198),"")</f>
        <v/>
      </c>
      <c r="P198" s="148"/>
      <c r="Q198" s="928">
        <f t="shared" si="62"/>
        <v>0</v>
      </c>
      <c r="R198" s="607" t="s">
        <v>1416</v>
      </c>
    </row>
    <row r="199" spans="1:18" ht="15" customHeight="1" x14ac:dyDescent="0.25">
      <c r="A199" s="187"/>
      <c r="B199" s="373" t="s">
        <v>1473</v>
      </c>
      <c r="C199" s="1438" t="s">
        <v>1082</v>
      </c>
      <c r="D199" s="381"/>
      <c r="E199" s="1436"/>
      <c r="F199" s="1437"/>
      <c r="G199" s="1433"/>
      <c r="H199" s="360"/>
      <c r="I199" s="1436"/>
      <c r="J199" s="1437"/>
      <c r="K199" s="1433"/>
      <c r="L199" s="360"/>
      <c r="M199" s="1436"/>
      <c r="N199" s="1436"/>
      <c r="O199" s="1437"/>
      <c r="P199" s="148"/>
      <c r="R199" s="633" t="s">
        <v>1417</v>
      </c>
    </row>
    <row r="200" spans="1:18" ht="15" customHeight="1" x14ac:dyDescent="0.25">
      <c r="A200" s="187"/>
      <c r="B200" s="1202" t="s">
        <v>686</v>
      </c>
      <c r="C200" s="1436"/>
      <c r="D200" s="381"/>
      <c r="E200" s="1436"/>
      <c r="F200" s="1439"/>
      <c r="G200" s="1433"/>
      <c r="H200" s="360"/>
      <c r="I200" s="1436"/>
      <c r="J200" s="362">
        <v>0.85</v>
      </c>
      <c r="K200" s="1433"/>
      <c r="L200" s="360"/>
      <c r="M200" s="360"/>
      <c r="N200" s="1435" t="str">
        <f>IF(AND(ISNUMBER(F200),ISNUMBER(J200)),F200*J200,"")</f>
        <v/>
      </c>
      <c r="O200" s="19" t="str">
        <f>IF(ISNUMBER(N200),N200,"")</f>
        <v/>
      </c>
      <c r="P200" s="148"/>
      <c r="Q200" s="928">
        <f>IF(ISNUMBER(O200),1,0)</f>
        <v>0</v>
      </c>
      <c r="R200" s="34"/>
    </row>
    <row r="201" spans="1:18" ht="15" customHeight="1" x14ac:dyDescent="0.25">
      <c r="A201" s="187"/>
      <c r="B201" s="1202" t="s">
        <v>1053</v>
      </c>
      <c r="C201" s="1436"/>
      <c r="D201" s="381"/>
      <c r="E201" s="1436"/>
      <c r="F201" s="1437"/>
      <c r="G201" s="1433"/>
      <c r="H201" s="360"/>
      <c r="I201" s="1436"/>
      <c r="J201" s="1437"/>
      <c r="K201" s="1433"/>
      <c r="L201" s="360"/>
      <c r="M201" s="360"/>
      <c r="N201" s="1436"/>
      <c r="O201" s="1437"/>
      <c r="P201" s="148"/>
      <c r="R201" s="607" t="s">
        <v>1416</v>
      </c>
    </row>
    <row r="202" spans="1:18" ht="15" customHeight="1" x14ac:dyDescent="0.25">
      <c r="A202" s="187"/>
      <c r="B202" s="1201" t="s">
        <v>1389</v>
      </c>
      <c r="C202" s="1436"/>
      <c r="D202" s="381"/>
      <c r="E202" s="1436"/>
      <c r="F202" s="1439"/>
      <c r="G202" s="1433"/>
      <c r="H202" s="360"/>
      <c r="I202" s="1436"/>
      <c r="J202" s="362">
        <v>0.85</v>
      </c>
      <c r="K202" s="1433"/>
      <c r="L202" s="360"/>
      <c r="M202" s="360"/>
      <c r="N202" s="1435" t="str">
        <f>IF(AND(ISNUMBER(F202),ISNUMBER(J202)),F202*J202,"")</f>
        <v/>
      </c>
      <c r="O202" s="19" t="str">
        <f t="shared" ref="O202:O204" si="63">IF(ISNUMBER(N202),N202,"")</f>
        <v/>
      </c>
      <c r="P202" s="148"/>
      <c r="Q202" s="928">
        <f t="shared" ref="Q202:Q204" si="64">IF(ISNUMBER(O202),1,0)</f>
        <v>0</v>
      </c>
      <c r="R202" s="607" t="s">
        <v>1416</v>
      </c>
    </row>
    <row r="203" spans="1:18" ht="15" customHeight="1" x14ac:dyDescent="0.25">
      <c r="A203" s="187"/>
      <c r="B203" s="1201" t="s">
        <v>1391</v>
      </c>
      <c r="C203" s="1436"/>
      <c r="D203" s="381"/>
      <c r="E203" s="1436"/>
      <c r="F203" s="1439"/>
      <c r="G203" s="1433"/>
      <c r="H203" s="360"/>
      <c r="I203" s="1436"/>
      <c r="J203" s="362">
        <v>0.85</v>
      </c>
      <c r="K203" s="1433"/>
      <c r="L203" s="360"/>
      <c r="M203" s="360"/>
      <c r="N203" s="1435" t="str">
        <f>IF(AND(ISNUMBER(F203),ISNUMBER(J203)),F203*J203,"")</f>
        <v/>
      </c>
      <c r="O203" s="19" t="str">
        <f t="shared" si="63"/>
        <v/>
      </c>
      <c r="P203" s="148"/>
      <c r="Q203" s="928">
        <f t="shared" si="64"/>
        <v>0</v>
      </c>
      <c r="R203" s="607" t="s">
        <v>1416</v>
      </c>
    </row>
    <row r="204" spans="1:18" ht="15" customHeight="1" x14ac:dyDescent="0.25">
      <c r="A204" s="187"/>
      <c r="B204" s="1201" t="s">
        <v>1392</v>
      </c>
      <c r="C204" s="1436"/>
      <c r="D204" s="381"/>
      <c r="E204" s="1436"/>
      <c r="F204" s="1439"/>
      <c r="G204" s="1433"/>
      <c r="H204" s="360"/>
      <c r="I204" s="1436"/>
      <c r="J204" s="362">
        <v>1</v>
      </c>
      <c r="K204" s="1433"/>
      <c r="L204" s="360"/>
      <c r="M204" s="360"/>
      <c r="N204" s="1435" t="str">
        <f>IF(AND(ISNUMBER(F204),ISNUMBER(J204)),F204*J204,"")</f>
        <v/>
      </c>
      <c r="O204" s="19" t="str">
        <f t="shared" si="63"/>
        <v/>
      </c>
      <c r="P204" s="148"/>
      <c r="Q204" s="928">
        <f t="shared" si="64"/>
        <v>0</v>
      </c>
      <c r="R204" s="607" t="s">
        <v>1416</v>
      </c>
    </row>
    <row r="205" spans="1:18" ht="30" customHeight="1" x14ac:dyDescent="0.25">
      <c r="A205" s="187"/>
      <c r="B205" s="1541" t="s">
        <v>1760</v>
      </c>
      <c r="C205" s="1438" t="s">
        <v>1069</v>
      </c>
      <c r="D205" s="381"/>
      <c r="E205" s="1436"/>
      <c r="F205" s="1437"/>
      <c r="G205" s="1433"/>
      <c r="H205" s="360"/>
      <c r="I205" s="1436"/>
      <c r="J205" s="1437"/>
      <c r="K205" s="1433"/>
      <c r="L205" s="360"/>
      <c r="M205" s="1436"/>
      <c r="N205" s="1436"/>
      <c r="O205" s="1437"/>
      <c r="P205" s="148"/>
      <c r="R205" s="633" t="s">
        <v>1089</v>
      </c>
    </row>
    <row r="206" spans="1:18" ht="15" customHeight="1" x14ac:dyDescent="0.25">
      <c r="A206" s="187"/>
      <c r="B206" s="1202" t="s">
        <v>686</v>
      </c>
      <c r="C206" s="1436"/>
      <c r="D206" s="378"/>
      <c r="E206" s="161"/>
      <c r="F206" s="1437"/>
      <c r="G206" s="1433"/>
      <c r="H206" s="389">
        <v>0.5</v>
      </c>
      <c r="I206" s="362">
        <v>0.5</v>
      </c>
      <c r="J206" s="604"/>
      <c r="K206" s="1433"/>
      <c r="L206" s="1435" t="str">
        <f>IF(AND(ISNUMBER(D206),ISNUMBER(H206)), D206*H206, "")</f>
        <v/>
      </c>
      <c r="M206" s="85" t="str">
        <f>IF(AND(ISNUMBER(E206),ISNUMBER(I206)), E206*I206, "")</f>
        <v/>
      </c>
      <c r="N206" s="1436"/>
      <c r="O206" s="19" t="str">
        <f t="shared" ref="O206" si="65">IF(AND(ISNUMBER(L206),ISNUMBER(M206)),SUM(L206:M206),"")</f>
        <v/>
      </c>
      <c r="P206" s="148"/>
      <c r="Q206" s="928">
        <f>IF(ISNUMBER(O206),1,0)</f>
        <v>0</v>
      </c>
      <c r="R206" s="607" t="s">
        <v>1089</v>
      </c>
    </row>
    <row r="207" spans="1:18" ht="15" customHeight="1" x14ac:dyDescent="0.25">
      <c r="A207" s="187"/>
      <c r="B207" s="1202" t="s">
        <v>1390</v>
      </c>
      <c r="C207" s="1436"/>
      <c r="D207" s="381"/>
      <c r="E207" s="1436"/>
      <c r="F207" s="1437"/>
      <c r="G207" s="1433"/>
      <c r="H207" s="360"/>
      <c r="I207" s="1436"/>
      <c r="J207" s="604"/>
      <c r="K207" s="1433"/>
      <c r="L207" s="360"/>
      <c r="M207" s="360"/>
      <c r="N207" s="1436"/>
      <c r="O207" s="1437"/>
      <c r="P207" s="148"/>
      <c r="R207" s="607" t="s">
        <v>1089</v>
      </c>
    </row>
    <row r="208" spans="1:18" ht="15" customHeight="1" x14ac:dyDescent="0.25">
      <c r="A208" s="187"/>
      <c r="B208" s="1201" t="s">
        <v>1389</v>
      </c>
      <c r="C208" s="1436"/>
      <c r="D208" s="378"/>
      <c r="E208" s="161"/>
      <c r="F208" s="1437"/>
      <c r="G208" s="1433"/>
      <c r="H208" s="389">
        <v>0.5</v>
      </c>
      <c r="I208" s="362">
        <v>0.5</v>
      </c>
      <c r="J208" s="604"/>
      <c r="K208" s="1433"/>
      <c r="L208" s="1435" t="str">
        <f t="shared" ref="L208:M211" si="66">IF(AND(ISNUMBER(D208),ISNUMBER(H208)), D208*H208, "")</f>
        <v/>
      </c>
      <c r="M208" s="85" t="str">
        <f t="shared" si="66"/>
        <v/>
      </c>
      <c r="N208" s="1436"/>
      <c r="O208" s="19" t="str">
        <f t="shared" ref="O208:O210" si="67">IF(AND(ISNUMBER(L208),ISNUMBER(M208)),SUM(L208:M208),"")</f>
        <v/>
      </c>
      <c r="P208" s="148"/>
      <c r="Q208" s="928">
        <f t="shared" ref="Q208:Q210" si="68">IF(ISNUMBER(O208),1,0)</f>
        <v>0</v>
      </c>
      <c r="R208" s="607" t="s">
        <v>1089</v>
      </c>
    </row>
    <row r="209" spans="1:18" ht="15" customHeight="1" x14ac:dyDescent="0.25">
      <c r="A209" s="187"/>
      <c r="B209" s="1201" t="s">
        <v>1391</v>
      </c>
      <c r="C209" s="1436"/>
      <c r="D209" s="378"/>
      <c r="E209" s="161"/>
      <c r="F209" s="1437"/>
      <c r="G209" s="1433"/>
      <c r="H209" s="389">
        <v>0.5</v>
      </c>
      <c r="I209" s="362">
        <v>0.5</v>
      </c>
      <c r="J209" s="604"/>
      <c r="K209" s="1433"/>
      <c r="L209" s="1435" t="str">
        <f t="shared" si="66"/>
        <v/>
      </c>
      <c r="M209" s="85" t="str">
        <f t="shared" si="66"/>
        <v/>
      </c>
      <c r="N209" s="1436"/>
      <c r="O209" s="19" t="str">
        <f t="shared" si="67"/>
        <v/>
      </c>
      <c r="P209" s="148"/>
      <c r="Q209" s="928">
        <f t="shared" si="68"/>
        <v>0</v>
      </c>
      <c r="R209" s="607" t="s">
        <v>1089</v>
      </c>
    </row>
    <row r="210" spans="1:18" ht="15" customHeight="1" x14ac:dyDescent="0.25">
      <c r="A210" s="187"/>
      <c r="B210" s="1201" t="s">
        <v>1392</v>
      </c>
      <c r="C210" s="1436"/>
      <c r="D210" s="378"/>
      <c r="E210" s="161"/>
      <c r="F210" s="1437"/>
      <c r="G210" s="1433"/>
      <c r="H210" s="389">
        <v>1</v>
      </c>
      <c r="I210" s="362">
        <v>1</v>
      </c>
      <c r="J210" s="604"/>
      <c r="K210" s="1433"/>
      <c r="L210" s="1435" t="str">
        <f t="shared" si="66"/>
        <v/>
      </c>
      <c r="M210" s="85" t="str">
        <f t="shared" si="66"/>
        <v/>
      </c>
      <c r="N210" s="1436"/>
      <c r="O210" s="19" t="str">
        <f t="shared" si="67"/>
        <v/>
      </c>
      <c r="P210" s="148"/>
      <c r="Q210" s="928">
        <f t="shared" si="68"/>
        <v>0</v>
      </c>
      <c r="R210" s="607" t="s">
        <v>1089</v>
      </c>
    </row>
    <row r="211" spans="1:18" ht="15" customHeight="1" x14ac:dyDescent="0.25">
      <c r="A211" s="187"/>
      <c r="B211" s="593" t="s">
        <v>739</v>
      </c>
      <c r="C211" s="1438" t="s">
        <v>1083</v>
      </c>
      <c r="D211" s="378"/>
      <c r="E211" s="1439"/>
      <c r="F211" s="1439"/>
      <c r="G211" s="1433"/>
      <c r="H211" s="383">
        <v>1</v>
      </c>
      <c r="I211" s="384">
        <v>1</v>
      </c>
      <c r="J211" s="382">
        <v>1</v>
      </c>
      <c r="K211" s="1433"/>
      <c r="L211" s="1435" t="str">
        <f t="shared" si="66"/>
        <v/>
      </c>
      <c r="M211" s="85" t="str">
        <f t="shared" si="66"/>
        <v/>
      </c>
      <c r="N211" s="1435" t="str">
        <f t="shared" ref="N211:N251" si="69">IF(AND(ISNUMBER(F211),ISNUMBER(J211)),F211*J211,"")</f>
        <v/>
      </c>
      <c r="O211" s="19" t="str">
        <f>IF(AND(ISNUMBER(L211),ISNUMBER(M211),ISNUMBER(N211)),SUM(L211:N211),"")</f>
        <v/>
      </c>
      <c r="P211" s="148"/>
      <c r="Q211" s="928">
        <f>IF(ISNUMBER(O211),1,0)</f>
        <v>0</v>
      </c>
      <c r="R211" s="607" t="s">
        <v>1089</v>
      </c>
    </row>
    <row r="212" spans="1:18" ht="15" customHeight="1" x14ac:dyDescent="0.25">
      <c r="A212" s="187"/>
      <c r="B212" s="593" t="s">
        <v>239</v>
      </c>
      <c r="C212" s="1436"/>
      <c r="D212" s="1436"/>
      <c r="E212" s="1436"/>
      <c r="F212" s="1437"/>
      <c r="G212" s="1433"/>
      <c r="H212" s="381"/>
      <c r="I212" s="381"/>
      <c r="J212" s="381"/>
      <c r="K212" s="1433"/>
      <c r="L212" s="360"/>
      <c r="M212" s="360"/>
      <c r="N212" s="360"/>
      <c r="O212" s="604"/>
      <c r="P212" s="148"/>
      <c r="R212" s="607" t="s">
        <v>1089</v>
      </c>
    </row>
    <row r="213" spans="1:18" ht="15" customHeight="1" x14ac:dyDescent="0.25">
      <c r="A213" s="187"/>
      <c r="B213" s="1404" t="s">
        <v>1761</v>
      </c>
      <c r="C213" s="1436"/>
      <c r="D213" s="1436"/>
      <c r="E213" s="1436"/>
      <c r="F213" s="1439"/>
      <c r="G213" s="1433"/>
      <c r="H213" s="381"/>
      <c r="I213" s="381"/>
      <c r="J213" s="381"/>
      <c r="K213" s="1433"/>
      <c r="L213" s="360"/>
      <c r="M213" s="360"/>
      <c r="N213" s="360"/>
      <c r="O213" s="604"/>
      <c r="P213" s="148"/>
      <c r="R213" s="607" t="s">
        <v>1089</v>
      </c>
    </row>
    <row r="214" spans="1:18" ht="30" customHeight="1" x14ac:dyDescent="0.25">
      <c r="A214" s="187"/>
      <c r="B214" s="1201" t="s">
        <v>1474</v>
      </c>
      <c r="C214" s="1436"/>
      <c r="D214" s="1436"/>
      <c r="E214" s="1436"/>
      <c r="F214" s="1437"/>
      <c r="G214" s="1433"/>
      <c r="H214" s="381"/>
      <c r="I214" s="381"/>
      <c r="J214" s="381"/>
      <c r="K214" s="1433"/>
      <c r="L214" s="360"/>
      <c r="M214" s="360"/>
      <c r="N214" s="360"/>
      <c r="O214" s="604"/>
      <c r="P214" s="148"/>
      <c r="R214" s="607" t="s">
        <v>1089</v>
      </c>
    </row>
    <row r="215" spans="1:18" ht="15" customHeight="1" x14ac:dyDescent="0.25">
      <c r="A215" s="624"/>
      <c r="B215" s="1206" t="s">
        <v>1036</v>
      </c>
      <c r="C215" s="1436"/>
      <c r="D215" s="1436"/>
      <c r="E215" s="1436"/>
      <c r="F215" s="623"/>
      <c r="G215" s="622"/>
      <c r="H215" s="381"/>
      <c r="I215" s="381"/>
      <c r="J215" s="381"/>
      <c r="K215" s="622"/>
      <c r="L215" s="360"/>
      <c r="M215" s="360"/>
      <c r="N215" s="360"/>
      <c r="O215" s="604"/>
      <c r="P215" s="621"/>
      <c r="R215" s="597" t="s">
        <v>1089</v>
      </c>
    </row>
    <row r="216" spans="1:18" ht="15" customHeight="1" x14ac:dyDescent="0.25">
      <c r="A216" s="624"/>
      <c r="B216" s="1206" t="s">
        <v>1038</v>
      </c>
      <c r="C216" s="1436"/>
      <c r="D216" s="1436"/>
      <c r="E216" s="1436"/>
      <c r="F216" s="623"/>
      <c r="G216" s="622"/>
      <c r="H216" s="381"/>
      <c r="I216" s="381"/>
      <c r="J216" s="381"/>
      <c r="K216" s="622"/>
      <c r="L216" s="360"/>
      <c r="M216" s="360"/>
      <c r="N216" s="360"/>
      <c r="O216" s="604"/>
      <c r="P216" s="621"/>
      <c r="R216" s="597" t="s">
        <v>1089</v>
      </c>
    </row>
    <row r="217" spans="1:18" ht="15" customHeight="1" x14ac:dyDescent="0.25">
      <c r="A217" s="187"/>
      <c r="B217" s="379" t="str">
        <f>CONCATENATE("Check: Row ", ROW(B213)," ≥ sum of rows ", ROW(B215), " to ", ROW(B216))</f>
        <v>Check: Row 213 ≥ sum of rows 215 to 216</v>
      </c>
      <c r="C217" s="1436"/>
      <c r="D217" s="1436"/>
      <c r="E217" s="1436"/>
      <c r="F217" s="635" t="str">
        <f>IF(F213&gt;=SUM(F215:F216), "Pass", "Fail")</f>
        <v>Pass</v>
      </c>
      <c r="G217" s="1433"/>
      <c r="H217" s="381"/>
      <c r="I217" s="381"/>
      <c r="J217" s="381"/>
      <c r="K217" s="1433"/>
      <c r="L217" s="360"/>
      <c r="M217" s="360"/>
      <c r="N217" s="360"/>
      <c r="O217" s="604"/>
      <c r="P217" s="148"/>
      <c r="R217" s="607" t="s">
        <v>1089</v>
      </c>
    </row>
    <row r="218" spans="1:18" ht="15" customHeight="1" x14ac:dyDescent="0.25">
      <c r="A218" s="187"/>
      <c r="B218" s="1202" t="s">
        <v>1061</v>
      </c>
      <c r="C218" s="1436"/>
      <c r="D218" s="1436"/>
      <c r="E218" s="1436"/>
      <c r="F218" s="1437"/>
      <c r="G218" s="1433"/>
      <c r="H218" s="381"/>
      <c r="I218" s="381"/>
      <c r="J218" s="381"/>
      <c r="K218" s="1433"/>
      <c r="L218" s="360"/>
      <c r="M218" s="360"/>
      <c r="N218" s="360"/>
      <c r="O218" s="604"/>
      <c r="P218" s="148"/>
      <c r="R218" s="607" t="s">
        <v>1089</v>
      </c>
    </row>
    <row r="219" spans="1:18" ht="30" customHeight="1" x14ac:dyDescent="0.25">
      <c r="A219" s="187"/>
      <c r="B219" s="1201" t="s">
        <v>1475</v>
      </c>
      <c r="C219" s="1436"/>
      <c r="D219" s="1436"/>
      <c r="E219" s="1436"/>
      <c r="F219" s="1439"/>
      <c r="G219" s="1433"/>
      <c r="H219" s="381"/>
      <c r="I219" s="381"/>
      <c r="J219" s="381"/>
      <c r="K219" s="1433"/>
      <c r="L219" s="360"/>
      <c r="M219" s="360"/>
      <c r="N219" s="360"/>
      <c r="O219" s="604"/>
      <c r="P219" s="148"/>
      <c r="R219" s="607" t="s">
        <v>1089</v>
      </c>
    </row>
    <row r="220" spans="1:18" ht="15" customHeight="1" x14ac:dyDescent="0.25">
      <c r="A220" s="187"/>
      <c r="B220" s="1567" t="str">
        <f>CONCATENATE("Check: row ",ROW(F219)," is equal to cell ", ADDRESS(ROW('Leverage Ratio'!L13),COLUMN('Leverage Ratio'!L13),4), " in the Leverage Ratio worksheet")</f>
        <v>Check: row 219 is equal to cell L13 in the Leverage Ratio worksheet</v>
      </c>
      <c r="C220" s="1436"/>
      <c r="D220" s="1436"/>
      <c r="E220" s="1436"/>
      <c r="F220" s="635" t="str">
        <f>IF(F219='Leverage Ratio'!L13,"Pass","Fail")</f>
        <v>Pass</v>
      </c>
      <c r="G220" s="1433"/>
      <c r="H220" s="381"/>
      <c r="I220" s="381"/>
      <c r="J220" s="381"/>
      <c r="K220" s="1433"/>
      <c r="L220" s="360"/>
      <c r="M220" s="360"/>
      <c r="N220" s="360"/>
      <c r="O220" s="604"/>
      <c r="P220" s="148"/>
      <c r="R220" s="607" t="s">
        <v>1089</v>
      </c>
    </row>
    <row r="221" spans="1:18" ht="30" customHeight="1" x14ac:dyDescent="0.25">
      <c r="A221" s="187"/>
      <c r="B221" s="1206" t="s">
        <v>1476</v>
      </c>
      <c r="C221" s="1436"/>
      <c r="D221" s="1436"/>
      <c r="E221" s="1436"/>
      <c r="F221" s="1437"/>
      <c r="G221" s="1433"/>
      <c r="H221" s="381"/>
      <c r="I221" s="381"/>
      <c r="J221" s="381"/>
      <c r="K221" s="1433"/>
      <c r="L221" s="360"/>
      <c r="M221" s="360"/>
      <c r="N221" s="360"/>
      <c r="O221" s="604"/>
      <c r="P221" s="148"/>
      <c r="R221" s="607" t="s">
        <v>1089</v>
      </c>
    </row>
    <row r="222" spans="1:18" ht="15" customHeight="1" x14ac:dyDescent="0.25">
      <c r="A222" s="187"/>
      <c r="B222" s="620" t="s">
        <v>1036</v>
      </c>
      <c r="C222" s="1436"/>
      <c r="D222" s="1436"/>
      <c r="E222" s="1436"/>
      <c r="F222" s="1439"/>
      <c r="G222" s="1433"/>
      <c r="H222" s="381"/>
      <c r="I222" s="381"/>
      <c r="J222" s="381"/>
      <c r="K222" s="1433"/>
      <c r="L222" s="360"/>
      <c r="M222" s="360"/>
      <c r="N222" s="360"/>
      <c r="O222" s="604"/>
      <c r="P222" s="148"/>
      <c r="R222" s="607" t="s">
        <v>1089</v>
      </c>
    </row>
    <row r="223" spans="1:18" ht="15" customHeight="1" x14ac:dyDescent="0.25">
      <c r="A223" s="187"/>
      <c r="B223" s="620" t="s">
        <v>1038</v>
      </c>
      <c r="C223" s="1436"/>
      <c r="D223" s="1436"/>
      <c r="E223" s="1436"/>
      <c r="F223" s="1439"/>
      <c r="G223" s="1433"/>
      <c r="H223" s="381"/>
      <c r="I223" s="381"/>
      <c r="J223" s="381"/>
      <c r="K223" s="1433"/>
      <c r="L223" s="360"/>
      <c r="M223" s="360"/>
      <c r="N223" s="360"/>
      <c r="O223" s="604"/>
      <c r="P223" s="148"/>
      <c r="R223" s="607" t="s">
        <v>1089</v>
      </c>
    </row>
    <row r="224" spans="1:18" ht="15" customHeight="1" x14ac:dyDescent="0.25">
      <c r="A224" s="187"/>
      <c r="B224" s="1567" t="str">
        <f>CONCATENATE("Check: row ", ROW(B219)," ≥ sum of rows ", ROW(B222), " to ", ROW(B223))</f>
        <v>Check: row 219 ≥ sum of rows 222 to 223</v>
      </c>
      <c r="C224" s="1436"/>
      <c r="D224" s="1436"/>
      <c r="E224" s="1436"/>
      <c r="F224" s="635" t="str">
        <f>IF(F219&gt;=SUM(F222:F223),"Pass","Fail")</f>
        <v>Pass</v>
      </c>
      <c r="G224" s="1433"/>
      <c r="H224" s="381"/>
      <c r="I224" s="381"/>
      <c r="J224" s="381"/>
      <c r="K224" s="1433"/>
      <c r="L224" s="360"/>
      <c r="M224" s="360"/>
      <c r="N224" s="360"/>
      <c r="O224" s="604"/>
      <c r="P224" s="148"/>
      <c r="R224" s="607" t="s">
        <v>1089</v>
      </c>
    </row>
    <row r="225" spans="1:18" ht="15" customHeight="1" x14ac:dyDescent="0.25">
      <c r="A225" s="187"/>
      <c r="B225" s="1201" t="s">
        <v>1478</v>
      </c>
      <c r="C225" s="1436"/>
      <c r="D225" s="1436"/>
      <c r="E225" s="1436"/>
      <c r="F225" s="1439"/>
      <c r="G225" s="1433"/>
      <c r="H225" s="381"/>
      <c r="I225" s="381"/>
      <c r="J225" s="381"/>
      <c r="K225" s="1433"/>
      <c r="L225" s="360"/>
      <c r="M225" s="360"/>
      <c r="N225" s="360"/>
      <c r="O225" s="604"/>
      <c r="P225" s="148"/>
      <c r="R225" s="607" t="s">
        <v>1089</v>
      </c>
    </row>
    <row r="226" spans="1:18" ht="30" customHeight="1" x14ac:dyDescent="0.25">
      <c r="A226" s="187"/>
      <c r="B226" s="1206" t="s">
        <v>1477</v>
      </c>
      <c r="C226" s="1436"/>
      <c r="D226" s="1436"/>
      <c r="E226" s="1436"/>
      <c r="F226" s="1437"/>
      <c r="G226" s="1433"/>
      <c r="H226" s="381"/>
      <c r="I226" s="381"/>
      <c r="J226" s="381"/>
      <c r="K226" s="1433"/>
      <c r="L226" s="360"/>
      <c r="M226" s="360"/>
      <c r="N226" s="360"/>
      <c r="O226" s="604"/>
      <c r="P226" s="148"/>
      <c r="R226" s="607" t="s">
        <v>1089</v>
      </c>
    </row>
    <row r="227" spans="1:18" ht="15" customHeight="1" x14ac:dyDescent="0.25">
      <c r="A227" s="187"/>
      <c r="B227" s="620" t="s">
        <v>1036</v>
      </c>
      <c r="C227" s="1436"/>
      <c r="D227" s="1436"/>
      <c r="E227" s="1436"/>
      <c r="F227" s="1439"/>
      <c r="G227" s="1433"/>
      <c r="H227" s="381"/>
      <c r="I227" s="381"/>
      <c r="J227" s="381"/>
      <c r="K227" s="1433"/>
      <c r="L227" s="360"/>
      <c r="M227" s="360"/>
      <c r="N227" s="360"/>
      <c r="O227" s="604"/>
      <c r="P227" s="148"/>
      <c r="R227" s="607" t="s">
        <v>1089</v>
      </c>
    </row>
    <row r="228" spans="1:18" ht="15" customHeight="1" x14ac:dyDescent="0.25">
      <c r="A228" s="187"/>
      <c r="B228" s="620" t="s">
        <v>1038</v>
      </c>
      <c r="C228" s="1436"/>
      <c r="D228" s="1436"/>
      <c r="E228" s="1436"/>
      <c r="F228" s="1439"/>
      <c r="G228" s="1433"/>
      <c r="H228" s="381"/>
      <c r="I228" s="381"/>
      <c r="J228" s="381"/>
      <c r="K228" s="1433"/>
      <c r="L228" s="360"/>
      <c r="M228" s="360"/>
      <c r="N228" s="603"/>
      <c r="O228" s="604"/>
      <c r="P228" s="148"/>
      <c r="R228" s="607" t="s">
        <v>1089</v>
      </c>
    </row>
    <row r="229" spans="1:18" ht="15" customHeight="1" x14ac:dyDescent="0.25">
      <c r="A229" s="187"/>
      <c r="B229" s="1567" t="str">
        <f>CONCATENATE("Check: row ", ROW(B225)," ≥ sum of rows ", ROW(B227), " to ", ROW(B228))</f>
        <v>Check: row 225 ≥ sum of rows 227 to 228</v>
      </c>
      <c r="C229" s="1436"/>
      <c r="D229" s="1436"/>
      <c r="E229" s="1436"/>
      <c r="F229" s="635" t="str">
        <f>IF(F225&gt;=SUM(F227:F228),"Pass","Fail")</f>
        <v>Pass</v>
      </c>
      <c r="G229" s="1433"/>
      <c r="H229" s="381"/>
      <c r="I229" s="381"/>
      <c r="J229" s="381"/>
      <c r="K229" s="1433"/>
      <c r="L229" s="360"/>
      <c r="M229" s="360"/>
      <c r="N229" s="360"/>
      <c r="O229" s="604"/>
      <c r="P229" s="148"/>
      <c r="R229" s="607" t="s">
        <v>1089</v>
      </c>
    </row>
    <row r="230" spans="1:18" ht="30" customHeight="1" x14ac:dyDescent="0.25">
      <c r="A230" s="187"/>
      <c r="B230" s="1202" t="s">
        <v>1057</v>
      </c>
      <c r="C230" s="1438" t="s">
        <v>1084</v>
      </c>
      <c r="D230" s="1436"/>
      <c r="E230" s="1436"/>
      <c r="F230" s="494" t="str">
        <f>IF(AND(ISNUMBER(F213),ISNUMBER(F219)),F213-F219,"")</f>
        <v/>
      </c>
      <c r="G230" s="1433"/>
      <c r="H230" s="381"/>
      <c r="I230" s="381"/>
      <c r="J230" s="382">
        <v>1</v>
      </c>
      <c r="K230" s="1433"/>
      <c r="L230" s="360"/>
      <c r="M230" s="604"/>
      <c r="N230" s="85" t="str">
        <f>IF(AND(ISNUMBER(F230),ISNUMBER(F59),ISNUMBER(J230)),MAX((F230-F59),0)*J230,"")</f>
        <v/>
      </c>
      <c r="O230" s="19" t="str">
        <f t="shared" ref="O230:O231" si="70">IF(ISNUMBER(N230),N230,"")</f>
        <v/>
      </c>
      <c r="P230" s="148"/>
      <c r="Q230" s="1207">
        <f>IF(ISNUMBER(O230),1,0)</f>
        <v>0</v>
      </c>
      <c r="R230" s="607" t="s">
        <v>1089</v>
      </c>
    </row>
    <row r="231" spans="1:18" ht="15" customHeight="1" x14ac:dyDescent="0.25">
      <c r="A231" s="187"/>
      <c r="B231" s="1202" t="s">
        <v>1062</v>
      </c>
      <c r="C231" s="1438" t="s">
        <v>1633</v>
      </c>
      <c r="D231" s="1436"/>
      <c r="E231" s="1436"/>
      <c r="F231" s="494" t="str">
        <f>IF(ISNUMBER(F49),F49*0.2,"")</f>
        <v/>
      </c>
      <c r="G231" s="1433"/>
      <c r="H231" s="381"/>
      <c r="I231" s="381"/>
      <c r="J231" s="382">
        <v>1</v>
      </c>
      <c r="K231" s="1433"/>
      <c r="L231" s="360"/>
      <c r="M231" s="604"/>
      <c r="N231" s="85" t="str">
        <f>IF(AND(ISNUMBER(F231),ISNUMBER(J231)),F231*J231,"")</f>
        <v/>
      </c>
      <c r="O231" s="19" t="str">
        <f t="shared" si="70"/>
        <v/>
      </c>
      <c r="P231" s="148"/>
      <c r="Q231" s="1207">
        <f>IF(ISNUMBER(O231),1,0)</f>
        <v>0</v>
      </c>
      <c r="R231" s="1403" t="s">
        <v>1634</v>
      </c>
    </row>
    <row r="232" spans="1:18" ht="15" customHeight="1" x14ac:dyDescent="0.25">
      <c r="A232" s="187"/>
      <c r="B232" s="1404" t="s">
        <v>1635</v>
      </c>
      <c r="C232" s="1436"/>
      <c r="D232" s="1436"/>
      <c r="E232" s="1436"/>
      <c r="F232" s="1439"/>
      <c r="G232" s="1433"/>
      <c r="H232" s="381"/>
      <c r="I232" s="381"/>
      <c r="J232" s="381"/>
      <c r="K232" s="1433"/>
      <c r="L232" s="360"/>
      <c r="M232" s="360"/>
      <c r="N232" s="366"/>
      <c r="O232" s="604"/>
      <c r="P232" s="148"/>
      <c r="R232" s="607" t="s">
        <v>1089</v>
      </c>
    </row>
    <row r="233" spans="1:18" ht="15" customHeight="1" x14ac:dyDescent="0.25">
      <c r="A233" s="187"/>
      <c r="B233" s="1201" t="s">
        <v>1063</v>
      </c>
      <c r="C233" s="1438" t="s">
        <v>1085</v>
      </c>
      <c r="D233" s="1436"/>
      <c r="E233" s="1436"/>
      <c r="F233" s="1437"/>
      <c r="G233" s="1433"/>
      <c r="H233" s="381"/>
      <c r="I233" s="381"/>
      <c r="J233" s="381"/>
      <c r="K233" s="1433"/>
      <c r="L233" s="360"/>
      <c r="M233" s="360"/>
      <c r="N233" s="360"/>
      <c r="O233" s="604"/>
      <c r="P233" s="148"/>
      <c r="R233" s="607" t="s">
        <v>1089</v>
      </c>
    </row>
    <row r="234" spans="1:18" ht="15" customHeight="1" x14ac:dyDescent="0.25">
      <c r="A234" s="187"/>
      <c r="B234" s="1206" t="s">
        <v>1064</v>
      </c>
      <c r="C234" s="1436"/>
      <c r="D234" s="1436"/>
      <c r="E234" s="1436"/>
      <c r="F234" s="1439"/>
      <c r="G234" s="1433"/>
      <c r="H234" s="381"/>
      <c r="I234" s="381"/>
      <c r="J234" s="381"/>
      <c r="K234" s="1433"/>
      <c r="L234" s="360"/>
      <c r="M234" s="360"/>
      <c r="N234" s="360"/>
      <c r="O234" s="604"/>
      <c r="P234" s="148"/>
      <c r="R234" s="607" t="s">
        <v>1089</v>
      </c>
    </row>
    <row r="235" spans="1:18" ht="15" customHeight="1" x14ac:dyDescent="0.25">
      <c r="A235" s="187"/>
      <c r="B235" s="1206" t="s">
        <v>1065</v>
      </c>
      <c r="C235" s="1436"/>
      <c r="D235" s="1436"/>
      <c r="E235" s="1436"/>
      <c r="F235" s="1439"/>
      <c r="G235" s="1433"/>
      <c r="H235" s="381"/>
      <c r="I235" s="381"/>
      <c r="J235" s="381"/>
      <c r="K235" s="1433"/>
      <c r="L235" s="360"/>
      <c r="M235" s="360"/>
      <c r="N235" s="360"/>
      <c r="O235" s="604"/>
      <c r="P235" s="148"/>
      <c r="R235" s="607" t="s">
        <v>1089</v>
      </c>
    </row>
    <row r="236" spans="1:18" ht="15" customHeight="1" x14ac:dyDescent="0.25">
      <c r="A236" s="187"/>
      <c r="B236" s="1542" t="s">
        <v>1762</v>
      </c>
      <c r="C236" s="1436"/>
      <c r="D236" s="1436"/>
      <c r="E236" s="1436"/>
      <c r="F236" s="1439"/>
      <c r="G236" s="1433"/>
      <c r="H236" s="381"/>
      <c r="I236" s="381"/>
      <c r="J236" s="381"/>
      <c r="K236" s="1433"/>
      <c r="L236" s="360"/>
      <c r="M236" s="360"/>
      <c r="N236" s="360"/>
      <c r="O236" s="604"/>
      <c r="P236" s="148"/>
      <c r="R236" s="607" t="s">
        <v>1089</v>
      </c>
    </row>
    <row r="237" spans="1:18" ht="15" customHeight="1" x14ac:dyDescent="0.25">
      <c r="A237" s="187"/>
      <c r="B237" s="1201" t="s">
        <v>1647</v>
      </c>
      <c r="C237" s="1438" t="s">
        <v>1086</v>
      </c>
      <c r="D237" s="1436"/>
      <c r="E237" s="1436"/>
      <c r="F237" s="1439"/>
      <c r="G237" s="1433"/>
      <c r="H237" s="381"/>
      <c r="I237" s="381"/>
      <c r="J237" s="381"/>
      <c r="K237" s="1433"/>
      <c r="L237" s="360"/>
      <c r="M237" s="360"/>
      <c r="N237" s="360"/>
      <c r="O237" s="604"/>
      <c r="P237" s="148"/>
      <c r="R237" s="607" t="s">
        <v>1089</v>
      </c>
    </row>
    <row r="238" spans="1:18" ht="15" customHeight="1" x14ac:dyDescent="0.25">
      <c r="A238" s="187"/>
      <c r="B238" s="1567" t="str">
        <f>CONCATENATE("Check: sum of row ", ROW(F234), " to row ", ROW(F237), " = row ", ROW(F232))</f>
        <v>Check: sum of row 234 to row 237 = row 232</v>
      </c>
      <c r="C238" s="1436"/>
      <c r="D238" s="1436"/>
      <c r="E238" s="1436"/>
      <c r="F238" s="635" t="str">
        <f>IF(SUM(F234:F237)=F232,"Pass","Fail")</f>
        <v>Pass</v>
      </c>
      <c r="G238" s="1433"/>
      <c r="H238" s="381"/>
      <c r="I238" s="381"/>
      <c r="J238" s="381"/>
      <c r="K238" s="1433"/>
      <c r="L238" s="360"/>
      <c r="M238" s="360"/>
      <c r="N238" s="360"/>
      <c r="O238" s="604"/>
      <c r="P238" s="148"/>
      <c r="R238" s="607" t="s">
        <v>1089</v>
      </c>
    </row>
    <row r="239" spans="1:18" ht="30" customHeight="1" x14ac:dyDescent="0.25">
      <c r="A239" s="187"/>
      <c r="B239" s="1201" t="s">
        <v>1479</v>
      </c>
      <c r="C239" s="1436"/>
      <c r="D239" s="378"/>
      <c r="E239" s="1439"/>
      <c r="F239" s="1439"/>
      <c r="G239" s="1433"/>
      <c r="H239" s="381"/>
      <c r="I239" s="381"/>
      <c r="J239" s="381"/>
      <c r="K239" s="1433"/>
      <c r="L239" s="360"/>
      <c r="M239" s="360"/>
      <c r="N239" s="360"/>
      <c r="O239" s="604"/>
      <c r="P239" s="148"/>
      <c r="R239" s="607" t="s">
        <v>1089</v>
      </c>
    </row>
    <row r="240" spans="1:18" ht="15" customHeight="1" x14ac:dyDescent="0.25">
      <c r="A240" s="187"/>
      <c r="B240" s="1567" t="str">
        <f>CONCATENATE("Check: sum of row ", ROW(B239), " = sum of rows ", ROW(B234), " to ", ROW(B236))</f>
        <v>Check: sum of row 239 = sum of rows 234 to 236</v>
      </c>
      <c r="C240" s="1436"/>
      <c r="D240" s="1436"/>
      <c r="E240" s="1436"/>
      <c r="F240" s="635" t="str">
        <f>IF(SUM(D239:F239)=SUM(F234:F236),"Pass","Fail")</f>
        <v>Pass</v>
      </c>
      <c r="G240" s="1433"/>
      <c r="H240" s="381"/>
      <c r="I240" s="381"/>
      <c r="J240" s="381"/>
      <c r="K240" s="1433"/>
      <c r="L240" s="360"/>
      <c r="M240" s="360"/>
      <c r="N240" s="360"/>
      <c r="O240" s="604"/>
      <c r="P240" s="148"/>
      <c r="R240" s="607" t="s">
        <v>1089</v>
      </c>
    </row>
    <row r="241" spans="1:18" ht="30" customHeight="1" x14ac:dyDescent="0.25">
      <c r="A241" s="187"/>
      <c r="B241" s="1201" t="s">
        <v>1480</v>
      </c>
      <c r="C241" s="1436"/>
      <c r="D241" s="1436"/>
      <c r="E241" s="1436"/>
      <c r="F241" s="1437"/>
      <c r="G241" s="1433"/>
      <c r="H241" s="381"/>
      <c r="I241" s="381"/>
      <c r="J241" s="381"/>
      <c r="K241" s="1433"/>
      <c r="L241" s="360"/>
      <c r="M241" s="360"/>
      <c r="N241" s="360"/>
      <c r="O241" s="604"/>
      <c r="P241" s="148"/>
      <c r="R241" s="607" t="s">
        <v>1089</v>
      </c>
    </row>
    <row r="242" spans="1:18" ht="15" customHeight="1" x14ac:dyDescent="0.25">
      <c r="A242" s="187"/>
      <c r="B242" s="1206" t="s">
        <v>1036</v>
      </c>
      <c r="C242" s="1436"/>
      <c r="D242" s="1436"/>
      <c r="E242" s="1436"/>
      <c r="F242" s="1439"/>
      <c r="G242" s="1433"/>
      <c r="H242" s="381"/>
      <c r="I242" s="381"/>
      <c r="J242" s="381"/>
      <c r="K242" s="1433"/>
      <c r="L242" s="360"/>
      <c r="M242" s="360"/>
      <c r="N242" s="360"/>
      <c r="O242" s="604"/>
      <c r="P242" s="148"/>
      <c r="R242" s="607" t="s">
        <v>1089</v>
      </c>
    </row>
    <row r="243" spans="1:18" ht="15" customHeight="1" x14ac:dyDescent="0.25">
      <c r="A243" s="187"/>
      <c r="B243" s="1206" t="s">
        <v>1038</v>
      </c>
      <c r="C243" s="1436"/>
      <c r="D243" s="1436"/>
      <c r="E243" s="1436"/>
      <c r="F243" s="1439"/>
      <c r="G243" s="1433"/>
      <c r="H243" s="381"/>
      <c r="I243" s="381"/>
      <c r="J243" s="381"/>
      <c r="K243" s="1433"/>
      <c r="L243" s="360"/>
      <c r="M243" s="360"/>
      <c r="N243" s="360"/>
      <c r="O243" s="604"/>
      <c r="P243" s="148"/>
      <c r="R243" s="607" t="s">
        <v>1089</v>
      </c>
    </row>
    <row r="244" spans="1:18" ht="15" customHeight="1" x14ac:dyDescent="0.25">
      <c r="A244" s="187"/>
      <c r="B244" s="1567" t="str">
        <f>CONCATENATE("Check: Sum of rows ", ROW(B234)," to ",ROW(B236)," ≥ sum of rows ", ROW(B242), " to ", ROW(B243))</f>
        <v>Check: Sum of rows 234 to 236 ≥ sum of rows 242 to 243</v>
      </c>
      <c r="C244" s="1436"/>
      <c r="D244" s="1436"/>
      <c r="E244" s="1436"/>
      <c r="F244" s="635" t="str">
        <f>IF(SUM(F234:F236)&gt;=SUM(F242:F243),"Pass","Fail")</f>
        <v>Pass</v>
      </c>
      <c r="G244" s="1433"/>
      <c r="H244" s="381"/>
      <c r="I244" s="381"/>
      <c r="J244" s="381"/>
      <c r="K244" s="1433"/>
      <c r="L244" s="360"/>
      <c r="M244" s="360"/>
      <c r="N244" s="360"/>
      <c r="O244" s="604"/>
      <c r="P244" s="148"/>
      <c r="R244" s="607" t="s">
        <v>1089</v>
      </c>
    </row>
    <row r="245" spans="1:18" ht="15" customHeight="1" x14ac:dyDescent="0.25">
      <c r="A245" s="187"/>
      <c r="B245" s="1202" t="s">
        <v>1066</v>
      </c>
      <c r="C245" s="1438" t="s">
        <v>1085</v>
      </c>
      <c r="D245" s="1436"/>
      <c r="E245" s="1436"/>
      <c r="F245" s="1439"/>
      <c r="G245" s="1433"/>
      <c r="H245" s="381"/>
      <c r="I245" s="381"/>
      <c r="J245" s="381"/>
      <c r="K245" s="1433"/>
      <c r="L245" s="360"/>
      <c r="M245" s="360"/>
      <c r="N245" s="360"/>
      <c r="O245" s="604"/>
      <c r="P245" s="148"/>
      <c r="R245" s="607" t="s">
        <v>1089</v>
      </c>
    </row>
    <row r="246" spans="1:18" ht="30" customHeight="1" x14ac:dyDescent="0.25">
      <c r="A246" s="187"/>
      <c r="B246" s="1202" t="s">
        <v>1058</v>
      </c>
      <c r="C246" s="1438" t="s">
        <v>1085</v>
      </c>
      <c r="D246" s="1436"/>
      <c r="E246" s="1436"/>
      <c r="F246" s="494" t="str">
        <f>IF(AND(ISNUMBER(F232),ISNUMBER(F245),ISNUMBER(F237)),F232-F237+F245,"")</f>
        <v/>
      </c>
      <c r="G246" s="1433"/>
      <c r="H246" s="381"/>
      <c r="I246" s="381"/>
      <c r="J246" s="382">
        <v>0.85</v>
      </c>
      <c r="K246" s="1433"/>
      <c r="L246" s="360"/>
      <c r="M246" s="360"/>
      <c r="N246" s="1435" t="str">
        <f>IF(AND(ISNUMBER(F246),ISNUMBER(J246)),F246*J246,"")</f>
        <v/>
      </c>
      <c r="O246" s="19" t="str">
        <f t="shared" ref="O246" si="71">IF(ISNUMBER(N246),N246,"")</f>
        <v/>
      </c>
      <c r="P246" s="148"/>
      <c r="Q246" s="1207">
        <f t="shared" ref="Q246:Q251" si="72">IF(ISNUMBER(O246),1,0)</f>
        <v>0</v>
      </c>
      <c r="R246" s="607" t="s">
        <v>1089</v>
      </c>
    </row>
    <row r="247" spans="1:18" ht="15" customHeight="1" x14ac:dyDescent="0.25">
      <c r="A247" s="187"/>
      <c r="B247" s="593" t="s">
        <v>1059</v>
      </c>
      <c r="C247" s="1438" t="s">
        <v>1087</v>
      </c>
      <c r="D247" s="378"/>
      <c r="E247" s="1439"/>
      <c r="F247" s="1439"/>
      <c r="G247" s="1433"/>
      <c r="H247" s="383">
        <v>1</v>
      </c>
      <c r="I247" s="384">
        <v>1</v>
      </c>
      <c r="J247" s="382">
        <v>1</v>
      </c>
      <c r="K247" s="1433"/>
      <c r="L247" s="1435" t="str">
        <f>IF(AND(ISNUMBER(D247),ISNUMBER(H247)), D247*H247, "")</f>
        <v/>
      </c>
      <c r="M247" s="85" t="str">
        <f>IF(AND(ISNUMBER(E247),ISNUMBER(I247)), E247*I247, "")</f>
        <v/>
      </c>
      <c r="N247" s="1435" t="str">
        <f>IF(AND(ISNUMBER(F247),ISNUMBER(J247)),F247*J247,"")</f>
        <v/>
      </c>
      <c r="O247" s="19" t="str">
        <f>IF(AND(ISNUMBER(L247),ISNUMBER(M247),ISNUMBER(N247)),SUM(L247:N247),"")</f>
        <v/>
      </c>
      <c r="P247" s="148"/>
      <c r="Q247" s="1207">
        <f t="shared" si="72"/>
        <v>0</v>
      </c>
      <c r="R247" s="607" t="s">
        <v>1089</v>
      </c>
    </row>
    <row r="248" spans="1:18" ht="15" customHeight="1" x14ac:dyDescent="0.25">
      <c r="A248" s="187"/>
      <c r="B248" s="593" t="s">
        <v>1406</v>
      </c>
      <c r="C248" s="1438" t="s">
        <v>1088</v>
      </c>
      <c r="D248" s="1439"/>
      <c r="E248" s="1436"/>
      <c r="F248" s="1437"/>
      <c r="G248" s="1433"/>
      <c r="H248" s="1440">
        <v>0</v>
      </c>
      <c r="I248" s="1436"/>
      <c r="J248" s="1437"/>
      <c r="K248" s="1433"/>
      <c r="L248" s="1435" t="str">
        <f t="shared" ref="L248" si="73">IF(AND(ISNUMBER(D248),ISNUMBER(H248)), D248*H248, "")</f>
        <v/>
      </c>
      <c r="M248" s="1436"/>
      <c r="N248" s="1436"/>
      <c r="O248" s="19" t="str">
        <f>IF(ISNUMBER(L248), L248,"")</f>
        <v/>
      </c>
      <c r="P248" s="148"/>
      <c r="Q248" s="928">
        <f t="shared" si="72"/>
        <v>0</v>
      </c>
      <c r="R248" s="1403" t="s">
        <v>1662</v>
      </c>
    </row>
    <row r="249" spans="1:18" ht="15" customHeight="1" x14ac:dyDescent="0.25">
      <c r="A249" s="187"/>
      <c r="B249" s="593" t="s">
        <v>1060</v>
      </c>
      <c r="C249" s="1438">
        <v>45</v>
      </c>
      <c r="D249" s="378"/>
      <c r="E249" s="1439"/>
      <c r="F249" s="1439"/>
      <c r="G249" s="1433"/>
      <c r="H249" s="383">
        <v>0</v>
      </c>
      <c r="I249" s="384">
        <v>0</v>
      </c>
      <c r="J249" s="382">
        <v>0</v>
      </c>
      <c r="K249" s="1433"/>
      <c r="L249" s="1435" t="str">
        <f>IF(AND(ISNUMBER(D249),ISNUMBER(H249)), D249*H249, "")</f>
        <v/>
      </c>
      <c r="M249" s="85" t="str">
        <f>IF(AND(ISNUMBER(E249),ISNUMBER(I249)), E249*I249, "")</f>
        <v/>
      </c>
      <c r="N249" s="1435" t="str">
        <f t="shared" si="69"/>
        <v/>
      </c>
      <c r="O249" s="19" t="str">
        <f>IF(AND(ISNUMBER(L249),ISNUMBER(M249),ISNUMBER(N249)),SUM(L249:N249),"")</f>
        <v/>
      </c>
      <c r="P249" s="148"/>
      <c r="Q249" s="928">
        <f t="shared" si="72"/>
        <v>0</v>
      </c>
      <c r="R249" s="607" t="s">
        <v>1089</v>
      </c>
    </row>
    <row r="250" spans="1:18" ht="15" customHeight="1" x14ac:dyDescent="0.25">
      <c r="A250" s="187"/>
      <c r="B250" s="601" t="str">
        <f>CONCATENATE("Check: interdependent assets in row ", ROW(B249), " = interdependent liabilities above in row ", ROW(B75))</f>
        <v>Check: interdependent assets in row 249 = interdependent liabilities above in row 75</v>
      </c>
      <c r="C250" s="1436"/>
      <c r="D250" s="635" t="str">
        <f>IF(D249=D75,"Pass","Fail")</f>
        <v>Pass</v>
      </c>
      <c r="E250" s="635" t="str">
        <f>IF(E249=E75,"Pass","Fail")</f>
        <v>Pass</v>
      </c>
      <c r="F250" s="635" t="str">
        <f>IF(F249=F75,"Pass","Fail")</f>
        <v>Pass</v>
      </c>
      <c r="G250" s="1433"/>
      <c r="H250" s="381"/>
      <c r="I250" s="381"/>
      <c r="J250" s="381"/>
      <c r="K250" s="1433"/>
      <c r="L250" s="381"/>
      <c r="M250" s="381"/>
      <c r="N250" s="381"/>
      <c r="O250" s="630"/>
      <c r="P250" s="148"/>
      <c r="R250" s="607" t="s">
        <v>1089</v>
      </c>
    </row>
    <row r="251" spans="1:18" ht="15" customHeight="1" x14ac:dyDescent="0.25">
      <c r="A251" s="187"/>
      <c r="B251" s="594" t="s">
        <v>740</v>
      </c>
      <c r="C251" s="169" t="s">
        <v>1087</v>
      </c>
      <c r="D251" s="628"/>
      <c r="E251" s="391"/>
      <c r="F251" s="391"/>
      <c r="G251" s="1433"/>
      <c r="H251" s="627">
        <v>1</v>
      </c>
      <c r="I251" s="626">
        <v>1</v>
      </c>
      <c r="J251" s="625">
        <v>1</v>
      </c>
      <c r="K251" s="1433"/>
      <c r="L251" s="1205" t="str">
        <f>IF(AND(ISNUMBER(D251),ISNUMBER(H251)), D251*H251, "")</f>
        <v/>
      </c>
      <c r="M251" s="1199" t="str">
        <f>IF(AND(ISNUMBER(E251),ISNUMBER(I251)), E251*I251, "")</f>
        <v/>
      </c>
      <c r="N251" s="1205" t="str">
        <f t="shared" si="69"/>
        <v/>
      </c>
      <c r="O251" s="109" t="str">
        <f>IF(AND(ISNUMBER(L251),ISNUMBER(M251),ISNUMBER(N251)),SUM(L251:N251),"")</f>
        <v/>
      </c>
      <c r="P251" s="148"/>
      <c r="Q251" s="928">
        <f t="shared" si="72"/>
        <v>0</v>
      </c>
      <c r="R251" s="34"/>
    </row>
    <row r="252" spans="1:18" ht="45" customHeight="1" x14ac:dyDescent="0.3">
      <c r="A252" s="2" t="s">
        <v>688</v>
      </c>
      <c r="B252" s="151"/>
      <c r="C252" s="151"/>
      <c r="D252" s="152"/>
      <c r="E252" s="153"/>
      <c r="F252" s="1433"/>
      <c r="G252" s="1433"/>
      <c r="H252" s="1433"/>
      <c r="I252" s="1433"/>
      <c r="J252" s="1433"/>
      <c r="K252" s="1433"/>
      <c r="L252" s="1433"/>
      <c r="M252" s="1433"/>
      <c r="N252" s="1433"/>
      <c r="O252" s="1433"/>
      <c r="P252" s="148"/>
      <c r="R252" s="34"/>
    </row>
    <row r="253" spans="1:18" ht="15" customHeight="1" x14ac:dyDescent="0.25">
      <c r="A253" s="187"/>
      <c r="B253" s="1433"/>
      <c r="C253" s="1433"/>
      <c r="D253" s="1433"/>
      <c r="E253" s="1433"/>
      <c r="F253" s="1433"/>
      <c r="G253" s="1433"/>
      <c r="H253" s="1433"/>
      <c r="I253" s="1433"/>
      <c r="J253" s="1433"/>
      <c r="K253" s="1433"/>
      <c r="L253" s="1433"/>
      <c r="M253" s="1433"/>
      <c r="N253" s="1433"/>
      <c r="O253" s="1433"/>
      <c r="P253" s="148"/>
      <c r="R253" s="34"/>
    </row>
    <row r="254" spans="1:18" ht="45" customHeight="1" x14ac:dyDescent="0.25">
      <c r="A254" s="187"/>
      <c r="B254" s="149"/>
      <c r="C254" s="592" t="s">
        <v>587</v>
      </c>
      <c r="D254" s="592" t="s">
        <v>342</v>
      </c>
      <c r="E254" s="1433"/>
      <c r="F254" s="1433"/>
      <c r="G254" s="1433"/>
      <c r="H254" s="386" t="s">
        <v>703</v>
      </c>
      <c r="I254" s="1433"/>
      <c r="J254" s="1433"/>
      <c r="K254" s="1433"/>
      <c r="L254" s="1741"/>
      <c r="M254" s="1741"/>
      <c r="N254" s="1741"/>
      <c r="O254" s="386" t="s">
        <v>704</v>
      </c>
      <c r="P254" s="148"/>
      <c r="R254" s="34"/>
    </row>
    <row r="255" spans="1:18" ht="15" customHeight="1" x14ac:dyDescent="0.25">
      <c r="A255" s="187"/>
      <c r="B255" s="1433" t="s">
        <v>689</v>
      </c>
      <c r="C255" s="1438">
        <v>47</v>
      </c>
      <c r="D255" s="387"/>
      <c r="E255" s="1433"/>
      <c r="F255" s="1433"/>
      <c r="G255" s="1433"/>
      <c r="H255" s="388">
        <v>0.05</v>
      </c>
      <c r="I255" s="1433"/>
      <c r="J255" s="1433"/>
      <c r="K255" s="1433"/>
      <c r="L255" s="366"/>
      <c r="M255" s="367"/>
      <c r="N255" s="367"/>
      <c r="O255" s="92" t="str">
        <f t="shared" ref="O255:O260" si="74">IF(AND(ISNUMBER(D255),ISNUMBER(H255)),SUM(D255)*H255,"")</f>
        <v/>
      </c>
      <c r="P255" s="148"/>
      <c r="Q255" s="928">
        <f t="shared" ref="Q255:Q260" si="75">IF(ISNUMBER(O255),1,0)</f>
        <v>0</v>
      </c>
      <c r="R255" s="34"/>
    </row>
    <row r="256" spans="1:18" ht="15" customHeight="1" x14ac:dyDescent="0.25">
      <c r="A256" s="187"/>
      <c r="B256" s="1433" t="s">
        <v>690</v>
      </c>
      <c r="C256" s="1438">
        <v>47</v>
      </c>
      <c r="D256" s="1439"/>
      <c r="E256" s="1433"/>
      <c r="F256" s="1433"/>
      <c r="G256" s="1433"/>
      <c r="H256" s="389">
        <v>0.05</v>
      </c>
      <c r="I256" s="1433"/>
      <c r="J256" s="1433"/>
      <c r="K256" s="1433"/>
      <c r="L256" s="360"/>
      <c r="M256" s="1436"/>
      <c r="N256" s="1436"/>
      <c r="O256" s="19" t="str">
        <f t="shared" si="74"/>
        <v/>
      </c>
      <c r="P256" s="148"/>
      <c r="Q256" s="928">
        <f t="shared" si="75"/>
        <v>0</v>
      </c>
      <c r="R256" s="34"/>
    </row>
    <row r="257" spans="1:18" ht="15" customHeight="1" x14ac:dyDescent="0.25">
      <c r="A257" s="187"/>
      <c r="B257" s="1433" t="s">
        <v>743</v>
      </c>
      <c r="C257" s="1438">
        <v>47</v>
      </c>
      <c r="D257" s="1439"/>
      <c r="E257" s="1433"/>
      <c r="F257" s="1433"/>
      <c r="G257" s="1433"/>
      <c r="H257" s="389">
        <f>Parameters!F76</f>
        <v>0</v>
      </c>
      <c r="I257" s="1433"/>
      <c r="J257" s="1433"/>
      <c r="K257" s="1433"/>
      <c r="L257" s="360"/>
      <c r="M257" s="1436"/>
      <c r="N257" s="1436"/>
      <c r="O257" s="19" t="str">
        <f t="shared" si="74"/>
        <v/>
      </c>
      <c r="P257" s="148"/>
      <c r="Q257" s="928">
        <f t="shared" si="75"/>
        <v>0</v>
      </c>
      <c r="R257" s="34"/>
    </row>
    <row r="258" spans="1:18" ht="15" customHeight="1" x14ac:dyDescent="0.25">
      <c r="A258" s="187"/>
      <c r="B258" s="1433" t="s">
        <v>744</v>
      </c>
      <c r="C258" s="1438">
        <v>47</v>
      </c>
      <c r="D258" s="1439"/>
      <c r="E258" s="1433"/>
      <c r="F258" s="1433"/>
      <c r="G258" s="1433"/>
      <c r="H258" s="389">
        <f>Parameters!F77</f>
        <v>0</v>
      </c>
      <c r="I258" s="1433"/>
      <c r="J258" s="1433"/>
      <c r="K258" s="1433"/>
      <c r="L258" s="360"/>
      <c r="M258" s="1436"/>
      <c r="N258" s="1436"/>
      <c r="O258" s="19" t="str">
        <f t="shared" si="74"/>
        <v/>
      </c>
      <c r="P258" s="148"/>
      <c r="Q258" s="928">
        <f t="shared" si="75"/>
        <v>0</v>
      </c>
      <c r="R258" s="34"/>
    </row>
    <row r="259" spans="1:18" ht="15" customHeight="1" x14ac:dyDescent="0.25">
      <c r="A259" s="187"/>
      <c r="B259" s="1433" t="s">
        <v>506</v>
      </c>
      <c r="C259" s="1438">
        <v>47</v>
      </c>
      <c r="D259" s="1439"/>
      <c r="E259" s="1433"/>
      <c r="F259" s="1433"/>
      <c r="G259" s="1433"/>
      <c r="H259" s="389">
        <f>Parameters!F78</f>
        <v>0</v>
      </c>
      <c r="I259" s="1433"/>
      <c r="J259" s="1433"/>
      <c r="K259" s="1433"/>
      <c r="L259" s="360"/>
      <c r="M259" s="1436"/>
      <c r="N259" s="1436"/>
      <c r="O259" s="19" t="str">
        <f t="shared" si="74"/>
        <v/>
      </c>
      <c r="P259" s="148"/>
      <c r="Q259" s="928">
        <f t="shared" si="75"/>
        <v>0</v>
      </c>
      <c r="R259" s="34"/>
    </row>
    <row r="260" spans="1:18" ht="15" customHeight="1" x14ac:dyDescent="0.25">
      <c r="A260" s="187"/>
      <c r="B260" s="1433" t="s">
        <v>507</v>
      </c>
      <c r="C260" s="1438">
        <v>47</v>
      </c>
      <c r="D260" s="1439"/>
      <c r="E260" s="1433"/>
      <c r="F260" s="1433"/>
      <c r="G260" s="1433"/>
      <c r="H260" s="389">
        <f>Parameters!F79</f>
        <v>0</v>
      </c>
      <c r="I260" s="1433"/>
      <c r="J260" s="1433"/>
      <c r="K260" s="1433"/>
      <c r="L260" s="360"/>
      <c r="M260" s="1436"/>
      <c r="N260" s="1436"/>
      <c r="O260" s="19" t="str">
        <f t="shared" si="74"/>
        <v/>
      </c>
      <c r="P260" s="148"/>
      <c r="Q260" s="928">
        <f t="shared" si="75"/>
        <v>0</v>
      </c>
      <c r="R260" s="34"/>
    </row>
    <row r="261" spans="1:18" ht="15" customHeight="1" x14ac:dyDescent="0.25">
      <c r="A261" s="187"/>
      <c r="B261" s="1433" t="s">
        <v>408</v>
      </c>
      <c r="C261" s="1438">
        <v>47</v>
      </c>
      <c r="D261" s="1437"/>
      <c r="E261" s="1433"/>
      <c r="F261" s="1433"/>
      <c r="G261" s="1433"/>
      <c r="H261" s="360"/>
      <c r="I261" s="1433"/>
      <c r="J261" s="1433"/>
      <c r="K261" s="1433"/>
      <c r="L261" s="360"/>
      <c r="M261" s="1436"/>
      <c r="N261" s="1436"/>
      <c r="O261" s="1437"/>
      <c r="P261" s="148"/>
      <c r="R261" s="34"/>
    </row>
    <row r="262" spans="1:18" ht="15" customHeight="1" x14ac:dyDescent="0.25">
      <c r="A262" s="187"/>
      <c r="B262" s="390" t="s">
        <v>274</v>
      </c>
      <c r="C262" s="1438">
        <v>47</v>
      </c>
      <c r="D262" s="1439"/>
      <c r="E262" s="1433"/>
      <c r="F262" s="1433"/>
      <c r="G262" s="1433"/>
      <c r="H262" s="389">
        <f>Parameters!F81</f>
        <v>0</v>
      </c>
      <c r="I262" s="1433"/>
      <c r="J262" s="1433"/>
      <c r="K262" s="1433"/>
      <c r="L262" s="360"/>
      <c r="M262" s="1436"/>
      <c r="N262" s="1436"/>
      <c r="O262" s="19" t="str">
        <f>IF(AND(ISNUMBER(D262),ISNUMBER(H262)),SUM(D262)*H262,"")</f>
        <v/>
      </c>
      <c r="P262" s="148"/>
      <c r="Q262" s="928">
        <f t="shared" ref="Q262:Q266" si="76">IF(ISNUMBER(O262),1,0)</f>
        <v>0</v>
      </c>
      <c r="R262" s="34"/>
    </row>
    <row r="263" spans="1:18" ht="15" customHeight="1" x14ac:dyDescent="0.25">
      <c r="A263" s="187"/>
      <c r="B263" s="390" t="s">
        <v>13</v>
      </c>
      <c r="C263" s="1438">
        <v>47</v>
      </c>
      <c r="D263" s="1439"/>
      <c r="E263" s="1433"/>
      <c r="F263" s="1433"/>
      <c r="G263" s="1433"/>
      <c r="H263" s="389">
        <f>Parameters!F82</f>
        <v>0</v>
      </c>
      <c r="I263" s="1433"/>
      <c r="J263" s="1433"/>
      <c r="K263" s="1433"/>
      <c r="L263" s="360"/>
      <c r="M263" s="1436"/>
      <c r="N263" s="1436"/>
      <c r="O263" s="19" t="str">
        <f>IF(AND(ISNUMBER(D263),ISNUMBER(H263)),SUM(D263)*H263,"")</f>
        <v/>
      </c>
      <c r="P263" s="148"/>
      <c r="Q263" s="928">
        <f t="shared" si="76"/>
        <v>0</v>
      </c>
      <c r="R263" s="34"/>
    </row>
    <row r="264" spans="1:18" ht="15" customHeight="1" x14ac:dyDescent="0.25">
      <c r="A264" s="187"/>
      <c r="B264" s="390" t="s">
        <v>409</v>
      </c>
      <c r="C264" s="1438">
        <v>47</v>
      </c>
      <c r="D264" s="1439"/>
      <c r="E264" s="1433"/>
      <c r="F264" s="1433"/>
      <c r="G264" s="1433"/>
      <c r="H264" s="389">
        <f>Parameters!F83</f>
        <v>0</v>
      </c>
      <c r="I264" s="1433"/>
      <c r="J264" s="1433"/>
      <c r="K264" s="1433"/>
      <c r="L264" s="360"/>
      <c r="M264" s="1436"/>
      <c r="N264" s="1436"/>
      <c r="O264" s="19" t="str">
        <f>IF(AND(ISNUMBER(D264),ISNUMBER(H264)),SUM(D264)*H264,"")</f>
        <v/>
      </c>
      <c r="P264" s="148"/>
      <c r="Q264" s="928">
        <f t="shared" si="76"/>
        <v>0</v>
      </c>
      <c r="R264" s="34"/>
    </row>
    <row r="265" spans="1:18" ht="15" customHeight="1" x14ac:dyDescent="0.25">
      <c r="A265" s="187"/>
      <c r="B265" s="390" t="s">
        <v>14</v>
      </c>
      <c r="C265" s="1438">
        <v>47</v>
      </c>
      <c r="D265" s="1439"/>
      <c r="E265" s="1433"/>
      <c r="F265" s="1433"/>
      <c r="G265" s="1433"/>
      <c r="H265" s="389">
        <f>Parameters!F84</f>
        <v>0</v>
      </c>
      <c r="I265" s="1433"/>
      <c r="J265" s="1433"/>
      <c r="K265" s="1433"/>
      <c r="L265" s="360"/>
      <c r="M265" s="1436"/>
      <c r="N265" s="1436"/>
      <c r="O265" s="19" t="str">
        <f>IF(AND(ISNUMBER(D265),ISNUMBER(H265)),SUM(D265)*H265,"")</f>
        <v/>
      </c>
      <c r="P265" s="148"/>
      <c r="Q265" s="928">
        <f t="shared" si="76"/>
        <v>0</v>
      </c>
      <c r="R265" s="34"/>
    </row>
    <row r="266" spans="1:18" ht="15" customHeight="1" x14ac:dyDescent="0.25">
      <c r="A266" s="187"/>
      <c r="B266" s="348" t="s">
        <v>142</v>
      </c>
      <c r="C266" s="166">
        <v>47</v>
      </c>
      <c r="D266" s="391"/>
      <c r="E266" s="1433"/>
      <c r="F266" s="1433"/>
      <c r="G266" s="1433"/>
      <c r="H266" s="392">
        <f>Parameters!F85</f>
        <v>0</v>
      </c>
      <c r="I266" s="1433"/>
      <c r="J266" s="1433"/>
      <c r="K266" s="1433"/>
      <c r="L266" s="385"/>
      <c r="M266" s="1244"/>
      <c r="N266" s="1244"/>
      <c r="O266" s="109" t="str">
        <f>IF(AND(ISNUMBER(D266),ISNUMBER(H266)),SUM(D266)*H266,"")</f>
        <v/>
      </c>
      <c r="P266" s="148"/>
      <c r="Q266" s="928">
        <f t="shared" si="76"/>
        <v>0</v>
      </c>
      <c r="R266" s="34"/>
    </row>
    <row r="267" spans="1:18" ht="15" customHeight="1" x14ac:dyDescent="0.25">
      <c r="A267" s="187"/>
      <c r="B267" s="393"/>
      <c r="C267" s="510"/>
      <c r="D267" s="370"/>
      <c r="E267" s="1433"/>
      <c r="F267" s="1433"/>
      <c r="G267" s="1433"/>
      <c r="H267" s="394"/>
      <c r="I267" s="1433"/>
      <c r="J267" s="1433"/>
      <c r="K267" s="1433"/>
      <c r="L267" s="395" t="s">
        <v>691</v>
      </c>
      <c r="M267" s="395"/>
      <c r="N267" s="396"/>
      <c r="O267" s="372" t="str">
        <f>IF(SUM(Q84:Q266)=103,SUM(O84:O266)+SUM(O302:O378),"")</f>
        <v/>
      </c>
      <c r="P267" s="148"/>
      <c r="R267" s="605" t="s">
        <v>1418</v>
      </c>
    </row>
    <row r="268" spans="1:18" ht="15" customHeight="1" x14ac:dyDescent="0.25">
      <c r="A268" s="187"/>
      <c r="B268" s="1433"/>
      <c r="C268" s="1433"/>
      <c r="D268" s="1433"/>
      <c r="E268" s="1433"/>
      <c r="F268" s="1433"/>
      <c r="G268" s="1433"/>
      <c r="H268" s="1433"/>
      <c r="I268" s="1433"/>
      <c r="J268" s="1433"/>
      <c r="K268" s="1433"/>
      <c r="L268" s="1433"/>
      <c r="M268" s="1433"/>
      <c r="N268" s="1433"/>
      <c r="O268" s="1433"/>
      <c r="P268" s="148"/>
      <c r="R268" s="34"/>
    </row>
    <row r="269" spans="1:18" ht="30" customHeight="1" x14ac:dyDescent="0.3">
      <c r="A269" s="350" t="s">
        <v>692</v>
      </c>
      <c r="B269" s="344"/>
      <c r="C269" s="344"/>
      <c r="D269" s="344"/>
      <c r="E269" s="344"/>
      <c r="F269" s="344"/>
      <c r="G269" s="344"/>
      <c r="H269" s="344"/>
      <c r="I269" s="344"/>
      <c r="J269" s="344"/>
      <c r="K269" s="82"/>
      <c r="L269" s="82"/>
      <c r="M269" s="82"/>
      <c r="N269" s="82"/>
      <c r="O269" s="82"/>
      <c r="P269" s="404"/>
      <c r="R269" s="3"/>
    </row>
    <row r="270" spans="1:18" ht="15" customHeight="1" x14ac:dyDescent="0.25">
      <c r="A270" s="187"/>
      <c r="B270" s="1433"/>
      <c r="C270" s="1433"/>
      <c r="D270" s="1433"/>
      <c r="E270" s="1433"/>
      <c r="F270" s="1433"/>
      <c r="G270" s="1433"/>
      <c r="H270" s="1433"/>
      <c r="I270" s="1433"/>
      <c r="J270" s="1433"/>
      <c r="K270" s="1433"/>
      <c r="L270" s="1433"/>
      <c r="M270" s="1433"/>
      <c r="N270" s="1433"/>
      <c r="O270" s="1433"/>
      <c r="P270" s="148"/>
      <c r="R270" s="34"/>
    </row>
    <row r="271" spans="1:18" ht="15" customHeight="1" x14ac:dyDescent="0.25">
      <c r="A271" s="187"/>
      <c r="B271" s="1433"/>
      <c r="C271" s="1433"/>
      <c r="D271" s="1433"/>
      <c r="E271" s="1433"/>
      <c r="F271" s="1433"/>
      <c r="G271" s="1433"/>
      <c r="H271" s="1433"/>
      <c r="I271" s="1433"/>
      <c r="J271" s="1433"/>
      <c r="K271" s="1433"/>
      <c r="L271" s="371" t="s">
        <v>693</v>
      </c>
      <c r="M271" s="371"/>
      <c r="N271" s="397"/>
      <c r="O271" s="398" t="str">
        <f>IF(AND(ISNUMBER(O267),ISNUMBER(O77)),IF(O267&gt;0,O77/O267,""),"")</f>
        <v/>
      </c>
      <c r="P271" s="148"/>
      <c r="R271" s="34"/>
    </row>
    <row r="272" spans="1:18" ht="15" customHeight="1" x14ac:dyDescent="0.25">
      <c r="A272" s="187"/>
      <c r="B272" s="1433"/>
      <c r="C272" s="1433"/>
      <c r="D272" s="1433"/>
      <c r="E272" s="1433"/>
      <c r="F272" s="1433"/>
      <c r="G272" s="1433"/>
      <c r="H272" s="1433"/>
      <c r="I272" s="1433"/>
      <c r="J272" s="1433"/>
      <c r="K272" s="1433"/>
      <c r="L272" s="1433"/>
      <c r="M272" s="1433"/>
      <c r="N272" s="1433"/>
      <c r="O272" s="1433"/>
      <c r="P272" s="148"/>
      <c r="R272" s="34"/>
    </row>
    <row r="273" spans="1:18" ht="45" customHeight="1" x14ac:dyDescent="0.3">
      <c r="A273" s="1754" t="s">
        <v>1407</v>
      </c>
      <c r="B273" s="1755"/>
      <c r="C273" s="1755"/>
      <c r="D273" s="1755"/>
      <c r="E273" s="1755"/>
      <c r="F273" s="1755"/>
      <c r="G273" s="1755"/>
      <c r="H273" s="1755"/>
      <c r="I273" s="1755"/>
      <c r="J273" s="1755"/>
      <c r="K273" s="1755"/>
      <c r="L273" s="1755"/>
      <c r="M273" s="1755"/>
      <c r="N273" s="1755"/>
      <c r="O273" s="1755"/>
      <c r="P273" s="404"/>
      <c r="R273" s="631" t="s">
        <v>1416</v>
      </c>
    </row>
    <row r="274" spans="1:18" ht="15" customHeight="1" x14ac:dyDescent="0.25">
      <c r="A274" s="187"/>
      <c r="B274" s="1433"/>
      <c r="C274" s="1433"/>
      <c r="D274" s="1433"/>
      <c r="E274" s="1433"/>
      <c r="F274" s="1433"/>
      <c r="G274" s="1433"/>
      <c r="H274" s="1433"/>
      <c r="I274" s="1433"/>
      <c r="J274" s="1433"/>
      <c r="K274" s="1433"/>
      <c r="L274" s="1433"/>
      <c r="M274" s="1433"/>
      <c r="N274" s="1433"/>
      <c r="O274" s="1433"/>
      <c r="P274" s="148"/>
      <c r="R274" s="34"/>
    </row>
    <row r="275" spans="1:18" ht="15" customHeight="1" x14ac:dyDescent="0.25">
      <c r="A275" s="187"/>
      <c r="B275" s="1750"/>
      <c r="C275" s="1742" t="s">
        <v>587</v>
      </c>
      <c r="D275" s="1752" t="s">
        <v>342</v>
      </c>
      <c r="E275" s="1753"/>
      <c r="F275" s="1753"/>
      <c r="G275" s="1433"/>
      <c r="H275" s="1746" t="s">
        <v>697</v>
      </c>
      <c r="I275" s="1747"/>
      <c r="J275" s="1748"/>
      <c r="K275" s="1433"/>
      <c r="L275" s="1749" t="s">
        <v>698</v>
      </c>
      <c r="M275" s="1749"/>
      <c r="N275" s="1749"/>
      <c r="O275" s="1749"/>
      <c r="P275" s="148"/>
      <c r="R275" s="34"/>
    </row>
    <row r="276" spans="1:18" ht="30" customHeight="1" x14ac:dyDescent="0.25">
      <c r="A276" s="187"/>
      <c r="B276" s="1751"/>
      <c r="C276" s="1743"/>
      <c r="D276" s="351" t="s">
        <v>699</v>
      </c>
      <c r="E276" s="352" t="s">
        <v>734</v>
      </c>
      <c r="F276" s="353" t="s">
        <v>396</v>
      </c>
      <c r="G276" s="1433"/>
      <c r="H276" s="351" t="s">
        <v>699</v>
      </c>
      <c r="I276" s="352" t="s">
        <v>734</v>
      </c>
      <c r="J276" s="353" t="s">
        <v>700</v>
      </c>
      <c r="K276" s="1433"/>
      <c r="L276" s="351" t="s">
        <v>699</v>
      </c>
      <c r="M276" s="352" t="s">
        <v>734</v>
      </c>
      <c r="N276" s="352" t="s">
        <v>700</v>
      </c>
      <c r="O276" s="353" t="s">
        <v>677</v>
      </c>
      <c r="P276" s="148"/>
      <c r="R276" s="34"/>
    </row>
    <row r="277" spans="1:18" ht="45" customHeight="1" x14ac:dyDescent="0.25">
      <c r="A277" s="187"/>
      <c r="B277" s="399" t="s">
        <v>735</v>
      </c>
      <c r="C277" s="1438" t="s">
        <v>1090</v>
      </c>
      <c r="D277" s="367"/>
      <c r="E277" s="367"/>
      <c r="F277" s="1179"/>
      <c r="G277" s="1433"/>
      <c r="H277" s="356"/>
      <c r="I277" s="160"/>
      <c r="J277" s="357">
        <v>1</v>
      </c>
      <c r="K277" s="1433"/>
      <c r="L277" s="360"/>
      <c r="M277" s="1436"/>
      <c r="N277" s="1435" t="str">
        <f t="shared" ref="N277:N278" si="77">IF(AND(ISNUMBER(F277),ISNUMBER(J277)),SUM(F277)*J277,"")</f>
        <v/>
      </c>
      <c r="O277" s="19" t="str">
        <f>N277</f>
        <v/>
      </c>
      <c r="P277" s="148"/>
      <c r="R277" s="607" t="s">
        <v>1419</v>
      </c>
    </row>
    <row r="278" spans="1:18" ht="30" customHeight="1" x14ac:dyDescent="0.25">
      <c r="A278" s="187"/>
      <c r="B278" s="361" t="s">
        <v>741</v>
      </c>
      <c r="C278" s="1438" t="s">
        <v>1090</v>
      </c>
      <c r="D278" s="1436"/>
      <c r="E278" s="1436"/>
      <c r="F278" s="202"/>
      <c r="G278" s="1433"/>
      <c r="H278" s="360"/>
      <c r="I278" s="1436"/>
      <c r="J278" s="362">
        <v>1</v>
      </c>
      <c r="K278" s="1433"/>
      <c r="L278" s="360"/>
      <c r="M278" s="1436"/>
      <c r="N278" s="1435" t="str">
        <f t="shared" si="77"/>
        <v/>
      </c>
      <c r="O278" s="19" t="str">
        <f>N278</f>
        <v/>
      </c>
      <c r="P278" s="148"/>
      <c r="R278" s="607" t="s">
        <v>1419</v>
      </c>
    </row>
    <row r="279" spans="1:18" ht="30" customHeight="1" x14ac:dyDescent="0.25">
      <c r="A279" s="187"/>
      <c r="B279" s="373" t="s">
        <v>694</v>
      </c>
      <c r="C279" s="1438" t="s">
        <v>1090</v>
      </c>
      <c r="D279" s="178"/>
      <c r="E279" s="178"/>
      <c r="F279" s="202"/>
      <c r="G279" s="1433"/>
      <c r="H279" s="1440">
        <v>0.85</v>
      </c>
      <c r="I279" s="363">
        <v>0.85</v>
      </c>
      <c r="J279" s="362">
        <v>1</v>
      </c>
      <c r="K279" s="1433"/>
      <c r="L279" s="1435" t="str">
        <f t="shared" ref="L279:M284" si="78">IF(AND(ISNUMBER(D279),ISNUMBER(H279)), D279*H279, "")</f>
        <v/>
      </c>
      <c r="M279" s="85" t="str">
        <f t="shared" si="78"/>
        <v/>
      </c>
      <c r="N279" s="1435" t="str">
        <f t="shared" ref="N279:N284" si="79">IF(AND(ISNUMBER(F279),ISNUMBER(J279)),F279*J279,"")</f>
        <v/>
      </c>
      <c r="O279" s="19" t="str">
        <f t="shared" ref="O279:O284" si="80">IF(AND(ISNUMBER(L279),ISNUMBER(N279)),SUM(L279:N279),"")</f>
        <v/>
      </c>
      <c r="P279" s="148"/>
      <c r="R279" s="607" t="s">
        <v>1419</v>
      </c>
    </row>
    <row r="280" spans="1:18" ht="30" customHeight="1" x14ac:dyDescent="0.25">
      <c r="A280" s="187"/>
      <c r="B280" s="373" t="s">
        <v>666</v>
      </c>
      <c r="C280" s="1438" t="s">
        <v>1090</v>
      </c>
      <c r="D280" s="178"/>
      <c r="E280" s="178"/>
      <c r="F280" s="202"/>
      <c r="G280" s="1433"/>
      <c r="H280" s="1440">
        <v>0.85</v>
      </c>
      <c r="I280" s="363">
        <v>0.85</v>
      </c>
      <c r="J280" s="362">
        <v>1</v>
      </c>
      <c r="K280" s="1433"/>
      <c r="L280" s="1435" t="str">
        <f t="shared" si="78"/>
        <v/>
      </c>
      <c r="M280" s="85" t="str">
        <f t="shared" si="78"/>
        <v/>
      </c>
      <c r="N280" s="1435" t="str">
        <f t="shared" si="79"/>
        <v/>
      </c>
      <c r="O280" s="19" t="str">
        <f t="shared" si="80"/>
        <v/>
      </c>
      <c r="P280" s="148"/>
      <c r="R280" s="607" t="s">
        <v>1419</v>
      </c>
    </row>
    <row r="281" spans="1:18" ht="15" customHeight="1" x14ac:dyDescent="0.25">
      <c r="A281" s="187"/>
      <c r="B281" s="373" t="s">
        <v>667</v>
      </c>
      <c r="C281" s="1438" t="s">
        <v>1090</v>
      </c>
      <c r="D281" s="178"/>
      <c r="E281" s="178"/>
      <c r="F281" s="202"/>
      <c r="G281" s="1433"/>
      <c r="H281" s="1440">
        <v>0.5</v>
      </c>
      <c r="I281" s="363">
        <v>0.5</v>
      </c>
      <c r="J281" s="362">
        <v>1</v>
      </c>
      <c r="K281" s="1433"/>
      <c r="L281" s="1435" t="str">
        <f t="shared" si="78"/>
        <v/>
      </c>
      <c r="M281" s="85" t="str">
        <f t="shared" si="78"/>
        <v/>
      </c>
      <c r="N281" s="1435" t="str">
        <f t="shared" si="79"/>
        <v/>
      </c>
      <c r="O281" s="19" t="str">
        <f t="shared" si="80"/>
        <v/>
      </c>
      <c r="P281" s="148"/>
      <c r="R281" s="607" t="s">
        <v>1419</v>
      </c>
    </row>
    <row r="282" spans="1:18" ht="15" customHeight="1" x14ac:dyDescent="0.25">
      <c r="A282" s="187"/>
      <c r="B282" s="373" t="s">
        <v>737</v>
      </c>
      <c r="C282" s="1438" t="s">
        <v>1090</v>
      </c>
      <c r="D282" s="178"/>
      <c r="E282" s="178"/>
      <c r="F282" s="202"/>
      <c r="G282" s="1433"/>
      <c r="H282" s="1440">
        <v>0.5</v>
      </c>
      <c r="I282" s="363">
        <v>0.5</v>
      </c>
      <c r="J282" s="362">
        <v>1</v>
      </c>
      <c r="K282" s="1433"/>
      <c r="L282" s="1435" t="str">
        <f t="shared" si="78"/>
        <v/>
      </c>
      <c r="M282" s="85" t="str">
        <f t="shared" si="78"/>
        <v/>
      </c>
      <c r="N282" s="1435" t="str">
        <f t="shared" si="79"/>
        <v/>
      </c>
      <c r="O282" s="19" t="str">
        <f t="shared" si="80"/>
        <v/>
      </c>
      <c r="P282" s="148"/>
      <c r="R282" s="607" t="s">
        <v>1419</v>
      </c>
    </row>
    <row r="283" spans="1:18" ht="15" customHeight="1" x14ac:dyDescent="0.25">
      <c r="A283" s="187"/>
      <c r="B283" s="373" t="s">
        <v>670</v>
      </c>
      <c r="C283" s="1438" t="s">
        <v>1090</v>
      </c>
      <c r="D283" s="178"/>
      <c r="E283" s="178"/>
      <c r="F283" s="202"/>
      <c r="G283" s="1433"/>
      <c r="H283" s="1440">
        <v>0</v>
      </c>
      <c r="I283" s="363">
        <v>0.5</v>
      </c>
      <c r="J283" s="362">
        <v>1</v>
      </c>
      <c r="K283" s="1433"/>
      <c r="L283" s="1435" t="str">
        <f t="shared" si="78"/>
        <v/>
      </c>
      <c r="M283" s="85" t="str">
        <f t="shared" si="78"/>
        <v/>
      </c>
      <c r="N283" s="1435" t="str">
        <f t="shared" si="79"/>
        <v/>
      </c>
      <c r="O283" s="19" t="str">
        <f t="shared" si="80"/>
        <v/>
      </c>
      <c r="P283" s="148"/>
      <c r="R283" s="607" t="s">
        <v>1419</v>
      </c>
    </row>
    <row r="284" spans="1:18" ht="28.5" x14ac:dyDescent="0.25">
      <c r="A284" s="187"/>
      <c r="B284" s="373" t="s">
        <v>671</v>
      </c>
      <c r="C284" s="1438" t="s">
        <v>1090</v>
      </c>
      <c r="D284" s="178"/>
      <c r="E284" s="178"/>
      <c r="F284" s="202"/>
      <c r="G284" s="1433"/>
      <c r="H284" s="1440">
        <v>0</v>
      </c>
      <c r="I284" s="363">
        <v>0.5</v>
      </c>
      <c r="J284" s="362">
        <v>1</v>
      </c>
      <c r="K284" s="1433"/>
      <c r="L284" s="1435" t="str">
        <f t="shared" si="78"/>
        <v/>
      </c>
      <c r="M284" s="85" t="str">
        <f t="shared" si="78"/>
        <v/>
      </c>
      <c r="N284" s="1435" t="str">
        <f t="shared" si="79"/>
        <v/>
      </c>
      <c r="O284" s="19" t="str">
        <f t="shared" si="80"/>
        <v/>
      </c>
      <c r="P284" s="148"/>
      <c r="R284" s="607" t="s">
        <v>1419</v>
      </c>
    </row>
    <row r="285" spans="1:18" ht="30" customHeight="1" x14ac:dyDescent="0.25">
      <c r="A285" s="187"/>
      <c r="B285" s="373" t="s">
        <v>695</v>
      </c>
      <c r="C285" s="1438" t="s">
        <v>1090</v>
      </c>
      <c r="D285" s="367"/>
      <c r="E285" s="367"/>
      <c r="F285" s="1437"/>
      <c r="G285" s="1433"/>
      <c r="H285" s="360"/>
      <c r="I285" s="1436"/>
      <c r="J285" s="1437"/>
      <c r="K285" s="1433"/>
      <c r="L285" s="366"/>
      <c r="M285" s="367"/>
      <c r="N285" s="367"/>
      <c r="O285" s="377"/>
      <c r="P285" s="148"/>
      <c r="R285" s="34"/>
    </row>
    <row r="286" spans="1:18" ht="15" customHeight="1" x14ac:dyDescent="0.25">
      <c r="A286" s="187"/>
      <c r="B286" s="593" t="s">
        <v>672</v>
      </c>
      <c r="C286" s="1438" t="s">
        <v>1090</v>
      </c>
      <c r="D286" s="367"/>
      <c r="E286" s="367"/>
      <c r="F286" s="377"/>
      <c r="G286" s="1433"/>
      <c r="H286" s="360"/>
      <c r="I286" s="1436"/>
      <c r="J286" s="1437"/>
      <c r="K286" s="1433"/>
      <c r="L286" s="366"/>
      <c r="M286" s="367"/>
      <c r="N286" s="367"/>
      <c r="O286" s="377"/>
      <c r="P286" s="148"/>
      <c r="R286" s="34"/>
    </row>
    <row r="287" spans="1:18" ht="15" customHeight="1" x14ac:dyDescent="0.25">
      <c r="A287" s="187"/>
      <c r="B287" s="593" t="s">
        <v>673</v>
      </c>
      <c r="C287" s="1438" t="s">
        <v>1090</v>
      </c>
      <c r="D287" s="367"/>
      <c r="E287" s="367"/>
      <c r="F287" s="377"/>
      <c r="G287" s="1433"/>
      <c r="H287" s="360"/>
      <c r="I287" s="1436"/>
      <c r="J287" s="1437"/>
      <c r="K287" s="1433"/>
      <c r="L287" s="366"/>
      <c r="M287" s="367"/>
      <c r="N287" s="367"/>
      <c r="O287" s="377"/>
      <c r="P287" s="148"/>
      <c r="R287" s="34"/>
    </row>
    <row r="288" spans="1:18" ht="15" customHeight="1" x14ac:dyDescent="0.25">
      <c r="A288" s="187"/>
      <c r="B288" s="1202" t="s">
        <v>674</v>
      </c>
      <c r="C288" s="1436"/>
      <c r="D288" s="178"/>
      <c r="E288" s="178"/>
      <c r="F288" s="202"/>
      <c r="G288" s="1433"/>
      <c r="H288" s="1440">
        <v>0</v>
      </c>
      <c r="I288" s="363">
        <v>0.5</v>
      </c>
      <c r="J288" s="362">
        <v>1</v>
      </c>
      <c r="K288" s="1433"/>
      <c r="L288" s="1435" t="str">
        <f t="shared" ref="L288:M292" si="81">IF(AND(ISNUMBER(D288),ISNUMBER(H288)), D288*H288, "")</f>
        <v/>
      </c>
      <c r="M288" s="85" t="str">
        <f t="shared" si="81"/>
        <v/>
      </c>
      <c r="N288" s="1435" t="str">
        <f t="shared" ref="N288:N292" si="82">IF(AND(ISNUMBER(F288),ISNUMBER(J288)),F288*J288,"")</f>
        <v/>
      </c>
      <c r="O288" s="19" t="str">
        <f t="shared" ref="O288:O292" si="83">IF(AND(ISNUMBER(L288),ISNUMBER(N288)),SUM(L288:N288),"")</f>
        <v/>
      </c>
      <c r="P288" s="148"/>
      <c r="R288" s="607" t="s">
        <v>1419</v>
      </c>
    </row>
    <row r="289" spans="1:18" ht="15" customHeight="1" x14ac:dyDescent="0.25">
      <c r="A289" s="187"/>
      <c r="B289" s="1202" t="s">
        <v>39</v>
      </c>
      <c r="C289" s="1436"/>
      <c r="D289" s="178"/>
      <c r="E289" s="178"/>
      <c r="F289" s="202"/>
      <c r="G289" s="1433"/>
      <c r="H289" s="1440">
        <v>0.5</v>
      </c>
      <c r="I289" s="363">
        <v>0.5</v>
      </c>
      <c r="J289" s="362">
        <v>1</v>
      </c>
      <c r="K289" s="1433"/>
      <c r="L289" s="1435" t="str">
        <f t="shared" si="81"/>
        <v/>
      </c>
      <c r="M289" s="85" t="str">
        <f t="shared" si="81"/>
        <v/>
      </c>
      <c r="N289" s="1435" t="str">
        <f t="shared" si="82"/>
        <v/>
      </c>
      <c r="O289" s="19" t="str">
        <f t="shared" si="83"/>
        <v/>
      </c>
      <c r="P289" s="148"/>
      <c r="R289" s="607" t="s">
        <v>1419</v>
      </c>
    </row>
    <row r="290" spans="1:18" ht="15" customHeight="1" x14ac:dyDescent="0.25">
      <c r="A290" s="187"/>
      <c r="B290" s="1202" t="s">
        <v>260</v>
      </c>
      <c r="C290" s="1436"/>
      <c r="D290" s="178"/>
      <c r="E290" s="178"/>
      <c r="F290" s="202"/>
      <c r="G290" s="1433"/>
      <c r="H290" s="1440">
        <v>0</v>
      </c>
      <c r="I290" s="363">
        <v>0.5</v>
      </c>
      <c r="J290" s="362">
        <v>1</v>
      </c>
      <c r="K290" s="1433"/>
      <c r="L290" s="1435" t="str">
        <f t="shared" si="81"/>
        <v/>
      </c>
      <c r="M290" s="85" t="str">
        <f t="shared" si="81"/>
        <v/>
      </c>
      <c r="N290" s="1435" t="str">
        <f t="shared" si="82"/>
        <v/>
      </c>
      <c r="O290" s="19" t="str">
        <f t="shared" si="83"/>
        <v/>
      </c>
      <c r="P290" s="148"/>
      <c r="R290" s="607" t="s">
        <v>1419</v>
      </c>
    </row>
    <row r="291" spans="1:18" ht="15" customHeight="1" x14ac:dyDescent="0.25">
      <c r="A291" s="187"/>
      <c r="B291" s="1202" t="s">
        <v>738</v>
      </c>
      <c r="C291" s="1436"/>
      <c r="D291" s="178"/>
      <c r="E291" s="178"/>
      <c r="F291" s="202"/>
      <c r="G291" s="1433"/>
      <c r="H291" s="1440">
        <v>0.5</v>
      </c>
      <c r="I291" s="363">
        <v>0.5</v>
      </c>
      <c r="J291" s="362">
        <v>1</v>
      </c>
      <c r="K291" s="1433"/>
      <c r="L291" s="1435" t="str">
        <f t="shared" si="81"/>
        <v/>
      </c>
      <c r="M291" s="85" t="str">
        <f t="shared" si="81"/>
        <v/>
      </c>
      <c r="N291" s="1435" t="str">
        <f t="shared" si="82"/>
        <v/>
      </c>
      <c r="O291" s="19" t="str">
        <f t="shared" si="83"/>
        <v/>
      </c>
      <c r="P291" s="148"/>
      <c r="R291" s="607" t="s">
        <v>1419</v>
      </c>
    </row>
    <row r="292" spans="1:18" ht="15" customHeight="1" x14ac:dyDescent="0.25">
      <c r="A292" s="187"/>
      <c r="B292" s="1202" t="s">
        <v>675</v>
      </c>
      <c r="C292" s="1436"/>
      <c r="D292" s="178"/>
      <c r="E292" s="178"/>
      <c r="F292" s="1180"/>
      <c r="G292" s="1433"/>
      <c r="H292" s="1440">
        <v>0</v>
      </c>
      <c r="I292" s="363">
        <v>0.5</v>
      </c>
      <c r="J292" s="362">
        <v>1</v>
      </c>
      <c r="K292" s="1433"/>
      <c r="L292" s="1435" t="str">
        <f t="shared" si="81"/>
        <v/>
      </c>
      <c r="M292" s="85" t="str">
        <f t="shared" si="81"/>
        <v/>
      </c>
      <c r="N292" s="1435" t="str">
        <f t="shared" si="82"/>
        <v/>
      </c>
      <c r="O292" s="19" t="str">
        <f t="shared" si="83"/>
        <v/>
      </c>
      <c r="P292" s="148"/>
      <c r="R292" s="607" t="s">
        <v>1419</v>
      </c>
    </row>
    <row r="293" spans="1:18" ht="15" customHeight="1" x14ac:dyDescent="0.25">
      <c r="A293" s="187"/>
      <c r="B293" s="373" t="s">
        <v>1408</v>
      </c>
      <c r="C293" s="1438" t="s">
        <v>1090</v>
      </c>
      <c r="D293" s="1436"/>
      <c r="E293" s="1436"/>
      <c r="F293" s="313" t="str">
        <f>IF(ISNUMBER(F59), F59, "")</f>
        <v/>
      </c>
      <c r="G293" s="1433"/>
      <c r="H293" s="360"/>
      <c r="I293" s="1436"/>
      <c r="J293" s="362">
        <v>0</v>
      </c>
      <c r="K293" s="1433"/>
      <c r="L293" s="360"/>
      <c r="M293" s="360"/>
      <c r="N293" s="1435" t="str">
        <f>IF(AND(ISNUMBER(F293),ISNUMBER(F230),ISNUMBER(J293)),MAX((F293-F230),0)*J293,"")</f>
        <v/>
      </c>
      <c r="O293" s="19" t="str">
        <f>N293</f>
        <v/>
      </c>
      <c r="P293" s="148"/>
      <c r="R293" s="607" t="s">
        <v>1420</v>
      </c>
    </row>
    <row r="294" spans="1:18" ht="15" customHeight="1" x14ac:dyDescent="0.25">
      <c r="A294" s="187"/>
      <c r="B294" s="373" t="s">
        <v>696</v>
      </c>
      <c r="C294" s="1438" t="s">
        <v>1090</v>
      </c>
      <c r="D294" s="178"/>
      <c r="E294" s="178"/>
      <c r="F294" s="1181"/>
      <c r="G294" s="1433"/>
      <c r="H294" s="1440">
        <v>0</v>
      </c>
      <c r="I294" s="363">
        <v>0.5</v>
      </c>
      <c r="J294" s="362">
        <v>1</v>
      </c>
      <c r="K294" s="1433"/>
      <c r="L294" s="1435" t="str">
        <f>IF(AND(ISNUMBER(D294),ISNUMBER(H294)), D294*H294, "")</f>
        <v/>
      </c>
      <c r="M294" s="85" t="str">
        <f>IF(AND(ISNUMBER(E294),ISNUMBER(I294)), E294*I294, "")</f>
        <v/>
      </c>
      <c r="N294" s="1435" t="str">
        <f>IF(AND(ISNUMBER(F294),ISNUMBER(J294)),F294*J294,"")</f>
        <v/>
      </c>
      <c r="O294" s="19" t="str">
        <f>IF(AND(ISNUMBER(L294),ISNUMBER(N294)),SUM(L294:N294),"")</f>
        <v/>
      </c>
      <c r="P294" s="148"/>
      <c r="R294" s="607" t="s">
        <v>1419</v>
      </c>
    </row>
    <row r="295" spans="1:18" ht="30" customHeight="1" x14ac:dyDescent="0.25">
      <c r="A295" s="187"/>
      <c r="B295" s="400" t="str">
        <f>CONCATENATE("Check: the sum of each of the columns for rows ", ROW(B277), " to ", ROW(B294), " should equal the corresponding column in row ", ROW(B39))</f>
        <v>Check: the sum of each of the columns for rows 277 to 294 should equal the corresponding column in row 39</v>
      </c>
      <c r="C295" s="1244"/>
      <c r="D295" s="401" t="str">
        <f>IF(SUM(D277:D294)=D39,"Pass","Fail")</f>
        <v>Pass</v>
      </c>
      <c r="E295" s="401" t="str">
        <f>IF(SUM(E277:E294)=E39,"Pass","Fail")</f>
        <v>Pass</v>
      </c>
      <c r="F295" s="401" t="str">
        <f>IF(SUM(F277:F294)=F39,"Pass","Fail")</f>
        <v>Pass</v>
      </c>
      <c r="G295" s="1433"/>
      <c r="H295" s="385"/>
      <c r="I295" s="1244"/>
      <c r="J295" s="368"/>
      <c r="K295" s="1433"/>
      <c r="L295" s="394"/>
      <c r="M295" s="402"/>
      <c r="N295" s="402"/>
      <c r="O295" s="393"/>
      <c r="P295" s="148"/>
      <c r="R295" s="34"/>
    </row>
    <row r="296" spans="1:18" ht="15" customHeight="1" x14ac:dyDescent="0.25">
      <c r="A296" s="187"/>
      <c r="B296" s="1433"/>
      <c r="C296" s="1433"/>
      <c r="D296" s="1433"/>
      <c r="E296" s="1433"/>
      <c r="F296" s="1433"/>
      <c r="G296" s="1433"/>
      <c r="H296" s="1433"/>
      <c r="I296" s="1433"/>
      <c r="J296" s="1433"/>
      <c r="K296" s="1433"/>
      <c r="L296" s="1433"/>
      <c r="M296" s="1433"/>
      <c r="N296" s="1433"/>
      <c r="O296" s="1433"/>
      <c r="P296" s="148"/>
      <c r="R296" s="34"/>
    </row>
    <row r="297" spans="1:18" ht="45" customHeight="1" x14ac:dyDescent="0.25">
      <c r="A297" s="632" t="s">
        <v>1091</v>
      </c>
      <c r="B297" s="82"/>
      <c r="C297" s="82"/>
      <c r="D297" s="82"/>
      <c r="E297" s="82"/>
      <c r="F297" s="82"/>
      <c r="G297" s="82"/>
      <c r="H297" s="82"/>
      <c r="I297" s="82"/>
      <c r="J297" s="82"/>
      <c r="K297" s="82"/>
      <c r="L297" s="82"/>
      <c r="M297" s="82"/>
      <c r="N297" s="82"/>
      <c r="O297" s="82"/>
      <c r="P297" s="404"/>
      <c r="R297" s="631" t="s">
        <v>1089</v>
      </c>
    </row>
    <row r="298" spans="1:18" ht="30" customHeight="1" x14ac:dyDescent="0.25">
      <c r="A298" s="187"/>
      <c r="B298" s="1744" t="s">
        <v>1409</v>
      </c>
      <c r="C298" s="1745"/>
      <c r="D298" s="1745"/>
      <c r="E298" s="1745"/>
      <c r="F298" s="1745"/>
      <c r="G298" s="1745"/>
      <c r="H298" s="1745"/>
      <c r="I298" s="1745"/>
      <c r="J298" s="1745"/>
      <c r="K298" s="1745"/>
      <c r="L298" s="1745"/>
      <c r="M298" s="1745"/>
      <c r="N298" s="1745"/>
      <c r="O298" s="1745"/>
      <c r="P298" s="148"/>
      <c r="R298" s="607" t="s">
        <v>1089</v>
      </c>
    </row>
    <row r="299" spans="1:18" ht="15" customHeight="1" x14ac:dyDescent="0.25">
      <c r="A299" s="187"/>
      <c r="B299" s="1433"/>
      <c r="C299" s="1433"/>
      <c r="D299" s="1433"/>
      <c r="E299" s="1433"/>
      <c r="F299" s="1433"/>
      <c r="G299" s="1433"/>
      <c r="H299" s="1433"/>
      <c r="I299" s="1433"/>
      <c r="J299" s="1433"/>
      <c r="K299" s="1433"/>
      <c r="L299" s="1433"/>
      <c r="M299" s="1433"/>
      <c r="N299" s="1433"/>
      <c r="O299" s="1433"/>
      <c r="P299" s="148"/>
      <c r="R299" s="607" t="s">
        <v>1089</v>
      </c>
    </row>
    <row r="300" spans="1:18" ht="15" customHeight="1" x14ac:dyDescent="0.25">
      <c r="A300" s="187"/>
      <c r="B300" s="629"/>
      <c r="C300" s="1742" t="s">
        <v>587</v>
      </c>
      <c r="D300" s="1752" t="s">
        <v>342</v>
      </c>
      <c r="E300" s="1753"/>
      <c r="F300" s="1753"/>
      <c r="G300" s="1433"/>
      <c r="H300" s="1746" t="s">
        <v>701</v>
      </c>
      <c r="I300" s="1747"/>
      <c r="J300" s="1748"/>
      <c r="K300" s="1433"/>
      <c r="L300" s="1749" t="s">
        <v>702</v>
      </c>
      <c r="M300" s="1749"/>
      <c r="N300" s="1749"/>
      <c r="O300" s="1749"/>
      <c r="P300" s="148"/>
      <c r="R300" s="607" t="s">
        <v>1089</v>
      </c>
    </row>
    <row r="301" spans="1:18" ht="30" customHeight="1" x14ac:dyDescent="0.25">
      <c r="A301" s="187"/>
      <c r="B301" s="566"/>
      <c r="C301" s="1743"/>
      <c r="D301" s="351" t="s">
        <v>699</v>
      </c>
      <c r="E301" s="352" t="s">
        <v>734</v>
      </c>
      <c r="F301" s="353" t="s">
        <v>396</v>
      </c>
      <c r="G301" s="1433"/>
      <c r="H301" s="351" t="s">
        <v>699</v>
      </c>
      <c r="I301" s="352" t="s">
        <v>734</v>
      </c>
      <c r="J301" s="353" t="s">
        <v>700</v>
      </c>
      <c r="K301" s="1433"/>
      <c r="L301" s="351" t="s">
        <v>699</v>
      </c>
      <c r="M301" s="352" t="s">
        <v>734</v>
      </c>
      <c r="N301" s="352" t="s">
        <v>700</v>
      </c>
      <c r="O301" s="1451" t="s">
        <v>691</v>
      </c>
      <c r="P301" s="148"/>
      <c r="R301" s="607" t="s">
        <v>1089</v>
      </c>
    </row>
    <row r="302" spans="1:18" ht="60" customHeight="1" x14ac:dyDescent="0.25">
      <c r="A302" s="187"/>
      <c r="B302" s="373" t="s">
        <v>687</v>
      </c>
      <c r="C302" s="1438" t="s">
        <v>1092</v>
      </c>
      <c r="D302" s="367"/>
      <c r="E302" s="367"/>
      <c r="F302" s="377"/>
      <c r="G302" s="1433"/>
      <c r="H302" s="356"/>
      <c r="I302" s="356"/>
      <c r="J302" s="636"/>
      <c r="K302" s="1433"/>
      <c r="L302" s="360"/>
      <c r="M302" s="360"/>
      <c r="N302" s="360"/>
      <c r="O302" s="604"/>
      <c r="P302" s="148"/>
      <c r="R302" s="607" t="s">
        <v>1089</v>
      </c>
    </row>
    <row r="303" spans="1:18" ht="15" customHeight="1" x14ac:dyDescent="0.25">
      <c r="A303" s="187"/>
      <c r="B303" s="1202" t="s">
        <v>1093</v>
      </c>
      <c r="C303" s="1436"/>
      <c r="D303" s="367"/>
      <c r="E303" s="367"/>
      <c r="F303" s="377"/>
      <c r="G303" s="1433"/>
      <c r="H303" s="360"/>
      <c r="I303" s="360"/>
      <c r="J303" s="604"/>
      <c r="K303" s="1433"/>
      <c r="L303" s="360"/>
      <c r="M303" s="360"/>
      <c r="N303" s="360"/>
      <c r="O303" s="604"/>
      <c r="P303" s="148"/>
      <c r="R303" s="607" t="s">
        <v>1089</v>
      </c>
    </row>
    <row r="304" spans="1:18" ht="15" customHeight="1" x14ac:dyDescent="0.25">
      <c r="A304" s="187"/>
      <c r="B304" s="1201" t="s">
        <v>1391</v>
      </c>
      <c r="C304" s="1436"/>
      <c r="D304" s="1175"/>
      <c r="E304" s="1175"/>
      <c r="F304" s="1175"/>
      <c r="G304" s="1433"/>
      <c r="H304" s="1440">
        <v>0</v>
      </c>
      <c r="I304" s="363">
        <v>0</v>
      </c>
      <c r="J304" s="362">
        <v>0</v>
      </c>
      <c r="K304" s="1433"/>
      <c r="L304" s="1435" t="str">
        <f>IF(AND(ISNUMBER(D304),ISNUMBER(H304)), D304*H304, "")</f>
        <v/>
      </c>
      <c r="M304" s="85" t="str">
        <f>IF(AND(ISNUMBER(E304),ISNUMBER(I304)), E304*I304, "")</f>
        <v/>
      </c>
      <c r="N304" s="1435" t="str">
        <f t="shared" ref="N304:N305" si="84">IF(AND(ISNUMBER(F304),ISNUMBER(J304)),F304*J304,"")</f>
        <v/>
      </c>
      <c r="O304" s="619" t="str">
        <f>IF(AND(ISNUMBER(L304),ISNUMBER(M304),ISNUMBER(N304)),SUM(L304:N304),"")</f>
        <v/>
      </c>
      <c r="P304" s="148"/>
      <c r="R304" s="607" t="s">
        <v>1089</v>
      </c>
    </row>
    <row r="305" spans="1:18" ht="15" customHeight="1" x14ac:dyDescent="0.25">
      <c r="A305" s="187"/>
      <c r="B305" s="1201" t="s">
        <v>1392</v>
      </c>
      <c r="C305" s="1436"/>
      <c r="D305" s="1175"/>
      <c r="E305" s="1175"/>
      <c r="F305" s="1175"/>
      <c r="G305" s="1433"/>
      <c r="H305" s="1440">
        <v>0</v>
      </c>
      <c r="I305" s="363">
        <v>0</v>
      </c>
      <c r="J305" s="362">
        <v>0</v>
      </c>
      <c r="K305" s="1433"/>
      <c r="L305" s="1435" t="str">
        <f>IF(AND(ISNUMBER(D305),ISNUMBER(H305)), D305*H305, "")</f>
        <v/>
      </c>
      <c r="M305" s="85" t="str">
        <f>IF(AND(ISNUMBER(E305),ISNUMBER(I305)), E305*I305, "")</f>
        <v/>
      </c>
      <c r="N305" s="1435" t="str">
        <f t="shared" si="84"/>
        <v/>
      </c>
      <c r="O305" s="619" t="str">
        <f>IF(AND(ISNUMBER(L305),ISNUMBER(M305),ISNUMBER(N305)),SUM(L305:N305),"")</f>
        <v/>
      </c>
      <c r="P305" s="148"/>
      <c r="R305" s="607" t="s">
        <v>1089</v>
      </c>
    </row>
    <row r="306" spans="1:18" ht="15" customHeight="1" x14ac:dyDescent="0.25">
      <c r="A306" s="187"/>
      <c r="B306" s="373" t="s">
        <v>1411</v>
      </c>
      <c r="C306" s="1438" t="s">
        <v>1092</v>
      </c>
      <c r="D306" s="367"/>
      <c r="E306" s="367"/>
      <c r="F306" s="377"/>
      <c r="G306" s="1433"/>
      <c r="H306" s="360"/>
      <c r="I306" s="360"/>
      <c r="J306" s="604"/>
      <c r="K306" s="1433"/>
      <c r="L306" s="360"/>
      <c r="M306" s="360"/>
      <c r="N306" s="360"/>
      <c r="O306" s="604"/>
      <c r="P306" s="148"/>
      <c r="R306" s="607" t="s">
        <v>1089</v>
      </c>
    </row>
    <row r="307" spans="1:18" ht="30" customHeight="1" x14ac:dyDescent="0.25">
      <c r="A307" s="187"/>
      <c r="B307" s="1202" t="s">
        <v>1094</v>
      </c>
      <c r="C307" s="1436"/>
      <c r="D307" s="367"/>
      <c r="E307" s="367"/>
      <c r="F307" s="377"/>
      <c r="G307" s="1433"/>
      <c r="H307" s="360"/>
      <c r="I307" s="360"/>
      <c r="J307" s="604"/>
      <c r="K307" s="1433"/>
      <c r="L307" s="360"/>
      <c r="M307" s="360"/>
      <c r="N307" s="360"/>
      <c r="O307" s="604"/>
      <c r="P307" s="148"/>
      <c r="R307" s="607" t="s">
        <v>1089</v>
      </c>
    </row>
    <row r="308" spans="1:18" ht="15" customHeight="1" x14ac:dyDescent="0.25">
      <c r="A308" s="187"/>
      <c r="B308" s="1201" t="s">
        <v>1093</v>
      </c>
      <c r="C308" s="1436"/>
      <c r="D308" s="367"/>
      <c r="E308" s="367"/>
      <c r="F308" s="377"/>
      <c r="G308" s="1433"/>
      <c r="H308" s="360"/>
      <c r="I308" s="360"/>
      <c r="J308" s="604"/>
      <c r="K308" s="1433"/>
      <c r="L308" s="360"/>
      <c r="M308" s="360"/>
      <c r="N308" s="360"/>
      <c r="O308" s="604"/>
      <c r="P308" s="148"/>
      <c r="R308" s="607" t="s">
        <v>1089</v>
      </c>
    </row>
    <row r="309" spans="1:18" ht="15" customHeight="1" x14ac:dyDescent="0.25">
      <c r="A309" s="187"/>
      <c r="B309" s="1206" t="s">
        <v>1391</v>
      </c>
      <c r="C309" s="1436"/>
      <c r="D309" s="1175"/>
      <c r="E309" s="1175"/>
      <c r="F309" s="1175"/>
      <c r="G309" s="1433"/>
      <c r="H309" s="1440">
        <f>IF(Parameters!F92&lt;H$104,H$104,Parameters!F92)</f>
        <v>0.5</v>
      </c>
      <c r="I309" s="1440">
        <f>IF(Parameters!G92&lt;I$104,I$104,Parameters!G92)</f>
        <v>0.5</v>
      </c>
      <c r="J309" s="389">
        <f>IF(Parameters!H92&lt;J$104,J$104,Parameters!H92)</f>
        <v>1</v>
      </c>
      <c r="K309" s="1433"/>
      <c r="L309" s="1435" t="str">
        <f>IF(AND(ISNUMBER(D309),ISNUMBER(H309)), D309*H309, "")</f>
        <v/>
      </c>
      <c r="M309" s="85" t="str">
        <f>IF(AND(ISNUMBER(E309),ISNUMBER(I309)), E309*I309, "")</f>
        <v/>
      </c>
      <c r="N309" s="1435" t="str">
        <f t="shared" ref="N309:N310" si="85">IF(AND(ISNUMBER(F309),ISNUMBER(J309)),F309*J309,"")</f>
        <v/>
      </c>
      <c r="O309" s="619" t="str">
        <f>IF(AND(ISNUMBER(L309),ISNUMBER(M309),ISNUMBER(N309)),SUM(L309:N309),"")</f>
        <v/>
      </c>
      <c r="P309" s="148"/>
      <c r="R309" s="607" t="s">
        <v>1089</v>
      </c>
    </row>
    <row r="310" spans="1:18" ht="15" customHeight="1" x14ac:dyDescent="0.25">
      <c r="A310" s="187"/>
      <c r="B310" s="1206" t="s">
        <v>1392</v>
      </c>
      <c r="C310" s="1436"/>
      <c r="D310" s="1175"/>
      <c r="E310" s="1175"/>
      <c r="F310" s="1175"/>
      <c r="G310" s="1433"/>
      <c r="H310" s="1440">
        <f>IF(Parameters!F93&lt;H$104,H$104,Parameters!F93)</f>
        <v>1</v>
      </c>
      <c r="I310" s="1440">
        <f>IF(Parameters!G93&lt;I$104,I$104,Parameters!G93)</f>
        <v>1</v>
      </c>
      <c r="J310" s="389">
        <f>IF(Parameters!H93&lt;J$104,J$104,Parameters!H93)</f>
        <v>1</v>
      </c>
      <c r="K310" s="1433"/>
      <c r="L310" s="1435" t="str">
        <f>IF(AND(ISNUMBER(D310),ISNUMBER(H310)), D310*H310, "")</f>
        <v/>
      </c>
      <c r="M310" s="85" t="str">
        <f>IF(AND(ISNUMBER(E310),ISNUMBER(I310)), E310*I310, "")</f>
        <v/>
      </c>
      <c r="N310" s="1435" t="str">
        <f t="shared" si="85"/>
        <v/>
      </c>
      <c r="O310" s="619" t="str">
        <f>IF(AND(ISNUMBER(L310),ISNUMBER(M310),ISNUMBER(N310)),SUM(L310:N310),"")</f>
        <v/>
      </c>
      <c r="P310" s="148"/>
      <c r="R310" s="607" t="s">
        <v>1089</v>
      </c>
    </row>
    <row r="311" spans="1:18" ht="15" customHeight="1" x14ac:dyDescent="0.25">
      <c r="A311" s="187"/>
      <c r="B311" s="1202" t="s">
        <v>1412</v>
      </c>
      <c r="C311" s="1436"/>
      <c r="D311" s="367"/>
      <c r="E311" s="367"/>
      <c r="F311" s="377"/>
      <c r="G311" s="1433"/>
      <c r="H311" s="360"/>
      <c r="I311" s="360"/>
      <c r="J311" s="604"/>
      <c r="K311" s="1433"/>
      <c r="L311" s="360"/>
      <c r="M311" s="360"/>
      <c r="N311" s="360"/>
      <c r="O311" s="604"/>
      <c r="P311" s="148"/>
      <c r="R311" s="607" t="s">
        <v>1089</v>
      </c>
    </row>
    <row r="312" spans="1:18" ht="15" customHeight="1" x14ac:dyDescent="0.25">
      <c r="A312" s="187"/>
      <c r="B312" s="1201" t="s">
        <v>1093</v>
      </c>
      <c r="C312" s="1436"/>
      <c r="D312" s="367"/>
      <c r="E312" s="367"/>
      <c r="F312" s="377"/>
      <c r="G312" s="1433"/>
      <c r="H312" s="360"/>
      <c r="I312" s="360"/>
      <c r="J312" s="604"/>
      <c r="K312" s="1433"/>
      <c r="L312" s="360"/>
      <c r="M312" s="360"/>
      <c r="N312" s="360"/>
      <c r="O312" s="604"/>
      <c r="P312" s="148"/>
      <c r="R312" s="607" t="s">
        <v>1089</v>
      </c>
    </row>
    <row r="313" spans="1:18" ht="15" customHeight="1" x14ac:dyDescent="0.25">
      <c r="A313" s="187"/>
      <c r="B313" s="1206" t="s">
        <v>1391</v>
      </c>
      <c r="C313" s="1436"/>
      <c r="D313" s="1175"/>
      <c r="E313" s="1175"/>
      <c r="F313" s="1175"/>
      <c r="G313" s="1433"/>
      <c r="H313" s="1440">
        <f>IF(Parameters!F96&lt;H$110,H$110,Parameters!F96)</f>
        <v>0.5</v>
      </c>
      <c r="I313" s="1440">
        <f>IF(Parameters!G96&lt;I$110,I$110,Parameters!G96)</f>
        <v>0.5</v>
      </c>
      <c r="J313" s="389">
        <f>IF(Parameters!H96&lt;J$110,J$110,Parameters!H96)</f>
        <v>1</v>
      </c>
      <c r="K313" s="1433"/>
      <c r="L313" s="1435" t="str">
        <f>IF(AND(ISNUMBER(D313),ISNUMBER(H313)), D313*H313, "")</f>
        <v/>
      </c>
      <c r="M313" s="85" t="str">
        <f>IF(AND(ISNUMBER(E313),ISNUMBER(I313)), E313*I313, "")</f>
        <v/>
      </c>
      <c r="N313" s="1435" t="str">
        <f t="shared" ref="N313:N314" si="86">IF(AND(ISNUMBER(F313),ISNUMBER(J313)),F313*J313,"")</f>
        <v/>
      </c>
      <c r="O313" s="619" t="str">
        <f>IF(AND(ISNUMBER(L313),ISNUMBER(M313),ISNUMBER(N313)),SUM(L313:N313),"")</f>
        <v/>
      </c>
      <c r="P313" s="148"/>
      <c r="R313" s="607" t="s">
        <v>1089</v>
      </c>
    </row>
    <row r="314" spans="1:18" ht="15" customHeight="1" x14ac:dyDescent="0.25">
      <c r="A314" s="187"/>
      <c r="B314" s="1206" t="s">
        <v>1392</v>
      </c>
      <c r="C314" s="1436"/>
      <c r="D314" s="1175"/>
      <c r="E314" s="1175"/>
      <c r="F314" s="1175"/>
      <c r="G314" s="1433"/>
      <c r="H314" s="1440">
        <f>IF(Parameters!F97&lt;H$110,H$110,Parameters!F97)</f>
        <v>1</v>
      </c>
      <c r="I314" s="1440">
        <f>IF(Parameters!G97&lt;I$110,I$110,Parameters!G97)</f>
        <v>1</v>
      </c>
      <c r="J314" s="389">
        <f>IF(Parameters!H97&lt;J$110,J$110,Parameters!H97)</f>
        <v>1</v>
      </c>
      <c r="K314" s="1433"/>
      <c r="L314" s="1435" t="str">
        <f>IF(AND(ISNUMBER(D314),ISNUMBER(H314)), D314*H314, "")</f>
        <v/>
      </c>
      <c r="M314" s="85" t="str">
        <f>IF(AND(ISNUMBER(E314),ISNUMBER(I314)), E314*I314, "")</f>
        <v/>
      </c>
      <c r="N314" s="1435" t="str">
        <f t="shared" si="86"/>
        <v/>
      </c>
      <c r="O314" s="619" t="str">
        <f>IF(AND(ISNUMBER(L314),ISNUMBER(M314),ISNUMBER(N314)),SUM(L314:N314),"")</f>
        <v/>
      </c>
      <c r="P314" s="148"/>
      <c r="R314" s="607" t="s">
        <v>1089</v>
      </c>
    </row>
    <row r="315" spans="1:18" ht="15" customHeight="1" x14ac:dyDescent="0.25">
      <c r="A315" s="187"/>
      <c r="B315" s="1202" t="s">
        <v>1095</v>
      </c>
      <c r="C315" s="1436"/>
      <c r="D315" s="367"/>
      <c r="E315" s="367"/>
      <c r="F315" s="377"/>
      <c r="G315" s="1433"/>
      <c r="H315" s="360"/>
      <c r="I315" s="360"/>
      <c r="J315" s="604"/>
      <c r="K315" s="1433"/>
      <c r="L315" s="360"/>
      <c r="M315" s="360"/>
      <c r="N315" s="360"/>
      <c r="O315" s="604"/>
      <c r="P315" s="148"/>
      <c r="R315" s="607" t="s">
        <v>1089</v>
      </c>
    </row>
    <row r="316" spans="1:18" ht="15" customHeight="1" x14ac:dyDescent="0.25">
      <c r="A316" s="187"/>
      <c r="B316" s="1201" t="s">
        <v>1093</v>
      </c>
      <c r="C316" s="1436"/>
      <c r="D316" s="367"/>
      <c r="E316" s="367"/>
      <c r="F316" s="377"/>
      <c r="G316" s="1433"/>
      <c r="H316" s="360"/>
      <c r="I316" s="360"/>
      <c r="J316" s="604"/>
      <c r="K316" s="1433"/>
      <c r="L316" s="360"/>
      <c r="M316" s="360"/>
      <c r="N316" s="360"/>
      <c r="O316" s="604"/>
      <c r="P316" s="148"/>
      <c r="R316" s="607" t="s">
        <v>1089</v>
      </c>
    </row>
    <row r="317" spans="1:18" ht="15" customHeight="1" x14ac:dyDescent="0.25">
      <c r="A317" s="187"/>
      <c r="B317" s="1206" t="s">
        <v>1391</v>
      </c>
      <c r="C317" s="1436"/>
      <c r="D317" s="1175"/>
      <c r="E317" s="1175"/>
      <c r="F317" s="1175"/>
      <c r="G317" s="1433"/>
      <c r="H317" s="1440">
        <f>IF(Parameters!F100&lt;H$116,H$116,Parameters!F100)</f>
        <v>0.5</v>
      </c>
      <c r="I317" s="1440">
        <f>IF(Parameters!G100&lt;I$116,I$116,Parameters!G100)</f>
        <v>0.5</v>
      </c>
      <c r="J317" s="389">
        <f>IF(Parameters!H100&lt;J$116,J$116,Parameters!H100)</f>
        <v>1</v>
      </c>
      <c r="K317" s="1433"/>
      <c r="L317" s="1435" t="str">
        <f>IF(AND(ISNUMBER(D317),ISNUMBER(H317)), D317*H317, "")</f>
        <v/>
      </c>
      <c r="M317" s="85" t="str">
        <f>IF(AND(ISNUMBER(E317),ISNUMBER(I317)), E317*I317, "")</f>
        <v/>
      </c>
      <c r="N317" s="1435" t="str">
        <f t="shared" ref="N317:N318" si="87">IF(AND(ISNUMBER(F317),ISNUMBER(J317)),F317*J317,"")</f>
        <v/>
      </c>
      <c r="O317" s="619" t="str">
        <f>IF(AND(ISNUMBER(L317),ISNUMBER(M317),ISNUMBER(N317)),SUM(L317:N317),"")</f>
        <v/>
      </c>
      <c r="P317" s="148"/>
      <c r="R317" s="607" t="s">
        <v>1089</v>
      </c>
    </row>
    <row r="318" spans="1:18" ht="15" customHeight="1" x14ac:dyDescent="0.25">
      <c r="A318" s="187"/>
      <c r="B318" s="1206" t="s">
        <v>1392</v>
      </c>
      <c r="C318" s="1436"/>
      <c r="D318" s="1175"/>
      <c r="E318" s="1175"/>
      <c r="F318" s="1175"/>
      <c r="G318" s="1433"/>
      <c r="H318" s="1440">
        <f>IF(Parameters!F101&lt;H$116,H$116,Parameters!F101)</f>
        <v>1</v>
      </c>
      <c r="I318" s="1440">
        <f>IF(Parameters!G101&lt;I$116,I$116,Parameters!G101)</f>
        <v>1</v>
      </c>
      <c r="J318" s="389">
        <f>IF(Parameters!H101&lt;J$116,J$116,Parameters!H101)</f>
        <v>1</v>
      </c>
      <c r="K318" s="1433"/>
      <c r="L318" s="1435" t="str">
        <f>IF(AND(ISNUMBER(D318),ISNUMBER(H318)), D318*H318, "")</f>
        <v/>
      </c>
      <c r="M318" s="85" t="str">
        <f>IF(AND(ISNUMBER(E318),ISNUMBER(I318)), E318*I318, "")</f>
        <v/>
      </c>
      <c r="N318" s="1435" t="str">
        <f t="shared" si="87"/>
        <v/>
      </c>
      <c r="O318" s="619" t="str">
        <f>IF(AND(ISNUMBER(L318),ISNUMBER(M318),ISNUMBER(N318)),SUM(L318:N318),"")</f>
        <v/>
      </c>
      <c r="P318" s="148"/>
      <c r="R318" s="607" t="s">
        <v>1089</v>
      </c>
    </row>
    <row r="319" spans="1:18" ht="15" customHeight="1" x14ac:dyDescent="0.25">
      <c r="A319" s="187"/>
      <c r="B319" s="373" t="s">
        <v>1470</v>
      </c>
      <c r="C319" s="1438" t="s">
        <v>1092</v>
      </c>
      <c r="D319" s="367"/>
      <c r="E319" s="367"/>
      <c r="F319" s="377"/>
      <c r="G319" s="1433"/>
      <c r="H319" s="360"/>
      <c r="I319" s="360"/>
      <c r="J319" s="604"/>
      <c r="K319" s="1433"/>
      <c r="L319" s="360"/>
      <c r="M319" s="360"/>
      <c r="N319" s="360"/>
      <c r="O319" s="604"/>
      <c r="P319" s="148"/>
      <c r="R319" s="607" t="s">
        <v>1089</v>
      </c>
    </row>
    <row r="320" spans="1:18" ht="15" customHeight="1" x14ac:dyDescent="0.25">
      <c r="A320" s="187"/>
      <c r="B320" s="1202" t="s">
        <v>1093</v>
      </c>
      <c r="C320" s="1436"/>
      <c r="D320" s="367"/>
      <c r="E320" s="367"/>
      <c r="F320" s="377"/>
      <c r="G320" s="1433"/>
      <c r="H320" s="360"/>
      <c r="I320" s="360"/>
      <c r="J320" s="604"/>
      <c r="K320" s="1433"/>
      <c r="L320" s="360"/>
      <c r="M320" s="360"/>
      <c r="N320" s="360"/>
      <c r="O320" s="604"/>
      <c r="P320" s="148"/>
      <c r="R320" s="607" t="s">
        <v>1089</v>
      </c>
    </row>
    <row r="321" spans="1:18" ht="15" customHeight="1" x14ac:dyDescent="0.25">
      <c r="A321" s="187"/>
      <c r="B321" s="1201" t="s">
        <v>1391</v>
      </c>
      <c r="C321" s="1436"/>
      <c r="D321" s="1175"/>
      <c r="E321" s="1175"/>
      <c r="F321" s="1175"/>
      <c r="G321" s="1433"/>
      <c r="H321" s="1440">
        <f>IF(Parameters!F104&lt;H$122,H$122,Parameters!F104)</f>
        <v>0.5</v>
      </c>
      <c r="I321" s="1440">
        <f>IF(Parameters!G104&lt;I$122,I$122,Parameters!G104)</f>
        <v>0.5</v>
      </c>
      <c r="J321" s="389">
        <f>IF(Parameters!H104&lt;J$122,J$122,Parameters!H104)</f>
        <v>0.5</v>
      </c>
      <c r="K321" s="1433"/>
      <c r="L321" s="1435" t="str">
        <f>IF(AND(ISNUMBER(D321),ISNUMBER(H321)), D321*H321, "")</f>
        <v/>
      </c>
      <c r="M321" s="85" t="str">
        <f>IF(AND(ISNUMBER(E321),ISNUMBER(I321)), E321*I321, "")</f>
        <v/>
      </c>
      <c r="N321" s="1435" t="str">
        <f t="shared" ref="N321:N322" si="88">IF(AND(ISNUMBER(F321),ISNUMBER(J321)),F321*J321,"")</f>
        <v/>
      </c>
      <c r="O321" s="619" t="str">
        <f>IF(AND(ISNUMBER(L321),ISNUMBER(M321),ISNUMBER(N321)),SUM(L321:N321),"")</f>
        <v/>
      </c>
      <c r="P321" s="148"/>
      <c r="R321" s="607" t="s">
        <v>1089</v>
      </c>
    </row>
    <row r="322" spans="1:18" ht="15" customHeight="1" x14ac:dyDescent="0.25">
      <c r="A322" s="187"/>
      <c r="B322" s="1201" t="s">
        <v>1392</v>
      </c>
      <c r="C322" s="1436"/>
      <c r="D322" s="1175"/>
      <c r="E322" s="1175"/>
      <c r="F322" s="1175"/>
      <c r="G322" s="1433"/>
      <c r="H322" s="1440">
        <f>IF(Parameters!F105&lt;H$122,H$122,Parameters!F105)</f>
        <v>1</v>
      </c>
      <c r="I322" s="1440">
        <f>IF(Parameters!G105&lt;I$122,I$122,Parameters!G105)</f>
        <v>1</v>
      </c>
      <c r="J322" s="389">
        <f>IF(Parameters!H105&lt;J$122,J$122,Parameters!H105)</f>
        <v>1</v>
      </c>
      <c r="K322" s="1433"/>
      <c r="L322" s="1435" t="str">
        <f>IF(AND(ISNUMBER(D322),ISNUMBER(H322)), D322*H322, "")</f>
        <v/>
      </c>
      <c r="M322" s="85" t="str">
        <f>IF(AND(ISNUMBER(E322),ISNUMBER(I322)), E322*I322, "")</f>
        <v/>
      </c>
      <c r="N322" s="1435" t="str">
        <f t="shared" si="88"/>
        <v/>
      </c>
      <c r="O322" s="619" t="str">
        <f>IF(AND(ISNUMBER(L322),ISNUMBER(M322),ISNUMBER(N322)),SUM(L322:N322),"")</f>
        <v/>
      </c>
      <c r="P322" s="148"/>
      <c r="R322" s="607" t="s">
        <v>1089</v>
      </c>
    </row>
    <row r="323" spans="1:18" ht="15" customHeight="1" x14ac:dyDescent="0.25">
      <c r="A323" s="187"/>
      <c r="B323" s="373" t="s">
        <v>1481</v>
      </c>
      <c r="C323" s="1438" t="s">
        <v>1092</v>
      </c>
      <c r="D323" s="367"/>
      <c r="E323" s="367"/>
      <c r="F323" s="377"/>
      <c r="G323" s="1433"/>
      <c r="H323" s="360"/>
      <c r="I323" s="360"/>
      <c r="J323" s="604"/>
      <c r="K323" s="1433"/>
      <c r="L323" s="360"/>
      <c r="M323" s="360"/>
      <c r="N323" s="360"/>
      <c r="O323" s="604"/>
      <c r="P323" s="148"/>
      <c r="R323" s="607" t="s">
        <v>1089</v>
      </c>
    </row>
    <row r="324" spans="1:18" ht="15" customHeight="1" x14ac:dyDescent="0.25">
      <c r="A324" s="187"/>
      <c r="B324" s="1202" t="s">
        <v>1093</v>
      </c>
      <c r="C324" s="1436"/>
      <c r="D324" s="367"/>
      <c r="E324" s="367"/>
      <c r="F324" s="377"/>
      <c r="G324" s="1433"/>
      <c r="H324" s="360"/>
      <c r="I324" s="360"/>
      <c r="J324" s="604"/>
      <c r="K324" s="1433"/>
      <c r="L324" s="360"/>
      <c r="M324" s="360"/>
      <c r="N324" s="360"/>
      <c r="O324" s="604"/>
      <c r="P324" s="148"/>
      <c r="R324" s="607" t="s">
        <v>1089</v>
      </c>
    </row>
    <row r="325" spans="1:18" ht="15" customHeight="1" x14ac:dyDescent="0.25">
      <c r="A325" s="187"/>
      <c r="B325" s="1201" t="s">
        <v>1391</v>
      </c>
      <c r="C325" s="1436"/>
      <c r="D325" s="1175"/>
      <c r="E325" s="1175"/>
      <c r="F325" s="1175"/>
      <c r="G325" s="1433"/>
      <c r="H325" s="1440">
        <f>IF(Parameters!F108&lt;H$128,H$128,Parameters!F108)</f>
        <v>0.5</v>
      </c>
      <c r="I325" s="1440">
        <f>IF(Parameters!G108&lt;I$128,I$128,Parameters!G108)</f>
        <v>0.5</v>
      </c>
      <c r="J325" s="389">
        <f>IF(Parameters!H108&lt;J$128,J$128,Parameters!H108)</f>
        <v>0.5</v>
      </c>
      <c r="K325" s="1433"/>
      <c r="L325" s="1435" t="str">
        <f>IF(AND(ISNUMBER(D325),ISNUMBER(H325)), D325*H325, "")</f>
        <v/>
      </c>
      <c r="M325" s="85" t="str">
        <f>IF(AND(ISNUMBER(E325),ISNUMBER(I325)), E325*I325, "")</f>
        <v/>
      </c>
      <c r="N325" s="1435" t="str">
        <f>IF(AND(ISNUMBER(F325),ISNUMBER(J325)),F325*J325,"")</f>
        <v/>
      </c>
      <c r="O325" s="619" t="str">
        <f>IF(AND(ISNUMBER(L325),ISNUMBER(M325),ISNUMBER(N325)),SUM(L325:N325),"")</f>
        <v/>
      </c>
      <c r="P325" s="148"/>
      <c r="R325" s="607" t="s">
        <v>1089</v>
      </c>
    </row>
    <row r="326" spans="1:18" ht="15" customHeight="1" x14ac:dyDescent="0.25">
      <c r="A326" s="187"/>
      <c r="B326" s="1201" t="s">
        <v>1392</v>
      </c>
      <c r="C326" s="1436"/>
      <c r="D326" s="1175"/>
      <c r="E326" s="1175"/>
      <c r="F326" s="1175"/>
      <c r="G326" s="1433"/>
      <c r="H326" s="1440">
        <f>IF(Parameters!F109&lt;H$128,H$128,Parameters!F109)</f>
        <v>1</v>
      </c>
      <c r="I326" s="1440">
        <f>IF(Parameters!G109&lt;I$128,I$128,Parameters!G109)</f>
        <v>1</v>
      </c>
      <c r="J326" s="389">
        <f>IF(Parameters!H109&lt;J$128,J$128,Parameters!H109)</f>
        <v>1</v>
      </c>
      <c r="K326" s="1433"/>
      <c r="L326" s="1435" t="str">
        <f>IF(AND(ISNUMBER(D326),ISNUMBER(H326)), D326*H326, "")</f>
        <v/>
      </c>
      <c r="M326" s="85" t="str">
        <f>IF(AND(ISNUMBER(E326),ISNUMBER(I326)), E326*I326, "")</f>
        <v/>
      </c>
      <c r="N326" s="1435" t="str">
        <f>IF(AND(ISNUMBER(F326),ISNUMBER(J326)),F326*J326,"")</f>
        <v/>
      </c>
      <c r="O326" s="619" t="str">
        <f>IF(AND(ISNUMBER(L326),ISNUMBER(M326),ISNUMBER(N326)),SUM(L326:N326),"")</f>
        <v/>
      </c>
      <c r="P326" s="148"/>
      <c r="R326" s="607" t="s">
        <v>1089</v>
      </c>
    </row>
    <row r="327" spans="1:18" ht="15" customHeight="1" x14ac:dyDescent="0.25">
      <c r="A327" s="187"/>
      <c r="B327" s="373" t="s">
        <v>1472</v>
      </c>
      <c r="C327" s="1438" t="s">
        <v>1092</v>
      </c>
      <c r="D327" s="367"/>
      <c r="E327" s="367"/>
      <c r="F327" s="377"/>
      <c r="G327" s="1433"/>
      <c r="H327" s="360"/>
      <c r="I327" s="360"/>
      <c r="J327" s="604"/>
      <c r="K327" s="1433"/>
      <c r="L327" s="360"/>
      <c r="M327" s="360"/>
      <c r="N327" s="360"/>
      <c r="O327" s="604"/>
      <c r="P327" s="148"/>
      <c r="R327" s="607" t="s">
        <v>1089</v>
      </c>
    </row>
    <row r="328" spans="1:18" ht="15" customHeight="1" x14ac:dyDescent="0.25">
      <c r="A328" s="187"/>
      <c r="B328" s="1202" t="s">
        <v>1093</v>
      </c>
      <c r="C328" s="1436"/>
      <c r="D328" s="367"/>
      <c r="E328" s="367"/>
      <c r="F328" s="377"/>
      <c r="G328" s="1433"/>
      <c r="H328" s="360"/>
      <c r="I328" s="360"/>
      <c r="J328" s="604"/>
      <c r="K328" s="1433"/>
      <c r="L328" s="360"/>
      <c r="M328" s="360"/>
      <c r="N328" s="360"/>
      <c r="O328" s="604"/>
      <c r="P328" s="148"/>
      <c r="R328" s="607" t="s">
        <v>1089</v>
      </c>
    </row>
    <row r="329" spans="1:18" ht="15" customHeight="1" x14ac:dyDescent="0.25">
      <c r="A329" s="187"/>
      <c r="B329" s="1201" t="s">
        <v>1391</v>
      </c>
      <c r="C329" s="1436"/>
      <c r="D329" s="1175"/>
      <c r="E329" s="1175"/>
      <c r="F329" s="1175"/>
      <c r="G329" s="1433"/>
      <c r="H329" s="1440">
        <f>IF(Parameters!F112&lt;H$134,H$134,Parameters!F112)</f>
        <v>0.5</v>
      </c>
      <c r="I329" s="1440">
        <f>IF(Parameters!G112&lt;I$134,I$134,Parameters!G112)</f>
        <v>0.5</v>
      </c>
      <c r="J329" s="389">
        <f>IF(Parameters!H112&lt;J$134,J$134,Parameters!H112)</f>
        <v>0.5</v>
      </c>
      <c r="K329" s="1433"/>
      <c r="L329" s="1435" t="str">
        <f>IF(AND(ISNUMBER(D329),ISNUMBER(H329)), D329*H329, "")</f>
        <v/>
      </c>
      <c r="M329" s="85" t="str">
        <f>IF(AND(ISNUMBER(E329),ISNUMBER(I329)), E329*I329, "")</f>
        <v/>
      </c>
      <c r="N329" s="1435" t="str">
        <f>IF(AND(ISNUMBER(F329),ISNUMBER(J329)),F329*J329,"")</f>
        <v/>
      </c>
      <c r="O329" s="619" t="str">
        <f>IF(AND(ISNUMBER(L329),ISNUMBER(M329),ISNUMBER(N329)),SUM(L329:N329),"")</f>
        <v/>
      </c>
      <c r="P329" s="148"/>
      <c r="R329" s="607" t="s">
        <v>1089</v>
      </c>
    </row>
    <row r="330" spans="1:18" ht="15" customHeight="1" x14ac:dyDescent="0.25">
      <c r="A330" s="187"/>
      <c r="B330" s="1201" t="s">
        <v>1392</v>
      </c>
      <c r="C330" s="1436"/>
      <c r="D330" s="1175"/>
      <c r="E330" s="1175"/>
      <c r="F330" s="1175"/>
      <c r="G330" s="1433"/>
      <c r="H330" s="1440">
        <f>IF(Parameters!F113&lt;H$134,H$134,Parameters!F113)</f>
        <v>1</v>
      </c>
      <c r="I330" s="1440">
        <f>IF(Parameters!G113&lt;I$134,I$134,Parameters!G113)</f>
        <v>1</v>
      </c>
      <c r="J330" s="389">
        <f>IF(Parameters!H113&lt;J$134,J$134,Parameters!H113)</f>
        <v>1</v>
      </c>
      <c r="K330" s="1433"/>
      <c r="L330" s="1435" t="str">
        <f>IF(AND(ISNUMBER(D330),ISNUMBER(H330)), D330*H330, "")</f>
        <v/>
      </c>
      <c r="M330" s="85" t="str">
        <f>IF(AND(ISNUMBER(E330),ISNUMBER(I330)), E330*I330, "")</f>
        <v/>
      </c>
      <c r="N330" s="1435" t="str">
        <f>IF(AND(ISNUMBER(F330),ISNUMBER(J330)),F330*J330,"")</f>
        <v/>
      </c>
      <c r="O330" s="619" t="str">
        <f>IF(AND(ISNUMBER(L330),ISNUMBER(M330),ISNUMBER(N330)),SUM(L330:N330),"")</f>
        <v/>
      </c>
      <c r="P330" s="148"/>
      <c r="R330" s="607" t="s">
        <v>1089</v>
      </c>
    </row>
    <row r="331" spans="1:18" ht="15" customHeight="1" x14ac:dyDescent="0.25">
      <c r="A331" s="187"/>
      <c r="B331" s="373" t="s">
        <v>1395</v>
      </c>
      <c r="C331" s="1438" t="s">
        <v>1092</v>
      </c>
      <c r="D331" s="367"/>
      <c r="E331" s="367"/>
      <c r="F331" s="377"/>
      <c r="G331" s="1433"/>
      <c r="H331" s="360"/>
      <c r="I331" s="360"/>
      <c r="J331" s="604"/>
      <c r="K331" s="1433"/>
      <c r="L331" s="360"/>
      <c r="M331" s="360"/>
      <c r="N331" s="360"/>
      <c r="O331" s="604"/>
      <c r="P331" s="148"/>
      <c r="R331" s="607" t="s">
        <v>1089</v>
      </c>
    </row>
    <row r="332" spans="1:18" ht="15" customHeight="1" x14ac:dyDescent="0.25">
      <c r="A332" s="187"/>
      <c r="B332" s="1202" t="s">
        <v>1093</v>
      </c>
      <c r="C332" s="1436"/>
      <c r="D332" s="367"/>
      <c r="E332" s="367"/>
      <c r="F332" s="377"/>
      <c r="G332" s="1433"/>
      <c r="H332" s="360"/>
      <c r="I332" s="360"/>
      <c r="J332" s="604"/>
      <c r="K332" s="1433"/>
      <c r="L332" s="360"/>
      <c r="M332" s="360"/>
      <c r="N332" s="360"/>
      <c r="O332" s="604"/>
      <c r="P332" s="148"/>
      <c r="R332" s="607" t="s">
        <v>1089</v>
      </c>
    </row>
    <row r="333" spans="1:18" ht="15" customHeight="1" x14ac:dyDescent="0.25">
      <c r="A333" s="187"/>
      <c r="B333" s="1201" t="s">
        <v>1391</v>
      </c>
      <c r="C333" s="1436"/>
      <c r="D333" s="1175"/>
      <c r="E333" s="1175"/>
      <c r="F333" s="1175"/>
      <c r="G333" s="1433"/>
      <c r="H333" s="1440">
        <f>IF(Parameters!F116&lt;H$140,H$140,Parameters!F116)</f>
        <v>0.5</v>
      </c>
      <c r="I333" s="1440">
        <f>IF(Parameters!G116&lt;I$140,I$140,Parameters!G116)</f>
        <v>0.5</v>
      </c>
      <c r="J333" s="389">
        <f>IF(Parameters!H116&lt;J$140,J$140,Parameters!H116)</f>
        <v>1</v>
      </c>
      <c r="K333" s="1433"/>
      <c r="L333" s="1435" t="str">
        <f>IF(AND(ISNUMBER(D333),ISNUMBER(H333)), D333*H333, "")</f>
        <v/>
      </c>
      <c r="M333" s="85" t="str">
        <f>IF(AND(ISNUMBER(E333),ISNUMBER(I333)), E333*I333, "")</f>
        <v/>
      </c>
      <c r="N333" s="1435" t="str">
        <f>IF(AND(ISNUMBER(F333),ISNUMBER(J333)),F333*J333,"")</f>
        <v/>
      </c>
      <c r="O333" s="619" t="str">
        <f>IF(AND(ISNUMBER(L333),ISNUMBER(M333),ISNUMBER(N333)),SUM(L333:N333),"")</f>
        <v/>
      </c>
      <c r="P333" s="148"/>
      <c r="R333" s="607" t="s">
        <v>1089</v>
      </c>
    </row>
    <row r="334" spans="1:18" ht="15" customHeight="1" x14ac:dyDescent="0.25">
      <c r="A334" s="187"/>
      <c r="B334" s="1201" t="s">
        <v>1392</v>
      </c>
      <c r="C334" s="1436"/>
      <c r="D334" s="1175"/>
      <c r="E334" s="1175"/>
      <c r="F334" s="1175"/>
      <c r="G334" s="1433"/>
      <c r="H334" s="1440">
        <f>IF(Parameters!F117&lt;H$140,H$140,Parameters!F117)</f>
        <v>1</v>
      </c>
      <c r="I334" s="1440">
        <f>IF(Parameters!G117&lt;I$140,I$140,Parameters!G117)</f>
        <v>1</v>
      </c>
      <c r="J334" s="389">
        <f>IF(Parameters!H117&lt;J$140,J$140,Parameters!H117)</f>
        <v>1</v>
      </c>
      <c r="K334" s="1433"/>
      <c r="L334" s="1435" t="str">
        <f>IF(AND(ISNUMBER(D334),ISNUMBER(H334)), D334*H334, "")</f>
        <v/>
      </c>
      <c r="M334" s="85" t="str">
        <f>IF(AND(ISNUMBER(E334),ISNUMBER(I334)), E334*I334, "")</f>
        <v/>
      </c>
      <c r="N334" s="1435" t="str">
        <f>IF(AND(ISNUMBER(F334),ISNUMBER(J334)),F334*J334,"")</f>
        <v/>
      </c>
      <c r="O334" s="619" t="str">
        <f>IF(AND(ISNUMBER(L334),ISNUMBER(M334),ISNUMBER(N334)),SUM(L334:N334),"")</f>
        <v/>
      </c>
      <c r="P334" s="148"/>
      <c r="R334" s="607" t="s">
        <v>1089</v>
      </c>
    </row>
    <row r="335" spans="1:18" ht="30" customHeight="1" x14ac:dyDescent="0.25">
      <c r="A335" s="187"/>
      <c r="B335" s="1541" t="s">
        <v>1758</v>
      </c>
      <c r="C335" s="1438" t="s">
        <v>1092</v>
      </c>
      <c r="D335" s="367"/>
      <c r="E335" s="367"/>
      <c r="F335" s="377"/>
      <c r="G335" s="1433"/>
      <c r="H335" s="360"/>
      <c r="I335" s="360"/>
      <c r="J335" s="604"/>
      <c r="K335" s="1433"/>
      <c r="L335" s="360"/>
      <c r="M335" s="360"/>
      <c r="N335" s="360"/>
      <c r="O335" s="604"/>
      <c r="P335" s="148"/>
      <c r="R335" s="607" t="s">
        <v>1089</v>
      </c>
    </row>
    <row r="336" spans="1:18" ht="15" customHeight="1" x14ac:dyDescent="0.25">
      <c r="A336" s="187"/>
      <c r="B336" s="1202" t="s">
        <v>1093</v>
      </c>
      <c r="C336" s="1436"/>
      <c r="D336" s="367"/>
      <c r="E336" s="367"/>
      <c r="F336" s="377"/>
      <c r="G336" s="1433"/>
      <c r="H336" s="360"/>
      <c r="I336" s="360"/>
      <c r="J336" s="604"/>
      <c r="K336" s="1433"/>
      <c r="L336" s="360"/>
      <c r="M336" s="360"/>
      <c r="N336" s="360"/>
      <c r="O336" s="604"/>
      <c r="P336" s="148"/>
      <c r="R336" s="607" t="s">
        <v>1089</v>
      </c>
    </row>
    <row r="337" spans="1:18" ht="15" customHeight="1" x14ac:dyDescent="0.25">
      <c r="A337" s="187"/>
      <c r="B337" s="1201" t="s">
        <v>1391</v>
      </c>
      <c r="C337" s="1436"/>
      <c r="D337" s="1175"/>
      <c r="E337" s="1175"/>
      <c r="F337" s="377"/>
      <c r="G337" s="1433"/>
      <c r="H337" s="1440">
        <f>IF(Parameters!F120&lt;H$146,H$146,Parameters!F120)</f>
        <v>0.5</v>
      </c>
      <c r="I337" s="1440">
        <f>IF(Parameters!G120&lt;I$146,I$146,Parameters!G120)</f>
        <v>0.5</v>
      </c>
      <c r="J337" s="604"/>
      <c r="K337" s="1433"/>
      <c r="L337" s="1435" t="str">
        <f>IF(AND(ISNUMBER(D337),ISNUMBER(H337)), D337*H337, "")</f>
        <v/>
      </c>
      <c r="M337" s="85" t="str">
        <f>IF(AND(ISNUMBER(E337),ISNUMBER(I337)), E337*I337, "")</f>
        <v/>
      </c>
      <c r="N337" s="360"/>
      <c r="O337" s="619" t="str">
        <f t="shared" ref="O337:O338" si="89">IF(AND(ISNUMBER(L337),ISNUMBER(M337)),SUM(L337:M337),"")</f>
        <v/>
      </c>
      <c r="P337" s="148"/>
      <c r="R337" s="607" t="s">
        <v>1089</v>
      </c>
    </row>
    <row r="338" spans="1:18" ht="15" customHeight="1" x14ac:dyDescent="0.25">
      <c r="A338" s="187"/>
      <c r="B338" s="1201" t="s">
        <v>1392</v>
      </c>
      <c r="C338" s="1436"/>
      <c r="D338" s="1175"/>
      <c r="E338" s="1175"/>
      <c r="F338" s="377"/>
      <c r="G338" s="1433"/>
      <c r="H338" s="1440">
        <f>IF(Parameters!F121&lt;H$146,H$146,Parameters!F121)</f>
        <v>1</v>
      </c>
      <c r="I338" s="1440">
        <f>IF(Parameters!G121&lt;I$146,I$146,Parameters!G121)</f>
        <v>1</v>
      </c>
      <c r="J338" s="604"/>
      <c r="K338" s="1433"/>
      <c r="L338" s="1435" t="str">
        <f>IF(AND(ISNUMBER(D338),ISNUMBER(H338)), D338*H338, "")</f>
        <v/>
      </c>
      <c r="M338" s="85" t="str">
        <f>IF(AND(ISNUMBER(E338),ISNUMBER(I338)), E338*I338, "")</f>
        <v/>
      </c>
      <c r="N338" s="360"/>
      <c r="O338" s="619" t="str">
        <f t="shared" si="89"/>
        <v/>
      </c>
      <c r="P338" s="148"/>
      <c r="R338" s="607" t="s">
        <v>1089</v>
      </c>
    </row>
    <row r="339" spans="1:18" ht="15" customHeight="1" x14ac:dyDescent="0.25">
      <c r="A339" s="187"/>
      <c r="B339" s="1541" t="s">
        <v>1759</v>
      </c>
      <c r="C339" s="1438" t="s">
        <v>1092</v>
      </c>
      <c r="D339" s="367"/>
      <c r="E339" s="367"/>
      <c r="F339" s="377"/>
      <c r="G339" s="1433"/>
      <c r="H339" s="360"/>
      <c r="I339" s="360"/>
      <c r="J339" s="604"/>
      <c r="K339" s="1433"/>
      <c r="L339" s="360"/>
      <c r="M339" s="360"/>
      <c r="N339" s="360"/>
      <c r="O339" s="604"/>
      <c r="P339" s="148"/>
      <c r="R339" s="607" t="s">
        <v>1089</v>
      </c>
    </row>
    <row r="340" spans="1:18" ht="15" customHeight="1" x14ac:dyDescent="0.25">
      <c r="A340" s="187"/>
      <c r="B340" s="1202" t="s">
        <v>1093</v>
      </c>
      <c r="C340" s="1436"/>
      <c r="D340" s="367"/>
      <c r="E340" s="367"/>
      <c r="F340" s="377"/>
      <c r="G340" s="1433"/>
      <c r="H340" s="360"/>
      <c r="I340" s="360"/>
      <c r="J340" s="604"/>
      <c r="K340" s="1433"/>
      <c r="L340" s="360"/>
      <c r="M340" s="360"/>
      <c r="N340" s="360"/>
      <c r="O340" s="604"/>
      <c r="P340" s="148"/>
      <c r="R340" s="607" t="s">
        <v>1089</v>
      </c>
    </row>
    <row r="341" spans="1:18" ht="15" customHeight="1" x14ac:dyDescent="0.25">
      <c r="A341" s="187"/>
      <c r="B341" s="1201" t="s">
        <v>1391</v>
      </c>
      <c r="C341" s="1436"/>
      <c r="D341" s="1175"/>
      <c r="E341" s="1175"/>
      <c r="F341" s="377"/>
      <c r="G341" s="1433"/>
      <c r="H341" s="1440">
        <f>IF(Parameters!F124&lt;H$152,H$152,Parameters!F124)</f>
        <v>0.5</v>
      </c>
      <c r="I341" s="1440">
        <f>IF(Parameters!G124&lt;I$152,I$152,Parameters!G124)</f>
        <v>0.5</v>
      </c>
      <c r="J341" s="604"/>
      <c r="K341" s="1433"/>
      <c r="L341" s="1435" t="str">
        <f>IF(AND(ISNUMBER(D341),ISNUMBER(H341)), D341*H341, "")</f>
        <v/>
      </c>
      <c r="M341" s="85" t="str">
        <f>IF(AND(ISNUMBER(E341),ISNUMBER(I341)), E341*I341, "")</f>
        <v/>
      </c>
      <c r="N341" s="360"/>
      <c r="O341" s="619" t="str">
        <f t="shared" ref="O341:O342" si="90">IF(AND(ISNUMBER(L341),ISNUMBER(M341)),SUM(L341:M341),"")</f>
        <v/>
      </c>
      <c r="P341" s="148"/>
      <c r="R341" s="607" t="s">
        <v>1089</v>
      </c>
    </row>
    <row r="342" spans="1:18" ht="15" customHeight="1" x14ac:dyDescent="0.25">
      <c r="A342" s="187"/>
      <c r="B342" s="1201" t="s">
        <v>1392</v>
      </c>
      <c r="C342" s="1436"/>
      <c r="D342" s="1175"/>
      <c r="E342" s="1175"/>
      <c r="F342" s="377"/>
      <c r="G342" s="1433"/>
      <c r="H342" s="1440">
        <f>IF(Parameters!F125&lt;H$152,H$152,Parameters!F125)</f>
        <v>1</v>
      </c>
      <c r="I342" s="1440">
        <f>IF(Parameters!G125&lt;I$152,I$152,Parameters!G125)</f>
        <v>1</v>
      </c>
      <c r="J342" s="604"/>
      <c r="K342" s="1433"/>
      <c r="L342" s="1435" t="str">
        <f>IF(AND(ISNUMBER(D342),ISNUMBER(H342)), D342*H342, "")</f>
        <v/>
      </c>
      <c r="M342" s="85" t="str">
        <f>IF(AND(ISNUMBER(E342),ISNUMBER(I342)), E342*I342, "")</f>
        <v/>
      </c>
      <c r="N342" s="360"/>
      <c r="O342" s="619" t="str">
        <f t="shared" si="90"/>
        <v/>
      </c>
      <c r="P342" s="148"/>
      <c r="R342" s="607" t="s">
        <v>1089</v>
      </c>
    </row>
    <row r="343" spans="1:18" ht="30" customHeight="1" x14ac:dyDescent="0.25">
      <c r="A343" s="187"/>
      <c r="B343" s="373" t="s">
        <v>1396</v>
      </c>
      <c r="C343" s="1438" t="s">
        <v>1092</v>
      </c>
      <c r="D343" s="367"/>
      <c r="E343" s="367"/>
      <c r="F343" s="377"/>
      <c r="G343" s="1433"/>
      <c r="H343" s="360"/>
      <c r="I343" s="360"/>
      <c r="J343" s="604"/>
      <c r="K343" s="1433"/>
      <c r="L343" s="360"/>
      <c r="M343" s="360"/>
      <c r="N343" s="360"/>
      <c r="O343" s="604"/>
      <c r="P343" s="148"/>
      <c r="R343" s="607" t="s">
        <v>1089</v>
      </c>
    </row>
    <row r="344" spans="1:18" ht="15" customHeight="1" x14ac:dyDescent="0.25">
      <c r="A344" s="187"/>
      <c r="B344" s="1202" t="s">
        <v>1093</v>
      </c>
      <c r="C344" s="1436"/>
      <c r="D344" s="367"/>
      <c r="E344" s="367"/>
      <c r="F344" s="377"/>
      <c r="G344" s="1433"/>
      <c r="H344" s="360"/>
      <c r="I344" s="360"/>
      <c r="J344" s="604"/>
      <c r="K344" s="1433"/>
      <c r="L344" s="360"/>
      <c r="M344" s="360"/>
      <c r="N344" s="360"/>
      <c r="O344" s="604"/>
      <c r="P344" s="148"/>
      <c r="R344" s="607" t="s">
        <v>1089</v>
      </c>
    </row>
    <row r="345" spans="1:18" ht="15" customHeight="1" x14ac:dyDescent="0.25">
      <c r="A345" s="187"/>
      <c r="B345" s="1201" t="s">
        <v>1391</v>
      </c>
      <c r="C345" s="1436"/>
      <c r="D345" s="1175"/>
      <c r="E345" s="1175"/>
      <c r="F345" s="377"/>
      <c r="G345" s="1433"/>
      <c r="H345" s="1440">
        <f>IF(Parameters!F128&lt;H$158,H$158,Parameters!F128)</f>
        <v>0.5</v>
      </c>
      <c r="I345" s="1440">
        <f>IF(Parameters!G128&lt;I$158,I$158,Parameters!G128)</f>
        <v>0.5</v>
      </c>
      <c r="J345" s="604"/>
      <c r="K345" s="1433"/>
      <c r="L345" s="1435" t="str">
        <f>IF(AND(ISNUMBER(D345),ISNUMBER(H345)), D345*H345, "")</f>
        <v/>
      </c>
      <c r="M345" s="85" t="str">
        <f>IF(AND(ISNUMBER(E345),ISNUMBER(I345)), E345*I345, "")</f>
        <v/>
      </c>
      <c r="N345" s="360"/>
      <c r="O345" s="619" t="str">
        <f t="shared" ref="O345:O346" si="91">IF(AND(ISNUMBER(L345),ISNUMBER(M345)),SUM(L345:M345),"")</f>
        <v/>
      </c>
      <c r="P345" s="148"/>
      <c r="R345" s="607" t="s">
        <v>1089</v>
      </c>
    </row>
    <row r="346" spans="1:18" ht="15" customHeight="1" x14ac:dyDescent="0.25">
      <c r="A346" s="187"/>
      <c r="B346" s="1201" t="s">
        <v>1392</v>
      </c>
      <c r="C346" s="1436"/>
      <c r="D346" s="1175"/>
      <c r="E346" s="1175"/>
      <c r="F346" s="377"/>
      <c r="G346" s="1433"/>
      <c r="H346" s="1440">
        <f>IF(Parameters!F129&lt;H$158,H$158,Parameters!F129)</f>
        <v>1</v>
      </c>
      <c r="I346" s="1440">
        <f>IF(Parameters!G129&lt;I$158,I$158,Parameters!G129)</f>
        <v>1</v>
      </c>
      <c r="J346" s="604"/>
      <c r="K346" s="1433"/>
      <c r="L346" s="1435" t="str">
        <f>IF(AND(ISNUMBER(D346),ISNUMBER(H346)), D346*H346, "")</f>
        <v/>
      </c>
      <c r="M346" s="85" t="str">
        <f>IF(AND(ISNUMBER(E346),ISNUMBER(I346)), E346*I346, "")</f>
        <v/>
      </c>
      <c r="N346" s="360"/>
      <c r="O346" s="619" t="str">
        <f t="shared" si="91"/>
        <v/>
      </c>
      <c r="P346" s="148"/>
      <c r="R346" s="607" t="s">
        <v>1089</v>
      </c>
    </row>
    <row r="347" spans="1:18" ht="30" customHeight="1" x14ac:dyDescent="0.25">
      <c r="A347" s="187"/>
      <c r="B347" s="373" t="s">
        <v>1397</v>
      </c>
      <c r="C347" s="1438" t="s">
        <v>1092</v>
      </c>
      <c r="D347" s="367"/>
      <c r="E347" s="367"/>
      <c r="F347" s="377"/>
      <c r="G347" s="1433"/>
      <c r="H347" s="360"/>
      <c r="I347" s="360"/>
      <c r="J347" s="604"/>
      <c r="K347" s="1433"/>
      <c r="L347" s="360"/>
      <c r="M347" s="360"/>
      <c r="N347" s="360"/>
      <c r="O347" s="604"/>
      <c r="P347" s="148"/>
      <c r="R347" s="607" t="s">
        <v>1089</v>
      </c>
    </row>
    <row r="348" spans="1:18" ht="15" customHeight="1" x14ac:dyDescent="0.25">
      <c r="A348" s="187"/>
      <c r="B348" s="1202" t="s">
        <v>1093</v>
      </c>
      <c r="C348" s="1436"/>
      <c r="D348" s="367"/>
      <c r="E348" s="367"/>
      <c r="F348" s="377"/>
      <c r="G348" s="1433"/>
      <c r="H348" s="360"/>
      <c r="I348" s="360"/>
      <c r="J348" s="604"/>
      <c r="K348" s="1433"/>
      <c r="L348" s="360"/>
      <c r="M348" s="360"/>
      <c r="N348" s="360"/>
      <c r="O348" s="604"/>
      <c r="P348" s="148"/>
      <c r="R348" s="607" t="s">
        <v>1089</v>
      </c>
    </row>
    <row r="349" spans="1:18" ht="15" customHeight="1" x14ac:dyDescent="0.25">
      <c r="A349" s="187"/>
      <c r="B349" s="1201" t="s">
        <v>1391</v>
      </c>
      <c r="C349" s="1436"/>
      <c r="D349" s="1175"/>
      <c r="E349" s="1175"/>
      <c r="F349" s="1175"/>
      <c r="G349" s="1433"/>
      <c r="H349" s="1440">
        <f>IF(Parameters!F132&lt;H$164,H$164,Parameters!F132)</f>
        <v>0.5</v>
      </c>
      <c r="I349" s="1440">
        <f>IF(Parameters!G132&lt;I$164,I$164,Parameters!G132)</f>
        <v>0.5</v>
      </c>
      <c r="J349" s="389">
        <f>IF(Parameters!H132&lt;J$164,J$164,Parameters!H132)</f>
        <v>0.65</v>
      </c>
      <c r="K349" s="1433"/>
      <c r="L349" s="1435" t="str">
        <f>IF(AND(ISNUMBER(D349),ISNUMBER(H349)), D349*H349, "")</f>
        <v/>
      </c>
      <c r="M349" s="85" t="str">
        <f>IF(AND(ISNUMBER(E349),ISNUMBER(I349)), E349*I349, "")</f>
        <v/>
      </c>
      <c r="N349" s="1435" t="str">
        <f t="shared" ref="N349:N350" si="92">IF(AND(ISNUMBER(F349),ISNUMBER(J349)),F349*J349,"")</f>
        <v/>
      </c>
      <c r="O349" s="619" t="str">
        <f>IF(AND(ISNUMBER(L349),ISNUMBER(M349),ISNUMBER(N349)),SUM(L349:N349),"")</f>
        <v/>
      </c>
      <c r="P349" s="148"/>
      <c r="R349" s="607" t="s">
        <v>1089</v>
      </c>
    </row>
    <row r="350" spans="1:18" ht="15" customHeight="1" x14ac:dyDescent="0.25">
      <c r="A350" s="187"/>
      <c r="B350" s="1201" t="s">
        <v>1392</v>
      </c>
      <c r="C350" s="1436"/>
      <c r="D350" s="1175"/>
      <c r="E350" s="1175"/>
      <c r="F350" s="1175"/>
      <c r="G350" s="1433"/>
      <c r="H350" s="1440">
        <f>IF(Parameters!F133&lt;H$164,H$164,Parameters!F133)</f>
        <v>1</v>
      </c>
      <c r="I350" s="1440">
        <f>IF(Parameters!G133&lt;I$164,I$164,Parameters!G133)</f>
        <v>1</v>
      </c>
      <c r="J350" s="389">
        <f>IF(Parameters!H133&lt;J$164,J$164,Parameters!H133)</f>
        <v>1</v>
      </c>
      <c r="K350" s="1433"/>
      <c r="L350" s="1435" t="str">
        <f>IF(AND(ISNUMBER(D350),ISNUMBER(H350)), D350*H350, "")</f>
        <v/>
      </c>
      <c r="M350" s="85" t="str">
        <f>IF(AND(ISNUMBER(E350),ISNUMBER(I350)), E350*I350, "")</f>
        <v/>
      </c>
      <c r="N350" s="1435" t="str">
        <f t="shared" si="92"/>
        <v/>
      </c>
      <c r="O350" s="619" t="str">
        <f>IF(AND(ISNUMBER(L350),ISNUMBER(M350),ISNUMBER(N350)),SUM(L350:N350),"")</f>
        <v/>
      </c>
      <c r="P350" s="148"/>
      <c r="R350" s="607" t="s">
        <v>1089</v>
      </c>
    </row>
    <row r="351" spans="1:18" ht="45" customHeight="1" x14ac:dyDescent="0.25">
      <c r="A351" s="187"/>
      <c r="B351" s="373" t="s">
        <v>1398</v>
      </c>
      <c r="C351" s="1438" t="s">
        <v>1092</v>
      </c>
      <c r="D351" s="367"/>
      <c r="E351" s="367"/>
      <c r="F351" s="377"/>
      <c r="G351" s="1433"/>
      <c r="H351" s="360"/>
      <c r="I351" s="360"/>
      <c r="J351" s="604"/>
      <c r="K351" s="1433"/>
      <c r="L351" s="360"/>
      <c r="M351" s="360"/>
      <c r="N351" s="360"/>
      <c r="O351" s="604"/>
      <c r="P351" s="148"/>
      <c r="R351" s="607" t="s">
        <v>1089</v>
      </c>
    </row>
    <row r="352" spans="1:18" ht="15" customHeight="1" x14ac:dyDescent="0.25">
      <c r="A352" s="187"/>
      <c r="B352" s="1202" t="s">
        <v>1093</v>
      </c>
      <c r="C352" s="1436"/>
      <c r="D352" s="367"/>
      <c r="E352" s="367"/>
      <c r="F352" s="377"/>
      <c r="G352" s="1433"/>
      <c r="H352" s="360"/>
      <c r="I352" s="360"/>
      <c r="J352" s="604"/>
      <c r="K352" s="1433"/>
      <c r="L352" s="360"/>
      <c r="M352" s="360"/>
      <c r="N352" s="360"/>
      <c r="O352" s="604"/>
      <c r="P352" s="148"/>
      <c r="R352" s="607" t="s">
        <v>1089</v>
      </c>
    </row>
    <row r="353" spans="1:18" ht="15" customHeight="1" x14ac:dyDescent="0.25">
      <c r="A353" s="187"/>
      <c r="B353" s="1201" t="s">
        <v>1391</v>
      </c>
      <c r="C353" s="1436"/>
      <c r="D353" s="367"/>
      <c r="E353" s="367"/>
      <c r="F353" s="1175"/>
      <c r="G353" s="1433"/>
      <c r="H353" s="360"/>
      <c r="I353" s="360"/>
      <c r="J353" s="389">
        <f>IF(Parameters!H136&lt;J$170,J$170,Parameters!H136)</f>
        <v>0.65</v>
      </c>
      <c r="K353" s="1433"/>
      <c r="L353" s="360"/>
      <c r="M353" s="360"/>
      <c r="N353" s="1435" t="str">
        <f>IF(AND(ISNUMBER(F353),ISNUMBER(J353)),F353*J353,"")</f>
        <v/>
      </c>
      <c r="O353" s="619" t="str">
        <f t="shared" ref="O353:O354" si="93">IF(ISNUMBER(N353),N353,"")</f>
        <v/>
      </c>
      <c r="P353" s="148"/>
      <c r="R353" s="607" t="s">
        <v>1089</v>
      </c>
    </row>
    <row r="354" spans="1:18" ht="15" customHeight="1" x14ac:dyDescent="0.25">
      <c r="A354" s="187"/>
      <c r="B354" s="1201" t="s">
        <v>1392</v>
      </c>
      <c r="C354" s="1436"/>
      <c r="D354" s="367"/>
      <c r="E354" s="367"/>
      <c r="F354" s="1175"/>
      <c r="G354" s="1433"/>
      <c r="H354" s="360"/>
      <c r="I354" s="360"/>
      <c r="J354" s="389">
        <f>IF(Parameters!H137&lt;J$170,J$170,Parameters!H137)</f>
        <v>1</v>
      </c>
      <c r="K354" s="1433"/>
      <c r="L354" s="360"/>
      <c r="M354" s="360"/>
      <c r="N354" s="1435" t="str">
        <f>IF(AND(ISNUMBER(F354),ISNUMBER(J354)),F354*J354,"")</f>
        <v/>
      </c>
      <c r="O354" s="619" t="str">
        <f t="shared" si="93"/>
        <v/>
      </c>
      <c r="P354" s="148"/>
      <c r="R354" s="607" t="s">
        <v>1089</v>
      </c>
    </row>
    <row r="355" spans="1:18" ht="30" customHeight="1" x14ac:dyDescent="0.25">
      <c r="A355" s="187"/>
      <c r="B355" s="373" t="s">
        <v>1482</v>
      </c>
      <c r="C355" s="1438" t="s">
        <v>1092</v>
      </c>
      <c r="D355" s="367"/>
      <c r="E355" s="367"/>
      <c r="F355" s="377"/>
      <c r="G355" s="1433"/>
      <c r="H355" s="360"/>
      <c r="I355" s="360"/>
      <c r="J355" s="604"/>
      <c r="K355" s="1433"/>
      <c r="L355" s="360"/>
      <c r="M355" s="360"/>
      <c r="N355" s="360"/>
      <c r="O355" s="604"/>
      <c r="P355" s="148"/>
      <c r="R355" s="607" t="s">
        <v>1089</v>
      </c>
    </row>
    <row r="356" spans="1:18" ht="15" customHeight="1" x14ac:dyDescent="0.25">
      <c r="A356" s="187"/>
      <c r="B356" s="1202" t="s">
        <v>1093</v>
      </c>
      <c r="C356" s="1436"/>
      <c r="D356" s="367"/>
      <c r="E356" s="367"/>
      <c r="F356" s="377"/>
      <c r="G356" s="1433"/>
      <c r="H356" s="360"/>
      <c r="I356" s="360"/>
      <c r="J356" s="604"/>
      <c r="K356" s="1433"/>
      <c r="L356" s="360"/>
      <c r="M356" s="360"/>
      <c r="N356" s="360"/>
      <c r="O356" s="604"/>
      <c r="P356" s="148"/>
      <c r="R356" s="607" t="s">
        <v>1089</v>
      </c>
    </row>
    <row r="357" spans="1:18" ht="15" customHeight="1" x14ac:dyDescent="0.25">
      <c r="A357" s="187"/>
      <c r="B357" s="1201" t="s">
        <v>1391</v>
      </c>
      <c r="C357" s="1436"/>
      <c r="D357" s="1175"/>
      <c r="E357" s="1175"/>
      <c r="F357" s="377"/>
      <c r="G357" s="1433"/>
      <c r="H357" s="1440">
        <f>IF(Parameters!F140&lt;H$176,H$176,Parameters!F140)</f>
        <v>0.5</v>
      </c>
      <c r="I357" s="1440">
        <f>IF(Parameters!G140&lt;I$176,I$176,Parameters!G140)</f>
        <v>0.5</v>
      </c>
      <c r="J357" s="604"/>
      <c r="K357" s="1433"/>
      <c r="L357" s="1435" t="str">
        <f>IF(AND(ISNUMBER(D357),ISNUMBER(H357)), D357*H357, "")</f>
        <v/>
      </c>
      <c r="M357" s="85" t="str">
        <f>IF(AND(ISNUMBER(E357),ISNUMBER(I357)), E357*I357, "")</f>
        <v/>
      </c>
      <c r="N357" s="360"/>
      <c r="O357" s="619" t="str">
        <f t="shared" ref="O357:O358" si="94">IF(AND(ISNUMBER(L357),ISNUMBER(M357)),SUM(L357:M357),"")</f>
        <v/>
      </c>
      <c r="P357" s="148"/>
      <c r="R357" s="607" t="s">
        <v>1089</v>
      </c>
    </row>
    <row r="358" spans="1:18" ht="15" customHeight="1" x14ac:dyDescent="0.25">
      <c r="A358" s="187"/>
      <c r="B358" s="1201" t="s">
        <v>1392</v>
      </c>
      <c r="C358" s="1436"/>
      <c r="D358" s="1175"/>
      <c r="E358" s="1175"/>
      <c r="F358" s="377"/>
      <c r="G358" s="1433"/>
      <c r="H358" s="1440">
        <f>IF(Parameters!F141&lt;H$176,H$176,Parameters!F141)</f>
        <v>1</v>
      </c>
      <c r="I358" s="1440">
        <f>IF(Parameters!G141&lt;I$176,I$176,Parameters!G141)</f>
        <v>1</v>
      </c>
      <c r="J358" s="604"/>
      <c r="K358" s="1433"/>
      <c r="L358" s="1435" t="str">
        <f>IF(AND(ISNUMBER(D358),ISNUMBER(H358)), D358*H358, "")</f>
        <v/>
      </c>
      <c r="M358" s="85" t="str">
        <f>IF(AND(ISNUMBER(E358),ISNUMBER(I358)), E358*I358, "")</f>
        <v/>
      </c>
      <c r="N358" s="360"/>
      <c r="O358" s="619" t="str">
        <f t="shared" si="94"/>
        <v/>
      </c>
      <c r="P358" s="148"/>
      <c r="R358" s="607" t="s">
        <v>1089</v>
      </c>
    </row>
    <row r="359" spans="1:18" ht="45" customHeight="1" x14ac:dyDescent="0.25">
      <c r="A359" s="187"/>
      <c r="B359" s="373" t="s">
        <v>1400</v>
      </c>
      <c r="C359" s="1438" t="s">
        <v>1092</v>
      </c>
      <c r="D359" s="367"/>
      <c r="E359" s="367"/>
      <c r="F359" s="377"/>
      <c r="G359" s="1433"/>
      <c r="H359" s="360"/>
      <c r="I359" s="360"/>
      <c r="J359" s="604"/>
      <c r="K359" s="1433"/>
      <c r="L359" s="360"/>
      <c r="M359" s="360"/>
      <c r="N359" s="360"/>
      <c r="O359" s="604"/>
      <c r="P359" s="148"/>
      <c r="R359" s="607" t="s">
        <v>1089</v>
      </c>
    </row>
    <row r="360" spans="1:18" ht="15" customHeight="1" x14ac:dyDescent="0.25">
      <c r="A360" s="187"/>
      <c r="B360" s="1202" t="s">
        <v>1093</v>
      </c>
      <c r="C360" s="1436"/>
      <c r="D360" s="367"/>
      <c r="E360" s="367"/>
      <c r="F360" s="377"/>
      <c r="G360" s="1433"/>
      <c r="H360" s="360"/>
      <c r="I360" s="360"/>
      <c r="J360" s="604"/>
      <c r="K360" s="1433"/>
      <c r="L360" s="360"/>
      <c r="M360" s="360"/>
      <c r="N360" s="360"/>
      <c r="O360" s="604"/>
      <c r="P360" s="148"/>
      <c r="R360" s="607" t="s">
        <v>1089</v>
      </c>
    </row>
    <row r="361" spans="1:18" ht="15" customHeight="1" x14ac:dyDescent="0.25">
      <c r="A361" s="187"/>
      <c r="B361" s="1201" t="s">
        <v>1391</v>
      </c>
      <c r="C361" s="1436"/>
      <c r="D361" s="1175"/>
      <c r="E361" s="1175"/>
      <c r="F361" s="1175"/>
      <c r="G361" s="1433"/>
      <c r="H361" s="1440">
        <f>IF(Parameters!F144&lt;H$182,H$182,Parameters!F144)</f>
        <v>0.5</v>
      </c>
      <c r="I361" s="1440">
        <f>IF(Parameters!G144&lt;I$182,I$182,Parameters!G144)</f>
        <v>0.5</v>
      </c>
      <c r="J361" s="389">
        <f>IF(Parameters!H144&lt;J$182,J$182,Parameters!H144)</f>
        <v>0.85</v>
      </c>
      <c r="K361" s="1433"/>
      <c r="L361" s="1435" t="str">
        <f>IF(AND(ISNUMBER(D361),ISNUMBER(H361)), D361*H361, "")</f>
        <v/>
      </c>
      <c r="M361" s="85" t="str">
        <f>IF(AND(ISNUMBER(E361),ISNUMBER(I361)), E361*I361, "")</f>
        <v/>
      </c>
      <c r="N361" s="1435" t="str">
        <f>IF(AND(ISNUMBER(F361),ISNUMBER(J361)),F361*J361,"")</f>
        <v/>
      </c>
      <c r="O361" s="619" t="str">
        <f>IF(AND(ISNUMBER(L361),ISNUMBER(M361),ISNUMBER(N361)),SUM(L361:N361),"")</f>
        <v/>
      </c>
      <c r="P361" s="148"/>
      <c r="R361" s="607" t="s">
        <v>1089</v>
      </c>
    </row>
    <row r="362" spans="1:18" ht="15" customHeight="1" x14ac:dyDescent="0.25">
      <c r="A362" s="187"/>
      <c r="B362" s="1201" t="s">
        <v>1392</v>
      </c>
      <c r="C362" s="1436"/>
      <c r="D362" s="1175"/>
      <c r="E362" s="1175"/>
      <c r="F362" s="1175"/>
      <c r="G362" s="1433"/>
      <c r="H362" s="1440">
        <f>IF(Parameters!F145&lt;H$182,H$182,Parameters!F145)</f>
        <v>1</v>
      </c>
      <c r="I362" s="1440">
        <f>IF(Parameters!G145&lt;I$182,I$182,Parameters!G145)</f>
        <v>1</v>
      </c>
      <c r="J362" s="389">
        <f>IF(Parameters!H145&lt;J$182,J$182,Parameters!H145)</f>
        <v>1</v>
      </c>
      <c r="K362" s="1433"/>
      <c r="L362" s="1435" t="str">
        <f>IF(AND(ISNUMBER(D362),ISNUMBER(H362)), D362*H362, "")</f>
        <v/>
      </c>
      <c r="M362" s="85" t="str">
        <f>IF(AND(ISNUMBER(E362),ISNUMBER(I362)), E362*I362, "")</f>
        <v/>
      </c>
      <c r="N362" s="1435" t="str">
        <f>IF(AND(ISNUMBER(F362),ISNUMBER(J362)),F362*J362,"")</f>
        <v/>
      </c>
      <c r="O362" s="619" t="str">
        <f>IF(AND(ISNUMBER(L362),ISNUMBER(M362),ISNUMBER(N362)),SUM(L362:N362),"")</f>
        <v/>
      </c>
      <c r="P362" s="148"/>
      <c r="R362" s="607" t="s">
        <v>1089</v>
      </c>
    </row>
    <row r="363" spans="1:18" ht="15" customHeight="1" x14ac:dyDescent="0.25">
      <c r="A363" s="187"/>
      <c r="B363" s="373" t="s">
        <v>1401</v>
      </c>
      <c r="C363" s="1438" t="s">
        <v>1092</v>
      </c>
      <c r="D363" s="367"/>
      <c r="E363" s="367"/>
      <c r="F363" s="377"/>
      <c r="G363" s="1433"/>
      <c r="H363" s="360"/>
      <c r="I363" s="360"/>
      <c r="J363" s="604"/>
      <c r="K363" s="1433"/>
      <c r="L363" s="360"/>
      <c r="M363" s="360"/>
      <c r="N363" s="360"/>
      <c r="O363" s="604"/>
      <c r="P363" s="148"/>
      <c r="R363" s="607" t="s">
        <v>1089</v>
      </c>
    </row>
    <row r="364" spans="1:18" ht="15" customHeight="1" x14ac:dyDescent="0.25">
      <c r="A364" s="187"/>
      <c r="B364" s="1202" t="s">
        <v>1093</v>
      </c>
      <c r="C364" s="1436"/>
      <c r="D364" s="367"/>
      <c r="E364" s="367"/>
      <c r="F364" s="377"/>
      <c r="G364" s="1433"/>
      <c r="H364" s="360"/>
      <c r="I364" s="360"/>
      <c r="J364" s="604"/>
      <c r="K364" s="1433"/>
      <c r="L364" s="360"/>
      <c r="M364" s="360"/>
      <c r="N364" s="360"/>
      <c r="O364" s="604"/>
      <c r="P364" s="148"/>
      <c r="R364" s="607" t="s">
        <v>1089</v>
      </c>
    </row>
    <row r="365" spans="1:18" ht="15" customHeight="1" x14ac:dyDescent="0.25">
      <c r="A365" s="187"/>
      <c r="B365" s="1201" t="s">
        <v>1391</v>
      </c>
      <c r="C365" s="1436"/>
      <c r="D365" s="367"/>
      <c r="E365" s="367"/>
      <c r="F365" s="1175"/>
      <c r="G365" s="1433"/>
      <c r="H365" s="360"/>
      <c r="I365" s="360"/>
      <c r="J365" s="389">
        <f>IF(Parameters!H148&lt;J$188,J$188,Parameters!H148)</f>
        <v>0.85</v>
      </c>
      <c r="K365" s="1433"/>
      <c r="L365" s="360"/>
      <c r="M365" s="360"/>
      <c r="N365" s="1435" t="str">
        <f>IF(AND(ISNUMBER(F365),ISNUMBER(J365)),F365*J365,"")</f>
        <v/>
      </c>
      <c r="O365" s="619" t="str">
        <f t="shared" ref="O365:O366" si="95">IF(ISNUMBER(N365),N365,"")</f>
        <v/>
      </c>
      <c r="P365" s="148"/>
      <c r="R365" s="607" t="s">
        <v>1089</v>
      </c>
    </row>
    <row r="366" spans="1:18" ht="15" customHeight="1" x14ac:dyDescent="0.25">
      <c r="A366" s="187"/>
      <c r="B366" s="1201" t="s">
        <v>1392</v>
      </c>
      <c r="C366" s="1436"/>
      <c r="D366" s="367"/>
      <c r="E366" s="367"/>
      <c r="F366" s="1175"/>
      <c r="G366" s="1433"/>
      <c r="H366" s="360"/>
      <c r="I366" s="360"/>
      <c r="J366" s="389">
        <f>IF(Parameters!H149&lt;J$188,J$188,Parameters!H149)</f>
        <v>1</v>
      </c>
      <c r="K366" s="1433"/>
      <c r="L366" s="360"/>
      <c r="M366" s="360"/>
      <c r="N366" s="1435" t="str">
        <f>IF(AND(ISNUMBER(F366),ISNUMBER(J366)),F366*J366,"")</f>
        <v/>
      </c>
      <c r="O366" s="619" t="str">
        <f t="shared" si="95"/>
        <v/>
      </c>
      <c r="P366" s="148"/>
      <c r="R366" s="607" t="s">
        <v>1089</v>
      </c>
    </row>
    <row r="367" spans="1:18" ht="15" customHeight="1" x14ac:dyDescent="0.25">
      <c r="A367" s="187"/>
      <c r="B367" s="373" t="s">
        <v>1402</v>
      </c>
      <c r="C367" s="1438" t="s">
        <v>1092</v>
      </c>
      <c r="D367" s="367"/>
      <c r="E367" s="367"/>
      <c r="F367" s="377"/>
      <c r="G367" s="1433"/>
      <c r="H367" s="360"/>
      <c r="I367" s="360"/>
      <c r="J367" s="604"/>
      <c r="K367" s="1433"/>
      <c r="L367" s="360"/>
      <c r="M367" s="360"/>
      <c r="N367" s="360"/>
      <c r="O367" s="604"/>
      <c r="P367" s="148"/>
      <c r="R367" s="607" t="s">
        <v>1089</v>
      </c>
    </row>
    <row r="368" spans="1:18" ht="15" customHeight="1" x14ac:dyDescent="0.25">
      <c r="A368" s="187"/>
      <c r="B368" s="1202" t="s">
        <v>1093</v>
      </c>
      <c r="C368" s="1436"/>
      <c r="D368" s="367"/>
      <c r="E368" s="367"/>
      <c r="F368" s="377"/>
      <c r="G368" s="1433"/>
      <c r="H368" s="360"/>
      <c r="I368" s="360"/>
      <c r="J368" s="604"/>
      <c r="K368" s="1433"/>
      <c r="L368" s="360"/>
      <c r="M368" s="360"/>
      <c r="N368" s="360"/>
      <c r="O368" s="604"/>
      <c r="P368" s="148"/>
      <c r="R368" s="607" t="s">
        <v>1089</v>
      </c>
    </row>
    <row r="369" spans="1:18" ht="15" customHeight="1" x14ac:dyDescent="0.25">
      <c r="A369" s="187"/>
      <c r="B369" s="1201" t="s">
        <v>1391</v>
      </c>
      <c r="C369" s="1436"/>
      <c r="D369" s="1175"/>
      <c r="E369" s="1175"/>
      <c r="F369" s="1175"/>
      <c r="G369" s="1433"/>
      <c r="H369" s="1440">
        <f>IF(Parameters!F152&lt;H$194,H$194,Parameters!F152)</f>
        <v>0.5</v>
      </c>
      <c r="I369" s="1440">
        <f>IF(Parameters!G152&lt;I$194,I$194,Parameters!G152)</f>
        <v>0.5</v>
      </c>
      <c r="J369" s="389">
        <f>IF(Parameters!H152&lt;J$194,J$194,Parameters!H152)</f>
        <v>0.85</v>
      </c>
      <c r="K369" s="1433"/>
      <c r="L369" s="1435" t="str">
        <f>IF(AND(ISNUMBER(D369),ISNUMBER(H369)), D369*H369, "")</f>
        <v/>
      </c>
      <c r="M369" s="85" t="str">
        <f>IF(AND(ISNUMBER(E369),ISNUMBER(I369)), E369*I369, "")</f>
        <v/>
      </c>
      <c r="N369" s="1435" t="str">
        <f>IF(AND(ISNUMBER(F369),ISNUMBER(J369)),F369*J369,"")</f>
        <v/>
      </c>
      <c r="O369" s="619" t="str">
        <f>IF(AND(ISNUMBER(L369),ISNUMBER(M369),ISNUMBER(N369)),SUM(L369:N369),"")</f>
        <v/>
      </c>
      <c r="P369" s="148"/>
      <c r="R369" s="607" t="s">
        <v>1089</v>
      </c>
    </row>
    <row r="370" spans="1:18" ht="15" customHeight="1" x14ac:dyDescent="0.25">
      <c r="A370" s="187"/>
      <c r="B370" s="1201" t="s">
        <v>1392</v>
      </c>
      <c r="C370" s="1436"/>
      <c r="D370" s="1175"/>
      <c r="E370" s="1175"/>
      <c r="F370" s="1175"/>
      <c r="G370" s="1433"/>
      <c r="H370" s="1440">
        <f>IF(Parameters!F153&lt;H$194,H$194,Parameters!F153)</f>
        <v>1</v>
      </c>
      <c r="I370" s="1440">
        <f>IF(Parameters!G153&lt;I$194,I$194,Parameters!G153)</f>
        <v>1</v>
      </c>
      <c r="J370" s="389">
        <f>IF(Parameters!H153&lt;J$194,J$194,Parameters!H153)</f>
        <v>1</v>
      </c>
      <c r="K370" s="1433"/>
      <c r="L370" s="1435" t="str">
        <f>IF(AND(ISNUMBER(D370),ISNUMBER(H370)), D370*H370, "")</f>
        <v/>
      </c>
      <c r="M370" s="85" t="str">
        <f>IF(AND(ISNUMBER(E370),ISNUMBER(I370)), E370*I370, "")</f>
        <v/>
      </c>
      <c r="N370" s="1435" t="str">
        <f>IF(AND(ISNUMBER(F370),ISNUMBER(J370)),F370*J370,"")</f>
        <v/>
      </c>
      <c r="O370" s="619" t="str">
        <f>IF(AND(ISNUMBER(L370),ISNUMBER(M370),ISNUMBER(N370)),SUM(L370:N370),"")</f>
        <v/>
      </c>
      <c r="P370" s="148"/>
      <c r="R370" s="607" t="s">
        <v>1089</v>
      </c>
    </row>
    <row r="371" spans="1:18" ht="15" customHeight="1" x14ac:dyDescent="0.25">
      <c r="A371" s="187"/>
      <c r="B371" s="373" t="s">
        <v>1473</v>
      </c>
      <c r="C371" s="1438" t="s">
        <v>1092</v>
      </c>
      <c r="D371" s="367"/>
      <c r="E371" s="367"/>
      <c r="F371" s="377"/>
      <c r="G371" s="1433"/>
      <c r="H371" s="360"/>
      <c r="I371" s="360"/>
      <c r="J371" s="604"/>
      <c r="K371" s="1433"/>
      <c r="L371" s="360"/>
      <c r="M371" s="360"/>
      <c r="N371" s="360"/>
      <c r="O371" s="604"/>
      <c r="P371" s="148"/>
      <c r="R371" s="607" t="s">
        <v>1089</v>
      </c>
    </row>
    <row r="372" spans="1:18" ht="15" customHeight="1" x14ac:dyDescent="0.25">
      <c r="A372" s="187"/>
      <c r="B372" s="1202" t="s">
        <v>1093</v>
      </c>
      <c r="C372" s="1436"/>
      <c r="D372" s="367"/>
      <c r="E372" s="367"/>
      <c r="F372" s="377"/>
      <c r="G372" s="1433"/>
      <c r="H372" s="360"/>
      <c r="I372" s="360"/>
      <c r="J372" s="604"/>
      <c r="K372" s="1433"/>
      <c r="L372" s="360"/>
      <c r="M372" s="360"/>
      <c r="N372" s="360"/>
      <c r="O372" s="604"/>
      <c r="P372" s="148"/>
      <c r="R372" s="607" t="s">
        <v>1089</v>
      </c>
    </row>
    <row r="373" spans="1:18" ht="15" customHeight="1" x14ac:dyDescent="0.25">
      <c r="A373" s="187"/>
      <c r="B373" s="1201" t="s">
        <v>1391</v>
      </c>
      <c r="C373" s="1436"/>
      <c r="D373" s="367"/>
      <c r="E373" s="367"/>
      <c r="F373" s="1175"/>
      <c r="G373" s="1433"/>
      <c r="H373" s="360"/>
      <c r="I373" s="360"/>
      <c r="J373" s="389">
        <f>IF(Parameters!H156&lt;J$200,J$200,Parameters!H156)</f>
        <v>0.85</v>
      </c>
      <c r="K373" s="1433"/>
      <c r="L373" s="360"/>
      <c r="M373" s="360"/>
      <c r="N373" s="1435" t="str">
        <f>IF(AND(ISNUMBER(F373),ISNUMBER(J373)),F373*J373,"")</f>
        <v/>
      </c>
      <c r="O373" s="619" t="str">
        <f t="shared" ref="O373:O374" si="96">IF(ISNUMBER(N373),N373,"")</f>
        <v/>
      </c>
      <c r="P373" s="148"/>
      <c r="R373" s="607" t="s">
        <v>1089</v>
      </c>
    </row>
    <row r="374" spans="1:18" ht="15" customHeight="1" x14ac:dyDescent="0.25">
      <c r="A374" s="187"/>
      <c r="B374" s="1201" t="s">
        <v>1392</v>
      </c>
      <c r="C374" s="168"/>
      <c r="D374" s="1183"/>
      <c r="E374" s="1183"/>
      <c r="F374" s="100"/>
      <c r="G374" s="1433"/>
      <c r="H374" s="603"/>
      <c r="I374" s="603"/>
      <c r="J374" s="389">
        <f>IF(Parameters!H157&lt;J$200,J$200,Parameters!H157)</f>
        <v>1</v>
      </c>
      <c r="K374" s="1433"/>
      <c r="L374" s="603"/>
      <c r="M374" s="603"/>
      <c r="N374" s="1184" t="str">
        <f>IF(AND(ISNUMBER(F374),ISNUMBER(J374)),F374*J374,"")</f>
        <v/>
      </c>
      <c r="O374" s="1185" t="str">
        <f t="shared" si="96"/>
        <v/>
      </c>
      <c r="P374" s="148"/>
      <c r="R374" s="607" t="s">
        <v>1089</v>
      </c>
    </row>
    <row r="375" spans="1:18" ht="30" customHeight="1" x14ac:dyDescent="0.25">
      <c r="A375" s="187"/>
      <c r="B375" s="1541" t="s">
        <v>1760</v>
      </c>
      <c r="C375" s="1438" t="s">
        <v>1092</v>
      </c>
      <c r="D375" s="1436"/>
      <c r="E375" s="1436"/>
      <c r="F375" s="1437"/>
      <c r="G375" s="1433"/>
      <c r="H375" s="360"/>
      <c r="I375" s="360"/>
      <c r="J375" s="604"/>
      <c r="K375" s="1433"/>
      <c r="L375" s="360"/>
      <c r="M375" s="360"/>
      <c r="N375" s="360"/>
      <c r="O375" s="604"/>
      <c r="P375" s="148"/>
      <c r="R375" s="607" t="s">
        <v>1089</v>
      </c>
    </row>
    <row r="376" spans="1:18" ht="15" customHeight="1" x14ac:dyDescent="0.25">
      <c r="A376" s="187"/>
      <c r="B376" s="1202" t="s">
        <v>1093</v>
      </c>
      <c r="C376" s="1436"/>
      <c r="D376" s="367"/>
      <c r="E376" s="367"/>
      <c r="F376" s="377"/>
      <c r="G376" s="1433"/>
      <c r="H376" s="360"/>
      <c r="I376" s="360"/>
      <c r="J376" s="604"/>
      <c r="K376" s="1433"/>
      <c r="L376" s="360"/>
      <c r="M376" s="360"/>
      <c r="N376" s="360"/>
      <c r="O376" s="604"/>
      <c r="P376" s="148"/>
      <c r="R376" s="607" t="s">
        <v>1089</v>
      </c>
    </row>
    <row r="377" spans="1:18" ht="15" customHeight="1" x14ac:dyDescent="0.25">
      <c r="A377" s="187"/>
      <c r="B377" s="1201" t="s">
        <v>1391</v>
      </c>
      <c r="C377" s="1436"/>
      <c r="D377" s="1175"/>
      <c r="E377" s="1175"/>
      <c r="F377" s="1437"/>
      <c r="G377" s="1433"/>
      <c r="H377" s="1440">
        <f>IF(Parameters!F160&lt;H$206,H$206,Parameters!F160)</f>
        <v>0.5</v>
      </c>
      <c r="I377" s="1440">
        <f>IF(Parameters!G160&lt;I$206,I$206,Parameters!G160)</f>
        <v>0.5</v>
      </c>
      <c r="J377" s="604"/>
      <c r="K377" s="1433"/>
      <c r="L377" s="1435" t="str">
        <f>IF(AND(ISNUMBER(D377),ISNUMBER(H377)), D377*H377, "")</f>
        <v/>
      </c>
      <c r="M377" s="85" t="str">
        <f>IF(AND(ISNUMBER(E377),ISNUMBER(I377)), E377*I377, "")</f>
        <v/>
      </c>
      <c r="N377" s="360"/>
      <c r="O377" s="619" t="str">
        <f t="shared" ref="O377:O378" si="97">IF(AND(ISNUMBER(L377),ISNUMBER(M377)),SUM(L377:M377),"")</f>
        <v/>
      </c>
      <c r="P377" s="148"/>
      <c r="R377" s="607" t="s">
        <v>1089</v>
      </c>
    </row>
    <row r="378" spans="1:18" ht="15" customHeight="1" x14ac:dyDescent="0.25">
      <c r="A378" s="187"/>
      <c r="B378" s="1200" t="s">
        <v>1392</v>
      </c>
      <c r="C378" s="1244"/>
      <c r="D378" s="95"/>
      <c r="E378" s="95"/>
      <c r="F378" s="368"/>
      <c r="G378" s="1433"/>
      <c r="H378" s="1182">
        <f>IF(Parameters!F161&lt;H$206,H$206,Parameters!F161)</f>
        <v>1</v>
      </c>
      <c r="I378" s="1182">
        <f>IF(Parameters!G161&lt;I$206,I$206,Parameters!G161)</f>
        <v>1</v>
      </c>
      <c r="J378" s="369"/>
      <c r="K378" s="1433"/>
      <c r="L378" s="1205" t="str">
        <f>IF(AND(ISNUMBER(D378),ISNUMBER(H378)), D378*H378, "")</f>
        <v/>
      </c>
      <c r="M378" s="1199" t="str">
        <f>IF(AND(ISNUMBER(E378),ISNUMBER(I378)), E378*I378, "")</f>
        <v/>
      </c>
      <c r="N378" s="385"/>
      <c r="O378" s="634" t="str">
        <f t="shared" si="97"/>
        <v/>
      </c>
      <c r="P378" s="148"/>
      <c r="R378" s="607" t="s">
        <v>1089</v>
      </c>
    </row>
    <row r="379" spans="1:18" ht="15" customHeight="1" x14ac:dyDescent="0.25">
      <c r="A379" s="347"/>
      <c r="B379" s="348"/>
      <c r="C379" s="348"/>
      <c r="D379" s="348"/>
      <c r="E379" s="348"/>
      <c r="F379" s="348"/>
      <c r="G379" s="348"/>
      <c r="H379" s="348"/>
      <c r="I379" s="348"/>
      <c r="J379" s="348"/>
      <c r="K379" s="348"/>
      <c r="L379" s="348"/>
      <c r="M379" s="348"/>
      <c r="N379" s="348"/>
      <c r="O379" s="348"/>
      <c r="P379" s="349"/>
      <c r="R379" s="34"/>
    </row>
    <row r="380" spans="1:18" ht="15" hidden="1" customHeight="1" x14ac:dyDescent="0.25"/>
    <row r="381" spans="1:18" ht="15" hidden="1" customHeight="1" x14ac:dyDescent="0.25"/>
    <row r="382" spans="1:18" ht="15" hidden="1" customHeight="1" x14ac:dyDescent="0.25"/>
    <row r="383" spans="1:18" ht="15" hidden="1" customHeight="1" x14ac:dyDescent="0.25"/>
  </sheetData>
  <mergeCells count="22">
    <mergeCell ref="H4:J4"/>
    <mergeCell ref="L4:O4"/>
    <mergeCell ref="B4:B5"/>
    <mergeCell ref="B82:B83"/>
    <mergeCell ref="H82:J82"/>
    <mergeCell ref="L82:O82"/>
    <mergeCell ref="C4:C5"/>
    <mergeCell ref="C82:C83"/>
    <mergeCell ref="D4:F4"/>
    <mergeCell ref="D82:F82"/>
    <mergeCell ref="L254:N254"/>
    <mergeCell ref="C275:C276"/>
    <mergeCell ref="B298:O298"/>
    <mergeCell ref="H300:J300"/>
    <mergeCell ref="L300:O300"/>
    <mergeCell ref="C300:C301"/>
    <mergeCell ref="B275:B276"/>
    <mergeCell ref="H275:J275"/>
    <mergeCell ref="L275:O275"/>
    <mergeCell ref="D275:F275"/>
    <mergeCell ref="D300:F300"/>
    <mergeCell ref="A273:O273"/>
  </mergeCells>
  <phoneticPr fontId="5" type="noConversion"/>
  <conditionalFormatting sqref="F7 D10 D12 D17:D19 D30:D31 D36:D38 D40 D87 E19:F19 D24:F24 D29:F29 E38:F38 D295:F295 D250:F250">
    <cfRule type="cellIs" dxfId="100" priority="78" stopIfTrue="1" operator="equal">
      <formula>"Fail"</formula>
    </cfRule>
    <cfRule type="cellIs" dxfId="99" priority="79" stopIfTrue="1" operator="equal">
      <formula>"Pass"</formula>
    </cfRule>
  </conditionalFormatting>
  <conditionalFormatting sqref="D337:E338 D341:E342 D345:E346 D357:E358 D304:F305 D309:F310 D313:F314 D317:F318 D321:F322 D325:F326 D329:F330 D333:F334 D349:F350 F353:F354 D361:F362 D369:F370 F365:F366 F373:F374">
    <cfRule type="cellIs" dxfId="98" priority="77" stopIfTrue="1" operator="lessThan">
      <formula>0</formula>
    </cfRule>
  </conditionalFormatting>
  <conditionalFormatting sqref="F220">
    <cfRule type="cellIs" dxfId="97" priority="30" stopIfTrue="1" operator="equal">
      <formula>"Fail"</formula>
    </cfRule>
    <cfRule type="cellIs" dxfId="96" priority="31" stopIfTrue="1" operator="equal">
      <formula>"Pass"</formula>
    </cfRule>
  </conditionalFormatting>
  <conditionalFormatting sqref="F238">
    <cfRule type="cellIs" dxfId="95" priority="28" stopIfTrue="1" operator="equal">
      <formula>"Fail"</formula>
    </cfRule>
    <cfRule type="cellIs" dxfId="94" priority="29" stopIfTrue="1" operator="equal">
      <formula>"Pass"</formula>
    </cfRule>
  </conditionalFormatting>
  <conditionalFormatting sqref="D95">
    <cfRule type="cellIs" dxfId="93" priority="24" stopIfTrue="1" operator="equal">
      <formula>"Fail"</formula>
    </cfRule>
    <cfRule type="cellIs" dxfId="92" priority="25" stopIfTrue="1" operator="equal">
      <formula>"Pass"</formula>
    </cfRule>
  </conditionalFormatting>
  <conditionalFormatting sqref="F53">
    <cfRule type="cellIs" dxfId="91" priority="22" stopIfTrue="1" operator="equal">
      <formula>"Fail"</formula>
    </cfRule>
    <cfRule type="cellIs" dxfId="90" priority="23" stopIfTrue="1" operator="equal">
      <formula>"Pass"</formula>
    </cfRule>
  </conditionalFormatting>
  <conditionalFormatting sqref="F58">
    <cfRule type="cellIs" dxfId="89" priority="20" stopIfTrue="1" operator="equal">
      <formula>"Fail"</formula>
    </cfRule>
    <cfRule type="cellIs" dxfId="88" priority="21" stopIfTrue="1" operator="equal">
      <formula>"Pass"</formula>
    </cfRule>
  </conditionalFormatting>
  <conditionalFormatting sqref="F64">
    <cfRule type="cellIs" dxfId="87" priority="18" stopIfTrue="1" operator="equal">
      <formula>"Fail"</formula>
    </cfRule>
    <cfRule type="cellIs" dxfId="86" priority="19" stopIfTrue="1" operator="equal">
      <formula>"Pass"</formula>
    </cfRule>
  </conditionalFormatting>
  <conditionalFormatting sqref="F66">
    <cfRule type="cellIs" dxfId="85" priority="16" stopIfTrue="1" operator="equal">
      <formula>"Fail"</formula>
    </cfRule>
    <cfRule type="cellIs" dxfId="84" priority="17" stopIfTrue="1" operator="equal">
      <formula>"Pass"</formula>
    </cfRule>
  </conditionalFormatting>
  <conditionalFormatting sqref="F70">
    <cfRule type="cellIs" dxfId="83" priority="14" stopIfTrue="1" operator="equal">
      <formula>"Fail"</formula>
    </cfRule>
    <cfRule type="cellIs" dxfId="82" priority="15" stopIfTrue="1" operator="equal">
      <formula>"Pass"</formula>
    </cfRule>
  </conditionalFormatting>
  <conditionalFormatting sqref="F217">
    <cfRule type="cellIs" dxfId="81" priority="12" stopIfTrue="1" operator="equal">
      <formula>"Fail"</formula>
    </cfRule>
    <cfRule type="cellIs" dxfId="80" priority="13" stopIfTrue="1" operator="equal">
      <formula>"Pass"</formula>
    </cfRule>
  </conditionalFormatting>
  <conditionalFormatting sqref="F224">
    <cfRule type="cellIs" dxfId="79" priority="10" stopIfTrue="1" operator="equal">
      <formula>"Fail"</formula>
    </cfRule>
    <cfRule type="cellIs" dxfId="78" priority="11" stopIfTrue="1" operator="equal">
      <formula>"Pass"</formula>
    </cfRule>
  </conditionalFormatting>
  <conditionalFormatting sqref="F229">
    <cfRule type="cellIs" dxfId="77" priority="8" stopIfTrue="1" operator="equal">
      <formula>"Fail"</formula>
    </cfRule>
    <cfRule type="cellIs" dxfId="76" priority="9" stopIfTrue="1" operator="equal">
      <formula>"Pass"</formula>
    </cfRule>
  </conditionalFormatting>
  <conditionalFormatting sqref="F240">
    <cfRule type="cellIs" dxfId="75" priority="6" stopIfTrue="1" operator="equal">
      <formula>"Fail"</formula>
    </cfRule>
    <cfRule type="cellIs" dxfId="74" priority="7" stopIfTrue="1" operator="equal">
      <formula>"Pass"</formula>
    </cfRule>
  </conditionalFormatting>
  <conditionalFormatting sqref="F244">
    <cfRule type="cellIs" dxfId="73" priority="4" stopIfTrue="1" operator="equal">
      <formula>"Fail"</formula>
    </cfRule>
    <cfRule type="cellIs" dxfId="72" priority="5" stopIfTrue="1" operator="equal">
      <formula>"Pass"</formula>
    </cfRule>
  </conditionalFormatting>
  <conditionalFormatting sqref="D377:E378">
    <cfRule type="cellIs" dxfId="71" priority="1" stopIfTrue="1" operator="lessThan">
      <formula>0</formula>
    </cfRule>
  </conditionalFormatting>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8" manualBreakCount="8">
    <brk id="41" max="15" man="1"/>
    <brk id="78" max="15" man="1"/>
    <brk id="120" max="15" man="1"/>
    <brk id="168" max="15" man="1"/>
    <brk id="211" max="15" man="1"/>
    <brk id="251" max="15" man="1"/>
    <brk id="296" max="15" man="1"/>
    <brk id="342" max="15" man="1"/>
  </rowBreaks>
  <ignoredErrors>
    <ignoredError sqref="L277:O278 D295 N294:O294 H255:O256 D84 D6:D8 D33:D38 D249 D71:D72 E39 E251 D10:D31 E9 E73 E85 H267:N267 H261:O261 I257:O260 I262:O266 D40:D47 O36:O40 E76 O71 D48 G48:I48 K48:M48 D121:D126 D88 D127:D132 D133:D138 D139:D144 D145 D151:D156 D157:D162 D163:D168 D169:D174 D175:D180 D181:D186 D187:D192 D193:D198 D199:D204 K121:O121 D89:D93 K90:O90 K127:O127 K133:O133 K139:O139 D211 K211 D146:D150 K147:O147 K151:O151 K157:O157 K163:O163 K169:O174 K175:O175 K181:O181 K187:O192 K193:O193 K199:O204 K84 K249 K251 K85 K87:O87 K145:O145 E86 N249 J39:N39 E87 K88:O88 E295 E84 E6:E8 E33:E38 E249 E71:E72 E10:E31 E40:E47 E48 E121:E126 E88 E127:E132 E133:E138 E139:E144 E145 E151:E156 E157:E162 E163:E168 E169:E174 E175:E180 E181:E186 E187:E192 E193:E198 E199:E204 E89:E93 E211 E146:E150 F39:G39 F251:G251 F9:K9 F73:K73 F85:G85 F76:K76 F86:G86 F87:G87 F295 F84:G84 F6:N8 F36:N38 F249:G249 F71:N71 F10:N10 F40:N40 F121:G126 F88:G88 F127:G132 F133:G138 F139:G144 F145:G145 F151:G156 F157:G162 F163:G168 F169:G174 F175:G180 F181:G186 F187:G192 F193:G198 F199:G204 F89:G93 F211:G211 F146:G150 N9 F12:N13 F11:K11 N11 F17:N20 F14:K14 N14 F15:K15 N15 F16:K16 N16 F24:N25 F21:K21 N21 F22:K22 N22 F23:K23 N23 F29:N31 F26:K26 N26 F27:K27 N27 F28:K28 N28 F33:K33 N33 F34:K34 N34 F35:K35 N35 F42:N42 F41:K41 N41 F47:K47 F43:K43 N43 F44:K44 N44 F45:K45 N45 F46:K46 N46 N47 F72:K72 N72 N73 N76 N85 K89 N89 K93 K91 N91 K92 N92 N93 K123:O123 K122 N122 K126 K124 N124 K125 N125 N126 K129:O129 K128 N128 K132 K130 N130 K131 N131 N132 K135:O135 K134 N134 K138 K136 N136 K137 N137 N138 K141:O141 K140 N140 K144 K142 N142 K143 N143 N144 K146 N146:O146 K150 K148 N148:O148 K149 N149:O149 N150:O150 K153:O153 K152 N152:O152 K156 K154 N154:O154 K155 N155:O155 N156:O156 K159:O159 K158 N158:O158 K162 K160 N160:O160 K161 N161:O161 N162:O162 K165:O165 K164 N164 K168 K166 N166 K167 N167 N168 K177:O177 K176 N176:O176 K180 K178 N178:O178 K179 N179:O179 N180:O180 K183:O183 K182 N182 K186 K184 N184 K185 N185 N186 K195:O195 K194 N194 K198 K196 N196 K197 N197 N198 N211 N251 N282:O282 N279:O279 N280:O280 N281:O281 M84:N84 O42 K86" emptyCellReference="1"/>
    <ignoredError sqref="L285:O287 N283:O283 N284:O284 L293:M293 N292:O292 N288:O288 N289:O289 N290:O290 N291:O291 O293" formula="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9CCFF"/>
  </sheetPr>
  <dimension ref="A1:X1375"/>
  <sheetViews>
    <sheetView zoomScale="75" zoomScaleNormal="75" zoomScaleSheetLayoutView="75" workbookViewId="0">
      <pane xSplit="6" ySplit="5" topLeftCell="M6" activePane="bottomRight" state="frozen"/>
      <selection activeCell="B20" sqref="B20"/>
      <selection pane="topRight" activeCell="B20" sqref="B20"/>
      <selection pane="bottomLeft" activeCell="B20" sqref="B20"/>
      <selection pane="bottomRight"/>
    </sheetView>
  </sheetViews>
  <sheetFormatPr defaultColWidth="0" defaultRowHeight="15" customHeight="1" zeroHeight="1" x14ac:dyDescent="0.25"/>
  <cols>
    <col min="1" max="1" width="1.7109375" style="736" customWidth="1"/>
    <col min="2" max="2" width="8.7109375" style="736" customWidth="1"/>
    <col min="3" max="3" width="30.7109375" style="716" customWidth="1"/>
    <col min="4" max="4" width="25.7109375" style="716" customWidth="1"/>
    <col min="5" max="5" width="24.7109375" style="716" customWidth="1"/>
    <col min="6" max="6" width="25.7109375" style="716" customWidth="1"/>
    <col min="7" max="10" width="16.7109375" style="736" customWidth="1"/>
    <col min="11" max="23" width="16.7109375" style="716" customWidth="1"/>
    <col min="24" max="24" width="1.7109375" style="716" customWidth="1"/>
    <col min="25" max="16384" width="16.7109375" style="716" hidden="1"/>
  </cols>
  <sheetData>
    <row r="1" spans="1:24" ht="30" customHeight="1" x14ac:dyDescent="0.55000000000000004">
      <c r="A1" s="723" t="s">
        <v>1355</v>
      </c>
      <c r="B1" s="724"/>
      <c r="C1" s="724"/>
      <c r="D1" s="724"/>
      <c r="E1" s="724"/>
      <c r="F1" s="724"/>
      <c r="G1" s="724"/>
      <c r="H1" s="1511" t="str">
        <f>CONCATENATE("Reporting unit: ", 'General Info'!$C$50, " ", 'General Info'!$C$49)</f>
        <v xml:space="preserve">Reporting unit: 1 </v>
      </c>
      <c r="I1" s="724"/>
      <c r="J1" s="724"/>
      <c r="K1" s="725"/>
      <c r="L1" s="725"/>
      <c r="M1" s="725"/>
      <c r="N1" s="725"/>
      <c r="O1" s="725"/>
      <c r="P1" s="725"/>
      <c r="Q1" s="725"/>
      <c r="R1" s="725"/>
      <c r="S1" s="725"/>
      <c r="T1" s="725"/>
      <c r="U1" s="725"/>
      <c r="V1" s="725"/>
      <c r="W1" s="725"/>
      <c r="X1" s="715"/>
    </row>
    <row r="2" spans="1:24" ht="15" customHeight="1" x14ac:dyDescent="0.55000000000000004">
      <c r="A2" s="723"/>
      <c r="B2" s="724"/>
      <c r="C2" s="724"/>
      <c r="D2" s="724"/>
      <c r="E2" s="724"/>
      <c r="F2" s="724"/>
      <c r="G2" s="724"/>
      <c r="H2" s="724"/>
      <c r="I2" s="724"/>
      <c r="J2" s="724"/>
      <c r="K2" s="725"/>
      <c r="L2" s="725"/>
      <c r="M2" s="725"/>
      <c r="N2" s="725"/>
      <c r="O2" s="725"/>
      <c r="P2" s="725"/>
      <c r="Q2" s="725"/>
      <c r="R2" s="725"/>
      <c r="S2" s="725"/>
      <c r="T2" s="725"/>
      <c r="U2" s="725"/>
      <c r="V2" s="725"/>
      <c r="W2" s="725"/>
      <c r="X2" s="715"/>
    </row>
    <row r="3" spans="1:24" s="1300" customFormat="1" ht="15" customHeight="1" x14ac:dyDescent="0.25">
      <c r="A3" s="726"/>
      <c r="B3" s="1797" t="s">
        <v>1235</v>
      </c>
      <c r="C3" s="1679" t="s">
        <v>1289</v>
      </c>
      <c r="D3" s="1795" t="s">
        <v>1232</v>
      </c>
      <c r="E3" s="1796"/>
      <c r="F3" s="1797"/>
      <c r="G3" s="1676" t="s">
        <v>1258</v>
      </c>
      <c r="H3" s="1677"/>
      <c r="I3" s="1677"/>
      <c r="J3" s="1677"/>
      <c r="K3" s="1677"/>
      <c r="L3" s="1677"/>
      <c r="M3" s="1677"/>
      <c r="N3" s="1778"/>
      <c r="O3" s="1795" t="s">
        <v>1234</v>
      </c>
      <c r="P3" s="1676" t="s">
        <v>1233</v>
      </c>
      <c r="Q3" s="1677"/>
      <c r="R3" s="1677"/>
      <c r="S3" s="1677"/>
      <c r="T3" s="1677"/>
      <c r="U3" s="1677"/>
      <c r="V3" s="1677"/>
      <c r="W3" s="1677"/>
      <c r="X3" s="1299"/>
    </row>
    <row r="4" spans="1:24" s="500" customFormat="1" ht="30" customHeight="1" x14ac:dyDescent="0.25">
      <c r="A4" s="835"/>
      <c r="B4" s="1800"/>
      <c r="C4" s="1813"/>
      <c r="D4" s="1798"/>
      <c r="E4" s="1799"/>
      <c r="F4" s="1800"/>
      <c r="G4" s="1679" t="s">
        <v>1456</v>
      </c>
      <c r="H4" s="1687" t="s">
        <v>1457</v>
      </c>
      <c r="I4" s="1687" t="s">
        <v>1254</v>
      </c>
      <c r="J4" s="1687"/>
      <c r="K4" s="1687"/>
      <c r="L4" s="1687" t="s">
        <v>1255</v>
      </c>
      <c r="M4" s="1687"/>
      <c r="N4" s="1687"/>
      <c r="O4" s="1801"/>
      <c r="P4" s="1687" t="s">
        <v>1250</v>
      </c>
      <c r="Q4" s="1687" t="s">
        <v>1251</v>
      </c>
      <c r="R4" s="1687" t="s">
        <v>1252</v>
      </c>
      <c r="S4" s="1687" t="s">
        <v>1253</v>
      </c>
      <c r="T4" s="1687" t="s">
        <v>1735</v>
      </c>
      <c r="U4" s="1687" t="s">
        <v>1712</v>
      </c>
      <c r="V4" s="1687" t="s">
        <v>1713</v>
      </c>
      <c r="W4" s="1676" t="s">
        <v>1438</v>
      </c>
      <c r="X4" s="1288"/>
    </row>
    <row r="5" spans="1:24" s="1308" customFormat="1" ht="45" customHeight="1" x14ac:dyDescent="0.25">
      <c r="A5" s="730"/>
      <c r="B5" s="1803"/>
      <c r="C5" s="1680"/>
      <c r="D5" s="1801"/>
      <c r="E5" s="1802"/>
      <c r="F5" s="1803"/>
      <c r="G5" s="1680"/>
      <c r="H5" s="1687"/>
      <c r="I5" s="1443" t="s">
        <v>1256</v>
      </c>
      <c r="J5" s="1443" t="s">
        <v>1257</v>
      </c>
      <c r="K5" s="1443" t="s">
        <v>108</v>
      </c>
      <c r="L5" s="1443" t="s">
        <v>1256</v>
      </c>
      <c r="M5" s="1443" t="s">
        <v>1257</v>
      </c>
      <c r="N5" s="1443" t="s">
        <v>108</v>
      </c>
      <c r="O5" s="1447" t="s">
        <v>1665</v>
      </c>
      <c r="P5" s="1687"/>
      <c r="Q5" s="1687"/>
      <c r="R5" s="1687"/>
      <c r="S5" s="1687"/>
      <c r="T5" s="1687"/>
      <c r="U5" s="1687"/>
      <c r="V5" s="1687"/>
      <c r="W5" s="1676"/>
      <c r="X5" s="1307"/>
    </row>
    <row r="6" spans="1:24" s="735" customFormat="1" ht="45" customHeight="1" x14ac:dyDescent="0.25">
      <c r="A6" s="733" t="s">
        <v>1736</v>
      </c>
      <c r="B6" s="722"/>
      <c r="C6" s="734"/>
      <c r="D6" s="734"/>
      <c r="E6" s="734"/>
      <c r="F6" s="734"/>
      <c r="X6" s="422"/>
    </row>
    <row r="7" spans="1:24" s="735" customFormat="1" ht="15" customHeight="1" x14ac:dyDescent="0.25">
      <c r="A7" s="733"/>
      <c r="B7" s="721"/>
      <c r="C7" s="1000" t="s">
        <v>1714</v>
      </c>
      <c r="D7" s="907"/>
      <c r="E7" s="907"/>
      <c r="F7" s="1487"/>
      <c r="G7" s="894"/>
      <c r="H7" s="894"/>
      <c r="I7" s="894"/>
      <c r="J7" s="894"/>
      <c r="K7" s="894"/>
      <c r="L7" s="894"/>
      <c r="M7" s="894"/>
      <c r="N7" s="894"/>
      <c r="O7" s="894"/>
      <c r="P7" s="894"/>
      <c r="Q7" s="894"/>
      <c r="R7" s="894"/>
      <c r="S7" s="894"/>
      <c r="T7" s="894"/>
      <c r="U7" s="894"/>
      <c r="V7" s="894"/>
      <c r="W7" s="894"/>
      <c r="X7" s="422"/>
    </row>
    <row r="8" spans="1:24" s="1308" customFormat="1" ht="15" customHeight="1" x14ac:dyDescent="0.25">
      <c r="A8" s="730"/>
      <c r="B8" s="1488"/>
      <c r="C8" s="1781" t="s">
        <v>1236</v>
      </c>
      <c r="D8" s="1781"/>
      <c r="E8" s="1781"/>
      <c r="F8" s="1782"/>
      <c r="G8" s="1349"/>
      <c r="H8" s="1349"/>
      <c r="I8" s="1349"/>
      <c r="J8" s="1349"/>
      <c r="K8" s="1349"/>
      <c r="L8" s="1349"/>
      <c r="M8" s="1349"/>
      <c r="N8" s="1349"/>
      <c r="O8" s="1349"/>
      <c r="P8" s="1349"/>
      <c r="Q8" s="1460"/>
      <c r="R8" s="1461"/>
      <c r="S8" s="1462"/>
      <c r="T8" s="1462"/>
      <c r="U8" s="1462"/>
      <c r="V8" s="1460"/>
      <c r="W8" s="1481"/>
      <c r="X8" s="1307"/>
    </row>
    <row r="9" spans="1:24" s="1308" customFormat="1" ht="15" customHeight="1" x14ac:dyDescent="0.25">
      <c r="A9" s="730"/>
      <c r="B9" s="1489"/>
      <c r="C9" s="1783" t="s">
        <v>1237</v>
      </c>
      <c r="D9" s="1783"/>
      <c r="E9" s="1783"/>
      <c r="F9" s="1784"/>
      <c r="G9" s="1302"/>
      <c r="H9" s="1322"/>
      <c r="I9" s="1322"/>
      <c r="J9" s="1322"/>
      <c r="K9" s="1322"/>
      <c r="L9" s="1322"/>
      <c r="M9" s="1322"/>
      <c r="N9" s="1322"/>
      <c r="O9" s="1302"/>
      <c r="P9" s="1322"/>
      <c r="Q9" s="1337"/>
      <c r="R9" s="1338"/>
      <c r="S9" s="1339"/>
      <c r="T9" s="1663"/>
      <c r="U9" s="1663"/>
      <c r="V9" s="1337"/>
      <c r="W9" s="1664"/>
      <c r="X9" s="1307"/>
    </row>
    <row r="10" spans="1:24" s="1308" customFormat="1" ht="15" customHeight="1" x14ac:dyDescent="0.25">
      <c r="A10" s="730"/>
      <c r="B10" s="1489"/>
      <c r="C10" s="1783" t="s">
        <v>1271</v>
      </c>
      <c r="D10" s="1783"/>
      <c r="E10" s="1783"/>
      <c r="F10" s="1784"/>
      <c r="G10" s="1329"/>
      <c r="H10" s="1330"/>
      <c r="I10" s="1330"/>
      <c r="J10" s="1330"/>
      <c r="K10" s="1330"/>
      <c r="L10" s="1330"/>
      <c r="M10" s="1330"/>
      <c r="N10" s="1330"/>
      <c r="O10" s="1329"/>
      <c r="P10" s="1330"/>
      <c r="Q10" s="1323"/>
      <c r="R10" s="1324"/>
      <c r="S10" s="1325"/>
      <c r="T10" s="1663"/>
      <c r="U10" s="1663"/>
      <c r="V10" s="1323"/>
      <c r="W10" s="1664"/>
      <c r="X10" s="1307"/>
    </row>
    <row r="11" spans="1:24" s="1308" customFormat="1" ht="15" customHeight="1" x14ac:dyDescent="0.25">
      <c r="A11" s="730"/>
      <c r="B11" s="1489"/>
      <c r="C11" s="1783" t="s">
        <v>1272</v>
      </c>
      <c r="D11" s="1783"/>
      <c r="E11" s="1783"/>
      <c r="F11" s="1784"/>
      <c r="G11" s="1302"/>
      <c r="H11" s="1302"/>
      <c r="I11" s="1302"/>
      <c r="J11" s="1302"/>
      <c r="K11" s="1302"/>
      <c r="L11" s="1302"/>
      <c r="M11" s="1302"/>
      <c r="N11" s="1302"/>
      <c r="O11" s="1302"/>
      <c r="P11" s="1302"/>
      <c r="Q11" s="1323"/>
      <c r="R11" s="1324"/>
      <c r="S11" s="1325"/>
      <c r="T11" s="1663"/>
      <c r="U11" s="1663"/>
      <c r="V11" s="1323"/>
      <c r="W11" s="1664"/>
      <c r="X11" s="1307"/>
    </row>
    <row r="12" spans="1:24" s="1308" customFormat="1" ht="15" customHeight="1" x14ac:dyDescent="0.25">
      <c r="A12" s="730"/>
      <c r="B12" s="1489"/>
      <c r="C12" s="1783" t="s">
        <v>1273</v>
      </c>
      <c r="D12" s="1783"/>
      <c r="E12" s="1783"/>
      <c r="F12" s="1784"/>
      <c r="G12" s="1302"/>
      <c r="H12" s="1302"/>
      <c r="I12" s="1302"/>
      <c r="J12" s="1302"/>
      <c r="K12" s="1302"/>
      <c r="L12" s="1302"/>
      <c r="M12" s="1302"/>
      <c r="N12" s="1302"/>
      <c r="O12" s="1302"/>
      <c r="P12" s="1302"/>
      <c r="Q12" s="1323"/>
      <c r="R12" s="1324"/>
      <c r="S12" s="1325"/>
      <c r="T12" s="1663"/>
      <c r="U12" s="1663"/>
      <c r="V12" s="1323"/>
      <c r="W12" s="1664"/>
      <c r="X12" s="1307"/>
    </row>
    <row r="13" spans="1:24" s="1308" customFormat="1" ht="15" customHeight="1" x14ac:dyDescent="0.25">
      <c r="A13" s="730"/>
      <c r="B13" s="1489"/>
      <c r="C13" s="1785" t="s">
        <v>1277</v>
      </c>
      <c r="D13" s="1785"/>
      <c r="E13" s="1785"/>
      <c r="F13" s="1786"/>
      <c r="G13" s="1302"/>
      <c r="H13" s="1302"/>
      <c r="I13" s="1302"/>
      <c r="J13" s="1302"/>
      <c r="K13" s="1302"/>
      <c r="L13" s="1302"/>
      <c r="M13" s="1302"/>
      <c r="N13" s="1302"/>
      <c r="O13" s="1302"/>
      <c r="P13" s="1302"/>
      <c r="Q13" s="1323"/>
      <c r="R13" s="1324"/>
      <c r="S13" s="1325"/>
      <c r="T13" s="1663"/>
      <c r="U13" s="1663"/>
      <c r="V13" s="1323"/>
      <c r="W13" s="1664"/>
      <c r="X13" s="1307"/>
    </row>
    <row r="14" spans="1:24" s="1308" customFormat="1" ht="15" customHeight="1" x14ac:dyDescent="0.25">
      <c r="A14" s="730"/>
      <c r="B14" s="1489"/>
      <c r="C14" s="1785" t="s">
        <v>1294</v>
      </c>
      <c r="D14" s="1785"/>
      <c r="E14" s="1785"/>
      <c r="F14" s="1786"/>
      <c r="G14" s="1353"/>
      <c r="H14" s="1353"/>
      <c r="I14" s="1353"/>
      <c r="J14" s="1353"/>
      <c r="K14" s="1353"/>
      <c r="L14" s="1353"/>
      <c r="M14" s="1353"/>
      <c r="N14" s="1353"/>
      <c r="O14" s="1353"/>
      <c r="P14" s="1353"/>
      <c r="Q14" s="1463"/>
      <c r="R14" s="1464"/>
      <c r="S14" s="1465"/>
      <c r="T14" s="1465"/>
      <c r="U14" s="1465"/>
      <c r="V14" s="1463"/>
      <c r="W14" s="1482"/>
      <c r="X14" s="1307"/>
    </row>
    <row r="15" spans="1:24" s="1308" customFormat="1" ht="15" customHeight="1" x14ac:dyDescent="0.25">
      <c r="A15" s="730"/>
      <c r="B15" s="1489"/>
      <c r="C15" s="1783" t="s">
        <v>1426</v>
      </c>
      <c r="D15" s="1783"/>
      <c r="E15" s="1783"/>
      <c r="F15" s="1784"/>
      <c r="G15" s="1302"/>
      <c r="H15" s="1302"/>
      <c r="I15" s="1302"/>
      <c r="J15" s="1302"/>
      <c r="K15" s="1302"/>
      <c r="L15" s="1302"/>
      <c r="M15" s="1302"/>
      <c r="N15" s="1302"/>
      <c r="O15" s="1302"/>
      <c r="P15" s="1302"/>
      <c r="Q15" s="1323"/>
      <c r="R15" s="1324"/>
      <c r="S15" s="1325"/>
      <c r="T15" s="1663"/>
      <c r="U15" s="1663"/>
      <c r="V15" s="1323"/>
      <c r="W15" s="1664"/>
      <c r="X15" s="1307"/>
    </row>
    <row r="16" spans="1:24" s="1308" customFormat="1" ht="15" customHeight="1" x14ac:dyDescent="0.25">
      <c r="A16" s="730"/>
      <c r="B16" s="1489"/>
      <c r="C16" s="1783" t="s">
        <v>1429</v>
      </c>
      <c r="D16" s="1783"/>
      <c r="E16" s="1783"/>
      <c r="F16" s="1784"/>
      <c r="G16" s="1302"/>
      <c r="H16" s="1302"/>
      <c r="I16" s="1302"/>
      <c r="J16" s="1302"/>
      <c r="K16" s="1302"/>
      <c r="L16" s="1302"/>
      <c r="M16" s="1302"/>
      <c r="N16" s="1302"/>
      <c r="O16" s="1302"/>
      <c r="P16" s="1302"/>
      <c r="Q16" s="1323"/>
      <c r="R16" s="1324"/>
      <c r="S16" s="1325"/>
      <c r="T16" s="1663"/>
      <c r="U16" s="1663"/>
      <c r="V16" s="1323"/>
      <c r="W16" s="1664"/>
      <c r="X16" s="1307"/>
    </row>
    <row r="17" spans="1:24" s="1308" customFormat="1" ht="15" customHeight="1" x14ac:dyDescent="0.25">
      <c r="A17" s="730"/>
      <c r="B17" s="1489"/>
      <c r="C17" s="1785" t="s">
        <v>1455</v>
      </c>
      <c r="D17" s="1785"/>
      <c r="E17" s="1785"/>
      <c r="F17" s="1786"/>
      <c r="G17" s="1302"/>
      <c r="H17" s="1302"/>
      <c r="I17" s="1302"/>
      <c r="J17" s="1302"/>
      <c r="K17" s="1302"/>
      <c r="L17" s="1302"/>
      <c r="M17" s="1302"/>
      <c r="N17" s="1302"/>
      <c r="O17" s="1302"/>
      <c r="P17" s="1302"/>
      <c r="Q17" s="1323"/>
      <c r="R17" s="1324"/>
      <c r="S17" s="1325"/>
      <c r="T17" s="1663"/>
      <c r="U17" s="1663"/>
      <c r="V17" s="1323"/>
      <c r="W17" s="1664"/>
      <c r="X17" s="1307"/>
    </row>
    <row r="18" spans="1:24" s="1308" customFormat="1" ht="15" customHeight="1" x14ac:dyDescent="0.25">
      <c r="A18" s="730"/>
      <c r="B18" s="1489"/>
      <c r="C18" s="1785" t="s">
        <v>1374</v>
      </c>
      <c r="D18" s="1785"/>
      <c r="E18" s="1785"/>
      <c r="F18" s="1786"/>
      <c r="G18" s="1302"/>
      <c r="H18" s="1302"/>
      <c r="I18" s="1302"/>
      <c r="J18" s="1302"/>
      <c r="K18" s="1302"/>
      <c r="L18" s="1302"/>
      <c r="M18" s="1302"/>
      <c r="N18" s="1302"/>
      <c r="O18" s="1302"/>
      <c r="P18" s="1302"/>
      <c r="Q18" s="1323"/>
      <c r="R18" s="1324"/>
      <c r="S18" s="1325"/>
      <c r="T18" s="1663"/>
      <c r="U18" s="1663"/>
      <c r="V18" s="1323"/>
      <c r="W18" s="1664"/>
      <c r="X18" s="1307"/>
    </row>
    <row r="19" spans="1:24" s="1308" customFormat="1" ht="15" customHeight="1" x14ac:dyDescent="0.25">
      <c r="A19" s="730"/>
      <c r="B19" s="1489"/>
      <c r="C19" s="1785" t="s">
        <v>1342</v>
      </c>
      <c r="D19" s="1785"/>
      <c r="E19" s="1785"/>
      <c r="F19" s="1786"/>
      <c r="G19" s="1302"/>
      <c r="H19" s="1302"/>
      <c r="I19" s="1302"/>
      <c r="J19" s="1302"/>
      <c r="K19" s="1302"/>
      <c r="L19" s="1302"/>
      <c r="M19" s="1302"/>
      <c r="N19" s="1302"/>
      <c r="O19" s="1302"/>
      <c r="P19" s="1302"/>
      <c r="Q19" s="1323"/>
      <c r="R19" s="1324"/>
      <c r="S19" s="1325"/>
      <c r="T19" s="1663"/>
      <c r="U19" s="1663"/>
      <c r="V19" s="1323"/>
      <c r="W19" s="1664"/>
      <c r="X19" s="1307"/>
    </row>
    <row r="20" spans="1:24" s="1308" customFormat="1" ht="15" customHeight="1" x14ac:dyDescent="0.25">
      <c r="A20" s="730"/>
      <c r="B20" s="1489"/>
      <c r="C20" s="1785" t="s">
        <v>1439</v>
      </c>
      <c r="D20" s="1785"/>
      <c r="E20" s="1785"/>
      <c r="F20" s="1786"/>
      <c r="G20" s="1302"/>
      <c r="H20" s="1322"/>
      <c r="I20" s="1322"/>
      <c r="J20" s="1322"/>
      <c r="K20" s="1322"/>
      <c r="L20" s="1322"/>
      <c r="M20" s="1322"/>
      <c r="N20" s="1659"/>
      <c r="O20" s="1353"/>
      <c r="P20" s="1322"/>
      <c r="Q20" s="1323"/>
      <c r="R20" s="1324"/>
      <c r="S20" s="1325"/>
      <c r="T20" s="1663"/>
      <c r="U20" s="1663"/>
      <c r="V20" s="1323"/>
      <c r="W20" s="1664"/>
      <c r="X20" s="1307"/>
    </row>
    <row r="21" spans="1:24" s="1308" customFormat="1" ht="15" customHeight="1" x14ac:dyDescent="0.25">
      <c r="A21" s="730"/>
      <c r="B21" s="1490"/>
      <c r="C21" s="1787" t="s">
        <v>1437</v>
      </c>
      <c r="D21" s="1787"/>
      <c r="E21" s="1787"/>
      <c r="F21" s="1788"/>
      <c r="G21" s="1327"/>
      <c r="H21" s="1303"/>
      <c r="I21" s="1303"/>
      <c r="J21" s="1303"/>
      <c r="K21" s="1303"/>
      <c r="L21" s="1303"/>
      <c r="M21" s="1303"/>
      <c r="N21" s="1303"/>
      <c r="O21" s="1327"/>
      <c r="P21" s="1303"/>
      <c r="Q21" s="1304"/>
      <c r="R21" s="1305"/>
      <c r="S21" s="1306"/>
      <c r="T21" s="1303"/>
      <c r="U21" s="1303"/>
      <c r="V21" s="1304"/>
      <c r="W21" s="1665"/>
      <c r="X21" s="1307"/>
    </row>
    <row r="22" spans="1:24" s="735" customFormat="1" ht="45" customHeight="1" x14ac:dyDescent="0.25">
      <c r="A22" s="733" t="s">
        <v>1737</v>
      </c>
      <c r="B22" s="722"/>
      <c r="C22" s="734"/>
      <c r="D22" s="734"/>
      <c r="E22" s="734"/>
      <c r="F22" s="734"/>
      <c r="X22" s="422"/>
    </row>
    <row r="23" spans="1:24" s="735" customFormat="1" ht="15" customHeight="1" x14ac:dyDescent="0.25">
      <c r="A23" s="733"/>
      <c r="B23" s="721"/>
      <c r="C23" s="1000" t="s">
        <v>1714</v>
      </c>
      <c r="D23" s="907"/>
      <c r="E23" s="907"/>
      <c r="F23" s="1487"/>
      <c r="G23" s="894"/>
      <c r="H23" s="894"/>
      <c r="I23" s="894"/>
      <c r="J23" s="894"/>
      <c r="K23" s="894"/>
      <c r="L23" s="894"/>
      <c r="M23" s="894"/>
      <c r="N23" s="894"/>
      <c r="O23" s="894"/>
      <c r="P23" s="894"/>
      <c r="Q23" s="894"/>
      <c r="R23" s="894"/>
      <c r="S23" s="894"/>
      <c r="T23" s="894"/>
      <c r="U23" s="894"/>
      <c r="V23" s="894"/>
      <c r="W23" s="894"/>
      <c r="X23" s="422"/>
    </row>
    <row r="24" spans="1:24" s="1308" customFormat="1" ht="15" customHeight="1" x14ac:dyDescent="0.25">
      <c r="A24" s="730"/>
      <c r="B24" s="1488"/>
      <c r="C24" s="1781" t="s">
        <v>1236</v>
      </c>
      <c r="D24" s="1781"/>
      <c r="E24" s="1781"/>
      <c r="F24" s="1782"/>
      <c r="G24" s="1349"/>
      <c r="H24" s="1349"/>
      <c r="I24" s="1349"/>
      <c r="J24" s="1349"/>
      <c r="K24" s="1349"/>
      <c r="L24" s="1349"/>
      <c r="M24" s="1349"/>
      <c r="N24" s="1349"/>
      <c r="O24" s="1349"/>
      <c r="P24" s="1349"/>
      <c r="Q24" s="1460"/>
      <c r="R24" s="1461"/>
      <c r="S24" s="1462"/>
      <c r="T24" s="1462"/>
      <c r="U24" s="1462"/>
      <c r="V24" s="1462"/>
      <c r="W24" s="1481"/>
      <c r="X24" s="1307"/>
    </row>
    <row r="25" spans="1:24" s="1308" customFormat="1" ht="15" customHeight="1" x14ac:dyDescent="0.25">
      <c r="A25" s="730"/>
      <c r="B25" s="1489"/>
      <c r="C25" s="1783" t="s">
        <v>1237</v>
      </c>
      <c r="D25" s="1783"/>
      <c r="E25" s="1783"/>
      <c r="F25" s="1784"/>
      <c r="G25" s="1302"/>
      <c r="H25" s="1322"/>
      <c r="I25" s="1322"/>
      <c r="J25" s="1322"/>
      <c r="K25" s="1322"/>
      <c r="L25" s="1322"/>
      <c r="M25" s="1322"/>
      <c r="N25" s="1322"/>
      <c r="O25" s="1302"/>
      <c r="P25" s="1322"/>
      <c r="Q25" s="1337"/>
      <c r="R25" s="1338"/>
      <c r="S25" s="1339"/>
      <c r="T25" s="1465"/>
      <c r="U25" s="1465"/>
      <c r="V25" s="1465"/>
      <c r="W25" s="1482"/>
      <c r="X25" s="1307"/>
    </row>
    <row r="26" spans="1:24" s="1308" customFormat="1" ht="15" customHeight="1" x14ac:dyDescent="0.25">
      <c r="A26" s="730"/>
      <c r="B26" s="1489"/>
      <c r="C26" s="1792" t="str">
        <f>CONCATENATE("Check: Data in rows ", ROW(C54), " to ", ROW(C65), " should add up to the totals above.")</f>
        <v>Check: Data in rows 54 to 65 should add up to the totals above.</v>
      </c>
      <c r="D26" s="1792"/>
      <c r="E26" s="1792"/>
      <c r="F26" s="1793"/>
      <c r="G26" s="164" t="str">
        <f>IF(AND(SUM(G54:G65)&gt;=0.99*G25, SUM(G54:G65)&lt;=1.01*G25), "Pass", "Fail")</f>
        <v>Pass</v>
      </c>
      <c r="H26" s="164" t="str">
        <f t="shared" ref="H26:P26" si="0">IF(AND(SUM(H54:H65)&gt;=0.99*H25, SUM(H54:H65)&lt;=1.01*H25), "Pass", "Fail")</f>
        <v>Pass</v>
      </c>
      <c r="I26" s="164" t="str">
        <f t="shared" si="0"/>
        <v>Pass</v>
      </c>
      <c r="J26" s="164" t="str">
        <f t="shared" si="0"/>
        <v>Pass</v>
      </c>
      <c r="K26" s="164" t="str">
        <f t="shared" si="0"/>
        <v>Pass</v>
      </c>
      <c r="L26" s="164" t="str">
        <f t="shared" si="0"/>
        <v>Pass</v>
      </c>
      <c r="M26" s="164" t="str">
        <f t="shared" si="0"/>
        <v>Pass</v>
      </c>
      <c r="N26" s="164" t="str">
        <f t="shared" si="0"/>
        <v>Pass</v>
      </c>
      <c r="O26" s="164" t="str">
        <f t="shared" si="0"/>
        <v>Pass</v>
      </c>
      <c r="P26" s="164" t="str">
        <f t="shared" si="0"/>
        <v>Pass</v>
      </c>
      <c r="Q26" s="1463"/>
      <c r="R26" s="1463"/>
      <c r="S26" s="1463"/>
      <c r="T26" s="1465"/>
      <c r="U26" s="1465"/>
      <c r="V26" s="1465"/>
      <c r="W26" s="1482"/>
      <c r="X26" s="1307"/>
    </row>
    <row r="27" spans="1:24" s="1308" customFormat="1" ht="15" customHeight="1" x14ac:dyDescent="0.25">
      <c r="A27" s="730"/>
      <c r="B27" s="1489"/>
      <c r="C27" s="1783" t="s">
        <v>1271</v>
      </c>
      <c r="D27" s="1783"/>
      <c r="E27" s="1783"/>
      <c r="F27" s="1784"/>
      <c r="G27" s="1329"/>
      <c r="H27" s="1330"/>
      <c r="I27" s="1330"/>
      <c r="J27" s="1330"/>
      <c r="K27" s="1330"/>
      <c r="L27" s="1330"/>
      <c r="M27" s="1330"/>
      <c r="N27" s="1330"/>
      <c r="O27" s="1329"/>
      <c r="P27" s="1330"/>
      <c r="Q27" s="1323"/>
      <c r="R27" s="1324"/>
      <c r="S27" s="1325"/>
      <c r="T27" s="1465"/>
      <c r="U27" s="1465"/>
      <c r="V27" s="1465"/>
      <c r="W27" s="1482"/>
      <c r="X27" s="1307"/>
    </row>
    <row r="28" spans="1:24" s="1308" customFormat="1" ht="15" customHeight="1" x14ac:dyDescent="0.25">
      <c r="A28" s="730"/>
      <c r="B28" s="1489"/>
      <c r="C28" s="1792" t="str">
        <f>CONCATENATE("Check: Data in rows ", ROW(C67), " to ", ROW(C78), " should add up to the totals above.")</f>
        <v>Check: Data in rows 67 to 78 should add up to the totals above.</v>
      </c>
      <c r="D28" s="1792"/>
      <c r="E28" s="1792"/>
      <c r="F28" s="1793"/>
      <c r="G28" s="164" t="str">
        <f>IF(AND(SUM(G67:G78)&gt;=0.99*G27, SUM(G67:G78)&lt;=1.01*G27), "Pass", "Fail")</f>
        <v>Pass</v>
      </c>
      <c r="H28" s="164" t="str">
        <f t="shared" ref="H28:P28" si="1">IF(AND(SUM(H67:H78)&gt;=0.99*H27, SUM(H67:H78)&lt;=1.01*H27), "Pass", "Fail")</f>
        <v>Pass</v>
      </c>
      <c r="I28" s="164" t="str">
        <f t="shared" si="1"/>
        <v>Pass</v>
      </c>
      <c r="J28" s="164" t="str">
        <f t="shared" si="1"/>
        <v>Pass</v>
      </c>
      <c r="K28" s="164" t="str">
        <f t="shared" si="1"/>
        <v>Pass</v>
      </c>
      <c r="L28" s="164" t="str">
        <f t="shared" si="1"/>
        <v>Pass</v>
      </c>
      <c r="M28" s="164" t="str">
        <f t="shared" si="1"/>
        <v>Pass</v>
      </c>
      <c r="N28" s="164" t="str">
        <f t="shared" si="1"/>
        <v>Pass</v>
      </c>
      <c r="O28" s="164" t="str">
        <f t="shared" si="1"/>
        <v>Pass</v>
      </c>
      <c r="P28" s="164" t="str">
        <f t="shared" si="1"/>
        <v>Pass</v>
      </c>
      <c r="Q28" s="1463"/>
      <c r="R28" s="1463"/>
      <c r="S28" s="1463"/>
      <c r="T28" s="1465"/>
      <c r="U28" s="1465"/>
      <c r="V28" s="1465"/>
      <c r="W28" s="1482"/>
      <c r="X28" s="1307"/>
    </row>
    <row r="29" spans="1:24" s="1308" customFormat="1" ht="15" customHeight="1" x14ac:dyDescent="0.25">
      <c r="A29" s="730"/>
      <c r="B29" s="1489"/>
      <c r="C29" s="1783" t="s">
        <v>1272</v>
      </c>
      <c r="D29" s="1783"/>
      <c r="E29" s="1783"/>
      <c r="F29" s="1784"/>
      <c r="G29" s="1302"/>
      <c r="H29" s="1302"/>
      <c r="I29" s="1302"/>
      <c r="J29" s="1302"/>
      <c r="K29" s="1302"/>
      <c r="L29" s="1302"/>
      <c r="M29" s="1302"/>
      <c r="N29" s="1302"/>
      <c r="O29" s="1302"/>
      <c r="P29" s="1302"/>
      <c r="Q29" s="1323"/>
      <c r="R29" s="1324"/>
      <c r="S29" s="1325"/>
      <c r="T29" s="1465"/>
      <c r="U29" s="1465"/>
      <c r="V29" s="1465"/>
      <c r="W29" s="1482"/>
      <c r="X29" s="1307"/>
    </row>
    <row r="30" spans="1:24" s="1308" customFormat="1" ht="15" customHeight="1" x14ac:dyDescent="0.25">
      <c r="A30" s="730"/>
      <c r="B30" s="1489"/>
      <c r="C30" s="1792" t="str">
        <f>CONCATENATE("Check: Data in rows ", ROW(C80), " to ", ROW(C91), " should add up to the totals above.")</f>
        <v>Check: Data in rows 80 to 91 should add up to the totals above.</v>
      </c>
      <c r="D30" s="1792"/>
      <c r="E30" s="1792"/>
      <c r="F30" s="1793"/>
      <c r="G30" s="164" t="str">
        <f>IF(AND(SUM(G80:G91)&gt;=0.99*G29, SUM(G80:G91)&lt;=1.01*G29), "Pass", "Fail")</f>
        <v>Pass</v>
      </c>
      <c r="H30" s="164" t="str">
        <f t="shared" ref="H30:P30" si="2">IF(AND(SUM(H80:H91)&gt;=0.99*H29, SUM(H80:H91)&lt;=1.01*H29), "Pass", "Fail")</f>
        <v>Pass</v>
      </c>
      <c r="I30" s="164" t="str">
        <f t="shared" si="2"/>
        <v>Pass</v>
      </c>
      <c r="J30" s="164" t="str">
        <f t="shared" si="2"/>
        <v>Pass</v>
      </c>
      <c r="K30" s="164" t="str">
        <f t="shared" si="2"/>
        <v>Pass</v>
      </c>
      <c r="L30" s="164" t="str">
        <f t="shared" si="2"/>
        <v>Pass</v>
      </c>
      <c r="M30" s="164" t="str">
        <f t="shared" si="2"/>
        <v>Pass</v>
      </c>
      <c r="N30" s="164" t="str">
        <f t="shared" si="2"/>
        <v>Pass</v>
      </c>
      <c r="O30" s="164" t="str">
        <f t="shared" si="2"/>
        <v>Pass</v>
      </c>
      <c r="P30" s="164" t="str">
        <f t="shared" si="2"/>
        <v>Pass</v>
      </c>
      <c r="Q30" s="1463"/>
      <c r="R30" s="1463"/>
      <c r="S30" s="1463"/>
      <c r="T30" s="1465"/>
      <c r="U30" s="1465"/>
      <c r="V30" s="1465"/>
      <c r="W30" s="1482"/>
      <c r="X30" s="1307"/>
    </row>
    <row r="31" spans="1:24" s="1308" customFormat="1" ht="15" customHeight="1" x14ac:dyDescent="0.25">
      <c r="A31" s="730"/>
      <c r="B31" s="1489"/>
      <c r="C31" s="1783" t="s">
        <v>1273</v>
      </c>
      <c r="D31" s="1783"/>
      <c r="E31" s="1783"/>
      <c r="F31" s="1784"/>
      <c r="G31" s="1302"/>
      <c r="H31" s="1302"/>
      <c r="I31" s="1302"/>
      <c r="J31" s="1302"/>
      <c r="K31" s="1302"/>
      <c r="L31" s="1302"/>
      <c r="M31" s="1302"/>
      <c r="N31" s="1302"/>
      <c r="O31" s="1302"/>
      <c r="P31" s="1302"/>
      <c r="Q31" s="1323"/>
      <c r="R31" s="1324"/>
      <c r="S31" s="1325"/>
      <c r="T31" s="1465"/>
      <c r="U31" s="1465"/>
      <c r="V31" s="1465"/>
      <c r="W31" s="1482"/>
      <c r="X31" s="1307"/>
    </row>
    <row r="32" spans="1:24" s="1308" customFormat="1" ht="15" customHeight="1" x14ac:dyDescent="0.25">
      <c r="A32" s="730"/>
      <c r="B32" s="1489"/>
      <c r="C32" s="1792" t="str">
        <f>CONCATENATE("Check: Data in rows ", ROW(C93), " to ", ROW(C100), " should add up to the totals above.")</f>
        <v>Check: Data in rows 93 to 100 should add up to the totals above.</v>
      </c>
      <c r="D32" s="1792"/>
      <c r="E32" s="1792"/>
      <c r="F32" s="1793"/>
      <c r="G32" s="164" t="str">
        <f>IF(AND(SUM(G93:G100)&gt;=0.99*G31, SUM(G93:G100)&lt;=1.01*G31), "Pass", "Fail")</f>
        <v>Pass</v>
      </c>
      <c r="H32" s="164" t="str">
        <f t="shared" ref="H32:P32" si="3">IF(AND(SUM(H93:H100)&gt;=0.99*H31, SUM(H93:H100)&lt;=1.01*H31), "Pass", "Fail")</f>
        <v>Pass</v>
      </c>
      <c r="I32" s="164" t="str">
        <f t="shared" si="3"/>
        <v>Pass</v>
      </c>
      <c r="J32" s="164" t="str">
        <f t="shared" si="3"/>
        <v>Pass</v>
      </c>
      <c r="K32" s="164" t="str">
        <f t="shared" si="3"/>
        <v>Pass</v>
      </c>
      <c r="L32" s="164" t="str">
        <f t="shared" si="3"/>
        <v>Pass</v>
      </c>
      <c r="M32" s="164" t="str">
        <f t="shared" si="3"/>
        <v>Pass</v>
      </c>
      <c r="N32" s="164" t="str">
        <f t="shared" si="3"/>
        <v>Pass</v>
      </c>
      <c r="O32" s="164" t="str">
        <f t="shared" si="3"/>
        <v>Pass</v>
      </c>
      <c r="P32" s="164" t="str">
        <f t="shared" si="3"/>
        <v>Pass</v>
      </c>
      <c r="Q32" s="1463"/>
      <c r="R32" s="1463"/>
      <c r="S32" s="1463"/>
      <c r="T32" s="1465"/>
      <c r="U32" s="1465"/>
      <c r="V32" s="1465"/>
      <c r="W32" s="1482"/>
      <c r="X32" s="1307"/>
    </row>
    <row r="33" spans="1:24" s="1308" customFormat="1" ht="15" customHeight="1" x14ac:dyDescent="0.25">
      <c r="A33" s="730"/>
      <c r="B33" s="1489"/>
      <c r="C33" s="1785" t="s">
        <v>1277</v>
      </c>
      <c r="D33" s="1785"/>
      <c r="E33" s="1785"/>
      <c r="F33" s="1786"/>
      <c r="G33" s="1302"/>
      <c r="H33" s="1302"/>
      <c r="I33" s="1302"/>
      <c r="J33" s="1302"/>
      <c r="K33" s="1302"/>
      <c r="L33" s="1302"/>
      <c r="M33" s="1302"/>
      <c r="N33" s="1302"/>
      <c r="O33" s="1302"/>
      <c r="P33" s="1302"/>
      <c r="Q33" s="1323"/>
      <c r="R33" s="1324"/>
      <c r="S33" s="1325"/>
      <c r="T33" s="1465"/>
      <c r="U33" s="1465"/>
      <c r="V33" s="1465"/>
      <c r="W33" s="1482"/>
      <c r="X33" s="1307"/>
    </row>
    <row r="34" spans="1:24" s="1308" customFormat="1" ht="15" customHeight="1" x14ac:dyDescent="0.25">
      <c r="A34" s="730"/>
      <c r="B34" s="1489"/>
      <c r="C34" s="1792" t="str">
        <f>CONCATENATE("Check: Data in rows ", ROW(C104), " to ", ROW(C535), " and ", ROW(C538), " to ", ROW(C561), " should add up to the totals above.")</f>
        <v>Check: Data in rows 104 to 535 and 538 to 561 should add up to the totals above.</v>
      </c>
      <c r="D34" s="1792"/>
      <c r="E34" s="1792"/>
      <c r="F34" s="1793"/>
      <c r="G34" s="164" t="str">
        <f>IF(AND(SUM(G104:G535,G538:G561)&gt;=0.99*G33, SUM(G104:G535,G538:G561)&lt;=1.01*G33), "Pass", "Fail")</f>
        <v>Pass</v>
      </c>
      <c r="H34" s="164" t="str">
        <f t="shared" ref="H34:P34" si="4">IF(AND(SUM(H104:H535,H538:H561)&gt;=0.99*H33, SUM(H104:H535,H538:H561)&lt;=1.01*H33), "Pass", "Fail")</f>
        <v>Pass</v>
      </c>
      <c r="I34" s="164" t="str">
        <f t="shared" si="4"/>
        <v>Pass</v>
      </c>
      <c r="J34" s="164" t="str">
        <f t="shared" si="4"/>
        <v>Pass</v>
      </c>
      <c r="K34" s="164" t="str">
        <f t="shared" si="4"/>
        <v>Pass</v>
      </c>
      <c r="L34" s="164" t="str">
        <f t="shared" si="4"/>
        <v>Pass</v>
      </c>
      <c r="M34" s="164" t="str">
        <f t="shared" si="4"/>
        <v>Pass</v>
      </c>
      <c r="N34" s="164" t="str">
        <f t="shared" si="4"/>
        <v>Pass</v>
      </c>
      <c r="O34" s="164" t="str">
        <f t="shared" si="4"/>
        <v>Pass</v>
      </c>
      <c r="P34" s="164" t="str">
        <f t="shared" si="4"/>
        <v>Pass</v>
      </c>
      <c r="Q34" s="1463"/>
      <c r="R34" s="1463"/>
      <c r="S34" s="1463"/>
      <c r="T34" s="1465"/>
      <c r="U34" s="1465"/>
      <c r="V34" s="1465"/>
      <c r="W34" s="1482"/>
      <c r="X34" s="1307"/>
    </row>
    <row r="35" spans="1:24" s="1308" customFormat="1" ht="15" customHeight="1" x14ac:dyDescent="0.25">
      <c r="A35" s="730"/>
      <c r="B35" s="1489"/>
      <c r="C35" s="1785" t="s">
        <v>1294</v>
      </c>
      <c r="D35" s="1785"/>
      <c r="E35" s="1785"/>
      <c r="F35" s="1786"/>
      <c r="G35" s="1353"/>
      <c r="H35" s="1353"/>
      <c r="I35" s="1353"/>
      <c r="J35" s="1353"/>
      <c r="K35" s="1353"/>
      <c r="L35" s="1353"/>
      <c r="M35" s="1353"/>
      <c r="N35" s="1353"/>
      <c r="O35" s="1353"/>
      <c r="P35" s="1353"/>
      <c r="Q35" s="1463"/>
      <c r="R35" s="1464"/>
      <c r="S35" s="1465"/>
      <c r="T35" s="1465"/>
      <c r="U35" s="1465"/>
      <c r="V35" s="1465"/>
      <c r="W35" s="1482"/>
      <c r="X35" s="1307"/>
    </row>
    <row r="36" spans="1:24" s="1308" customFormat="1" ht="15" customHeight="1" x14ac:dyDescent="0.25">
      <c r="A36" s="730"/>
      <c r="B36" s="1489"/>
      <c r="C36" s="1783" t="s">
        <v>1426</v>
      </c>
      <c r="D36" s="1783"/>
      <c r="E36" s="1783"/>
      <c r="F36" s="1784"/>
      <c r="G36" s="1302"/>
      <c r="H36" s="1302"/>
      <c r="I36" s="1302"/>
      <c r="J36" s="1302"/>
      <c r="K36" s="1302"/>
      <c r="L36" s="1302"/>
      <c r="M36" s="1302"/>
      <c r="N36" s="1302"/>
      <c r="O36" s="1302"/>
      <c r="P36" s="1302"/>
      <c r="Q36" s="1323"/>
      <c r="R36" s="1324"/>
      <c r="S36" s="1325"/>
      <c r="T36" s="1465"/>
      <c r="U36" s="1465"/>
      <c r="V36" s="1465"/>
      <c r="W36" s="1482"/>
      <c r="X36" s="1307"/>
    </row>
    <row r="37" spans="1:24" s="1308" customFormat="1" ht="15" customHeight="1" x14ac:dyDescent="0.25">
      <c r="A37" s="730"/>
      <c r="B37" s="1489"/>
      <c r="C37" s="1792" t="str">
        <f>CONCATENATE("Check: Data in rows ", ROW(C567), " to ", ROW(C734), " should add up to the totals above.")</f>
        <v>Check: Data in rows 567 to 734 should add up to the totals above.</v>
      </c>
      <c r="D37" s="1792"/>
      <c r="E37" s="1792"/>
      <c r="F37" s="1793"/>
      <c r="G37" s="164" t="str">
        <f>IF(AND(SUM(G567:G734)&gt;=0.99*G36, SUM(G567:G734)&lt;=1.01*G36), "Pass", "Fail")</f>
        <v>Pass</v>
      </c>
      <c r="H37" s="164" t="str">
        <f t="shared" ref="H37:P37" si="5">IF(AND(SUM(H567:H734)&gt;=0.99*H36, SUM(H567:H734)&lt;=1.01*H36), "Pass", "Fail")</f>
        <v>Pass</v>
      </c>
      <c r="I37" s="164" t="str">
        <f t="shared" si="5"/>
        <v>Pass</v>
      </c>
      <c r="J37" s="164" t="str">
        <f t="shared" si="5"/>
        <v>Pass</v>
      </c>
      <c r="K37" s="164" t="str">
        <f t="shared" si="5"/>
        <v>Pass</v>
      </c>
      <c r="L37" s="164" t="str">
        <f t="shared" si="5"/>
        <v>Pass</v>
      </c>
      <c r="M37" s="164" t="str">
        <f t="shared" si="5"/>
        <v>Pass</v>
      </c>
      <c r="N37" s="164" t="str">
        <f t="shared" si="5"/>
        <v>Pass</v>
      </c>
      <c r="O37" s="164" t="str">
        <f t="shared" si="5"/>
        <v>Pass</v>
      </c>
      <c r="P37" s="164" t="str">
        <f t="shared" si="5"/>
        <v>Pass</v>
      </c>
      <c r="Q37" s="1463"/>
      <c r="R37" s="1463"/>
      <c r="S37" s="1463"/>
      <c r="T37" s="1465"/>
      <c r="U37" s="1465"/>
      <c r="V37" s="1465"/>
      <c r="W37" s="1482"/>
      <c r="X37" s="1307"/>
    </row>
    <row r="38" spans="1:24" s="1308" customFormat="1" ht="15" customHeight="1" x14ac:dyDescent="0.25">
      <c r="A38" s="730"/>
      <c r="B38" s="1489"/>
      <c r="C38" s="1792" t="str">
        <f>CONCATENATE("Check: Data in rows ", ROW(C737), " to ", ROW(C856), " should add up to the totals above.")</f>
        <v>Check: Data in rows 737 to 856 should add up to the totals above.</v>
      </c>
      <c r="D38" s="1792"/>
      <c r="E38" s="1792"/>
      <c r="F38" s="1793"/>
      <c r="G38" s="164" t="str">
        <f>IF(AND(SUM(G737:G856)&gt;=0.99*G36, SUM(G737:G856)&lt;=1.01*G36), "Pass", "Fail")</f>
        <v>Pass</v>
      </c>
      <c r="H38" s="164" t="str">
        <f t="shared" ref="H38:P38" si="6">IF(AND(SUM(H737:H856)&gt;=0.99*H36, SUM(H737:H856)&lt;=1.01*H36), "Pass", "Fail")</f>
        <v>Pass</v>
      </c>
      <c r="I38" s="164" t="str">
        <f t="shared" si="6"/>
        <v>Pass</v>
      </c>
      <c r="J38" s="164" t="str">
        <f t="shared" si="6"/>
        <v>Pass</v>
      </c>
      <c r="K38" s="164" t="str">
        <f t="shared" si="6"/>
        <v>Pass</v>
      </c>
      <c r="L38" s="164" t="str">
        <f t="shared" si="6"/>
        <v>Pass</v>
      </c>
      <c r="M38" s="164" t="str">
        <f t="shared" si="6"/>
        <v>Pass</v>
      </c>
      <c r="N38" s="164" t="str">
        <f t="shared" si="6"/>
        <v>Pass</v>
      </c>
      <c r="O38" s="164" t="str">
        <f t="shared" si="6"/>
        <v>Pass</v>
      </c>
      <c r="P38" s="164" t="str">
        <f t="shared" si="6"/>
        <v>Pass</v>
      </c>
      <c r="Q38" s="1463"/>
      <c r="R38" s="1463"/>
      <c r="S38" s="1463"/>
      <c r="T38" s="1465"/>
      <c r="U38" s="1465"/>
      <c r="V38" s="1465"/>
      <c r="W38" s="1482"/>
      <c r="X38" s="1307"/>
    </row>
    <row r="39" spans="1:24" s="1308" customFormat="1" ht="15" customHeight="1" x14ac:dyDescent="0.25">
      <c r="A39" s="730"/>
      <c r="B39" s="1489"/>
      <c r="C39" s="1783" t="s">
        <v>1429</v>
      </c>
      <c r="D39" s="1783"/>
      <c r="E39" s="1783"/>
      <c r="F39" s="1784"/>
      <c r="G39" s="1302"/>
      <c r="H39" s="1302"/>
      <c r="I39" s="1302"/>
      <c r="J39" s="1302"/>
      <c r="K39" s="1302"/>
      <c r="L39" s="1302"/>
      <c r="M39" s="1302"/>
      <c r="N39" s="1302"/>
      <c r="O39" s="1302"/>
      <c r="P39" s="1302"/>
      <c r="Q39" s="1323"/>
      <c r="R39" s="1324"/>
      <c r="S39" s="1325"/>
      <c r="T39" s="1465"/>
      <c r="U39" s="1465"/>
      <c r="V39" s="1465"/>
      <c r="W39" s="1482"/>
      <c r="X39" s="1307"/>
    </row>
    <row r="40" spans="1:24" s="1308" customFormat="1" ht="15" customHeight="1" x14ac:dyDescent="0.25">
      <c r="A40" s="730"/>
      <c r="B40" s="1489"/>
      <c r="C40" s="1792" t="str">
        <f>CONCATENATE("Check: Data in rows ", ROW(C859), " to ", ROW(C918), " should add up to the totals above.")</f>
        <v>Check: Data in rows 859 to 918 should add up to the totals above.</v>
      </c>
      <c r="D40" s="1792"/>
      <c r="E40" s="1792"/>
      <c r="F40" s="1793"/>
      <c r="G40" s="164" t="str">
        <f>IF(AND(SUM(G859:G918)&gt;=0.99*G39, SUM(G859:G918)&lt;=1.01*G39), "Pass", "Fail")</f>
        <v>Pass</v>
      </c>
      <c r="H40" s="164" t="str">
        <f t="shared" ref="H40:P40" si="7">IF(AND(SUM(H859:H918)&gt;=0.99*H39, SUM(H859:H918)&lt;=1.01*H39), "Pass", "Fail")</f>
        <v>Pass</v>
      </c>
      <c r="I40" s="164" t="str">
        <f t="shared" si="7"/>
        <v>Pass</v>
      </c>
      <c r="J40" s="164" t="str">
        <f t="shared" si="7"/>
        <v>Pass</v>
      </c>
      <c r="K40" s="164" t="str">
        <f t="shared" si="7"/>
        <v>Pass</v>
      </c>
      <c r="L40" s="164" t="str">
        <f t="shared" si="7"/>
        <v>Pass</v>
      </c>
      <c r="M40" s="164" t="str">
        <f t="shared" si="7"/>
        <v>Pass</v>
      </c>
      <c r="N40" s="164" t="str">
        <f t="shared" si="7"/>
        <v>Pass</v>
      </c>
      <c r="O40" s="164" t="str">
        <f t="shared" si="7"/>
        <v>Pass</v>
      </c>
      <c r="P40" s="164" t="str">
        <f t="shared" si="7"/>
        <v>Pass</v>
      </c>
      <c r="Q40" s="1463"/>
      <c r="R40" s="1463"/>
      <c r="S40" s="1463"/>
      <c r="T40" s="1465"/>
      <c r="U40" s="1465"/>
      <c r="V40" s="1465"/>
      <c r="W40" s="1482"/>
      <c r="X40" s="1307"/>
    </row>
    <row r="41" spans="1:24" s="1308" customFormat="1" ht="15" customHeight="1" x14ac:dyDescent="0.25">
      <c r="A41" s="730"/>
      <c r="B41" s="1489"/>
      <c r="C41" s="1785" t="s">
        <v>1455</v>
      </c>
      <c r="D41" s="1785"/>
      <c r="E41" s="1785"/>
      <c r="F41" s="1786"/>
      <c r="G41" s="1302"/>
      <c r="H41" s="1302"/>
      <c r="I41" s="1302"/>
      <c r="J41" s="1302"/>
      <c r="K41" s="1302"/>
      <c r="L41" s="1302"/>
      <c r="M41" s="1302"/>
      <c r="N41" s="1302"/>
      <c r="O41" s="1302"/>
      <c r="P41" s="1302"/>
      <c r="Q41" s="1323"/>
      <c r="R41" s="1324"/>
      <c r="S41" s="1325"/>
      <c r="T41" s="1465"/>
      <c r="U41" s="1465"/>
      <c r="V41" s="1465"/>
      <c r="W41" s="1482"/>
      <c r="X41" s="1307"/>
    </row>
    <row r="42" spans="1:24" s="1308" customFormat="1" ht="15" customHeight="1" x14ac:dyDescent="0.25">
      <c r="A42" s="730"/>
      <c r="B42" s="1489"/>
      <c r="C42" s="1792" t="str">
        <f>CONCATENATE("Check: Data in rows ", ROW(C923), " to ", ROW(C1062), " should add up to the totals above.")</f>
        <v>Check: Data in rows 923 to 1062 should add up to the totals above.</v>
      </c>
      <c r="D42" s="1792"/>
      <c r="E42" s="1792"/>
      <c r="F42" s="1793"/>
      <c r="G42" s="164" t="str">
        <f>IF(AND(SUM(G923:G1062)&gt;=0.99*G41, SUM(G923:G1062)&lt;=1.01*G41), "Pass", "Fail")</f>
        <v>Pass</v>
      </c>
      <c r="H42" s="164" t="str">
        <f t="shared" ref="H42:P42" si="8">IF(AND(SUM(H923:H1062)&gt;=0.99*H41, SUM(H923:H1062)&lt;=1.01*H41), "Pass", "Fail")</f>
        <v>Pass</v>
      </c>
      <c r="I42" s="164" t="str">
        <f t="shared" si="8"/>
        <v>Pass</v>
      </c>
      <c r="J42" s="164" t="str">
        <f t="shared" si="8"/>
        <v>Pass</v>
      </c>
      <c r="K42" s="164" t="str">
        <f t="shared" si="8"/>
        <v>Pass</v>
      </c>
      <c r="L42" s="164" t="str">
        <f t="shared" si="8"/>
        <v>Pass</v>
      </c>
      <c r="M42" s="164" t="str">
        <f t="shared" si="8"/>
        <v>Pass</v>
      </c>
      <c r="N42" s="164" t="str">
        <f t="shared" si="8"/>
        <v>Pass</v>
      </c>
      <c r="O42" s="164" t="str">
        <f t="shared" si="8"/>
        <v>Pass</v>
      </c>
      <c r="P42" s="164" t="str">
        <f t="shared" si="8"/>
        <v>Pass</v>
      </c>
      <c r="Q42" s="1463"/>
      <c r="R42" s="1463"/>
      <c r="S42" s="1463"/>
      <c r="T42" s="1465"/>
      <c r="U42" s="1465"/>
      <c r="V42" s="1465"/>
      <c r="W42" s="1482"/>
      <c r="X42" s="1307"/>
    </row>
    <row r="43" spans="1:24" s="1308" customFormat="1" ht="15" customHeight="1" x14ac:dyDescent="0.25">
      <c r="A43" s="730"/>
      <c r="B43" s="1489"/>
      <c r="C43" s="1792" t="str">
        <f>CONCATENATE("Check: Data in rows ", ROW(C1065), " to ", ROW(C1164), " should add up to the totals above.")</f>
        <v>Check: Data in rows 1065 to 1164 should add up to the totals above.</v>
      </c>
      <c r="D43" s="1792"/>
      <c r="E43" s="1792"/>
      <c r="F43" s="1793"/>
      <c r="G43" s="164" t="str">
        <f>IF(AND(SUM(G1065:G1164)&gt;=0.99*G41, SUM(G1065:G1164)&lt;=1.01*G41), "Pass", "Fail")</f>
        <v>Pass</v>
      </c>
      <c r="H43" s="164" t="str">
        <f t="shared" ref="H43:P43" si="9">IF(AND(SUM(H1065:H1164)&gt;=0.99*H41, SUM(H1065:H1164)&lt;=1.01*H41), "Pass", "Fail")</f>
        <v>Pass</v>
      </c>
      <c r="I43" s="164" t="str">
        <f t="shared" si="9"/>
        <v>Pass</v>
      </c>
      <c r="J43" s="164" t="str">
        <f t="shared" si="9"/>
        <v>Pass</v>
      </c>
      <c r="K43" s="164" t="str">
        <f t="shared" si="9"/>
        <v>Pass</v>
      </c>
      <c r="L43" s="164" t="str">
        <f t="shared" si="9"/>
        <v>Pass</v>
      </c>
      <c r="M43" s="164" t="str">
        <f t="shared" si="9"/>
        <v>Pass</v>
      </c>
      <c r="N43" s="164" t="str">
        <f t="shared" si="9"/>
        <v>Pass</v>
      </c>
      <c r="O43" s="164" t="str">
        <f t="shared" si="9"/>
        <v>Pass</v>
      </c>
      <c r="P43" s="164" t="str">
        <f t="shared" si="9"/>
        <v>Pass</v>
      </c>
      <c r="Q43" s="1463"/>
      <c r="R43" s="1463"/>
      <c r="S43" s="1463"/>
      <c r="T43" s="1465"/>
      <c r="U43" s="1465"/>
      <c r="V43" s="1465"/>
      <c r="W43" s="1482"/>
      <c r="X43" s="1307"/>
    </row>
    <row r="44" spans="1:24" s="1308" customFormat="1" ht="15" customHeight="1" x14ac:dyDescent="0.25">
      <c r="A44" s="730"/>
      <c r="B44" s="1489"/>
      <c r="C44" s="1785" t="s">
        <v>1374</v>
      </c>
      <c r="D44" s="1785"/>
      <c r="E44" s="1785"/>
      <c r="F44" s="1786"/>
      <c r="G44" s="1302"/>
      <c r="H44" s="1302"/>
      <c r="I44" s="1302"/>
      <c r="J44" s="1302"/>
      <c r="K44" s="1302"/>
      <c r="L44" s="1302"/>
      <c r="M44" s="1302"/>
      <c r="N44" s="1302"/>
      <c r="O44" s="1302"/>
      <c r="P44" s="1302"/>
      <c r="Q44" s="1323"/>
      <c r="R44" s="1324"/>
      <c r="S44" s="1325"/>
      <c r="T44" s="1465"/>
      <c r="U44" s="1465"/>
      <c r="V44" s="1465"/>
      <c r="W44" s="1482"/>
      <c r="X44" s="1307"/>
    </row>
    <row r="45" spans="1:24" s="1308" customFormat="1" ht="15" customHeight="1" x14ac:dyDescent="0.25">
      <c r="A45" s="730"/>
      <c r="B45" s="1489"/>
      <c r="C45" s="1792" t="str">
        <f>CONCATENATE("Check: Data in rows ", ROW(C1169), " to ", ROW(C1186), " should add up to the totals above.")</f>
        <v>Check: Data in rows 1169 to 1186 should add up to the totals above.</v>
      </c>
      <c r="D45" s="1792"/>
      <c r="E45" s="1792"/>
      <c r="F45" s="1793"/>
      <c r="G45" s="164" t="str">
        <f>IF(AND(SUM(G1169:G1186)&gt;=0.99*G44, SUM(G1169:G1186)&lt;=1.01*G44), "Pass", "Fail")</f>
        <v>Pass</v>
      </c>
      <c r="H45" s="164" t="str">
        <f t="shared" ref="H45:P45" si="10">IF(AND(SUM(H1169:H1186)&gt;=0.99*H44, SUM(H1169:H1186)&lt;=1.01*H44), "Pass", "Fail")</f>
        <v>Pass</v>
      </c>
      <c r="I45" s="164" t="str">
        <f t="shared" si="10"/>
        <v>Pass</v>
      </c>
      <c r="J45" s="164" t="str">
        <f t="shared" si="10"/>
        <v>Pass</v>
      </c>
      <c r="K45" s="164" t="str">
        <f t="shared" si="10"/>
        <v>Pass</v>
      </c>
      <c r="L45" s="164" t="str">
        <f t="shared" si="10"/>
        <v>Pass</v>
      </c>
      <c r="M45" s="164" t="str">
        <f t="shared" si="10"/>
        <v>Pass</v>
      </c>
      <c r="N45" s="164" t="str">
        <f t="shared" si="10"/>
        <v>Pass</v>
      </c>
      <c r="O45" s="164" t="str">
        <f t="shared" si="10"/>
        <v>Pass</v>
      </c>
      <c r="P45" s="164" t="str">
        <f t="shared" si="10"/>
        <v>Pass</v>
      </c>
      <c r="Q45" s="1463"/>
      <c r="R45" s="1463"/>
      <c r="S45" s="1463"/>
      <c r="T45" s="1465"/>
      <c r="U45" s="1465"/>
      <c r="V45" s="1465"/>
      <c r="W45" s="1482"/>
      <c r="X45" s="1307"/>
    </row>
    <row r="46" spans="1:24" s="1308" customFormat="1" ht="15" customHeight="1" x14ac:dyDescent="0.25">
      <c r="A46" s="730"/>
      <c r="B46" s="1489"/>
      <c r="C46" s="1792" t="str">
        <f>CONCATENATE("Check: Data in rows ", ROW(C1189), " to ", ROW(C1248), " should add up to the totals above.")</f>
        <v>Check: Data in rows 1189 to 1248 should add up to the totals above.</v>
      </c>
      <c r="D46" s="1792"/>
      <c r="E46" s="1792"/>
      <c r="F46" s="1793"/>
      <c r="G46" s="164" t="str">
        <f>IF(AND(SUM(G1189:G1248)&gt;=0.99*G44, SUM(G1189:G1248)&lt;=1.01*G44), "Pass", "Fail")</f>
        <v>Pass</v>
      </c>
      <c r="H46" s="164" t="str">
        <f t="shared" ref="H46:P46" si="11">IF(AND(SUM(H1189:H1248)&gt;=0.99*H44, SUM(H1189:H1248)&lt;=1.01*H44), "Pass", "Fail")</f>
        <v>Pass</v>
      </c>
      <c r="I46" s="164" t="str">
        <f t="shared" si="11"/>
        <v>Pass</v>
      </c>
      <c r="J46" s="164" t="str">
        <f t="shared" si="11"/>
        <v>Pass</v>
      </c>
      <c r="K46" s="164" t="str">
        <f t="shared" si="11"/>
        <v>Pass</v>
      </c>
      <c r="L46" s="164" t="str">
        <f t="shared" si="11"/>
        <v>Pass</v>
      </c>
      <c r="M46" s="164" t="str">
        <f t="shared" si="11"/>
        <v>Pass</v>
      </c>
      <c r="N46" s="164" t="str">
        <f t="shared" si="11"/>
        <v>Pass</v>
      </c>
      <c r="O46" s="164" t="str">
        <f t="shared" si="11"/>
        <v>Pass</v>
      </c>
      <c r="P46" s="164" t="str">
        <f t="shared" si="11"/>
        <v>Pass</v>
      </c>
      <c r="Q46" s="1463"/>
      <c r="R46" s="1463"/>
      <c r="S46" s="1463"/>
      <c r="T46" s="1465"/>
      <c r="U46" s="1465"/>
      <c r="V46" s="1465"/>
      <c r="W46" s="1482"/>
      <c r="X46" s="1307"/>
    </row>
    <row r="47" spans="1:24" s="1308" customFormat="1" ht="15" customHeight="1" x14ac:dyDescent="0.25">
      <c r="A47" s="730"/>
      <c r="B47" s="1489"/>
      <c r="C47" s="1785" t="s">
        <v>1342</v>
      </c>
      <c r="D47" s="1785"/>
      <c r="E47" s="1785"/>
      <c r="F47" s="1786"/>
      <c r="G47" s="1302"/>
      <c r="H47" s="1302"/>
      <c r="I47" s="1302"/>
      <c r="J47" s="1302"/>
      <c r="K47" s="1302"/>
      <c r="L47" s="1302"/>
      <c r="M47" s="1302"/>
      <c r="N47" s="1302"/>
      <c r="O47" s="1302"/>
      <c r="P47" s="1302"/>
      <c r="Q47" s="1323"/>
      <c r="R47" s="1324"/>
      <c r="S47" s="1325"/>
      <c r="T47" s="1465"/>
      <c r="U47" s="1465"/>
      <c r="V47" s="1465"/>
      <c r="W47" s="1482"/>
      <c r="X47" s="1307"/>
    </row>
    <row r="48" spans="1:24" s="1308" customFormat="1" ht="15" customHeight="1" x14ac:dyDescent="0.25">
      <c r="A48" s="730"/>
      <c r="B48" s="1489"/>
      <c r="C48" s="1792" t="str">
        <f>CONCATENATE("Check: Data in rows ", ROW(C1253), " to ", ROW(C1264), " should add up to the totals above.")</f>
        <v>Check: Data in rows 1253 to 1264 should add up to the totals above.</v>
      </c>
      <c r="D48" s="1792"/>
      <c r="E48" s="1792"/>
      <c r="F48" s="1793"/>
      <c r="G48" s="164" t="str">
        <f>IF(AND(SUM(G1253:G1264)&gt;=0.99*G$47, SUM(G1253:G1264)&lt;=1.01*G$47), "Pass", "Fail")</f>
        <v>Pass</v>
      </c>
      <c r="H48" s="164" t="str">
        <f t="shared" ref="H48:P48" si="12">IF(AND(SUM(H1253:H1264)&gt;=0.99*H$47, SUM(H1253:H1264)&lt;=1.01*H$47), "Pass", "Fail")</f>
        <v>Pass</v>
      </c>
      <c r="I48" s="164" t="str">
        <f t="shared" si="12"/>
        <v>Pass</v>
      </c>
      <c r="J48" s="164" t="str">
        <f t="shared" si="12"/>
        <v>Pass</v>
      </c>
      <c r="K48" s="164" t="str">
        <f t="shared" si="12"/>
        <v>Pass</v>
      </c>
      <c r="L48" s="164" t="str">
        <f t="shared" si="12"/>
        <v>Pass</v>
      </c>
      <c r="M48" s="164" t="str">
        <f t="shared" si="12"/>
        <v>Pass</v>
      </c>
      <c r="N48" s="164" t="str">
        <f t="shared" si="12"/>
        <v>Pass</v>
      </c>
      <c r="O48" s="164" t="str">
        <f t="shared" si="12"/>
        <v>Pass</v>
      </c>
      <c r="P48" s="164" t="str">
        <f t="shared" si="12"/>
        <v>Pass</v>
      </c>
      <c r="Q48" s="1463"/>
      <c r="R48" s="1463"/>
      <c r="S48" s="1463"/>
      <c r="T48" s="1465"/>
      <c r="U48" s="1465"/>
      <c r="V48" s="1465"/>
      <c r="W48" s="1482"/>
      <c r="X48" s="1307"/>
    </row>
    <row r="49" spans="1:24" s="1308" customFormat="1" ht="15" customHeight="1" x14ac:dyDescent="0.25">
      <c r="A49" s="730"/>
      <c r="B49" s="1489"/>
      <c r="C49" s="1792" t="str">
        <f>CONCATENATE("Check: Data in rows ", ROW(C1267), " to ", ROW(C1270), " should add up to the totals above.")</f>
        <v>Check: Data in rows 1267 to 1270 should add up to the totals above.</v>
      </c>
      <c r="D49" s="1792"/>
      <c r="E49" s="1792"/>
      <c r="F49" s="1793"/>
      <c r="G49" s="164" t="str">
        <f>IF(AND(SUM(G1267:G1270)&gt;=0.99*G$47, SUM(G1267:G1270)&lt;=1.01*G$47), "Pass", "Fail")</f>
        <v>Pass</v>
      </c>
      <c r="H49" s="164" t="str">
        <f t="shared" ref="H49:P49" si="13">IF(AND(SUM(H1267:H1270)&gt;=0.99*H$47, SUM(H1267:H1270)&lt;=1.01*H$47), "Pass", "Fail")</f>
        <v>Pass</v>
      </c>
      <c r="I49" s="164" t="str">
        <f t="shared" si="13"/>
        <v>Pass</v>
      </c>
      <c r="J49" s="164" t="str">
        <f t="shared" si="13"/>
        <v>Pass</v>
      </c>
      <c r="K49" s="164" t="str">
        <f t="shared" si="13"/>
        <v>Pass</v>
      </c>
      <c r="L49" s="164" t="str">
        <f t="shared" si="13"/>
        <v>Pass</v>
      </c>
      <c r="M49" s="164" t="str">
        <f t="shared" si="13"/>
        <v>Pass</v>
      </c>
      <c r="N49" s="164" t="str">
        <f t="shared" si="13"/>
        <v>Pass</v>
      </c>
      <c r="O49" s="164" t="str">
        <f t="shared" si="13"/>
        <v>Pass</v>
      </c>
      <c r="P49" s="164" t="str">
        <f t="shared" si="13"/>
        <v>Pass</v>
      </c>
      <c r="Q49" s="1463"/>
      <c r="R49" s="1463"/>
      <c r="S49" s="1463"/>
      <c r="T49" s="1465"/>
      <c r="U49" s="1465"/>
      <c r="V49" s="1465"/>
      <c r="W49" s="1482"/>
      <c r="X49" s="1307"/>
    </row>
    <row r="50" spans="1:24" s="1308" customFormat="1" ht="15" customHeight="1" x14ac:dyDescent="0.25">
      <c r="A50" s="730"/>
      <c r="B50" s="1489"/>
      <c r="C50" s="1792" t="str">
        <f>CONCATENATE("Check: Data in rows ", ROW(C1273), " to ", ROW(C1284), " should add up to the totals above.")</f>
        <v>Check: Data in rows 1273 to 1284 should add up to the totals above.</v>
      </c>
      <c r="D50" s="1792"/>
      <c r="E50" s="1792"/>
      <c r="F50" s="1793"/>
      <c r="G50" s="164" t="str">
        <f>IF(AND(SUM(G1273:G1284)&gt;=0.99*G$47, SUM(G1273:G1284)&lt;=1.01*G$47), "Pass", "Fail")</f>
        <v>Pass</v>
      </c>
      <c r="H50" s="164" t="str">
        <f t="shared" ref="H50:P50" si="14">IF(AND(SUM(H1273:H1284)&gt;=0.99*H$47, SUM(H1273:H1284)&lt;=1.01*H$47), "Pass", "Fail")</f>
        <v>Pass</v>
      </c>
      <c r="I50" s="164" t="str">
        <f t="shared" si="14"/>
        <v>Pass</v>
      </c>
      <c r="J50" s="164" t="str">
        <f t="shared" si="14"/>
        <v>Pass</v>
      </c>
      <c r="K50" s="164" t="str">
        <f t="shared" si="14"/>
        <v>Pass</v>
      </c>
      <c r="L50" s="164" t="str">
        <f t="shared" si="14"/>
        <v>Pass</v>
      </c>
      <c r="M50" s="164" t="str">
        <f t="shared" si="14"/>
        <v>Pass</v>
      </c>
      <c r="N50" s="164" t="str">
        <f t="shared" si="14"/>
        <v>Pass</v>
      </c>
      <c r="O50" s="164" t="str">
        <f t="shared" si="14"/>
        <v>Pass</v>
      </c>
      <c r="P50" s="164" t="str">
        <f t="shared" si="14"/>
        <v>Pass</v>
      </c>
      <c r="Q50" s="1463"/>
      <c r="R50" s="1463"/>
      <c r="S50" s="1463"/>
      <c r="T50" s="1465"/>
      <c r="U50" s="1465"/>
      <c r="V50" s="1465"/>
      <c r="W50" s="1482"/>
      <c r="X50" s="1307"/>
    </row>
    <row r="51" spans="1:24" s="1308" customFormat="1" ht="15" customHeight="1" x14ac:dyDescent="0.25">
      <c r="A51" s="730"/>
      <c r="B51" s="1490"/>
      <c r="C51" s="1805" t="str">
        <f>CONCATENATE("Check: Data in rows ", ROW(C1287), " to ", ROW(C1298), " should add up to the totals above.")</f>
        <v>Check: Data in rows 1287 to 1298 should add up to the totals above.</v>
      </c>
      <c r="D51" s="1805"/>
      <c r="E51" s="1805"/>
      <c r="F51" s="1806"/>
      <c r="G51" s="196" t="str">
        <f>IF(AND(SUM(G1287:G1298)&gt;=0.99*G$47, SUM(G1287:G1298)&lt;=1.01*G$47), "Pass", "Fail")</f>
        <v>Pass</v>
      </c>
      <c r="H51" s="196" t="str">
        <f t="shared" ref="H51:P51" si="15">IF(AND(SUM(H1287:H1298)&gt;=0.99*H$47, SUM(H1287:H1298)&lt;=1.01*H$47), "Pass", "Fail")</f>
        <v>Pass</v>
      </c>
      <c r="I51" s="196" t="str">
        <f t="shared" si="15"/>
        <v>Pass</v>
      </c>
      <c r="J51" s="196" t="str">
        <f t="shared" si="15"/>
        <v>Pass</v>
      </c>
      <c r="K51" s="196" t="str">
        <f t="shared" si="15"/>
        <v>Pass</v>
      </c>
      <c r="L51" s="196" t="str">
        <f t="shared" si="15"/>
        <v>Pass</v>
      </c>
      <c r="M51" s="196" t="str">
        <f t="shared" si="15"/>
        <v>Pass</v>
      </c>
      <c r="N51" s="196" t="str">
        <f t="shared" si="15"/>
        <v>Pass</v>
      </c>
      <c r="O51" s="196" t="str">
        <f t="shared" si="15"/>
        <v>Pass</v>
      </c>
      <c r="P51" s="196" t="str">
        <f t="shared" si="15"/>
        <v>Pass</v>
      </c>
      <c r="Q51" s="1466"/>
      <c r="R51" s="1466"/>
      <c r="S51" s="1466"/>
      <c r="T51" s="1517"/>
      <c r="U51" s="1517"/>
      <c r="V51" s="1517"/>
      <c r="W51" s="1483"/>
      <c r="X51" s="1307"/>
    </row>
    <row r="52" spans="1:24" ht="30" customHeight="1" x14ac:dyDescent="0.3">
      <c r="A52" s="728" t="s">
        <v>1236</v>
      </c>
      <c r="B52" s="731"/>
      <c r="C52" s="732"/>
      <c r="D52" s="732"/>
      <c r="E52" s="732"/>
      <c r="F52" s="732"/>
      <c r="G52" s="1661"/>
      <c r="H52" s="716"/>
      <c r="I52" s="716"/>
      <c r="J52" s="716"/>
      <c r="P52" s="1767"/>
      <c r="Q52" s="1767"/>
      <c r="T52" s="1767"/>
      <c r="U52" s="1767"/>
      <c r="X52" s="727"/>
    </row>
    <row r="53" spans="1:24" s="735" customFormat="1" ht="45" customHeight="1" x14ac:dyDescent="0.25">
      <c r="A53" s="733" t="s">
        <v>1237</v>
      </c>
      <c r="B53" s="722"/>
      <c r="C53" s="734"/>
      <c r="D53" s="734"/>
      <c r="E53" s="734"/>
      <c r="F53" s="734"/>
      <c r="G53" s="1662"/>
      <c r="X53" s="422"/>
    </row>
    <row r="54" spans="1:24" s="1308" customFormat="1" ht="15" customHeight="1" x14ac:dyDescent="0.25">
      <c r="A54" s="730"/>
      <c r="B54" s="1285">
        <v>1</v>
      </c>
      <c r="C54" s="1446" t="s">
        <v>1238</v>
      </c>
      <c r="D54" s="1348"/>
      <c r="E54" s="1348"/>
      <c r="F54" s="1349"/>
      <c r="G54" s="1316"/>
      <c r="H54" s="1317"/>
      <c r="I54" s="1317"/>
      <c r="J54" s="1317"/>
      <c r="K54" s="1317"/>
      <c r="L54" s="1317"/>
      <c r="M54" s="1317"/>
      <c r="N54" s="1317"/>
      <c r="O54" s="1321"/>
      <c r="P54" s="1317"/>
      <c r="Q54" s="1318"/>
      <c r="R54" s="1319"/>
      <c r="S54" s="1320"/>
      <c r="T54" s="1460"/>
      <c r="U54" s="1460"/>
      <c r="V54" s="1461"/>
      <c r="W54" s="1481"/>
      <c r="X54" s="1307"/>
    </row>
    <row r="55" spans="1:24" s="1308" customFormat="1" ht="15" customHeight="1" x14ac:dyDescent="0.25">
      <c r="A55" s="730"/>
      <c r="B55" s="1286">
        <f>B54+1</f>
        <v>2</v>
      </c>
      <c r="C55" s="1444" t="s">
        <v>1239</v>
      </c>
      <c r="D55" s="1352"/>
      <c r="E55" s="1352"/>
      <c r="F55" s="1353"/>
      <c r="G55" s="1302"/>
      <c r="H55" s="1322"/>
      <c r="I55" s="1322"/>
      <c r="J55" s="1322"/>
      <c r="K55" s="1322"/>
      <c r="L55" s="1322"/>
      <c r="M55" s="1322"/>
      <c r="N55" s="1322"/>
      <c r="O55" s="1326"/>
      <c r="P55" s="1322"/>
      <c r="Q55" s="1323"/>
      <c r="R55" s="1324"/>
      <c r="S55" s="1325"/>
      <c r="T55" s="1468"/>
      <c r="U55" s="1468"/>
      <c r="V55" s="1464"/>
      <c r="W55" s="1482"/>
      <c r="X55" s="1307"/>
    </row>
    <row r="56" spans="1:24" s="1308" customFormat="1" ht="15" customHeight="1" x14ac:dyDescent="0.25">
      <c r="A56" s="730"/>
      <c r="B56" s="1286">
        <f t="shared" ref="B56:B65" si="16">B55+1</f>
        <v>3</v>
      </c>
      <c r="C56" s="1444" t="s">
        <v>1240</v>
      </c>
      <c r="D56" s="1352"/>
      <c r="E56" s="1352"/>
      <c r="F56" s="1353"/>
      <c r="G56" s="1302"/>
      <c r="H56" s="1322"/>
      <c r="I56" s="1322"/>
      <c r="J56" s="1322"/>
      <c r="K56" s="1322"/>
      <c r="L56" s="1322"/>
      <c r="M56" s="1322"/>
      <c r="N56" s="1322"/>
      <c r="O56" s="1326"/>
      <c r="P56" s="1322"/>
      <c r="Q56" s="1323"/>
      <c r="R56" s="1324"/>
      <c r="S56" s="1325"/>
      <c r="T56" s="1468"/>
      <c r="U56" s="1468"/>
      <c r="V56" s="1464"/>
      <c r="W56" s="1482"/>
      <c r="X56" s="1307"/>
    </row>
    <row r="57" spans="1:24" s="1308" customFormat="1" ht="15" customHeight="1" x14ac:dyDescent="0.25">
      <c r="A57" s="730"/>
      <c r="B57" s="1286">
        <f t="shared" si="16"/>
        <v>4</v>
      </c>
      <c r="C57" s="1444" t="s">
        <v>1241</v>
      </c>
      <c r="D57" s="1352"/>
      <c r="E57" s="1352"/>
      <c r="F57" s="1353"/>
      <c r="G57" s="1302"/>
      <c r="H57" s="1322"/>
      <c r="I57" s="1322"/>
      <c r="J57" s="1322"/>
      <c r="K57" s="1322"/>
      <c r="L57" s="1322"/>
      <c r="M57" s="1322"/>
      <c r="N57" s="1322"/>
      <c r="O57" s="1326"/>
      <c r="P57" s="1322"/>
      <c r="Q57" s="1323"/>
      <c r="R57" s="1324"/>
      <c r="S57" s="1325"/>
      <c r="T57" s="1468"/>
      <c r="U57" s="1468"/>
      <c r="V57" s="1464"/>
      <c r="W57" s="1482"/>
      <c r="X57" s="1307"/>
    </row>
    <row r="58" spans="1:24" s="1308" customFormat="1" ht="15" customHeight="1" x14ac:dyDescent="0.25">
      <c r="A58" s="730"/>
      <c r="B58" s="1286">
        <f t="shared" si="16"/>
        <v>5</v>
      </c>
      <c r="C58" s="1444" t="s">
        <v>1242</v>
      </c>
      <c r="D58" s="1352"/>
      <c r="E58" s="1352"/>
      <c r="F58" s="1353"/>
      <c r="G58" s="1302"/>
      <c r="H58" s="1322"/>
      <c r="I58" s="1322"/>
      <c r="J58" s="1322"/>
      <c r="K58" s="1322"/>
      <c r="L58" s="1322"/>
      <c r="M58" s="1322"/>
      <c r="N58" s="1322"/>
      <c r="O58" s="1326"/>
      <c r="P58" s="1322"/>
      <c r="Q58" s="1323"/>
      <c r="R58" s="1324"/>
      <c r="S58" s="1325"/>
      <c r="T58" s="1468"/>
      <c r="U58" s="1468"/>
      <c r="V58" s="1464"/>
      <c r="W58" s="1482"/>
      <c r="X58" s="1307"/>
    </row>
    <row r="59" spans="1:24" s="1308" customFormat="1" ht="15" customHeight="1" x14ac:dyDescent="0.25">
      <c r="A59" s="730"/>
      <c r="B59" s="1286">
        <f t="shared" si="16"/>
        <v>6</v>
      </c>
      <c r="C59" s="1444" t="s">
        <v>1243</v>
      </c>
      <c r="D59" s="1352"/>
      <c r="E59" s="1352"/>
      <c r="F59" s="1353"/>
      <c r="G59" s="1302"/>
      <c r="H59" s="1322"/>
      <c r="I59" s="1322"/>
      <c r="J59" s="1322"/>
      <c r="K59" s="1322"/>
      <c r="L59" s="1322"/>
      <c r="M59" s="1322"/>
      <c r="N59" s="1322"/>
      <c r="O59" s="1326"/>
      <c r="P59" s="1322"/>
      <c r="Q59" s="1323"/>
      <c r="R59" s="1324"/>
      <c r="S59" s="1325"/>
      <c r="T59" s="1468"/>
      <c r="U59" s="1468"/>
      <c r="V59" s="1464"/>
      <c r="W59" s="1482"/>
      <c r="X59" s="1307"/>
    </row>
    <row r="60" spans="1:24" s="1308" customFormat="1" ht="15" customHeight="1" x14ac:dyDescent="0.25">
      <c r="A60" s="730"/>
      <c r="B60" s="1286">
        <f t="shared" si="16"/>
        <v>7</v>
      </c>
      <c r="C60" s="1444" t="s">
        <v>1244</v>
      </c>
      <c r="D60" s="1352"/>
      <c r="E60" s="1352"/>
      <c r="F60" s="1353"/>
      <c r="G60" s="1302"/>
      <c r="H60" s="1322"/>
      <c r="I60" s="1322"/>
      <c r="J60" s="1322"/>
      <c r="K60" s="1322"/>
      <c r="L60" s="1322"/>
      <c r="M60" s="1322"/>
      <c r="N60" s="1322"/>
      <c r="O60" s="1326"/>
      <c r="P60" s="1322"/>
      <c r="Q60" s="1323"/>
      <c r="R60" s="1324"/>
      <c r="S60" s="1325"/>
      <c r="T60" s="1463"/>
      <c r="U60" s="1463"/>
      <c r="V60" s="1464"/>
      <c r="W60" s="1482"/>
      <c r="X60" s="1307"/>
    </row>
    <row r="61" spans="1:24" s="1308" customFormat="1" ht="15" customHeight="1" x14ac:dyDescent="0.25">
      <c r="A61" s="730"/>
      <c r="B61" s="1286">
        <f t="shared" si="16"/>
        <v>8</v>
      </c>
      <c r="C61" s="1444" t="s">
        <v>1245</v>
      </c>
      <c r="D61" s="1352"/>
      <c r="E61" s="1352"/>
      <c r="F61" s="1353"/>
      <c r="G61" s="1302"/>
      <c r="H61" s="1322"/>
      <c r="I61" s="1322"/>
      <c r="J61" s="1322"/>
      <c r="K61" s="1322"/>
      <c r="L61" s="1322"/>
      <c r="M61" s="1322"/>
      <c r="N61" s="1322"/>
      <c r="O61" s="1326"/>
      <c r="P61" s="1322"/>
      <c r="Q61" s="1323"/>
      <c r="R61" s="1324"/>
      <c r="S61" s="1325"/>
      <c r="T61" s="1463"/>
      <c r="U61" s="1463"/>
      <c r="V61" s="1464"/>
      <c r="W61" s="1482"/>
      <c r="X61" s="1307"/>
    </row>
    <row r="62" spans="1:24" s="1308" customFormat="1" ht="15" customHeight="1" x14ac:dyDescent="0.25">
      <c r="A62" s="730"/>
      <c r="B62" s="1286">
        <f t="shared" si="16"/>
        <v>9</v>
      </c>
      <c r="C62" s="1444" t="s">
        <v>1246</v>
      </c>
      <c r="D62" s="1352"/>
      <c r="E62" s="1352"/>
      <c r="F62" s="1353"/>
      <c r="G62" s="1302"/>
      <c r="H62" s="1322"/>
      <c r="I62" s="1322"/>
      <c r="J62" s="1322"/>
      <c r="K62" s="1322"/>
      <c r="L62" s="1322"/>
      <c r="M62" s="1322"/>
      <c r="N62" s="1322"/>
      <c r="O62" s="1326"/>
      <c r="P62" s="1322"/>
      <c r="Q62" s="1323"/>
      <c r="R62" s="1324"/>
      <c r="S62" s="1325"/>
      <c r="T62" s="1463"/>
      <c r="U62" s="1463"/>
      <c r="V62" s="1464"/>
      <c r="W62" s="1482"/>
      <c r="X62" s="1307"/>
    </row>
    <row r="63" spans="1:24" s="1308" customFormat="1" ht="15" customHeight="1" x14ac:dyDescent="0.25">
      <c r="A63" s="730"/>
      <c r="B63" s="1286">
        <f t="shared" si="16"/>
        <v>10</v>
      </c>
      <c r="C63" s="1444" t="s">
        <v>1247</v>
      </c>
      <c r="D63" s="1352"/>
      <c r="E63" s="1352"/>
      <c r="F63" s="1353"/>
      <c r="G63" s="1302"/>
      <c r="H63" s="1322"/>
      <c r="I63" s="1322"/>
      <c r="J63" s="1322"/>
      <c r="K63" s="1322"/>
      <c r="L63" s="1322"/>
      <c r="M63" s="1322"/>
      <c r="N63" s="1322"/>
      <c r="O63" s="1326"/>
      <c r="P63" s="1322"/>
      <c r="Q63" s="1323"/>
      <c r="R63" s="1324"/>
      <c r="S63" s="1325"/>
      <c r="T63" s="1463"/>
      <c r="U63" s="1463"/>
      <c r="V63" s="1464"/>
      <c r="W63" s="1482"/>
      <c r="X63" s="1307"/>
    </row>
    <row r="64" spans="1:24" s="1308" customFormat="1" ht="15" customHeight="1" x14ac:dyDescent="0.25">
      <c r="A64" s="730"/>
      <c r="B64" s="1286">
        <f t="shared" si="16"/>
        <v>11</v>
      </c>
      <c r="C64" s="1444" t="s">
        <v>1248</v>
      </c>
      <c r="D64" s="1352"/>
      <c r="E64" s="1352"/>
      <c r="F64" s="1353"/>
      <c r="G64" s="1302"/>
      <c r="H64" s="1322"/>
      <c r="I64" s="1322"/>
      <c r="J64" s="1322"/>
      <c r="K64" s="1322"/>
      <c r="L64" s="1322"/>
      <c r="M64" s="1322"/>
      <c r="N64" s="1322"/>
      <c r="O64" s="1326"/>
      <c r="P64" s="1322"/>
      <c r="Q64" s="1323"/>
      <c r="R64" s="1324"/>
      <c r="S64" s="1325"/>
      <c r="T64" s="1463"/>
      <c r="U64" s="1463"/>
      <c r="V64" s="1464"/>
      <c r="W64" s="1482"/>
      <c r="X64" s="1307"/>
    </row>
    <row r="65" spans="1:24" s="1308" customFormat="1" ht="15.75" customHeight="1" x14ac:dyDescent="0.25">
      <c r="A65" s="730"/>
      <c r="B65" s="1287">
        <f t="shared" si="16"/>
        <v>12</v>
      </c>
      <c r="C65" s="1445" t="s">
        <v>1249</v>
      </c>
      <c r="D65" s="1350"/>
      <c r="E65" s="1350"/>
      <c r="F65" s="1351"/>
      <c r="G65" s="1327"/>
      <c r="H65" s="1303"/>
      <c r="I65" s="1303"/>
      <c r="J65" s="1303"/>
      <c r="K65" s="1303"/>
      <c r="L65" s="1303"/>
      <c r="M65" s="1303"/>
      <c r="N65" s="1303"/>
      <c r="O65" s="1328"/>
      <c r="P65" s="1303"/>
      <c r="Q65" s="1304"/>
      <c r="R65" s="1305"/>
      <c r="S65" s="1306"/>
      <c r="T65" s="1466"/>
      <c r="U65" s="1466"/>
      <c r="V65" s="1467"/>
      <c r="W65" s="1483"/>
      <c r="X65" s="1307"/>
    </row>
    <row r="66" spans="1:24" s="735" customFormat="1" ht="45" customHeight="1" x14ac:dyDescent="0.25">
      <c r="A66" s="733" t="s">
        <v>1271</v>
      </c>
      <c r="B66" s="722"/>
      <c r="C66" s="734"/>
      <c r="D66" s="734"/>
      <c r="E66" s="734"/>
      <c r="F66" s="734"/>
      <c r="X66" s="422"/>
    </row>
    <row r="67" spans="1:24" s="1308" customFormat="1" ht="15" customHeight="1" x14ac:dyDescent="0.25">
      <c r="A67" s="730"/>
      <c r="B67" s="1285">
        <v>1</v>
      </c>
      <c r="C67" s="1446" t="s">
        <v>1259</v>
      </c>
      <c r="D67" s="1348"/>
      <c r="E67" s="1348"/>
      <c r="F67" s="1349"/>
      <c r="G67" s="1316"/>
      <c r="H67" s="1317"/>
      <c r="I67" s="1317"/>
      <c r="J67" s="1317"/>
      <c r="K67" s="1317"/>
      <c r="L67" s="1317"/>
      <c r="M67" s="1317"/>
      <c r="N67" s="1317"/>
      <c r="O67" s="1321"/>
      <c r="P67" s="1317"/>
      <c r="Q67" s="1318"/>
      <c r="R67" s="1319"/>
      <c r="S67" s="1320"/>
      <c r="T67" s="1460"/>
      <c r="U67" s="1460"/>
      <c r="V67" s="1461"/>
      <c r="W67" s="1481"/>
      <c r="X67" s="1307"/>
    </row>
    <row r="68" spans="1:24" s="1308" customFormat="1" ht="15" customHeight="1" x14ac:dyDescent="0.25">
      <c r="A68" s="730"/>
      <c r="B68" s="1286">
        <f t="shared" ref="B68:B78" si="17">B67+1</f>
        <v>2</v>
      </c>
      <c r="C68" s="1345" t="s">
        <v>1260</v>
      </c>
      <c r="D68" s="1346"/>
      <c r="E68" s="1346"/>
      <c r="F68" s="1347"/>
      <c r="G68" s="1329"/>
      <c r="H68" s="1330"/>
      <c r="I68" s="1330"/>
      <c r="J68" s="1330"/>
      <c r="K68" s="1330"/>
      <c r="L68" s="1330"/>
      <c r="M68" s="1330"/>
      <c r="N68" s="1330"/>
      <c r="O68" s="1334"/>
      <c r="P68" s="1330"/>
      <c r="Q68" s="1331"/>
      <c r="R68" s="1332"/>
      <c r="S68" s="1333"/>
      <c r="T68" s="1468"/>
      <c r="U68" s="1468"/>
      <c r="V68" s="1469"/>
      <c r="W68" s="1484"/>
      <c r="X68" s="1307"/>
    </row>
    <row r="69" spans="1:24" s="1308" customFormat="1" ht="15" customHeight="1" x14ac:dyDescent="0.25">
      <c r="A69" s="730"/>
      <c r="B69" s="1286">
        <f t="shared" si="17"/>
        <v>3</v>
      </c>
      <c r="C69" s="1345" t="s">
        <v>1261</v>
      </c>
      <c r="D69" s="1346"/>
      <c r="E69" s="1346"/>
      <c r="F69" s="1347"/>
      <c r="G69" s="1329"/>
      <c r="H69" s="1330"/>
      <c r="I69" s="1330"/>
      <c r="J69" s="1330"/>
      <c r="K69" s="1330"/>
      <c r="L69" s="1330"/>
      <c r="M69" s="1330"/>
      <c r="N69" s="1330"/>
      <c r="O69" s="1334"/>
      <c r="P69" s="1330"/>
      <c r="Q69" s="1331"/>
      <c r="R69" s="1332"/>
      <c r="S69" s="1333"/>
      <c r="T69" s="1468"/>
      <c r="U69" s="1468"/>
      <c r="V69" s="1469"/>
      <c r="W69" s="1484"/>
      <c r="X69" s="1307"/>
    </row>
    <row r="70" spans="1:24" s="1308" customFormat="1" ht="15" customHeight="1" x14ac:dyDescent="0.25">
      <c r="A70" s="730"/>
      <c r="B70" s="1286">
        <f t="shared" si="17"/>
        <v>4</v>
      </c>
      <c r="C70" s="1345" t="s">
        <v>1262</v>
      </c>
      <c r="D70" s="1346"/>
      <c r="E70" s="1346"/>
      <c r="F70" s="1347"/>
      <c r="G70" s="1329"/>
      <c r="H70" s="1330"/>
      <c r="I70" s="1330"/>
      <c r="J70" s="1330"/>
      <c r="K70" s="1330"/>
      <c r="L70" s="1330"/>
      <c r="M70" s="1330"/>
      <c r="N70" s="1330"/>
      <c r="O70" s="1334"/>
      <c r="P70" s="1330"/>
      <c r="Q70" s="1331"/>
      <c r="R70" s="1332"/>
      <c r="S70" s="1333"/>
      <c r="T70" s="1468"/>
      <c r="U70" s="1468"/>
      <c r="V70" s="1469"/>
      <c r="W70" s="1484"/>
      <c r="X70" s="1307"/>
    </row>
    <row r="71" spans="1:24" s="1308" customFormat="1" ht="15" customHeight="1" x14ac:dyDescent="0.25">
      <c r="A71" s="730"/>
      <c r="B71" s="1286">
        <f t="shared" si="17"/>
        <v>5</v>
      </c>
      <c r="C71" s="1345" t="s">
        <v>1263</v>
      </c>
      <c r="D71" s="1346"/>
      <c r="E71" s="1346"/>
      <c r="F71" s="1347"/>
      <c r="G71" s="1329"/>
      <c r="H71" s="1330"/>
      <c r="I71" s="1330"/>
      <c r="J71" s="1330"/>
      <c r="K71" s="1330"/>
      <c r="L71" s="1330"/>
      <c r="M71" s="1330"/>
      <c r="N71" s="1330"/>
      <c r="O71" s="1334"/>
      <c r="P71" s="1330"/>
      <c r="Q71" s="1331"/>
      <c r="R71" s="1332"/>
      <c r="S71" s="1333"/>
      <c r="T71" s="1468"/>
      <c r="U71" s="1468"/>
      <c r="V71" s="1469"/>
      <c r="W71" s="1484"/>
      <c r="X71" s="1307"/>
    </row>
    <row r="72" spans="1:24" s="1308" customFormat="1" ht="15" customHeight="1" x14ac:dyDescent="0.25">
      <c r="A72" s="730"/>
      <c r="B72" s="1286">
        <f t="shared" si="17"/>
        <v>6</v>
      </c>
      <c r="C72" s="1345" t="s">
        <v>1264</v>
      </c>
      <c r="D72" s="1346"/>
      <c r="E72" s="1346"/>
      <c r="F72" s="1347"/>
      <c r="G72" s="1329"/>
      <c r="H72" s="1330"/>
      <c r="I72" s="1330"/>
      <c r="J72" s="1330"/>
      <c r="K72" s="1330"/>
      <c r="L72" s="1330"/>
      <c r="M72" s="1330"/>
      <c r="N72" s="1330"/>
      <c r="O72" s="1334"/>
      <c r="P72" s="1330"/>
      <c r="Q72" s="1331"/>
      <c r="R72" s="1332"/>
      <c r="S72" s="1333"/>
      <c r="T72" s="1468"/>
      <c r="U72" s="1468"/>
      <c r="V72" s="1469"/>
      <c r="W72" s="1484"/>
      <c r="X72" s="1307"/>
    </row>
    <row r="73" spans="1:24" s="1308" customFormat="1" ht="15" customHeight="1" x14ac:dyDescent="0.25">
      <c r="A73" s="730"/>
      <c r="B73" s="1286">
        <f t="shared" si="17"/>
        <v>7</v>
      </c>
      <c r="C73" s="1345" t="s">
        <v>1265</v>
      </c>
      <c r="D73" s="1346"/>
      <c r="E73" s="1346"/>
      <c r="F73" s="1347"/>
      <c r="G73" s="1329"/>
      <c r="H73" s="1330"/>
      <c r="I73" s="1330"/>
      <c r="J73" s="1330"/>
      <c r="K73" s="1330"/>
      <c r="L73" s="1330"/>
      <c r="M73" s="1330"/>
      <c r="N73" s="1330"/>
      <c r="O73" s="1334"/>
      <c r="P73" s="1330"/>
      <c r="Q73" s="1331"/>
      <c r="R73" s="1332"/>
      <c r="S73" s="1333"/>
      <c r="T73" s="1468"/>
      <c r="U73" s="1468"/>
      <c r="V73" s="1469"/>
      <c r="W73" s="1484"/>
      <c r="X73" s="1307"/>
    </row>
    <row r="74" spans="1:24" s="1308" customFormat="1" ht="15" customHeight="1" x14ac:dyDescent="0.25">
      <c r="A74" s="730"/>
      <c r="B74" s="1286">
        <f t="shared" si="17"/>
        <v>8</v>
      </c>
      <c r="C74" s="1345" t="s">
        <v>1266</v>
      </c>
      <c r="D74" s="1346"/>
      <c r="E74" s="1346"/>
      <c r="F74" s="1347"/>
      <c r="G74" s="1329"/>
      <c r="H74" s="1330"/>
      <c r="I74" s="1330"/>
      <c r="J74" s="1330"/>
      <c r="K74" s="1330"/>
      <c r="L74" s="1330"/>
      <c r="M74" s="1330"/>
      <c r="N74" s="1330"/>
      <c r="O74" s="1334"/>
      <c r="P74" s="1330"/>
      <c r="Q74" s="1331"/>
      <c r="R74" s="1332"/>
      <c r="S74" s="1333"/>
      <c r="T74" s="1468"/>
      <c r="U74" s="1468"/>
      <c r="V74" s="1469"/>
      <c r="W74" s="1484"/>
      <c r="X74" s="1307"/>
    </row>
    <row r="75" spans="1:24" s="1308" customFormat="1" ht="15" customHeight="1" x14ac:dyDescent="0.25">
      <c r="A75" s="730"/>
      <c r="B75" s="1286">
        <f t="shared" si="17"/>
        <v>9</v>
      </c>
      <c r="C75" s="1345" t="s">
        <v>1267</v>
      </c>
      <c r="D75" s="1346"/>
      <c r="E75" s="1346"/>
      <c r="F75" s="1347"/>
      <c r="G75" s="1329"/>
      <c r="H75" s="1330"/>
      <c r="I75" s="1330"/>
      <c r="J75" s="1330"/>
      <c r="K75" s="1330"/>
      <c r="L75" s="1330"/>
      <c r="M75" s="1330"/>
      <c r="N75" s="1330"/>
      <c r="O75" s="1334"/>
      <c r="P75" s="1330"/>
      <c r="Q75" s="1331"/>
      <c r="R75" s="1332"/>
      <c r="S75" s="1333"/>
      <c r="T75" s="1468"/>
      <c r="U75" s="1468"/>
      <c r="V75" s="1469"/>
      <c r="W75" s="1484"/>
      <c r="X75" s="1307"/>
    </row>
    <row r="76" spans="1:24" s="1308" customFormat="1" ht="15" customHeight="1" x14ac:dyDescent="0.25">
      <c r="A76" s="730"/>
      <c r="B76" s="1286">
        <f t="shared" si="17"/>
        <v>10</v>
      </c>
      <c r="C76" s="1345" t="s">
        <v>1268</v>
      </c>
      <c r="D76" s="1346"/>
      <c r="E76" s="1346"/>
      <c r="F76" s="1347"/>
      <c r="G76" s="1329"/>
      <c r="H76" s="1330"/>
      <c r="I76" s="1330"/>
      <c r="J76" s="1330"/>
      <c r="K76" s="1330"/>
      <c r="L76" s="1330"/>
      <c r="M76" s="1330"/>
      <c r="N76" s="1330"/>
      <c r="O76" s="1334"/>
      <c r="P76" s="1330"/>
      <c r="Q76" s="1331"/>
      <c r="R76" s="1332"/>
      <c r="S76" s="1333"/>
      <c r="T76" s="1468"/>
      <c r="U76" s="1468"/>
      <c r="V76" s="1469"/>
      <c r="W76" s="1484"/>
      <c r="X76" s="1307"/>
    </row>
    <row r="77" spans="1:24" s="1308" customFormat="1" ht="15" customHeight="1" x14ac:dyDescent="0.25">
      <c r="A77" s="730"/>
      <c r="B77" s="1286">
        <f t="shared" si="17"/>
        <v>11</v>
      </c>
      <c r="C77" s="1345" t="s">
        <v>1269</v>
      </c>
      <c r="D77" s="1346"/>
      <c r="E77" s="1346"/>
      <c r="F77" s="1347"/>
      <c r="G77" s="1329"/>
      <c r="H77" s="1330"/>
      <c r="I77" s="1330"/>
      <c r="J77" s="1330"/>
      <c r="K77" s="1330"/>
      <c r="L77" s="1330"/>
      <c r="M77" s="1330"/>
      <c r="N77" s="1330"/>
      <c r="O77" s="1334"/>
      <c r="P77" s="1330"/>
      <c r="Q77" s="1331"/>
      <c r="R77" s="1332"/>
      <c r="S77" s="1333"/>
      <c r="T77" s="1468"/>
      <c r="U77" s="1468"/>
      <c r="V77" s="1469"/>
      <c r="W77" s="1484"/>
      <c r="X77" s="1307"/>
    </row>
    <row r="78" spans="1:24" s="1308" customFormat="1" ht="15" customHeight="1" x14ac:dyDescent="0.25">
      <c r="A78" s="730"/>
      <c r="B78" s="1287">
        <f t="shared" si="17"/>
        <v>12</v>
      </c>
      <c r="C78" s="1445" t="s">
        <v>1270</v>
      </c>
      <c r="D78" s="1350"/>
      <c r="E78" s="1350"/>
      <c r="F78" s="1351"/>
      <c r="G78" s="1327"/>
      <c r="H78" s="1303"/>
      <c r="I78" s="1303"/>
      <c r="J78" s="1303"/>
      <c r="K78" s="1303"/>
      <c r="L78" s="1303"/>
      <c r="M78" s="1303"/>
      <c r="N78" s="1303"/>
      <c r="O78" s="1328"/>
      <c r="P78" s="1303"/>
      <c r="Q78" s="1304"/>
      <c r="R78" s="1305"/>
      <c r="S78" s="1306"/>
      <c r="T78" s="1466"/>
      <c r="U78" s="1466"/>
      <c r="V78" s="1467"/>
      <c r="W78" s="1483"/>
      <c r="X78" s="1307"/>
    </row>
    <row r="79" spans="1:24" s="735" customFormat="1" ht="45" customHeight="1" x14ac:dyDescent="0.25">
      <c r="A79" s="733" t="s">
        <v>1272</v>
      </c>
      <c r="B79" s="722"/>
      <c r="C79" s="734"/>
      <c r="D79" s="734"/>
      <c r="E79" s="734"/>
      <c r="F79" s="734"/>
      <c r="X79" s="422"/>
    </row>
    <row r="80" spans="1:24" s="1308" customFormat="1" ht="15" customHeight="1" x14ac:dyDescent="0.25">
      <c r="A80" s="730"/>
      <c r="B80" s="1285">
        <v>1</v>
      </c>
      <c r="C80" s="1446" t="s">
        <v>1238</v>
      </c>
      <c r="D80" s="1348"/>
      <c r="E80" s="1348"/>
      <c r="F80" s="1349"/>
      <c r="G80" s="1316"/>
      <c r="H80" s="1317"/>
      <c r="I80" s="1317"/>
      <c r="J80" s="1317"/>
      <c r="K80" s="1317"/>
      <c r="L80" s="1317"/>
      <c r="M80" s="1317"/>
      <c r="N80" s="1317"/>
      <c r="O80" s="1321"/>
      <c r="P80" s="1317"/>
      <c r="Q80" s="1318"/>
      <c r="R80" s="1319"/>
      <c r="S80" s="1320"/>
      <c r="T80" s="1460"/>
      <c r="U80" s="1460"/>
      <c r="V80" s="1461"/>
      <c r="W80" s="1481"/>
      <c r="X80" s="1307"/>
    </row>
    <row r="81" spans="1:24" s="1308" customFormat="1" ht="15" customHeight="1" x14ac:dyDescent="0.25">
      <c r="A81" s="730"/>
      <c r="B81" s="1286">
        <f t="shared" ref="B81:B91" si="18">B80+1</f>
        <v>2</v>
      </c>
      <c r="C81" s="1345" t="s">
        <v>1239</v>
      </c>
      <c r="D81" s="1346"/>
      <c r="E81" s="1346"/>
      <c r="F81" s="1347"/>
      <c r="G81" s="1329"/>
      <c r="H81" s="1330"/>
      <c r="I81" s="1330"/>
      <c r="J81" s="1330"/>
      <c r="K81" s="1330"/>
      <c r="L81" s="1330"/>
      <c r="M81" s="1330"/>
      <c r="N81" s="1330"/>
      <c r="O81" s="1334"/>
      <c r="P81" s="1330"/>
      <c r="Q81" s="1331"/>
      <c r="R81" s="1332"/>
      <c r="S81" s="1333"/>
      <c r="T81" s="1468"/>
      <c r="U81" s="1468"/>
      <c r="V81" s="1469"/>
      <c r="W81" s="1484"/>
      <c r="X81" s="1307"/>
    </row>
    <row r="82" spans="1:24" s="1308" customFormat="1" ht="15" customHeight="1" x14ac:dyDescent="0.25">
      <c r="A82" s="730"/>
      <c r="B82" s="1286">
        <f t="shared" si="18"/>
        <v>3</v>
      </c>
      <c r="C82" s="1345" t="s">
        <v>1240</v>
      </c>
      <c r="D82" s="1346"/>
      <c r="E82" s="1346"/>
      <c r="F82" s="1347"/>
      <c r="G82" s="1329"/>
      <c r="H82" s="1330"/>
      <c r="I82" s="1330"/>
      <c r="J82" s="1330"/>
      <c r="K82" s="1330"/>
      <c r="L82" s="1330"/>
      <c r="M82" s="1330"/>
      <c r="N82" s="1330"/>
      <c r="O82" s="1334"/>
      <c r="P82" s="1330"/>
      <c r="Q82" s="1331"/>
      <c r="R82" s="1332"/>
      <c r="S82" s="1333"/>
      <c r="T82" s="1468"/>
      <c r="U82" s="1468"/>
      <c r="V82" s="1469"/>
      <c r="W82" s="1484"/>
      <c r="X82" s="1307"/>
    </row>
    <row r="83" spans="1:24" s="1308" customFormat="1" ht="15" customHeight="1" x14ac:dyDescent="0.25">
      <c r="A83" s="730"/>
      <c r="B83" s="1286">
        <f t="shared" si="18"/>
        <v>4</v>
      </c>
      <c r="C83" s="1345" t="s">
        <v>1241</v>
      </c>
      <c r="D83" s="1346"/>
      <c r="E83" s="1346"/>
      <c r="F83" s="1347"/>
      <c r="G83" s="1329"/>
      <c r="H83" s="1330"/>
      <c r="I83" s="1330"/>
      <c r="J83" s="1330"/>
      <c r="K83" s="1330"/>
      <c r="L83" s="1330"/>
      <c r="M83" s="1330"/>
      <c r="N83" s="1330"/>
      <c r="O83" s="1334"/>
      <c r="P83" s="1330"/>
      <c r="Q83" s="1331"/>
      <c r="R83" s="1332"/>
      <c r="S83" s="1333"/>
      <c r="T83" s="1468"/>
      <c r="U83" s="1468"/>
      <c r="V83" s="1469"/>
      <c r="W83" s="1484"/>
      <c r="X83" s="1307"/>
    </row>
    <row r="84" spans="1:24" s="1308" customFormat="1" ht="15" customHeight="1" x14ac:dyDescent="0.25">
      <c r="A84" s="730"/>
      <c r="B84" s="1286">
        <f t="shared" si="18"/>
        <v>5</v>
      </c>
      <c r="C84" s="1345" t="s">
        <v>1242</v>
      </c>
      <c r="D84" s="1346"/>
      <c r="E84" s="1346"/>
      <c r="F84" s="1347"/>
      <c r="G84" s="1329"/>
      <c r="H84" s="1330"/>
      <c r="I84" s="1330"/>
      <c r="J84" s="1330"/>
      <c r="K84" s="1330"/>
      <c r="L84" s="1330"/>
      <c r="M84" s="1330"/>
      <c r="N84" s="1330"/>
      <c r="O84" s="1334"/>
      <c r="P84" s="1330"/>
      <c r="Q84" s="1331"/>
      <c r="R84" s="1332"/>
      <c r="S84" s="1333"/>
      <c r="T84" s="1468"/>
      <c r="U84" s="1468"/>
      <c r="V84" s="1469"/>
      <c r="W84" s="1484"/>
      <c r="X84" s="1307"/>
    </row>
    <row r="85" spans="1:24" s="1308" customFormat="1" ht="15" customHeight="1" x14ac:dyDescent="0.25">
      <c r="A85" s="730"/>
      <c r="B85" s="1286">
        <f t="shared" si="18"/>
        <v>6</v>
      </c>
      <c r="C85" s="1345" t="s">
        <v>1243</v>
      </c>
      <c r="D85" s="1346"/>
      <c r="E85" s="1346"/>
      <c r="F85" s="1347"/>
      <c r="G85" s="1329"/>
      <c r="H85" s="1330"/>
      <c r="I85" s="1330"/>
      <c r="J85" s="1330"/>
      <c r="K85" s="1330"/>
      <c r="L85" s="1330"/>
      <c r="M85" s="1330"/>
      <c r="N85" s="1330"/>
      <c r="O85" s="1334"/>
      <c r="P85" s="1330"/>
      <c r="Q85" s="1331"/>
      <c r="R85" s="1332"/>
      <c r="S85" s="1333"/>
      <c r="T85" s="1468"/>
      <c r="U85" s="1468"/>
      <c r="V85" s="1469"/>
      <c r="W85" s="1484"/>
      <c r="X85" s="1307"/>
    </row>
    <row r="86" spans="1:24" s="1308" customFormat="1" ht="15" customHeight="1" x14ac:dyDescent="0.25">
      <c r="A86" s="730"/>
      <c r="B86" s="1286">
        <f t="shared" si="18"/>
        <v>7</v>
      </c>
      <c r="C86" s="1345" t="s">
        <v>1244</v>
      </c>
      <c r="D86" s="1346"/>
      <c r="E86" s="1346"/>
      <c r="F86" s="1347"/>
      <c r="G86" s="1329"/>
      <c r="H86" s="1330"/>
      <c r="I86" s="1330"/>
      <c r="J86" s="1330"/>
      <c r="K86" s="1330"/>
      <c r="L86" s="1330"/>
      <c r="M86" s="1330"/>
      <c r="N86" s="1330"/>
      <c r="O86" s="1334"/>
      <c r="P86" s="1330"/>
      <c r="Q86" s="1331"/>
      <c r="R86" s="1332"/>
      <c r="S86" s="1333"/>
      <c r="T86" s="1468"/>
      <c r="U86" s="1468"/>
      <c r="V86" s="1469"/>
      <c r="W86" s="1484"/>
      <c r="X86" s="1307"/>
    </row>
    <row r="87" spans="1:24" s="1308" customFormat="1" ht="15" customHeight="1" x14ac:dyDescent="0.25">
      <c r="A87" s="730"/>
      <c r="B87" s="1286">
        <f t="shared" si="18"/>
        <v>8</v>
      </c>
      <c r="C87" s="1345" t="s">
        <v>1245</v>
      </c>
      <c r="D87" s="1346"/>
      <c r="E87" s="1346"/>
      <c r="F87" s="1347"/>
      <c r="G87" s="1329"/>
      <c r="H87" s="1330"/>
      <c r="I87" s="1330"/>
      <c r="J87" s="1330"/>
      <c r="K87" s="1330"/>
      <c r="L87" s="1330"/>
      <c r="M87" s="1330"/>
      <c r="N87" s="1330"/>
      <c r="O87" s="1334"/>
      <c r="P87" s="1330"/>
      <c r="Q87" s="1331"/>
      <c r="R87" s="1332"/>
      <c r="S87" s="1333"/>
      <c r="T87" s="1468"/>
      <c r="U87" s="1468"/>
      <c r="V87" s="1469"/>
      <c r="W87" s="1484"/>
      <c r="X87" s="1307"/>
    </row>
    <row r="88" spans="1:24" s="1308" customFormat="1" ht="15" customHeight="1" x14ac:dyDescent="0.25">
      <c r="A88" s="730"/>
      <c r="B88" s="1286">
        <f t="shared" si="18"/>
        <v>9</v>
      </c>
      <c r="C88" s="1345" t="s">
        <v>1246</v>
      </c>
      <c r="D88" s="1346"/>
      <c r="E88" s="1346"/>
      <c r="F88" s="1347"/>
      <c r="G88" s="1329"/>
      <c r="H88" s="1330"/>
      <c r="I88" s="1330"/>
      <c r="J88" s="1330"/>
      <c r="K88" s="1330"/>
      <c r="L88" s="1330"/>
      <c r="M88" s="1330"/>
      <c r="N88" s="1330"/>
      <c r="O88" s="1334"/>
      <c r="P88" s="1330"/>
      <c r="Q88" s="1331"/>
      <c r="R88" s="1332"/>
      <c r="S88" s="1333"/>
      <c r="T88" s="1468"/>
      <c r="U88" s="1468"/>
      <c r="V88" s="1469"/>
      <c r="W88" s="1484"/>
      <c r="X88" s="1307"/>
    </row>
    <row r="89" spans="1:24" s="1308" customFormat="1" ht="15" customHeight="1" x14ac:dyDescent="0.25">
      <c r="A89" s="730"/>
      <c r="B89" s="1286">
        <f t="shared" si="18"/>
        <v>10</v>
      </c>
      <c r="C89" s="1345" t="s">
        <v>1247</v>
      </c>
      <c r="D89" s="1346"/>
      <c r="E89" s="1346"/>
      <c r="F89" s="1347"/>
      <c r="G89" s="1329"/>
      <c r="H89" s="1330"/>
      <c r="I89" s="1330"/>
      <c r="J89" s="1330"/>
      <c r="K89" s="1330"/>
      <c r="L89" s="1330"/>
      <c r="M89" s="1330"/>
      <c r="N89" s="1330"/>
      <c r="O89" s="1334"/>
      <c r="P89" s="1330"/>
      <c r="Q89" s="1331"/>
      <c r="R89" s="1332"/>
      <c r="S89" s="1333"/>
      <c r="T89" s="1468"/>
      <c r="U89" s="1468"/>
      <c r="V89" s="1469"/>
      <c r="W89" s="1484"/>
      <c r="X89" s="1307"/>
    </row>
    <row r="90" spans="1:24" s="1308" customFormat="1" ht="15" customHeight="1" x14ac:dyDescent="0.25">
      <c r="A90" s="730"/>
      <c r="B90" s="1286">
        <f t="shared" si="18"/>
        <v>11</v>
      </c>
      <c r="C90" s="1345" t="s">
        <v>1248</v>
      </c>
      <c r="D90" s="1346"/>
      <c r="E90" s="1346"/>
      <c r="F90" s="1347"/>
      <c r="G90" s="1329"/>
      <c r="H90" s="1330"/>
      <c r="I90" s="1330"/>
      <c r="J90" s="1330"/>
      <c r="K90" s="1330"/>
      <c r="L90" s="1330"/>
      <c r="M90" s="1330"/>
      <c r="N90" s="1330"/>
      <c r="O90" s="1334"/>
      <c r="P90" s="1330"/>
      <c r="Q90" s="1331"/>
      <c r="R90" s="1332"/>
      <c r="S90" s="1333"/>
      <c r="T90" s="1468"/>
      <c r="U90" s="1468"/>
      <c r="V90" s="1469"/>
      <c r="W90" s="1484"/>
      <c r="X90" s="1307"/>
    </row>
    <row r="91" spans="1:24" s="1308" customFormat="1" ht="15" customHeight="1" x14ac:dyDescent="0.25">
      <c r="A91" s="730"/>
      <c r="B91" s="1287">
        <f t="shared" si="18"/>
        <v>12</v>
      </c>
      <c r="C91" s="1445" t="s">
        <v>1249</v>
      </c>
      <c r="D91" s="1350"/>
      <c r="E91" s="1350"/>
      <c r="F91" s="1351"/>
      <c r="G91" s="1327"/>
      <c r="H91" s="1303"/>
      <c r="I91" s="1303"/>
      <c r="J91" s="1303"/>
      <c r="K91" s="1303"/>
      <c r="L91" s="1303"/>
      <c r="M91" s="1303"/>
      <c r="N91" s="1303"/>
      <c r="O91" s="1328"/>
      <c r="P91" s="1303"/>
      <c r="Q91" s="1304"/>
      <c r="R91" s="1305"/>
      <c r="S91" s="1306"/>
      <c r="T91" s="1466"/>
      <c r="U91" s="1466"/>
      <c r="V91" s="1467"/>
      <c r="W91" s="1483"/>
      <c r="X91" s="1307"/>
    </row>
    <row r="92" spans="1:24" s="735" customFormat="1" ht="45" customHeight="1" x14ac:dyDescent="0.25">
      <c r="A92" s="733" t="s">
        <v>1273</v>
      </c>
      <c r="B92" s="722"/>
      <c r="C92" s="734"/>
      <c r="D92" s="734"/>
      <c r="E92" s="734"/>
      <c r="F92" s="734"/>
      <c r="X92" s="422"/>
    </row>
    <row r="93" spans="1:24" s="1308" customFormat="1" ht="15" customHeight="1" x14ac:dyDescent="0.25">
      <c r="A93" s="730"/>
      <c r="B93" s="1301">
        <v>1</v>
      </c>
      <c r="C93" s="1341" t="s">
        <v>1743</v>
      </c>
      <c r="D93" s="1341" t="s">
        <v>1743</v>
      </c>
      <c r="E93" s="1342"/>
      <c r="F93" s="1343"/>
      <c r="G93" s="1310"/>
      <c r="H93" s="1311"/>
      <c r="I93" s="1311"/>
      <c r="J93" s="1311"/>
      <c r="K93" s="1311"/>
      <c r="L93" s="1311"/>
      <c r="M93" s="1311"/>
      <c r="N93" s="1311"/>
      <c r="O93" s="1315"/>
      <c r="P93" s="1311"/>
      <c r="Q93" s="1312"/>
      <c r="R93" s="1313"/>
      <c r="S93" s="1314"/>
      <c r="T93" s="1470"/>
      <c r="U93" s="1470"/>
      <c r="V93" s="1471"/>
      <c r="W93" s="1485"/>
      <c r="X93" s="1307"/>
    </row>
    <row r="94" spans="1:24" s="1308" customFormat="1" ht="15" customHeight="1" x14ac:dyDescent="0.25">
      <c r="A94" s="730"/>
      <c r="B94" s="1344">
        <f t="shared" ref="B94:B99" si="19">B93+1</f>
        <v>2</v>
      </c>
      <c r="C94" s="1789" t="s">
        <v>1755</v>
      </c>
      <c r="D94" s="1523" t="s">
        <v>1274</v>
      </c>
      <c r="E94" s="1346"/>
      <c r="F94" s="1347"/>
      <c r="G94" s="1329"/>
      <c r="H94" s="1330"/>
      <c r="I94" s="1330"/>
      <c r="J94" s="1330"/>
      <c r="K94" s="1330"/>
      <c r="L94" s="1330"/>
      <c r="M94" s="1330"/>
      <c r="N94" s="1330"/>
      <c r="O94" s="1334"/>
      <c r="P94" s="1330"/>
      <c r="Q94" s="1331"/>
      <c r="R94" s="1332"/>
      <c r="S94" s="1333"/>
      <c r="T94" s="1468"/>
      <c r="U94" s="1468"/>
      <c r="V94" s="1469"/>
      <c r="W94" s="1484"/>
      <c r="X94" s="1307"/>
    </row>
    <row r="95" spans="1:24" s="1308" customFormat="1" ht="15" customHeight="1" x14ac:dyDescent="0.25">
      <c r="A95" s="730"/>
      <c r="B95" s="1286">
        <f t="shared" si="19"/>
        <v>3</v>
      </c>
      <c r="C95" s="1790"/>
      <c r="D95" s="1345" t="s">
        <v>1275</v>
      </c>
      <c r="E95" s="1346"/>
      <c r="F95" s="1347"/>
      <c r="G95" s="1329"/>
      <c r="H95" s="1330"/>
      <c r="I95" s="1330"/>
      <c r="J95" s="1330"/>
      <c r="K95" s="1330"/>
      <c r="L95" s="1330"/>
      <c r="M95" s="1330"/>
      <c r="N95" s="1330"/>
      <c r="O95" s="1334"/>
      <c r="P95" s="1330"/>
      <c r="Q95" s="1331"/>
      <c r="R95" s="1332"/>
      <c r="S95" s="1333"/>
      <c r="T95" s="1468"/>
      <c r="U95" s="1468"/>
      <c r="V95" s="1469"/>
      <c r="W95" s="1484"/>
      <c r="X95" s="1307"/>
    </row>
    <row r="96" spans="1:24" s="1308" customFormat="1" ht="15" customHeight="1" x14ac:dyDescent="0.25">
      <c r="A96" s="730"/>
      <c r="B96" s="1286">
        <f t="shared" si="19"/>
        <v>4</v>
      </c>
      <c r="C96" s="1790"/>
      <c r="D96" s="1345" t="s">
        <v>1240</v>
      </c>
      <c r="E96" s="1346"/>
      <c r="F96" s="1347"/>
      <c r="G96" s="1329"/>
      <c r="H96" s="1330"/>
      <c r="I96" s="1330"/>
      <c r="J96" s="1330"/>
      <c r="K96" s="1330"/>
      <c r="L96" s="1330"/>
      <c r="M96" s="1330"/>
      <c r="N96" s="1330"/>
      <c r="O96" s="1334"/>
      <c r="P96" s="1330"/>
      <c r="Q96" s="1331"/>
      <c r="R96" s="1332"/>
      <c r="S96" s="1333"/>
      <c r="T96" s="1468"/>
      <c r="U96" s="1468"/>
      <c r="V96" s="1469"/>
      <c r="W96" s="1484"/>
      <c r="X96" s="1307"/>
    </row>
    <row r="97" spans="1:24" s="1308" customFormat="1" ht="15" customHeight="1" x14ac:dyDescent="0.25">
      <c r="A97" s="730"/>
      <c r="B97" s="1286">
        <f t="shared" si="19"/>
        <v>5</v>
      </c>
      <c r="C97" s="1790"/>
      <c r="D97" s="1345" t="s">
        <v>1241</v>
      </c>
      <c r="E97" s="1346"/>
      <c r="F97" s="1347"/>
      <c r="G97" s="1329"/>
      <c r="H97" s="1330"/>
      <c r="I97" s="1330"/>
      <c r="J97" s="1330"/>
      <c r="K97" s="1330"/>
      <c r="L97" s="1330"/>
      <c r="M97" s="1330"/>
      <c r="N97" s="1330"/>
      <c r="O97" s="1334"/>
      <c r="P97" s="1330"/>
      <c r="Q97" s="1331"/>
      <c r="R97" s="1332"/>
      <c r="S97" s="1333"/>
      <c r="T97" s="1468"/>
      <c r="U97" s="1468"/>
      <c r="V97" s="1469"/>
      <c r="W97" s="1484"/>
      <c r="X97" s="1307"/>
    </row>
    <row r="98" spans="1:24" s="1308" customFormat="1" ht="15" customHeight="1" x14ac:dyDescent="0.25">
      <c r="A98" s="730"/>
      <c r="B98" s="1286">
        <f t="shared" si="19"/>
        <v>6</v>
      </c>
      <c r="C98" s="1790"/>
      <c r="D98" s="1345" t="s">
        <v>1242</v>
      </c>
      <c r="E98" s="1346"/>
      <c r="F98" s="1347"/>
      <c r="G98" s="1329"/>
      <c r="H98" s="1330"/>
      <c r="I98" s="1330"/>
      <c r="J98" s="1330"/>
      <c r="K98" s="1330"/>
      <c r="L98" s="1330"/>
      <c r="M98" s="1330"/>
      <c r="N98" s="1330"/>
      <c r="O98" s="1334"/>
      <c r="P98" s="1330"/>
      <c r="Q98" s="1331"/>
      <c r="R98" s="1332"/>
      <c r="S98" s="1333"/>
      <c r="T98" s="1468"/>
      <c r="U98" s="1468"/>
      <c r="V98" s="1469"/>
      <c r="W98" s="1484"/>
      <c r="X98" s="1307"/>
    </row>
    <row r="99" spans="1:24" s="1308" customFormat="1" ht="15" customHeight="1" x14ac:dyDescent="0.25">
      <c r="A99" s="730"/>
      <c r="B99" s="1286">
        <f t="shared" si="19"/>
        <v>7</v>
      </c>
      <c r="C99" s="1790"/>
      <c r="D99" s="1345" t="s">
        <v>1276</v>
      </c>
      <c r="E99" s="1346"/>
      <c r="F99" s="1346"/>
      <c r="G99" s="1329"/>
      <c r="H99" s="1329"/>
      <c r="I99" s="1329"/>
      <c r="J99" s="1329"/>
      <c r="K99" s="1329"/>
      <c r="L99" s="1329"/>
      <c r="M99" s="1329"/>
      <c r="N99" s="1329"/>
      <c r="O99" s="1329"/>
      <c r="P99" s="1329"/>
      <c r="Q99" s="1329"/>
      <c r="R99" s="1329"/>
      <c r="S99" s="1329"/>
      <c r="T99" s="1468"/>
      <c r="U99" s="1468"/>
      <c r="V99" s="1468"/>
      <c r="W99" s="1468"/>
      <c r="X99" s="1307"/>
    </row>
    <row r="100" spans="1:24" s="423" customFormat="1" ht="15" customHeight="1" x14ac:dyDescent="0.25">
      <c r="A100" s="1189"/>
      <c r="B100" s="1287">
        <v>8</v>
      </c>
      <c r="C100" s="1791"/>
      <c r="D100" s="1540" t="s">
        <v>1756</v>
      </c>
      <c r="E100" s="1350"/>
      <c r="F100" s="1350"/>
      <c r="G100" s="1303"/>
      <c r="H100" s="1303"/>
      <c r="I100" s="1472"/>
      <c r="J100" s="1472"/>
      <c r="K100" s="1472"/>
      <c r="L100" s="1472"/>
      <c r="M100" s="1472"/>
      <c r="N100" s="1472"/>
      <c r="O100" s="1472"/>
      <c r="P100" s="1472"/>
      <c r="Q100" s="1472"/>
      <c r="R100" s="1472"/>
      <c r="S100" s="1472"/>
      <c r="T100" s="1472"/>
      <c r="U100" s="1472"/>
      <c r="V100" s="1472"/>
      <c r="W100" s="1472"/>
      <c r="X100" s="456"/>
    </row>
    <row r="101" spans="1:24" ht="30" customHeight="1" x14ac:dyDescent="0.3">
      <c r="A101" s="728" t="s">
        <v>1277</v>
      </c>
      <c r="B101" s="731"/>
      <c r="C101" s="732"/>
      <c r="D101" s="732"/>
      <c r="E101" s="732"/>
      <c r="F101" s="732"/>
      <c r="G101" s="716"/>
      <c r="H101" s="716"/>
      <c r="I101" s="716"/>
      <c r="J101" s="716"/>
      <c r="P101" s="1767"/>
      <c r="Q101" s="1767"/>
      <c r="T101" s="1767"/>
      <c r="U101" s="1767"/>
      <c r="X101" s="727"/>
    </row>
    <row r="102" spans="1:24" s="735" customFormat="1" ht="45" customHeight="1" x14ac:dyDescent="0.25">
      <c r="A102" s="733" t="s">
        <v>1290</v>
      </c>
      <c r="B102" s="722"/>
      <c r="C102" s="734"/>
      <c r="D102" s="734"/>
      <c r="E102" s="734"/>
      <c r="F102" s="773"/>
      <c r="X102" s="422"/>
    </row>
    <row r="103" spans="1:24" s="1300" customFormat="1" ht="15" customHeight="1" x14ac:dyDescent="0.25">
      <c r="A103" s="726"/>
      <c r="B103" s="1297"/>
      <c r="C103" s="1298"/>
      <c r="D103" s="1443" t="s">
        <v>1282</v>
      </c>
      <c r="E103" s="1443" t="s">
        <v>1283</v>
      </c>
      <c r="F103" s="1443" t="s">
        <v>1284</v>
      </c>
      <c r="G103" s="1676"/>
      <c r="H103" s="1677"/>
      <c r="I103" s="1677"/>
      <c r="J103" s="1677"/>
      <c r="K103" s="1677"/>
      <c r="L103" s="1677"/>
      <c r="M103" s="1677"/>
      <c r="N103" s="1677"/>
      <c r="O103" s="1677"/>
      <c r="P103" s="1677"/>
      <c r="Q103" s="1677"/>
      <c r="R103" s="1677"/>
      <c r="S103" s="1677"/>
      <c r="T103" s="1677"/>
      <c r="U103" s="1677"/>
      <c r="V103" s="1677"/>
      <c r="W103" s="1778"/>
      <c r="X103" s="1299"/>
    </row>
    <row r="104" spans="1:24" s="1308" customFormat="1" ht="15" customHeight="1" x14ac:dyDescent="0.25">
      <c r="A104" s="730"/>
      <c r="B104" s="1285">
        <v>1</v>
      </c>
      <c r="C104" s="1774" t="s">
        <v>1259</v>
      </c>
      <c r="D104" s="1780" t="s">
        <v>1278</v>
      </c>
      <c r="E104" s="1780" t="s">
        <v>1280</v>
      </c>
      <c r="F104" s="1450" t="s">
        <v>1424</v>
      </c>
      <c r="G104" s="1316"/>
      <c r="H104" s="1317"/>
      <c r="I104" s="1317"/>
      <c r="J104" s="1317"/>
      <c r="K104" s="1317"/>
      <c r="L104" s="1317"/>
      <c r="M104" s="1317"/>
      <c r="N104" s="1317"/>
      <c r="O104" s="1321"/>
      <c r="P104" s="1317"/>
      <c r="Q104" s="1318"/>
      <c r="R104" s="1319"/>
      <c r="S104" s="1320"/>
      <c r="T104" s="1349"/>
      <c r="U104" s="1460"/>
      <c r="V104" s="1461"/>
      <c r="W104" s="1481"/>
      <c r="X104" s="1307"/>
    </row>
    <row r="105" spans="1:24" s="1308" customFormat="1" ht="15" customHeight="1" x14ac:dyDescent="0.25">
      <c r="A105" s="730"/>
      <c r="B105" s="1286">
        <f t="shared" ref="B105:B168" si="20">B104+1</f>
        <v>2</v>
      </c>
      <c r="C105" s="1775"/>
      <c r="D105" s="1779"/>
      <c r="E105" s="1779"/>
      <c r="F105" s="1448" t="s">
        <v>1285</v>
      </c>
      <c r="G105" s="1302"/>
      <c r="H105" s="1322"/>
      <c r="I105" s="1322"/>
      <c r="J105" s="1322"/>
      <c r="K105" s="1322"/>
      <c r="L105" s="1322"/>
      <c r="M105" s="1322"/>
      <c r="N105" s="1322"/>
      <c r="O105" s="1326"/>
      <c r="P105" s="1322"/>
      <c r="Q105" s="1323"/>
      <c r="R105" s="1324"/>
      <c r="S105" s="1325"/>
      <c r="T105" s="1353"/>
      <c r="U105" s="1463"/>
      <c r="V105" s="1464"/>
      <c r="W105" s="1482"/>
      <c r="X105" s="1307"/>
    </row>
    <row r="106" spans="1:24" s="1308" customFormat="1" ht="15" customHeight="1" x14ac:dyDescent="0.25">
      <c r="A106" s="730"/>
      <c r="B106" s="1286">
        <f t="shared" si="20"/>
        <v>3</v>
      </c>
      <c r="C106" s="1775"/>
      <c r="D106" s="1779"/>
      <c r="E106" s="1779" t="s">
        <v>1623</v>
      </c>
      <c r="F106" s="1448" t="s">
        <v>1424</v>
      </c>
      <c r="G106" s="1302"/>
      <c r="H106" s="1322"/>
      <c r="I106" s="1322"/>
      <c r="J106" s="1322"/>
      <c r="K106" s="1322"/>
      <c r="L106" s="1322"/>
      <c r="M106" s="1322"/>
      <c r="N106" s="1322"/>
      <c r="O106" s="1326"/>
      <c r="P106" s="1322"/>
      <c r="Q106" s="1323"/>
      <c r="R106" s="1324"/>
      <c r="S106" s="1325"/>
      <c r="T106" s="1353"/>
      <c r="U106" s="1463"/>
      <c r="V106" s="1464"/>
      <c r="W106" s="1482"/>
      <c r="X106" s="1307"/>
    </row>
    <row r="107" spans="1:24" s="1308" customFormat="1" ht="15" customHeight="1" x14ac:dyDescent="0.25">
      <c r="A107" s="730"/>
      <c r="B107" s="1286">
        <f t="shared" si="20"/>
        <v>4</v>
      </c>
      <c r="C107" s="1775"/>
      <c r="D107" s="1779"/>
      <c r="E107" s="1779"/>
      <c r="F107" s="1448" t="s">
        <v>1285</v>
      </c>
      <c r="G107" s="1302"/>
      <c r="H107" s="1322"/>
      <c r="I107" s="1322"/>
      <c r="J107" s="1322"/>
      <c r="K107" s="1322"/>
      <c r="L107" s="1322"/>
      <c r="M107" s="1322"/>
      <c r="N107" s="1322"/>
      <c r="O107" s="1326"/>
      <c r="P107" s="1322"/>
      <c r="Q107" s="1323"/>
      <c r="R107" s="1324"/>
      <c r="S107" s="1325"/>
      <c r="T107" s="1353"/>
      <c r="U107" s="1463"/>
      <c r="V107" s="1464"/>
      <c r="W107" s="1482"/>
      <c r="X107" s="1307"/>
    </row>
    <row r="108" spans="1:24" s="1308" customFormat="1" ht="15" customHeight="1" x14ac:dyDescent="0.25">
      <c r="A108" s="730"/>
      <c r="B108" s="1286">
        <f t="shared" si="20"/>
        <v>5</v>
      </c>
      <c r="C108" s="1775"/>
      <c r="D108" s="1779"/>
      <c r="E108" s="1779" t="s">
        <v>1281</v>
      </c>
      <c r="F108" s="1448" t="s">
        <v>1424</v>
      </c>
      <c r="G108" s="1302"/>
      <c r="H108" s="1322"/>
      <c r="I108" s="1322"/>
      <c r="J108" s="1322"/>
      <c r="K108" s="1322"/>
      <c r="L108" s="1322"/>
      <c r="M108" s="1322"/>
      <c r="N108" s="1322"/>
      <c r="O108" s="1326"/>
      <c r="P108" s="1322"/>
      <c r="Q108" s="1323"/>
      <c r="R108" s="1324"/>
      <c r="S108" s="1325"/>
      <c r="T108" s="1353"/>
      <c r="U108" s="1463"/>
      <c r="V108" s="1464"/>
      <c r="W108" s="1482"/>
      <c r="X108" s="1307"/>
    </row>
    <row r="109" spans="1:24" s="1308" customFormat="1" ht="15" customHeight="1" x14ac:dyDescent="0.25">
      <c r="A109" s="730"/>
      <c r="B109" s="1286">
        <f t="shared" si="20"/>
        <v>6</v>
      </c>
      <c r="C109" s="1775"/>
      <c r="D109" s="1779"/>
      <c r="E109" s="1779"/>
      <c r="F109" s="1448" t="s">
        <v>1285</v>
      </c>
      <c r="G109" s="1302"/>
      <c r="H109" s="1322"/>
      <c r="I109" s="1322"/>
      <c r="J109" s="1322"/>
      <c r="K109" s="1322"/>
      <c r="L109" s="1322"/>
      <c r="M109" s="1322"/>
      <c r="N109" s="1322"/>
      <c r="O109" s="1326"/>
      <c r="P109" s="1322"/>
      <c r="Q109" s="1323"/>
      <c r="R109" s="1324"/>
      <c r="S109" s="1325"/>
      <c r="T109" s="1353"/>
      <c r="U109" s="1463"/>
      <c r="V109" s="1464"/>
      <c r="W109" s="1482"/>
      <c r="X109" s="1307"/>
    </row>
    <row r="110" spans="1:24" s="1308" customFormat="1" ht="15" customHeight="1" x14ac:dyDescent="0.25">
      <c r="A110" s="730"/>
      <c r="B110" s="1286">
        <f t="shared" si="20"/>
        <v>7</v>
      </c>
      <c r="C110" s="1775"/>
      <c r="D110" s="1779" t="s">
        <v>1624</v>
      </c>
      <c r="E110" s="1779" t="s">
        <v>1280</v>
      </c>
      <c r="F110" s="1448" t="s">
        <v>1424</v>
      </c>
      <c r="G110" s="1302"/>
      <c r="H110" s="1322"/>
      <c r="I110" s="1322"/>
      <c r="J110" s="1322"/>
      <c r="K110" s="1322"/>
      <c r="L110" s="1322"/>
      <c r="M110" s="1322"/>
      <c r="N110" s="1322"/>
      <c r="O110" s="1326"/>
      <c r="P110" s="1322"/>
      <c r="Q110" s="1323"/>
      <c r="R110" s="1324"/>
      <c r="S110" s="1325"/>
      <c r="T110" s="1353"/>
      <c r="U110" s="1463"/>
      <c r="V110" s="1464"/>
      <c r="W110" s="1482"/>
      <c r="X110" s="1307"/>
    </row>
    <row r="111" spans="1:24" s="1308" customFormat="1" ht="15" customHeight="1" x14ac:dyDescent="0.25">
      <c r="A111" s="730"/>
      <c r="B111" s="1286">
        <f t="shared" si="20"/>
        <v>8</v>
      </c>
      <c r="C111" s="1775"/>
      <c r="D111" s="1779"/>
      <c r="E111" s="1779"/>
      <c r="F111" s="1448" t="s">
        <v>1285</v>
      </c>
      <c r="G111" s="1302"/>
      <c r="H111" s="1322"/>
      <c r="I111" s="1322"/>
      <c r="J111" s="1322"/>
      <c r="K111" s="1322"/>
      <c r="L111" s="1322"/>
      <c r="M111" s="1322"/>
      <c r="N111" s="1322"/>
      <c r="O111" s="1326"/>
      <c r="P111" s="1322"/>
      <c r="Q111" s="1323"/>
      <c r="R111" s="1324"/>
      <c r="S111" s="1325"/>
      <c r="T111" s="1353"/>
      <c r="U111" s="1463"/>
      <c r="V111" s="1464"/>
      <c r="W111" s="1482"/>
      <c r="X111" s="1307"/>
    </row>
    <row r="112" spans="1:24" s="1308" customFormat="1" ht="15" customHeight="1" x14ac:dyDescent="0.25">
      <c r="A112" s="730"/>
      <c r="B112" s="1286">
        <f t="shared" si="20"/>
        <v>9</v>
      </c>
      <c r="C112" s="1775"/>
      <c r="D112" s="1779"/>
      <c r="E112" s="1779" t="s">
        <v>1623</v>
      </c>
      <c r="F112" s="1448" t="s">
        <v>1424</v>
      </c>
      <c r="G112" s="1302"/>
      <c r="H112" s="1322"/>
      <c r="I112" s="1322"/>
      <c r="J112" s="1322"/>
      <c r="K112" s="1322"/>
      <c r="L112" s="1322"/>
      <c r="M112" s="1322"/>
      <c r="N112" s="1322"/>
      <c r="O112" s="1326"/>
      <c r="P112" s="1322"/>
      <c r="Q112" s="1323"/>
      <c r="R112" s="1324"/>
      <c r="S112" s="1325"/>
      <c r="T112" s="1353"/>
      <c r="U112" s="1463"/>
      <c r="V112" s="1464"/>
      <c r="W112" s="1482"/>
      <c r="X112" s="1307"/>
    </row>
    <row r="113" spans="1:24" s="1308" customFormat="1" ht="15" customHeight="1" x14ac:dyDescent="0.25">
      <c r="A113" s="730"/>
      <c r="B113" s="1286">
        <f t="shared" si="20"/>
        <v>10</v>
      </c>
      <c r="C113" s="1775"/>
      <c r="D113" s="1779"/>
      <c r="E113" s="1779"/>
      <c r="F113" s="1448" t="s">
        <v>1285</v>
      </c>
      <c r="G113" s="1302"/>
      <c r="H113" s="1322"/>
      <c r="I113" s="1322"/>
      <c r="J113" s="1322"/>
      <c r="K113" s="1322"/>
      <c r="L113" s="1322"/>
      <c r="M113" s="1322"/>
      <c r="N113" s="1322"/>
      <c r="O113" s="1326"/>
      <c r="P113" s="1322"/>
      <c r="Q113" s="1323"/>
      <c r="R113" s="1324"/>
      <c r="S113" s="1325"/>
      <c r="T113" s="1353"/>
      <c r="U113" s="1463"/>
      <c r="V113" s="1464"/>
      <c r="W113" s="1482"/>
      <c r="X113" s="1307"/>
    </row>
    <row r="114" spans="1:24" s="1308" customFormat="1" ht="15" customHeight="1" x14ac:dyDescent="0.25">
      <c r="A114" s="730"/>
      <c r="B114" s="1286">
        <f t="shared" si="20"/>
        <v>11</v>
      </c>
      <c r="C114" s="1775"/>
      <c r="D114" s="1779"/>
      <c r="E114" s="1779" t="s">
        <v>1281</v>
      </c>
      <c r="F114" s="1448" t="s">
        <v>1424</v>
      </c>
      <c r="G114" s="1302"/>
      <c r="H114" s="1322"/>
      <c r="I114" s="1322"/>
      <c r="J114" s="1322"/>
      <c r="K114" s="1322"/>
      <c r="L114" s="1322"/>
      <c r="M114" s="1322"/>
      <c r="N114" s="1322"/>
      <c r="O114" s="1326"/>
      <c r="P114" s="1322"/>
      <c r="Q114" s="1323"/>
      <c r="R114" s="1324"/>
      <c r="S114" s="1325"/>
      <c r="T114" s="1353"/>
      <c r="U114" s="1463"/>
      <c r="V114" s="1464"/>
      <c r="W114" s="1482"/>
      <c r="X114" s="1307"/>
    </row>
    <row r="115" spans="1:24" s="1308" customFormat="1" ht="15" customHeight="1" x14ac:dyDescent="0.25">
      <c r="A115" s="730"/>
      <c r="B115" s="1286">
        <f t="shared" si="20"/>
        <v>12</v>
      </c>
      <c r="C115" s="1775"/>
      <c r="D115" s="1779"/>
      <c r="E115" s="1779"/>
      <c r="F115" s="1448" t="s">
        <v>1285</v>
      </c>
      <c r="G115" s="1302"/>
      <c r="H115" s="1322"/>
      <c r="I115" s="1322"/>
      <c r="J115" s="1322"/>
      <c r="K115" s="1322"/>
      <c r="L115" s="1322"/>
      <c r="M115" s="1322"/>
      <c r="N115" s="1322"/>
      <c r="O115" s="1326"/>
      <c r="P115" s="1322"/>
      <c r="Q115" s="1323"/>
      <c r="R115" s="1324"/>
      <c r="S115" s="1325"/>
      <c r="T115" s="1353"/>
      <c r="U115" s="1463"/>
      <c r="V115" s="1464"/>
      <c r="W115" s="1482"/>
      <c r="X115" s="1307"/>
    </row>
    <row r="116" spans="1:24" s="1308" customFormat="1" ht="15" customHeight="1" x14ac:dyDescent="0.25">
      <c r="A116" s="730"/>
      <c r="B116" s="1286">
        <f t="shared" si="20"/>
        <v>13</v>
      </c>
      <c r="C116" s="1775"/>
      <c r="D116" s="1779" t="s">
        <v>1286</v>
      </c>
      <c r="E116" s="1779" t="s">
        <v>1280</v>
      </c>
      <c r="F116" s="1448" t="s">
        <v>1424</v>
      </c>
      <c r="G116" s="1302"/>
      <c r="H116" s="1322"/>
      <c r="I116" s="1322"/>
      <c r="J116" s="1322"/>
      <c r="K116" s="1322"/>
      <c r="L116" s="1322"/>
      <c r="M116" s="1322"/>
      <c r="N116" s="1322"/>
      <c r="O116" s="1326"/>
      <c r="P116" s="1322"/>
      <c r="Q116" s="1323"/>
      <c r="R116" s="1324"/>
      <c r="S116" s="1325"/>
      <c r="T116" s="1353"/>
      <c r="U116" s="1463"/>
      <c r="V116" s="1464"/>
      <c r="W116" s="1482"/>
      <c r="X116" s="1307"/>
    </row>
    <row r="117" spans="1:24" s="1308" customFormat="1" ht="15" customHeight="1" x14ac:dyDescent="0.25">
      <c r="A117" s="730"/>
      <c r="B117" s="1286">
        <f t="shared" si="20"/>
        <v>14</v>
      </c>
      <c r="C117" s="1775"/>
      <c r="D117" s="1779"/>
      <c r="E117" s="1779"/>
      <c r="F117" s="1448" t="s">
        <v>1285</v>
      </c>
      <c r="G117" s="1302"/>
      <c r="H117" s="1322"/>
      <c r="I117" s="1322"/>
      <c r="J117" s="1322"/>
      <c r="K117" s="1322"/>
      <c r="L117" s="1322"/>
      <c r="M117" s="1322"/>
      <c r="N117" s="1322"/>
      <c r="O117" s="1326"/>
      <c r="P117" s="1322"/>
      <c r="Q117" s="1323"/>
      <c r="R117" s="1324"/>
      <c r="S117" s="1325"/>
      <c r="T117" s="1353"/>
      <c r="U117" s="1463"/>
      <c r="V117" s="1464"/>
      <c r="W117" s="1482"/>
      <c r="X117" s="1307"/>
    </row>
    <row r="118" spans="1:24" s="1308" customFormat="1" ht="15" customHeight="1" x14ac:dyDescent="0.25">
      <c r="A118" s="730"/>
      <c r="B118" s="1286">
        <f t="shared" si="20"/>
        <v>15</v>
      </c>
      <c r="C118" s="1775"/>
      <c r="D118" s="1779"/>
      <c r="E118" s="1779" t="s">
        <v>1623</v>
      </c>
      <c r="F118" s="1448" t="s">
        <v>1424</v>
      </c>
      <c r="G118" s="1302"/>
      <c r="H118" s="1322"/>
      <c r="I118" s="1322"/>
      <c r="J118" s="1322"/>
      <c r="K118" s="1322"/>
      <c r="L118" s="1322"/>
      <c r="M118" s="1322"/>
      <c r="N118" s="1322"/>
      <c r="O118" s="1326"/>
      <c r="P118" s="1322"/>
      <c r="Q118" s="1323"/>
      <c r="R118" s="1324"/>
      <c r="S118" s="1325"/>
      <c r="T118" s="1353"/>
      <c r="U118" s="1463"/>
      <c r="V118" s="1464"/>
      <c r="W118" s="1482"/>
      <c r="X118" s="1307"/>
    </row>
    <row r="119" spans="1:24" s="1308" customFormat="1" ht="15" customHeight="1" x14ac:dyDescent="0.25">
      <c r="A119" s="730"/>
      <c r="B119" s="1286">
        <f t="shared" si="20"/>
        <v>16</v>
      </c>
      <c r="C119" s="1775"/>
      <c r="D119" s="1779"/>
      <c r="E119" s="1779"/>
      <c r="F119" s="1448" t="s">
        <v>1285</v>
      </c>
      <c r="G119" s="1302"/>
      <c r="H119" s="1322"/>
      <c r="I119" s="1322"/>
      <c r="J119" s="1322"/>
      <c r="K119" s="1322"/>
      <c r="L119" s="1322"/>
      <c r="M119" s="1322"/>
      <c r="N119" s="1322"/>
      <c r="O119" s="1326"/>
      <c r="P119" s="1322"/>
      <c r="Q119" s="1323"/>
      <c r="R119" s="1324"/>
      <c r="S119" s="1325"/>
      <c r="T119" s="1353"/>
      <c r="U119" s="1463"/>
      <c r="V119" s="1464"/>
      <c r="W119" s="1482"/>
      <c r="X119" s="1307"/>
    </row>
    <row r="120" spans="1:24" s="1308" customFormat="1" ht="15" customHeight="1" x14ac:dyDescent="0.25">
      <c r="A120" s="730"/>
      <c r="B120" s="1286">
        <f t="shared" si="20"/>
        <v>17</v>
      </c>
      <c r="C120" s="1775"/>
      <c r="D120" s="1779"/>
      <c r="E120" s="1779" t="s">
        <v>1281</v>
      </c>
      <c r="F120" s="1448" t="s">
        <v>1424</v>
      </c>
      <c r="G120" s="1302"/>
      <c r="H120" s="1322"/>
      <c r="I120" s="1322"/>
      <c r="J120" s="1322"/>
      <c r="K120" s="1322"/>
      <c r="L120" s="1322"/>
      <c r="M120" s="1322"/>
      <c r="N120" s="1322"/>
      <c r="O120" s="1326"/>
      <c r="P120" s="1322"/>
      <c r="Q120" s="1323"/>
      <c r="R120" s="1324"/>
      <c r="S120" s="1325"/>
      <c r="T120" s="1353"/>
      <c r="U120" s="1463"/>
      <c r="V120" s="1464"/>
      <c r="W120" s="1482"/>
      <c r="X120" s="1307"/>
    </row>
    <row r="121" spans="1:24" s="1308" customFormat="1" ht="15" customHeight="1" x14ac:dyDescent="0.25">
      <c r="A121" s="730"/>
      <c r="B121" s="1286">
        <f t="shared" si="20"/>
        <v>18</v>
      </c>
      <c r="C121" s="1775"/>
      <c r="D121" s="1779"/>
      <c r="E121" s="1779"/>
      <c r="F121" s="1448" t="s">
        <v>1285</v>
      </c>
      <c r="G121" s="1302"/>
      <c r="H121" s="1322"/>
      <c r="I121" s="1322"/>
      <c r="J121" s="1322"/>
      <c r="K121" s="1322"/>
      <c r="L121" s="1322"/>
      <c r="M121" s="1322"/>
      <c r="N121" s="1322"/>
      <c r="O121" s="1326"/>
      <c r="P121" s="1322"/>
      <c r="Q121" s="1323"/>
      <c r="R121" s="1324"/>
      <c r="S121" s="1325"/>
      <c r="T121" s="1353"/>
      <c r="U121" s="1463"/>
      <c r="V121" s="1464"/>
      <c r="W121" s="1482"/>
      <c r="X121" s="1307"/>
    </row>
    <row r="122" spans="1:24" s="1308" customFormat="1" ht="15" customHeight="1" x14ac:dyDescent="0.25">
      <c r="A122" s="730"/>
      <c r="B122" s="1286">
        <f t="shared" si="20"/>
        <v>19</v>
      </c>
      <c r="C122" s="1775"/>
      <c r="D122" s="1779" t="s">
        <v>1287</v>
      </c>
      <c r="E122" s="1779" t="s">
        <v>1280</v>
      </c>
      <c r="F122" s="1448" t="s">
        <v>1424</v>
      </c>
      <c r="G122" s="1302"/>
      <c r="H122" s="1322"/>
      <c r="I122" s="1322"/>
      <c r="J122" s="1322"/>
      <c r="K122" s="1322"/>
      <c r="L122" s="1322"/>
      <c r="M122" s="1322"/>
      <c r="N122" s="1322"/>
      <c r="O122" s="1326"/>
      <c r="P122" s="1322"/>
      <c r="Q122" s="1323"/>
      <c r="R122" s="1324"/>
      <c r="S122" s="1325"/>
      <c r="T122" s="1353"/>
      <c r="U122" s="1463"/>
      <c r="V122" s="1464"/>
      <c r="W122" s="1482"/>
      <c r="X122" s="1307"/>
    </row>
    <row r="123" spans="1:24" s="1308" customFormat="1" ht="15" customHeight="1" x14ac:dyDescent="0.25">
      <c r="A123" s="730"/>
      <c r="B123" s="1286">
        <f t="shared" si="20"/>
        <v>20</v>
      </c>
      <c r="C123" s="1775"/>
      <c r="D123" s="1779"/>
      <c r="E123" s="1779"/>
      <c r="F123" s="1448" t="s">
        <v>1285</v>
      </c>
      <c r="G123" s="1302"/>
      <c r="H123" s="1322"/>
      <c r="I123" s="1322"/>
      <c r="J123" s="1322"/>
      <c r="K123" s="1322"/>
      <c r="L123" s="1322"/>
      <c r="M123" s="1322"/>
      <c r="N123" s="1322"/>
      <c r="O123" s="1326"/>
      <c r="P123" s="1322"/>
      <c r="Q123" s="1323"/>
      <c r="R123" s="1324"/>
      <c r="S123" s="1325"/>
      <c r="T123" s="1353"/>
      <c r="U123" s="1463"/>
      <c r="V123" s="1464"/>
      <c r="W123" s="1482"/>
      <c r="X123" s="1307"/>
    </row>
    <row r="124" spans="1:24" s="1308" customFormat="1" ht="15" customHeight="1" x14ac:dyDescent="0.25">
      <c r="A124" s="730"/>
      <c r="B124" s="1286">
        <f t="shared" si="20"/>
        <v>21</v>
      </c>
      <c r="C124" s="1775"/>
      <c r="D124" s="1779"/>
      <c r="E124" s="1779" t="s">
        <v>1623</v>
      </c>
      <c r="F124" s="1448" t="s">
        <v>1424</v>
      </c>
      <c r="G124" s="1302"/>
      <c r="H124" s="1322"/>
      <c r="I124" s="1322"/>
      <c r="J124" s="1322"/>
      <c r="K124" s="1322"/>
      <c r="L124" s="1322"/>
      <c r="M124" s="1322"/>
      <c r="N124" s="1322"/>
      <c r="O124" s="1326"/>
      <c r="P124" s="1322"/>
      <c r="Q124" s="1323"/>
      <c r="R124" s="1324"/>
      <c r="S124" s="1325"/>
      <c r="T124" s="1353"/>
      <c r="U124" s="1463"/>
      <c r="V124" s="1464"/>
      <c r="W124" s="1482"/>
      <c r="X124" s="1307"/>
    </row>
    <row r="125" spans="1:24" s="1308" customFormat="1" ht="15" customHeight="1" x14ac:dyDescent="0.25">
      <c r="A125" s="730"/>
      <c r="B125" s="1286">
        <f t="shared" si="20"/>
        <v>22</v>
      </c>
      <c r="C125" s="1775"/>
      <c r="D125" s="1779"/>
      <c r="E125" s="1779"/>
      <c r="F125" s="1448" t="s">
        <v>1285</v>
      </c>
      <c r="G125" s="1302"/>
      <c r="H125" s="1322"/>
      <c r="I125" s="1322"/>
      <c r="J125" s="1322"/>
      <c r="K125" s="1322"/>
      <c r="L125" s="1322"/>
      <c r="M125" s="1322"/>
      <c r="N125" s="1322"/>
      <c r="O125" s="1326"/>
      <c r="P125" s="1322"/>
      <c r="Q125" s="1323"/>
      <c r="R125" s="1324"/>
      <c r="S125" s="1325"/>
      <c r="T125" s="1353"/>
      <c r="U125" s="1463"/>
      <c r="V125" s="1464"/>
      <c r="W125" s="1482"/>
      <c r="X125" s="1307"/>
    </row>
    <row r="126" spans="1:24" s="1308" customFormat="1" ht="15" customHeight="1" x14ac:dyDescent="0.25">
      <c r="A126" s="730"/>
      <c r="B126" s="1286">
        <f t="shared" si="20"/>
        <v>23</v>
      </c>
      <c r="C126" s="1775"/>
      <c r="D126" s="1779"/>
      <c r="E126" s="1779" t="s">
        <v>1281</v>
      </c>
      <c r="F126" s="1448" t="s">
        <v>1424</v>
      </c>
      <c r="G126" s="1302"/>
      <c r="H126" s="1322"/>
      <c r="I126" s="1322"/>
      <c r="J126" s="1322"/>
      <c r="K126" s="1322"/>
      <c r="L126" s="1322"/>
      <c r="M126" s="1322"/>
      <c r="N126" s="1322"/>
      <c r="O126" s="1326"/>
      <c r="P126" s="1322"/>
      <c r="Q126" s="1323"/>
      <c r="R126" s="1324"/>
      <c r="S126" s="1325"/>
      <c r="T126" s="1353"/>
      <c r="U126" s="1463"/>
      <c r="V126" s="1464"/>
      <c r="W126" s="1482"/>
      <c r="X126" s="1307"/>
    </row>
    <row r="127" spans="1:24" s="1308" customFormat="1" ht="15" customHeight="1" x14ac:dyDescent="0.25">
      <c r="A127" s="730"/>
      <c r="B127" s="1286">
        <f t="shared" si="20"/>
        <v>24</v>
      </c>
      <c r="C127" s="1775"/>
      <c r="D127" s="1779"/>
      <c r="E127" s="1779"/>
      <c r="F127" s="1448" t="s">
        <v>1285</v>
      </c>
      <c r="G127" s="1302"/>
      <c r="H127" s="1322"/>
      <c r="I127" s="1322"/>
      <c r="J127" s="1322"/>
      <c r="K127" s="1322"/>
      <c r="L127" s="1322"/>
      <c r="M127" s="1322"/>
      <c r="N127" s="1322"/>
      <c r="O127" s="1326"/>
      <c r="P127" s="1322"/>
      <c r="Q127" s="1323"/>
      <c r="R127" s="1324"/>
      <c r="S127" s="1325"/>
      <c r="T127" s="1353"/>
      <c r="U127" s="1463"/>
      <c r="V127" s="1464"/>
      <c r="W127" s="1482"/>
      <c r="X127" s="1307"/>
    </row>
    <row r="128" spans="1:24" s="1308" customFormat="1" ht="15" customHeight="1" x14ac:dyDescent="0.25">
      <c r="A128" s="730"/>
      <c r="B128" s="1286">
        <f t="shared" si="20"/>
        <v>25</v>
      </c>
      <c r="C128" s="1775"/>
      <c r="D128" s="1779" t="s">
        <v>1288</v>
      </c>
      <c r="E128" s="1779" t="s">
        <v>1280</v>
      </c>
      <c r="F128" s="1448" t="s">
        <v>1424</v>
      </c>
      <c r="G128" s="1302"/>
      <c r="H128" s="1322"/>
      <c r="I128" s="1322"/>
      <c r="J128" s="1322"/>
      <c r="K128" s="1322"/>
      <c r="L128" s="1322"/>
      <c r="M128" s="1322"/>
      <c r="N128" s="1322"/>
      <c r="O128" s="1326"/>
      <c r="P128" s="1322"/>
      <c r="Q128" s="1323"/>
      <c r="R128" s="1324"/>
      <c r="S128" s="1325"/>
      <c r="T128" s="1353"/>
      <c r="U128" s="1463"/>
      <c r="V128" s="1464"/>
      <c r="W128" s="1482"/>
      <c r="X128" s="1307"/>
    </row>
    <row r="129" spans="1:24" s="1308" customFormat="1" ht="15" customHeight="1" x14ac:dyDescent="0.25">
      <c r="A129" s="730"/>
      <c r="B129" s="1286">
        <f t="shared" si="20"/>
        <v>26</v>
      </c>
      <c r="C129" s="1775"/>
      <c r="D129" s="1779"/>
      <c r="E129" s="1779"/>
      <c r="F129" s="1448" t="s">
        <v>1285</v>
      </c>
      <c r="G129" s="1302"/>
      <c r="H129" s="1322"/>
      <c r="I129" s="1322"/>
      <c r="J129" s="1322"/>
      <c r="K129" s="1322"/>
      <c r="L129" s="1322"/>
      <c r="M129" s="1322"/>
      <c r="N129" s="1322"/>
      <c r="O129" s="1326"/>
      <c r="P129" s="1322"/>
      <c r="Q129" s="1323"/>
      <c r="R129" s="1324"/>
      <c r="S129" s="1325"/>
      <c r="T129" s="1353"/>
      <c r="U129" s="1463"/>
      <c r="V129" s="1464"/>
      <c r="W129" s="1482"/>
      <c r="X129" s="1307"/>
    </row>
    <row r="130" spans="1:24" s="1308" customFormat="1" ht="15" customHeight="1" x14ac:dyDescent="0.25">
      <c r="A130" s="730"/>
      <c r="B130" s="1286">
        <f t="shared" si="20"/>
        <v>27</v>
      </c>
      <c r="C130" s="1775"/>
      <c r="D130" s="1779"/>
      <c r="E130" s="1779" t="s">
        <v>1623</v>
      </c>
      <c r="F130" s="1448" t="s">
        <v>1424</v>
      </c>
      <c r="G130" s="1302"/>
      <c r="H130" s="1322"/>
      <c r="I130" s="1322"/>
      <c r="J130" s="1322"/>
      <c r="K130" s="1322"/>
      <c r="L130" s="1322"/>
      <c r="M130" s="1322"/>
      <c r="N130" s="1322"/>
      <c r="O130" s="1326"/>
      <c r="P130" s="1322"/>
      <c r="Q130" s="1323"/>
      <c r="R130" s="1324"/>
      <c r="S130" s="1325"/>
      <c r="T130" s="1353"/>
      <c r="U130" s="1463"/>
      <c r="V130" s="1464"/>
      <c r="W130" s="1482"/>
      <c r="X130" s="1307"/>
    </row>
    <row r="131" spans="1:24" s="1308" customFormat="1" ht="15" customHeight="1" x14ac:dyDescent="0.25">
      <c r="A131" s="730"/>
      <c r="B131" s="1286">
        <f t="shared" si="20"/>
        <v>28</v>
      </c>
      <c r="C131" s="1775"/>
      <c r="D131" s="1779"/>
      <c r="E131" s="1779"/>
      <c r="F131" s="1448" t="s">
        <v>1285</v>
      </c>
      <c r="G131" s="1302"/>
      <c r="H131" s="1322"/>
      <c r="I131" s="1322"/>
      <c r="J131" s="1322"/>
      <c r="K131" s="1322"/>
      <c r="L131" s="1322"/>
      <c r="M131" s="1322"/>
      <c r="N131" s="1322"/>
      <c r="O131" s="1326"/>
      <c r="P131" s="1322"/>
      <c r="Q131" s="1323"/>
      <c r="R131" s="1324"/>
      <c r="S131" s="1325"/>
      <c r="T131" s="1353"/>
      <c r="U131" s="1463"/>
      <c r="V131" s="1464"/>
      <c r="W131" s="1482"/>
      <c r="X131" s="1307"/>
    </row>
    <row r="132" spans="1:24" s="1308" customFormat="1" ht="15" customHeight="1" x14ac:dyDescent="0.25">
      <c r="A132" s="730"/>
      <c r="B132" s="1286">
        <f t="shared" si="20"/>
        <v>29</v>
      </c>
      <c r="C132" s="1775"/>
      <c r="D132" s="1779"/>
      <c r="E132" s="1779" t="s">
        <v>1281</v>
      </c>
      <c r="F132" s="1448" t="s">
        <v>1424</v>
      </c>
      <c r="G132" s="1302"/>
      <c r="H132" s="1322"/>
      <c r="I132" s="1322"/>
      <c r="J132" s="1322"/>
      <c r="K132" s="1322"/>
      <c r="L132" s="1322"/>
      <c r="M132" s="1322"/>
      <c r="N132" s="1322"/>
      <c r="O132" s="1326"/>
      <c r="P132" s="1322"/>
      <c r="Q132" s="1323"/>
      <c r="R132" s="1324"/>
      <c r="S132" s="1325"/>
      <c r="T132" s="1353"/>
      <c r="U132" s="1463"/>
      <c r="V132" s="1464"/>
      <c r="W132" s="1482"/>
      <c r="X132" s="1307"/>
    </row>
    <row r="133" spans="1:24" s="1308" customFormat="1" ht="15" customHeight="1" x14ac:dyDescent="0.25">
      <c r="A133" s="730"/>
      <c r="B133" s="1286">
        <f t="shared" si="20"/>
        <v>30</v>
      </c>
      <c r="C133" s="1775"/>
      <c r="D133" s="1779"/>
      <c r="E133" s="1779"/>
      <c r="F133" s="1448" t="s">
        <v>1285</v>
      </c>
      <c r="G133" s="1302"/>
      <c r="H133" s="1322"/>
      <c r="I133" s="1322"/>
      <c r="J133" s="1322"/>
      <c r="K133" s="1322"/>
      <c r="L133" s="1322"/>
      <c r="M133" s="1322"/>
      <c r="N133" s="1322"/>
      <c r="O133" s="1326"/>
      <c r="P133" s="1322"/>
      <c r="Q133" s="1323"/>
      <c r="R133" s="1324"/>
      <c r="S133" s="1325"/>
      <c r="T133" s="1353"/>
      <c r="U133" s="1463"/>
      <c r="V133" s="1464"/>
      <c r="W133" s="1482"/>
      <c r="X133" s="1307"/>
    </row>
    <row r="134" spans="1:24" s="1308" customFormat="1" ht="15" customHeight="1" x14ac:dyDescent="0.25">
      <c r="A134" s="730"/>
      <c r="B134" s="1286">
        <f t="shared" si="20"/>
        <v>31</v>
      </c>
      <c r="C134" s="1775"/>
      <c r="D134" s="1779" t="s">
        <v>1279</v>
      </c>
      <c r="E134" s="1779" t="s">
        <v>1280</v>
      </c>
      <c r="F134" s="1448" t="s">
        <v>1424</v>
      </c>
      <c r="G134" s="1302"/>
      <c r="H134" s="1322"/>
      <c r="I134" s="1322"/>
      <c r="J134" s="1322"/>
      <c r="K134" s="1322"/>
      <c r="L134" s="1322"/>
      <c r="M134" s="1322"/>
      <c r="N134" s="1322"/>
      <c r="O134" s="1326"/>
      <c r="P134" s="1322"/>
      <c r="Q134" s="1323"/>
      <c r="R134" s="1324"/>
      <c r="S134" s="1325"/>
      <c r="T134" s="1353"/>
      <c r="U134" s="1463"/>
      <c r="V134" s="1464"/>
      <c r="W134" s="1482"/>
      <c r="X134" s="1307"/>
    </row>
    <row r="135" spans="1:24" s="1308" customFormat="1" ht="15" customHeight="1" x14ac:dyDescent="0.25">
      <c r="A135" s="730"/>
      <c r="B135" s="1286">
        <f t="shared" si="20"/>
        <v>32</v>
      </c>
      <c r="C135" s="1775"/>
      <c r="D135" s="1779"/>
      <c r="E135" s="1779"/>
      <c r="F135" s="1448" t="s">
        <v>1285</v>
      </c>
      <c r="G135" s="1302"/>
      <c r="H135" s="1322"/>
      <c r="I135" s="1322"/>
      <c r="J135" s="1322"/>
      <c r="K135" s="1322"/>
      <c r="L135" s="1322"/>
      <c r="M135" s="1322"/>
      <c r="N135" s="1322"/>
      <c r="O135" s="1326"/>
      <c r="P135" s="1322"/>
      <c r="Q135" s="1323"/>
      <c r="R135" s="1324"/>
      <c r="S135" s="1325"/>
      <c r="T135" s="1353"/>
      <c r="U135" s="1463"/>
      <c r="V135" s="1464"/>
      <c r="W135" s="1482"/>
      <c r="X135" s="1307"/>
    </row>
    <row r="136" spans="1:24" s="1308" customFormat="1" ht="15" customHeight="1" x14ac:dyDescent="0.25">
      <c r="A136" s="730"/>
      <c r="B136" s="1286">
        <f t="shared" si="20"/>
        <v>33</v>
      </c>
      <c r="C136" s="1775"/>
      <c r="D136" s="1779"/>
      <c r="E136" s="1779" t="s">
        <v>1623</v>
      </c>
      <c r="F136" s="1448" t="s">
        <v>1424</v>
      </c>
      <c r="G136" s="1302"/>
      <c r="H136" s="1322"/>
      <c r="I136" s="1322"/>
      <c r="J136" s="1322"/>
      <c r="K136" s="1322"/>
      <c r="L136" s="1322"/>
      <c r="M136" s="1322"/>
      <c r="N136" s="1322"/>
      <c r="O136" s="1326"/>
      <c r="P136" s="1322"/>
      <c r="Q136" s="1323"/>
      <c r="R136" s="1324"/>
      <c r="S136" s="1325"/>
      <c r="T136" s="1353"/>
      <c r="U136" s="1463"/>
      <c r="V136" s="1464"/>
      <c r="W136" s="1482"/>
      <c r="X136" s="1307"/>
    </row>
    <row r="137" spans="1:24" s="1308" customFormat="1" ht="15" customHeight="1" x14ac:dyDescent="0.25">
      <c r="A137" s="730"/>
      <c r="B137" s="1286">
        <f t="shared" si="20"/>
        <v>34</v>
      </c>
      <c r="C137" s="1775"/>
      <c r="D137" s="1779"/>
      <c r="E137" s="1779"/>
      <c r="F137" s="1448" t="s">
        <v>1285</v>
      </c>
      <c r="G137" s="1302"/>
      <c r="H137" s="1322"/>
      <c r="I137" s="1322"/>
      <c r="J137" s="1322"/>
      <c r="K137" s="1322"/>
      <c r="L137" s="1322"/>
      <c r="M137" s="1322"/>
      <c r="N137" s="1322"/>
      <c r="O137" s="1326"/>
      <c r="P137" s="1322"/>
      <c r="Q137" s="1323"/>
      <c r="R137" s="1324"/>
      <c r="S137" s="1325"/>
      <c r="T137" s="1353"/>
      <c r="U137" s="1463"/>
      <c r="V137" s="1464"/>
      <c r="W137" s="1482"/>
      <c r="X137" s="1307"/>
    </row>
    <row r="138" spans="1:24" s="1308" customFormat="1" ht="15" customHeight="1" x14ac:dyDescent="0.25">
      <c r="A138" s="730"/>
      <c r="B138" s="1286">
        <f t="shared" si="20"/>
        <v>35</v>
      </c>
      <c r="C138" s="1775"/>
      <c r="D138" s="1779"/>
      <c r="E138" s="1779" t="s">
        <v>1281</v>
      </c>
      <c r="F138" s="1448" t="s">
        <v>1424</v>
      </c>
      <c r="G138" s="1302"/>
      <c r="H138" s="1322"/>
      <c r="I138" s="1322"/>
      <c r="J138" s="1322"/>
      <c r="K138" s="1322"/>
      <c r="L138" s="1322"/>
      <c r="M138" s="1322"/>
      <c r="N138" s="1322"/>
      <c r="O138" s="1326"/>
      <c r="P138" s="1322"/>
      <c r="Q138" s="1323"/>
      <c r="R138" s="1324"/>
      <c r="S138" s="1325"/>
      <c r="T138" s="1353"/>
      <c r="U138" s="1463"/>
      <c r="V138" s="1464"/>
      <c r="W138" s="1482"/>
      <c r="X138" s="1307"/>
    </row>
    <row r="139" spans="1:24" s="1308" customFormat="1" ht="15" customHeight="1" x14ac:dyDescent="0.25">
      <c r="A139" s="730"/>
      <c r="B139" s="1287">
        <f t="shared" si="20"/>
        <v>36</v>
      </c>
      <c r="C139" s="1776"/>
      <c r="D139" s="1794"/>
      <c r="E139" s="1794"/>
      <c r="F139" s="1449" t="s">
        <v>1285</v>
      </c>
      <c r="G139" s="1327"/>
      <c r="H139" s="1303"/>
      <c r="I139" s="1303"/>
      <c r="J139" s="1303"/>
      <c r="K139" s="1303"/>
      <c r="L139" s="1303"/>
      <c r="M139" s="1303"/>
      <c r="N139" s="1303"/>
      <c r="O139" s="1328"/>
      <c r="P139" s="1303"/>
      <c r="Q139" s="1304"/>
      <c r="R139" s="1305"/>
      <c r="S139" s="1306"/>
      <c r="T139" s="1351"/>
      <c r="U139" s="1466"/>
      <c r="V139" s="1467"/>
      <c r="W139" s="1483"/>
      <c r="X139" s="1307"/>
    </row>
    <row r="140" spans="1:24" s="1308" customFormat="1" ht="15" customHeight="1" x14ac:dyDescent="0.25">
      <c r="A140" s="730"/>
      <c r="B140" s="1285">
        <f t="shared" si="20"/>
        <v>37</v>
      </c>
      <c r="C140" s="1774" t="s">
        <v>1260</v>
      </c>
      <c r="D140" s="1780" t="s">
        <v>1278</v>
      </c>
      <c r="E140" s="1780" t="s">
        <v>1280</v>
      </c>
      <c r="F140" s="1450" t="s">
        <v>1424</v>
      </c>
      <c r="G140" s="1316"/>
      <c r="H140" s="1317"/>
      <c r="I140" s="1317"/>
      <c r="J140" s="1317"/>
      <c r="K140" s="1317"/>
      <c r="L140" s="1317"/>
      <c r="M140" s="1317"/>
      <c r="N140" s="1317"/>
      <c r="O140" s="1321"/>
      <c r="P140" s="1317"/>
      <c r="Q140" s="1318"/>
      <c r="R140" s="1319"/>
      <c r="S140" s="1320"/>
      <c r="T140" s="1349"/>
      <c r="U140" s="1460"/>
      <c r="V140" s="1461"/>
      <c r="W140" s="1481"/>
      <c r="X140" s="1307"/>
    </row>
    <row r="141" spans="1:24" s="1308" customFormat="1" ht="15" customHeight="1" x14ac:dyDescent="0.25">
      <c r="A141" s="730"/>
      <c r="B141" s="1286">
        <f t="shared" si="20"/>
        <v>38</v>
      </c>
      <c r="C141" s="1775"/>
      <c r="D141" s="1779"/>
      <c r="E141" s="1779"/>
      <c r="F141" s="1448" t="s">
        <v>1285</v>
      </c>
      <c r="G141" s="1302"/>
      <c r="H141" s="1322"/>
      <c r="I141" s="1322"/>
      <c r="J141" s="1322"/>
      <c r="K141" s="1322"/>
      <c r="L141" s="1322"/>
      <c r="M141" s="1322"/>
      <c r="N141" s="1322"/>
      <c r="O141" s="1326"/>
      <c r="P141" s="1322"/>
      <c r="Q141" s="1323"/>
      <c r="R141" s="1324"/>
      <c r="S141" s="1325"/>
      <c r="T141" s="1353"/>
      <c r="U141" s="1463"/>
      <c r="V141" s="1464"/>
      <c r="W141" s="1482"/>
      <c r="X141" s="1307"/>
    </row>
    <row r="142" spans="1:24" s="1308" customFormat="1" ht="15" customHeight="1" x14ac:dyDescent="0.25">
      <c r="A142" s="730"/>
      <c r="B142" s="1286">
        <f t="shared" si="20"/>
        <v>39</v>
      </c>
      <c r="C142" s="1775"/>
      <c r="D142" s="1779"/>
      <c r="E142" s="1779" t="s">
        <v>1623</v>
      </c>
      <c r="F142" s="1448" t="s">
        <v>1424</v>
      </c>
      <c r="G142" s="1302"/>
      <c r="H142" s="1322"/>
      <c r="I142" s="1322"/>
      <c r="J142" s="1322"/>
      <c r="K142" s="1322"/>
      <c r="L142" s="1322"/>
      <c r="M142" s="1322"/>
      <c r="N142" s="1322"/>
      <c r="O142" s="1326"/>
      <c r="P142" s="1322"/>
      <c r="Q142" s="1323"/>
      <c r="R142" s="1324"/>
      <c r="S142" s="1325"/>
      <c r="T142" s="1353"/>
      <c r="U142" s="1463"/>
      <c r="V142" s="1464"/>
      <c r="W142" s="1482"/>
      <c r="X142" s="1307"/>
    </row>
    <row r="143" spans="1:24" s="1308" customFormat="1" ht="15" customHeight="1" x14ac:dyDescent="0.25">
      <c r="A143" s="730"/>
      <c r="B143" s="1286">
        <f t="shared" si="20"/>
        <v>40</v>
      </c>
      <c r="C143" s="1775"/>
      <c r="D143" s="1779"/>
      <c r="E143" s="1779"/>
      <c r="F143" s="1448" t="s">
        <v>1285</v>
      </c>
      <c r="G143" s="1302"/>
      <c r="H143" s="1322"/>
      <c r="I143" s="1322"/>
      <c r="J143" s="1322"/>
      <c r="K143" s="1322"/>
      <c r="L143" s="1322"/>
      <c r="M143" s="1322"/>
      <c r="N143" s="1322"/>
      <c r="O143" s="1326"/>
      <c r="P143" s="1322"/>
      <c r="Q143" s="1323"/>
      <c r="R143" s="1324"/>
      <c r="S143" s="1325"/>
      <c r="T143" s="1353"/>
      <c r="U143" s="1463"/>
      <c r="V143" s="1464"/>
      <c r="W143" s="1482"/>
      <c r="X143" s="1307"/>
    </row>
    <row r="144" spans="1:24" s="1308" customFormat="1" ht="15" customHeight="1" x14ac:dyDescent="0.25">
      <c r="A144" s="730"/>
      <c r="B144" s="1286">
        <f t="shared" si="20"/>
        <v>41</v>
      </c>
      <c r="C144" s="1775"/>
      <c r="D144" s="1779"/>
      <c r="E144" s="1779" t="s">
        <v>1281</v>
      </c>
      <c r="F144" s="1448" t="s">
        <v>1424</v>
      </c>
      <c r="G144" s="1302"/>
      <c r="H144" s="1322"/>
      <c r="I144" s="1322"/>
      <c r="J144" s="1322"/>
      <c r="K144" s="1322"/>
      <c r="L144" s="1322"/>
      <c r="M144" s="1322"/>
      <c r="N144" s="1322"/>
      <c r="O144" s="1326"/>
      <c r="P144" s="1322"/>
      <c r="Q144" s="1323"/>
      <c r="R144" s="1324"/>
      <c r="S144" s="1325"/>
      <c r="T144" s="1353"/>
      <c r="U144" s="1463"/>
      <c r="V144" s="1464"/>
      <c r="W144" s="1482"/>
      <c r="X144" s="1307"/>
    </row>
    <row r="145" spans="1:24" s="1308" customFormat="1" ht="15" customHeight="1" x14ac:dyDescent="0.25">
      <c r="A145" s="730"/>
      <c r="B145" s="1286">
        <f t="shared" si="20"/>
        <v>42</v>
      </c>
      <c r="C145" s="1775"/>
      <c r="D145" s="1779"/>
      <c r="E145" s="1779"/>
      <c r="F145" s="1448" t="s">
        <v>1285</v>
      </c>
      <c r="G145" s="1302"/>
      <c r="H145" s="1322"/>
      <c r="I145" s="1322"/>
      <c r="J145" s="1322"/>
      <c r="K145" s="1322"/>
      <c r="L145" s="1322"/>
      <c r="M145" s="1322"/>
      <c r="N145" s="1322"/>
      <c r="O145" s="1326"/>
      <c r="P145" s="1322"/>
      <c r="Q145" s="1323"/>
      <c r="R145" s="1324"/>
      <c r="S145" s="1325"/>
      <c r="T145" s="1353"/>
      <c r="U145" s="1463"/>
      <c r="V145" s="1464"/>
      <c r="W145" s="1482"/>
      <c r="X145" s="1307"/>
    </row>
    <row r="146" spans="1:24" s="1308" customFormat="1" ht="15" customHeight="1" x14ac:dyDescent="0.25">
      <c r="A146" s="730"/>
      <c r="B146" s="1286">
        <f t="shared" si="20"/>
        <v>43</v>
      </c>
      <c r="C146" s="1775"/>
      <c r="D146" s="1779" t="s">
        <v>1624</v>
      </c>
      <c r="E146" s="1779" t="s">
        <v>1280</v>
      </c>
      <c r="F146" s="1448" t="s">
        <v>1424</v>
      </c>
      <c r="G146" s="1302"/>
      <c r="H146" s="1322"/>
      <c r="I146" s="1322"/>
      <c r="J146" s="1322"/>
      <c r="K146" s="1322"/>
      <c r="L146" s="1322"/>
      <c r="M146" s="1322"/>
      <c r="N146" s="1322"/>
      <c r="O146" s="1326"/>
      <c r="P146" s="1322"/>
      <c r="Q146" s="1323"/>
      <c r="R146" s="1324"/>
      <c r="S146" s="1325"/>
      <c r="T146" s="1353"/>
      <c r="U146" s="1463"/>
      <c r="V146" s="1464"/>
      <c r="W146" s="1482"/>
      <c r="X146" s="1307"/>
    </row>
    <row r="147" spans="1:24" s="1308" customFormat="1" ht="15" customHeight="1" x14ac:dyDescent="0.25">
      <c r="A147" s="730"/>
      <c r="B147" s="1286">
        <f t="shared" si="20"/>
        <v>44</v>
      </c>
      <c r="C147" s="1775"/>
      <c r="D147" s="1779"/>
      <c r="E147" s="1779"/>
      <c r="F147" s="1448" t="s">
        <v>1285</v>
      </c>
      <c r="G147" s="1302"/>
      <c r="H147" s="1322"/>
      <c r="I147" s="1322"/>
      <c r="J147" s="1322"/>
      <c r="K147" s="1322"/>
      <c r="L147" s="1322"/>
      <c r="M147" s="1322"/>
      <c r="N147" s="1322"/>
      <c r="O147" s="1326"/>
      <c r="P147" s="1322"/>
      <c r="Q147" s="1323"/>
      <c r="R147" s="1324"/>
      <c r="S147" s="1325"/>
      <c r="T147" s="1353"/>
      <c r="U147" s="1463"/>
      <c r="V147" s="1464"/>
      <c r="W147" s="1482"/>
      <c r="X147" s="1307"/>
    </row>
    <row r="148" spans="1:24" s="1308" customFormat="1" ht="15" customHeight="1" x14ac:dyDescent="0.25">
      <c r="A148" s="730"/>
      <c r="B148" s="1286">
        <f t="shared" si="20"/>
        <v>45</v>
      </c>
      <c r="C148" s="1775"/>
      <c r="D148" s="1779"/>
      <c r="E148" s="1779" t="s">
        <v>1623</v>
      </c>
      <c r="F148" s="1448" t="s">
        <v>1424</v>
      </c>
      <c r="G148" s="1302"/>
      <c r="H148" s="1322"/>
      <c r="I148" s="1322"/>
      <c r="J148" s="1322"/>
      <c r="K148" s="1322"/>
      <c r="L148" s="1322"/>
      <c r="M148" s="1322"/>
      <c r="N148" s="1322"/>
      <c r="O148" s="1326"/>
      <c r="P148" s="1322"/>
      <c r="Q148" s="1323"/>
      <c r="R148" s="1324"/>
      <c r="S148" s="1325"/>
      <c r="T148" s="1353"/>
      <c r="U148" s="1463"/>
      <c r="V148" s="1464"/>
      <c r="W148" s="1482"/>
      <c r="X148" s="1307"/>
    </row>
    <row r="149" spans="1:24" s="1308" customFormat="1" ht="15" customHeight="1" x14ac:dyDescent="0.25">
      <c r="A149" s="730"/>
      <c r="B149" s="1286">
        <f t="shared" si="20"/>
        <v>46</v>
      </c>
      <c r="C149" s="1775"/>
      <c r="D149" s="1779"/>
      <c r="E149" s="1779"/>
      <c r="F149" s="1448" t="s">
        <v>1285</v>
      </c>
      <c r="G149" s="1302"/>
      <c r="H149" s="1322"/>
      <c r="I149" s="1322"/>
      <c r="J149" s="1322"/>
      <c r="K149" s="1322"/>
      <c r="L149" s="1322"/>
      <c r="M149" s="1322"/>
      <c r="N149" s="1322"/>
      <c r="O149" s="1326"/>
      <c r="P149" s="1322"/>
      <c r="Q149" s="1323"/>
      <c r="R149" s="1324"/>
      <c r="S149" s="1325"/>
      <c r="T149" s="1353"/>
      <c r="U149" s="1463"/>
      <c r="V149" s="1464"/>
      <c r="W149" s="1482"/>
      <c r="X149" s="1307"/>
    </row>
    <row r="150" spans="1:24" s="1308" customFormat="1" ht="15" customHeight="1" x14ac:dyDescent="0.25">
      <c r="A150" s="730"/>
      <c r="B150" s="1286">
        <f t="shared" si="20"/>
        <v>47</v>
      </c>
      <c r="C150" s="1775"/>
      <c r="D150" s="1779"/>
      <c r="E150" s="1779" t="s">
        <v>1281</v>
      </c>
      <c r="F150" s="1448" t="s">
        <v>1424</v>
      </c>
      <c r="G150" s="1302"/>
      <c r="H150" s="1322"/>
      <c r="I150" s="1322"/>
      <c r="J150" s="1322"/>
      <c r="K150" s="1322"/>
      <c r="L150" s="1322"/>
      <c r="M150" s="1322"/>
      <c r="N150" s="1322"/>
      <c r="O150" s="1326"/>
      <c r="P150" s="1322"/>
      <c r="Q150" s="1323"/>
      <c r="R150" s="1324"/>
      <c r="S150" s="1325"/>
      <c r="T150" s="1353"/>
      <c r="U150" s="1463"/>
      <c r="V150" s="1464"/>
      <c r="W150" s="1482"/>
      <c r="X150" s="1307"/>
    </row>
    <row r="151" spans="1:24" s="1308" customFormat="1" ht="15" customHeight="1" x14ac:dyDescent="0.25">
      <c r="A151" s="730"/>
      <c r="B151" s="1286">
        <f t="shared" si="20"/>
        <v>48</v>
      </c>
      <c r="C151" s="1775"/>
      <c r="D151" s="1779"/>
      <c r="E151" s="1779"/>
      <c r="F151" s="1448" t="s">
        <v>1285</v>
      </c>
      <c r="G151" s="1302"/>
      <c r="H151" s="1322"/>
      <c r="I151" s="1322"/>
      <c r="J151" s="1322"/>
      <c r="K151" s="1322"/>
      <c r="L151" s="1322"/>
      <c r="M151" s="1322"/>
      <c r="N151" s="1322"/>
      <c r="O151" s="1326"/>
      <c r="P151" s="1322"/>
      <c r="Q151" s="1323"/>
      <c r="R151" s="1324"/>
      <c r="S151" s="1325"/>
      <c r="T151" s="1353"/>
      <c r="U151" s="1463"/>
      <c r="V151" s="1464"/>
      <c r="W151" s="1482"/>
      <c r="X151" s="1307"/>
    </row>
    <row r="152" spans="1:24" s="1308" customFormat="1" ht="15" customHeight="1" x14ac:dyDescent="0.25">
      <c r="A152" s="730"/>
      <c r="B152" s="1286">
        <f t="shared" si="20"/>
        <v>49</v>
      </c>
      <c r="C152" s="1775"/>
      <c r="D152" s="1779" t="s">
        <v>1286</v>
      </c>
      <c r="E152" s="1779" t="s">
        <v>1280</v>
      </c>
      <c r="F152" s="1448" t="s">
        <v>1424</v>
      </c>
      <c r="G152" s="1302"/>
      <c r="H152" s="1322"/>
      <c r="I152" s="1322"/>
      <c r="J152" s="1322"/>
      <c r="K152" s="1322"/>
      <c r="L152" s="1322"/>
      <c r="M152" s="1322"/>
      <c r="N152" s="1322"/>
      <c r="O152" s="1326"/>
      <c r="P152" s="1322"/>
      <c r="Q152" s="1323"/>
      <c r="R152" s="1324"/>
      <c r="S152" s="1325"/>
      <c r="T152" s="1353"/>
      <c r="U152" s="1463"/>
      <c r="V152" s="1464"/>
      <c r="W152" s="1482"/>
      <c r="X152" s="1307"/>
    </row>
    <row r="153" spans="1:24" s="1308" customFormat="1" ht="15" customHeight="1" x14ac:dyDescent="0.25">
      <c r="A153" s="730"/>
      <c r="B153" s="1286">
        <f t="shared" si="20"/>
        <v>50</v>
      </c>
      <c r="C153" s="1775"/>
      <c r="D153" s="1779"/>
      <c r="E153" s="1779"/>
      <c r="F153" s="1448" t="s">
        <v>1285</v>
      </c>
      <c r="G153" s="1302"/>
      <c r="H153" s="1322"/>
      <c r="I153" s="1322"/>
      <c r="J153" s="1322"/>
      <c r="K153" s="1322"/>
      <c r="L153" s="1322"/>
      <c r="M153" s="1322"/>
      <c r="N153" s="1322"/>
      <c r="O153" s="1326"/>
      <c r="P153" s="1322"/>
      <c r="Q153" s="1323"/>
      <c r="R153" s="1324"/>
      <c r="S153" s="1325"/>
      <c r="T153" s="1353"/>
      <c r="U153" s="1463"/>
      <c r="V153" s="1464"/>
      <c r="W153" s="1482"/>
      <c r="X153" s="1307"/>
    </row>
    <row r="154" spans="1:24" s="1308" customFormat="1" ht="15" customHeight="1" x14ac:dyDescent="0.25">
      <c r="A154" s="730"/>
      <c r="B154" s="1286">
        <f t="shared" si="20"/>
        <v>51</v>
      </c>
      <c r="C154" s="1775"/>
      <c r="D154" s="1779"/>
      <c r="E154" s="1779" t="s">
        <v>1623</v>
      </c>
      <c r="F154" s="1448" t="s">
        <v>1424</v>
      </c>
      <c r="G154" s="1302"/>
      <c r="H154" s="1322"/>
      <c r="I154" s="1322"/>
      <c r="J154" s="1322"/>
      <c r="K154" s="1322"/>
      <c r="L154" s="1322"/>
      <c r="M154" s="1322"/>
      <c r="N154" s="1322"/>
      <c r="O154" s="1326"/>
      <c r="P154" s="1322"/>
      <c r="Q154" s="1323"/>
      <c r="R154" s="1324"/>
      <c r="S154" s="1325"/>
      <c r="T154" s="1353"/>
      <c r="U154" s="1463"/>
      <c r="V154" s="1464"/>
      <c r="W154" s="1482"/>
      <c r="X154" s="1307"/>
    </row>
    <row r="155" spans="1:24" s="1308" customFormat="1" ht="15" customHeight="1" x14ac:dyDescent="0.25">
      <c r="A155" s="730"/>
      <c r="B155" s="1286">
        <f t="shared" si="20"/>
        <v>52</v>
      </c>
      <c r="C155" s="1775"/>
      <c r="D155" s="1779"/>
      <c r="E155" s="1779"/>
      <c r="F155" s="1448" t="s">
        <v>1285</v>
      </c>
      <c r="G155" s="1302"/>
      <c r="H155" s="1322"/>
      <c r="I155" s="1322"/>
      <c r="J155" s="1322"/>
      <c r="K155" s="1322"/>
      <c r="L155" s="1322"/>
      <c r="M155" s="1322"/>
      <c r="N155" s="1322"/>
      <c r="O155" s="1326"/>
      <c r="P155" s="1322"/>
      <c r="Q155" s="1323"/>
      <c r="R155" s="1324"/>
      <c r="S155" s="1325"/>
      <c r="T155" s="1353"/>
      <c r="U155" s="1463"/>
      <c r="V155" s="1464"/>
      <c r="W155" s="1482"/>
      <c r="X155" s="1307"/>
    </row>
    <row r="156" spans="1:24" s="1308" customFormat="1" ht="15" customHeight="1" x14ac:dyDescent="0.25">
      <c r="A156" s="730"/>
      <c r="B156" s="1286">
        <f t="shared" si="20"/>
        <v>53</v>
      </c>
      <c r="C156" s="1775"/>
      <c r="D156" s="1779"/>
      <c r="E156" s="1779" t="s">
        <v>1281</v>
      </c>
      <c r="F156" s="1448" t="s">
        <v>1424</v>
      </c>
      <c r="G156" s="1302"/>
      <c r="H156" s="1322"/>
      <c r="I156" s="1322"/>
      <c r="J156" s="1322"/>
      <c r="K156" s="1322"/>
      <c r="L156" s="1322"/>
      <c r="M156" s="1322"/>
      <c r="N156" s="1322"/>
      <c r="O156" s="1326"/>
      <c r="P156" s="1322"/>
      <c r="Q156" s="1323"/>
      <c r="R156" s="1324"/>
      <c r="S156" s="1325"/>
      <c r="T156" s="1353"/>
      <c r="U156" s="1463"/>
      <c r="V156" s="1464"/>
      <c r="W156" s="1482"/>
      <c r="X156" s="1307"/>
    </row>
    <row r="157" spans="1:24" s="1308" customFormat="1" ht="15" customHeight="1" x14ac:dyDescent="0.25">
      <c r="A157" s="730"/>
      <c r="B157" s="1286">
        <f t="shared" si="20"/>
        <v>54</v>
      </c>
      <c r="C157" s="1775"/>
      <c r="D157" s="1779"/>
      <c r="E157" s="1779"/>
      <c r="F157" s="1448" t="s">
        <v>1285</v>
      </c>
      <c r="G157" s="1302"/>
      <c r="H157" s="1322"/>
      <c r="I157" s="1322"/>
      <c r="J157" s="1322"/>
      <c r="K157" s="1322"/>
      <c r="L157" s="1322"/>
      <c r="M157" s="1322"/>
      <c r="N157" s="1322"/>
      <c r="O157" s="1326"/>
      <c r="P157" s="1322"/>
      <c r="Q157" s="1323"/>
      <c r="R157" s="1324"/>
      <c r="S157" s="1325"/>
      <c r="T157" s="1353"/>
      <c r="U157" s="1463"/>
      <c r="V157" s="1464"/>
      <c r="W157" s="1482"/>
      <c r="X157" s="1307"/>
    </row>
    <row r="158" spans="1:24" s="1308" customFormat="1" ht="15" customHeight="1" x14ac:dyDescent="0.25">
      <c r="A158" s="730"/>
      <c r="B158" s="1286">
        <f t="shared" si="20"/>
        <v>55</v>
      </c>
      <c r="C158" s="1775"/>
      <c r="D158" s="1779" t="s">
        <v>1287</v>
      </c>
      <c r="E158" s="1779" t="s">
        <v>1280</v>
      </c>
      <c r="F158" s="1448" t="s">
        <v>1424</v>
      </c>
      <c r="G158" s="1302"/>
      <c r="H158" s="1322"/>
      <c r="I158" s="1322"/>
      <c r="J158" s="1322"/>
      <c r="K158" s="1322"/>
      <c r="L158" s="1322"/>
      <c r="M158" s="1322"/>
      <c r="N158" s="1322"/>
      <c r="O158" s="1326"/>
      <c r="P158" s="1322"/>
      <c r="Q158" s="1323"/>
      <c r="R158" s="1324"/>
      <c r="S158" s="1325"/>
      <c r="T158" s="1353"/>
      <c r="U158" s="1463"/>
      <c r="V158" s="1464"/>
      <c r="W158" s="1482"/>
      <c r="X158" s="1307"/>
    </row>
    <row r="159" spans="1:24" s="1308" customFormat="1" ht="15" customHeight="1" x14ac:dyDescent="0.25">
      <c r="A159" s="730"/>
      <c r="B159" s="1286">
        <f t="shared" si="20"/>
        <v>56</v>
      </c>
      <c r="C159" s="1775"/>
      <c r="D159" s="1779"/>
      <c r="E159" s="1779"/>
      <c r="F159" s="1448" t="s">
        <v>1285</v>
      </c>
      <c r="G159" s="1302"/>
      <c r="H159" s="1322"/>
      <c r="I159" s="1322"/>
      <c r="J159" s="1322"/>
      <c r="K159" s="1322"/>
      <c r="L159" s="1322"/>
      <c r="M159" s="1322"/>
      <c r="N159" s="1322"/>
      <c r="O159" s="1326"/>
      <c r="P159" s="1322"/>
      <c r="Q159" s="1323"/>
      <c r="R159" s="1324"/>
      <c r="S159" s="1325"/>
      <c r="T159" s="1353"/>
      <c r="U159" s="1463"/>
      <c r="V159" s="1464"/>
      <c r="W159" s="1482"/>
      <c r="X159" s="1307"/>
    </row>
    <row r="160" spans="1:24" s="1308" customFormat="1" ht="15" customHeight="1" x14ac:dyDescent="0.25">
      <c r="A160" s="730"/>
      <c r="B160" s="1286">
        <f t="shared" si="20"/>
        <v>57</v>
      </c>
      <c r="C160" s="1775"/>
      <c r="D160" s="1779"/>
      <c r="E160" s="1779" t="s">
        <v>1623</v>
      </c>
      <c r="F160" s="1448" t="s">
        <v>1424</v>
      </c>
      <c r="G160" s="1302"/>
      <c r="H160" s="1322"/>
      <c r="I160" s="1322"/>
      <c r="J160" s="1322"/>
      <c r="K160" s="1322"/>
      <c r="L160" s="1322"/>
      <c r="M160" s="1322"/>
      <c r="N160" s="1322"/>
      <c r="O160" s="1326"/>
      <c r="P160" s="1322"/>
      <c r="Q160" s="1323"/>
      <c r="R160" s="1324"/>
      <c r="S160" s="1325"/>
      <c r="T160" s="1353"/>
      <c r="U160" s="1463"/>
      <c r="V160" s="1464"/>
      <c r="W160" s="1482"/>
      <c r="X160" s="1307"/>
    </row>
    <row r="161" spans="1:24" s="1308" customFormat="1" ht="15" customHeight="1" x14ac:dyDescent="0.25">
      <c r="A161" s="730"/>
      <c r="B161" s="1286">
        <f t="shared" si="20"/>
        <v>58</v>
      </c>
      <c r="C161" s="1775"/>
      <c r="D161" s="1779"/>
      <c r="E161" s="1779"/>
      <c r="F161" s="1448" t="s">
        <v>1285</v>
      </c>
      <c r="G161" s="1302"/>
      <c r="H161" s="1322"/>
      <c r="I161" s="1322"/>
      <c r="J161" s="1322"/>
      <c r="K161" s="1322"/>
      <c r="L161" s="1322"/>
      <c r="M161" s="1322"/>
      <c r="N161" s="1322"/>
      <c r="O161" s="1326"/>
      <c r="P161" s="1322"/>
      <c r="Q161" s="1323"/>
      <c r="R161" s="1324"/>
      <c r="S161" s="1325"/>
      <c r="T161" s="1353"/>
      <c r="U161" s="1463"/>
      <c r="V161" s="1464"/>
      <c r="W161" s="1482"/>
      <c r="X161" s="1307"/>
    </row>
    <row r="162" spans="1:24" s="1308" customFormat="1" ht="15" customHeight="1" x14ac:dyDescent="0.25">
      <c r="A162" s="730"/>
      <c r="B162" s="1286">
        <f t="shared" si="20"/>
        <v>59</v>
      </c>
      <c r="C162" s="1775"/>
      <c r="D162" s="1779"/>
      <c r="E162" s="1779" t="s">
        <v>1281</v>
      </c>
      <c r="F162" s="1448" t="s">
        <v>1424</v>
      </c>
      <c r="G162" s="1302"/>
      <c r="H162" s="1322"/>
      <c r="I162" s="1322"/>
      <c r="J162" s="1322"/>
      <c r="K162" s="1322"/>
      <c r="L162" s="1322"/>
      <c r="M162" s="1322"/>
      <c r="N162" s="1322"/>
      <c r="O162" s="1326"/>
      <c r="P162" s="1322"/>
      <c r="Q162" s="1323"/>
      <c r="R162" s="1324"/>
      <c r="S162" s="1325"/>
      <c r="T162" s="1353"/>
      <c r="U162" s="1463"/>
      <c r="V162" s="1464"/>
      <c r="W162" s="1482"/>
      <c r="X162" s="1307"/>
    </row>
    <row r="163" spans="1:24" s="1308" customFormat="1" ht="15" customHeight="1" x14ac:dyDescent="0.25">
      <c r="A163" s="730"/>
      <c r="B163" s="1286">
        <f t="shared" si="20"/>
        <v>60</v>
      </c>
      <c r="C163" s="1775"/>
      <c r="D163" s="1779"/>
      <c r="E163" s="1779"/>
      <c r="F163" s="1448" t="s">
        <v>1285</v>
      </c>
      <c r="G163" s="1302"/>
      <c r="H163" s="1322"/>
      <c r="I163" s="1322"/>
      <c r="J163" s="1322"/>
      <c r="K163" s="1322"/>
      <c r="L163" s="1322"/>
      <c r="M163" s="1322"/>
      <c r="N163" s="1322"/>
      <c r="O163" s="1326"/>
      <c r="P163" s="1322"/>
      <c r="Q163" s="1323"/>
      <c r="R163" s="1324"/>
      <c r="S163" s="1325"/>
      <c r="T163" s="1353"/>
      <c r="U163" s="1463"/>
      <c r="V163" s="1464"/>
      <c r="W163" s="1482"/>
      <c r="X163" s="1307"/>
    </row>
    <row r="164" spans="1:24" s="1308" customFormat="1" ht="15" customHeight="1" x14ac:dyDescent="0.25">
      <c r="A164" s="730"/>
      <c r="B164" s="1286">
        <f t="shared" si="20"/>
        <v>61</v>
      </c>
      <c r="C164" s="1775"/>
      <c r="D164" s="1779" t="s">
        <v>1288</v>
      </c>
      <c r="E164" s="1779" t="s">
        <v>1280</v>
      </c>
      <c r="F164" s="1448" t="s">
        <v>1424</v>
      </c>
      <c r="G164" s="1302"/>
      <c r="H164" s="1322"/>
      <c r="I164" s="1322"/>
      <c r="J164" s="1322"/>
      <c r="K164" s="1322"/>
      <c r="L164" s="1322"/>
      <c r="M164" s="1322"/>
      <c r="N164" s="1322"/>
      <c r="O164" s="1326"/>
      <c r="P164" s="1322"/>
      <c r="Q164" s="1323"/>
      <c r="R164" s="1324"/>
      <c r="S164" s="1325"/>
      <c r="T164" s="1353"/>
      <c r="U164" s="1463"/>
      <c r="V164" s="1464"/>
      <c r="W164" s="1482"/>
      <c r="X164" s="1307"/>
    </row>
    <row r="165" spans="1:24" s="1308" customFormat="1" ht="15" customHeight="1" x14ac:dyDescent="0.25">
      <c r="A165" s="730"/>
      <c r="B165" s="1286">
        <f t="shared" si="20"/>
        <v>62</v>
      </c>
      <c r="C165" s="1775"/>
      <c r="D165" s="1779"/>
      <c r="E165" s="1779"/>
      <c r="F165" s="1448" t="s">
        <v>1285</v>
      </c>
      <c r="G165" s="1302"/>
      <c r="H165" s="1322"/>
      <c r="I165" s="1322"/>
      <c r="J165" s="1322"/>
      <c r="K165" s="1322"/>
      <c r="L165" s="1322"/>
      <c r="M165" s="1322"/>
      <c r="N165" s="1322"/>
      <c r="O165" s="1326"/>
      <c r="P165" s="1322"/>
      <c r="Q165" s="1323"/>
      <c r="R165" s="1324"/>
      <c r="S165" s="1325"/>
      <c r="T165" s="1353"/>
      <c r="U165" s="1463"/>
      <c r="V165" s="1464"/>
      <c r="W165" s="1482"/>
      <c r="X165" s="1307"/>
    </row>
    <row r="166" spans="1:24" s="1308" customFormat="1" ht="15" customHeight="1" x14ac:dyDescent="0.25">
      <c r="A166" s="730"/>
      <c r="B166" s="1286">
        <f t="shared" si="20"/>
        <v>63</v>
      </c>
      <c r="C166" s="1775"/>
      <c r="D166" s="1779"/>
      <c r="E166" s="1779" t="s">
        <v>1623</v>
      </c>
      <c r="F166" s="1448" t="s">
        <v>1424</v>
      </c>
      <c r="G166" s="1302"/>
      <c r="H166" s="1322"/>
      <c r="I166" s="1322"/>
      <c r="J166" s="1322"/>
      <c r="K166" s="1322"/>
      <c r="L166" s="1322"/>
      <c r="M166" s="1322"/>
      <c r="N166" s="1322"/>
      <c r="O166" s="1326"/>
      <c r="P166" s="1322"/>
      <c r="Q166" s="1323"/>
      <c r="R166" s="1324"/>
      <c r="S166" s="1325"/>
      <c r="T166" s="1353"/>
      <c r="U166" s="1463"/>
      <c r="V166" s="1464"/>
      <c r="W166" s="1482"/>
      <c r="X166" s="1307"/>
    </row>
    <row r="167" spans="1:24" s="1308" customFormat="1" ht="15" customHeight="1" x14ac:dyDescent="0.25">
      <c r="A167" s="730"/>
      <c r="B167" s="1286">
        <f t="shared" si="20"/>
        <v>64</v>
      </c>
      <c r="C167" s="1775"/>
      <c r="D167" s="1779"/>
      <c r="E167" s="1779"/>
      <c r="F167" s="1448" t="s">
        <v>1285</v>
      </c>
      <c r="G167" s="1302"/>
      <c r="H167" s="1322"/>
      <c r="I167" s="1322"/>
      <c r="J167" s="1322"/>
      <c r="K167" s="1322"/>
      <c r="L167" s="1322"/>
      <c r="M167" s="1322"/>
      <c r="N167" s="1322"/>
      <c r="O167" s="1326"/>
      <c r="P167" s="1322"/>
      <c r="Q167" s="1323"/>
      <c r="R167" s="1324"/>
      <c r="S167" s="1325"/>
      <c r="T167" s="1353"/>
      <c r="U167" s="1463"/>
      <c r="V167" s="1464"/>
      <c r="W167" s="1482"/>
      <c r="X167" s="1307"/>
    </row>
    <row r="168" spans="1:24" s="1308" customFormat="1" ht="15" customHeight="1" x14ac:dyDescent="0.25">
      <c r="A168" s="730"/>
      <c r="B168" s="1286">
        <f t="shared" si="20"/>
        <v>65</v>
      </c>
      <c r="C168" s="1775"/>
      <c r="D168" s="1779"/>
      <c r="E168" s="1779" t="s">
        <v>1281</v>
      </c>
      <c r="F168" s="1448" t="s">
        <v>1424</v>
      </c>
      <c r="G168" s="1302"/>
      <c r="H168" s="1322"/>
      <c r="I168" s="1322"/>
      <c r="J168" s="1322"/>
      <c r="K168" s="1322"/>
      <c r="L168" s="1322"/>
      <c r="M168" s="1322"/>
      <c r="N168" s="1322"/>
      <c r="O168" s="1326"/>
      <c r="P168" s="1322"/>
      <c r="Q168" s="1323"/>
      <c r="R168" s="1324"/>
      <c r="S168" s="1325"/>
      <c r="T168" s="1353"/>
      <c r="U168" s="1463"/>
      <c r="V168" s="1464"/>
      <c r="W168" s="1482"/>
      <c r="X168" s="1307"/>
    </row>
    <row r="169" spans="1:24" s="1308" customFormat="1" ht="15" customHeight="1" x14ac:dyDescent="0.25">
      <c r="A169" s="730"/>
      <c r="B169" s="1286">
        <f t="shared" ref="B169:B232" si="21">B168+1</f>
        <v>66</v>
      </c>
      <c r="C169" s="1775"/>
      <c r="D169" s="1779"/>
      <c r="E169" s="1779"/>
      <c r="F169" s="1448" t="s">
        <v>1285</v>
      </c>
      <c r="G169" s="1302"/>
      <c r="H169" s="1322"/>
      <c r="I169" s="1322"/>
      <c r="J169" s="1322"/>
      <c r="K169" s="1322"/>
      <c r="L169" s="1322"/>
      <c r="M169" s="1322"/>
      <c r="N169" s="1322"/>
      <c r="O169" s="1326"/>
      <c r="P169" s="1322"/>
      <c r="Q169" s="1323"/>
      <c r="R169" s="1324"/>
      <c r="S169" s="1325"/>
      <c r="T169" s="1353"/>
      <c r="U169" s="1463"/>
      <c r="V169" s="1464"/>
      <c r="W169" s="1482"/>
      <c r="X169" s="1307"/>
    </row>
    <row r="170" spans="1:24" s="1308" customFormat="1" ht="15" customHeight="1" x14ac:dyDescent="0.25">
      <c r="A170" s="730"/>
      <c r="B170" s="1286">
        <f t="shared" si="21"/>
        <v>67</v>
      </c>
      <c r="C170" s="1775"/>
      <c r="D170" s="1779" t="s">
        <v>1279</v>
      </c>
      <c r="E170" s="1779" t="s">
        <v>1280</v>
      </c>
      <c r="F170" s="1448" t="s">
        <v>1424</v>
      </c>
      <c r="G170" s="1302"/>
      <c r="H170" s="1322"/>
      <c r="I170" s="1322"/>
      <c r="J170" s="1322"/>
      <c r="K170" s="1322"/>
      <c r="L170" s="1322"/>
      <c r="M170" s="1322"/>
      <c r="N170" s="1322"/>
      <c r="O170" s="1326"/>
      <c r="P170" s="1322"/>
      <c r="Q170" s="1323"/>
      <c r="R170" s="1324"/>
      <c r="S170" s="1325"/>
      <c r="T170" s="1353"/>
      <c r="U170" s="1463"/>
      <c r="V170" s="1464"/>
      <c r="W170" s="1482"/>
      <c r="X170" s="1307"/>
    </row>
    <row r="171" spans="1:24" s="1308" customFormat="1" ht="15" customHeight="1" x14ac:dyDescent="0.25">
      <c r="A171" s="730"/>
      <c r="B171" s="1286">
        <f t="shared" si="21"/>
        <v>68</v>
      </c>
      <c r="C171" s="1775"/>
      <c r="D171" s="1779"/>
      <c r="E171" s="1779"/>
      <c r="F171" s="1448" t="s">
        <v>1285</v>
      </c>
      <c r="G171" s="1302"/>
      <c r="H171" s="1322"/>
      <c r="I171" s="1322"/>
      <c r="J171" s="1322"/>
      <c r="K171" s="1322"/>
      <c r="L171" s="1322"/>
      <c r="M171" s="1322"/>
      <c r="N171" s="1322"/>
      <c r="O171" s="1326"/>
      <c r="P171" s="1322"/>
      <c r="Q171" s="1323"/>
      <c r="R171" s="1324"/>
      <c r="S171" s="1325"/>
      <c r="T171" s="1353"/>
      <c r="U171" s="1463"/>
      <c r="V171" s="1464"/>
      <c r="W171" s="1482"/>
      <c r="X171" s="1307"/>
    </row>
    <row r="172" spans="1:24" s="1308" customFormat="1" ht="15" customHeight="1" x14ac:dyDescent="0.25">
      <c r="A172" s="730"/>
      <c r="B172" s="1286">
        <f t="shared" si="21"/>
        <v>69</v>
      </c>
      <c r="C172" s="1775"/>
      <c r="D172" s="1779"/>
      <c r="E172" s="1779" t="s">
        <v>1623</v>
      </c>
      <c r="F172" s="1448" t="s">
        <v>1424</v>
      </c>
      <c r="G172" s="1302"/>
      <c r="H172" s="1322"/>
      <c r="I172" s="1322"/>
      <c r="J172" s="1322"/>
      <c r="K172" s="1322"/>
      <c r="L172" s="1322"/>
      <c r="M172" s="1322"/>
      <c r="N172" s="1322"/>
      <c r="O172" s="1326"/>
      <c r="P172" s="1322"/>
      <c r="Q172" s="1323"/>
      <c r="R172" s="1324"/>
      <c r="S172" s="1325"/>
      <c r="T172" s="1353"/>
      <c r="U172" s="1463"/>
      <c r="V172" s="1464"/>
      <c r="W172" s="1482"/>
      <c r="X172" s="1307"/>
    </row>
    <row r="173" spans="1:24" s="1308" customFormat="1" ht="15" customHeight="1" x14ac:dyDescent="0.25">
      <c r="A173" s="730"/>
      <c r="B173" s="1286">
        <f t="shared" si="21"/>
        <v>70</v>
      </c>
      <c r="C173" s="1775"/>
      <c r="D173" s="1779"/>
      <c r="E173" s="1779"/>
      <c r="F173" s="1448" t="s">
        <v>1285</v>
      </c>
      <c r="G173" s="1302"/>
      <c r="H173" s="1322"/>
      <c r="I173" s="1322"/>
      <c r="J173" s="1322"/>
      <c r="K173" s="1322"/>
      <c r="L173" s="1322"/>
      <c r="M173" s="1322"/>
      <c r="N173" s="1322"/>
      <c r="O173" s="1326"/>
      <c r="P173" s="1322"/>
      <c r="Q173" s="1323"/>
      <c r="R173" s="1324"/>
      <c r="S173" s="1325"/>
      <c r="T173" s="1353"/>
      <c r="U173" s="1463"/>
      <c r="V173" s="1464"/>
      <c r="W173" s="1482"/>
      <c r="X173" s="1307"/>
    </row>
    <row r="174" spans="1:24" s="1308" customFormat="1" ht="15" customHeight="1" x14ac:dyDescent="0.25">
      <c r="A174" s="730"/>
      <c r="B174" s="1286">
        <f t="shared" si="21"/>
        <v>71</v>
      </c>
      <c r="C174" s="1775"/>
      <c r="D174" s="1779"/>
      <c r="E174" s="1779" t="s">
        <v>1281</v>
      </c>
      <c r="F174" s="1448" t="s">
        <v>1424</v>
      </c>
      <c r="G174" s="1302"/>
      <c r="H174" s="1322"/>
      <c r="I174" s="1322"/>
      <c r="J174" s="1322"/>
      <c r="K174" s="1322"/>
      <c r="L174" s="1322"/>
      <c r="M174" s="1322"/>
      <c r="N174" s="1322"/>
      <c r="O174" s="1326"/>
      <c r="P174" s="1322"/>
      <c r="Q174" s="1323"/>
      <c r="R174" s="1324"/>
      <c r="S174" s="1325"/>
      <c r="T174" s="1353"/>
      <c r="U174" s="1463"/>
      <c r="V174" s="1464"/>
      <c r="W174" s="1482"/>
      <c r="X174" s="1307"/>
    </row>
    <row r="175" spans="1:24" s="1308" customFormat="1" ht="15" customHeight="1" x14ac:dyDescent="0.25">
      <c r="A175" s="730"/>
      <c r="B175" s="1287">
        <f t="shared" si="21"/>
        <v>72</v>
      </c>
      <c r="C175" s="1776"/>
      <c r="D175" s="1794"/>
      <c r="E175" s="1794"/>
      <c r="F175" s="1449" t="s">
        <v>1285</v>
      </c>
      <c r="G175" s="1327"/>
      <c r="H175" s="1303"/>
      <c r="I175" s="1303"/>
      <c r="J175" s="1303"/>
      <c r="K175" s="1303"/>
      <c r="L175" s="1303"/>
      <c r="M175" s="1303"/>
      <c r="N175" s="1303"/>
      <c r="O175" s="1328"/>
      <c r="P175" s="1303"/>
      <c r="Q175" s="1304"/>
      <c r="R175" s="1305"/>
      <c r="S175" s="1306"/>
      <c r="T175" s="1351"/>
      <c r="U175" s="1466"/>
      <c r="V175" s="1467"/>
      <c r="W175" s="1483"/>
      <c r="X175" s="1307"/>
    </row>
    <row r="176" spans="1:24" s="1308" customFormat="1" ht="15" customHeight="1" x14ac:dyDescent="0.25">
      <c r="A176" s="730"/>
      <c r="B176" s="1285">
        <f t="shared" si="21"/>
        <v>73</v>
      </c>
      <c r="C176" s="1774" t="s">
        <v>1261</v>
      </c>
      <c r="D176" s="1780" t="s">
        <v>1278</v>
      </c>
      <c r="E176" s="1780" t="s">
        <v>1280</v>
      </c>
      <c r="F176" s="1450" t="s">
        <v>1424</v>
      </c>
      <c r="G176" s="1316"/>
      <c r="H176" s="1317"/>
      <c r="I176" s="1317"/>
      <c r="J176" s="1317"/>
      <c r="K176" s="1317"/>
      <c r="L176" s="1317"/>
      <c r="M176" s="1317"/>
      <c r="N176" s="1317"/>
      <c r="O176" s="1321"/>
      <c r="P176" s="1317"/>
      <c r="Q176" s="1318"/>
      <c r="R176" s="1319"/>
      <c r="S176" s="1320"/>
      <c r="T176" s="1349"/>
      <c r="U176" s="1460"/>
      <c r="V176" s="1461"/>
      <c r="W176" s="1481"/>
      <c r="X176" s="1307"/>
    </row>
    <row r="177" spans="1:24" s="1308" customFormat="1" ht="15" customHeight="1" x14ac:dyDescent="0.25">
      <c r="A177" s="730"/>
      <c r="B177" s="1286">
        <f t="shared" si="21"/>
        <v>74</v>
      </c>
      <c r="C177" s="1775"/>
      <c r="D177" s="1779"/>
      <c r="E177" s="1779"/>
      <c r="F177" s="1448" t="s">
        <v>1285</v>
      </c>
      <c r="G177" s="1302"/>
      <c r="H177" s="1322"/>
      <c r="I177" s="1322"/>
      <c r="J177" s="1322"/>
      <c r="K177" s="1322"/>
      <c r="L177" s="1322"/>
      <c r="M177" s="1322"/>
      <c r="N177" s="1322"/>
      <c r="O177" s="1326"/>
      <c r="P177" s="1322"/>
      <c r="Q177" s="1323"/>
      <c r="R177" s="1324"/>
      <c r="S177" s="1325"/>
      <c r="T177" s="1353"/>
      <c r="U177" s="1463"/>
      <c r="V177" s="1464"/>
      <c r="W177" s="1482"/>
      <c r="X177" s="1307"/>
    </row>
    <row r="178" spans="1:24" s="1308" customFormat="1" ht="15" customHeight="1" x14ac:dyDescent="0.25">
      <c r="A178" s="730"/>
      <c r="B178" s="1286">
        <f t="shared" si="21"/>
        <v>75</v>
      </c>
      <c r="C178" s="1775"/>
      <c r="D178" s="1779"/>
      <c r="E178" s="1779" t="s">
        <v>1623</v>
      </c>
      <c r="F178" s="1448" t="s">
        <v>1424</v>
      </c>
      <c r="G178" s="1302"/>
      <c r="H178" s="1322"/>
      <c r="I178" s="1322"/>
      <c r="J178" s="1322"/>
      <c r="K178" s="1322"/>
      <c r="L178" s="1322"/>
      <c r="M178" s="1322"/>
      <c r="N178" s="1322"/>
      <c r="O178" s="1326"/>
      <c r="P178" s="1322"/>
      <c r="Q178" s="1323"/>
      <c r="R178" s="1324"/>
      <c r="S178" s="1325"/>
      <c r="T178" s="1353"/>
      <c r="U178" s="1463"/>
      <c r="V178" s="1464"/>
      <c r="W178" s="1482"/>
      <c r="X178" s="1307"/>
    </row>
    <row r="179" spans="1:24" s="1308" customFormat="1" ht="15" customHeight="1" x14ac:dyDescent="0.25">
      <c r="A179" s="730"/>
      <c r="B179" s="1286">
        <f t="shared" si="21"/>
        <v>76</v>
      </c>
      <c r="C179" s="1775"/>
      <c r="D179" s="1779"/>
      <c r="E179" s="1779"/>
      <c r="F179" s="1448" t="s">
        <v>1285</v>
      </c>
      <c r="G179" s="1302"/>
      <c r="H179" s="1322"/>
      <c r="I179" s="1322"/>
      <c r="J179" s="1322"/>
      <c r="K179" s="1322"/>
      <c r="L179" s="1322"/>
      <c r="M179" s="1322"/>
      <c r="N179" s="1322"/>
      <c r="O179" s="1326"/>
      <c r="P179" s="1322"/>
      <c r="Q179" s="1323"/>
      <c r="R179" s="1324"/>
      <c r="S179" s="1325"/>
      <c r="T179" s="1353"/>
      <c r="U179" s="1463"/>
      <c r="V179" s="1464"/>
      <c r="W179" s="1482"/>
      <c r="X179" s="1307"/>
    </row>
    <row r="180" spans="1:24" s="1308" customFormat="1" ht="15" customHeight="1" x14ac:dyDescent="0.25">
      <c r="A180" s="730"/>
      <c r="B180" s="1286">
        <f t="shared" si="21"/>
        <v>77</v>
      </c>
      <c r="C180" s="1775"/>
      <c r="D180" s="1779"/>
      <c r="E180" s="1779" t="s">
        <v>1281</v>
      </c>
      <c r="F180" s="1448" t="s">
        <v>1424</v>
      </c>
      <c r="G180" s="1302"/>
      <c r="H180" s="1322"/>
      <c r="I180" s="1322"/>
      <c r="J180" s="1322"/>
      <c r="K180" s="1322"/>
      <c r="L180" s="1322"/>
      <c r="M180" s="1322"/>
      <c r="N180" s="1322"/>
      <c r="O180" s="1326"/>
      <c r="P180" s="1322"/>
      <c r="Q180" s="1323"/>
      <c r="R180" s="1324"/>
      <c r="S180" s="1325"/>
      <c r="T180" s="1353"/>
      <c r="U180" s="1463"/>
      <c r="V180" s="1464"/>
      <c r="W180" s="1482"/>
      <c r="X180" s="1307"/>
    </row>
    <row r="181" spans="1:24" s="1308" customFormat="1" ht="15" customHeight="1" x14ac:dyDescent="0.25">
      <c r="A181" s="730"/>
      <c r="B181" s="1286">
        <f t="shared" si="21"/>
        <v>78</v>
      </c>
      <c r="C181" s="1775"/>
      <c r="D181" s="1779"/>
      <c r="E181" s="1779"/>
      <c r="F181" s="1448" t="s">
        <v>1285</v>
      </c>
      <c r="G181" s="1302"/>
      <c r="H181" s="1322"/>
      <c r="I181" s="1322"/>
      <c r="J181" s="1322"/>
      <c r="K181" s="1322"/>
      <c r="L181" s="1322"/>
      <c r="M181" s="1322"/>
      <c r="N181" s="1322"/>
      <c r="O181" s="1326"/>
      <c r="P181" s="1322"/>
      <c r="Q181" s="1323"/>
      <c r="R181" s="1324"/>
      <c r="S181" s="1325"/>
      <c r="T181" s="1353"/>
      <c r="U181" s="1463"/>
      <c r="V181" s="1464"/>
      <c r="W181" s="1482"/>
      <c r="X181" s="1307"/>
    </row>
    <row r="182" spans="1:24" s="1308" customFormat="1" ht="15" customHeight="1" x14ac:dyDescent="0.25">
      <c r="A182" s="730"/>
      <c r="B182" s="1286">
        <f t="shared" si="21"/>
        <v>79</v>
      </c>
      <c r="C182" s="1775"/>
      <c r="D182" s="1779" t="s">
        <v>1624</v>
      </c>
      <c r="E182" s="1779" t="s">
        <v>1280</v>
      </c>
      <c r="F182" s="1448" t="s">
        <v>1424</v>
      </c>
      <c r="G182" s="1302"/>
      <c r="H182" s="1322"/>
      <c r="I182" s="1322"/>
      <c r="J182" s="1322"/>
      <c r="K182" s="1322"/>
      <c r="L182" s="1322"/>
      <c r="M182" s="1322"/>
      <c r="N182" s="1322"/>
      <c r="O182" s="1326"/>
      <c r="P182" s="1322"/>
      <c r="Q182" s="1323"/>
      <c r="R182" s="1324"/>
      <c r="S182" s="1325"/>
      <c r="T182" s="1353"/>
      <c r="U182" s="1463"/>
      <c r="V182" s="1464"/>
      <c r="W182" s="1482"/>
      <c r="X182" s="1307"/>
    </row>
    <row r="183" spans="1:24" s="1308" customFormat="1" ht="15" customHeight="1" x14ac:dyDescent="0.25">
      <c r="A183" s="730"/>
      <c r="B183" s="1286">
        <f t="shared" si="21"/>
        <v>80</v>
      </c>
      <c r="C183" s="1775"/>
      <c r="D183" s="1779"/>
      <c r="E183" s="1779"/>
      <c r="F183" s="1448" t="s">
        <v>1285</v>
      </c>
      <c r="G183" s="1302"/>
      <c r="H183" s="1322"/>
      <c r="I183" s="1322"/>
      <c r="J183" s="1322"/>
      <c r="K183" s="1322"/>
      <c r="L183" s="1322"/>
      <c r="M183" s="1322"/>
      <c r="N183" s="1322"/>
      <c r="O183" s="1326"/>
      <c r="P183" s="1322"/>
      <c r="Q183" s="1323"/>
      <c r="R183" s="1324"/>
      <c r="S183" s="1325"/>
      <c r="T183" s="1353"/>
      <c r="U183" s="1463"/>
      <c r="V183" s="1464"/>
      <c r="W183" s="1482"/>
      <c r="X183" s="1307"/>
    </row>
    <row r="184" spans="1:24" s="1308" customFormat="1" ht="15" customHeight="1" x14ac:dyDescent="0.25">
      <c r="A184" s="730"/>
      <c r="B184" s="1286">
        <f t="shared" si="21"/>
        <v>81</v>
      </c>
      <c r="C184" s="1775"/>
      <c r="D184" s="1779"/>
      <c r="E184" s="1779" t="s">
        <v>1623</v>
      </c>
      <c r="F184" s="1448" t="s">
        <v>1424</v>
      </c>
      <c r="G184" s="1302"/>
      <c r="H184" s="1322"/>
      <c r="I184" s="1322"/>
      <c r="J184" s="1322"/>
      <c r="K184" s="1322"/>
      <c r="L184" s="1322"/>
      <c r="M184" s="1322"/>
      <c r="N184" s="1322"/>
      <c r="O184" s="1326"/>
      <c r="P184" s="1322"/>
      <c r="Q184" s="1323"/>
      <c r="R184" s="1324"/>
      <c r="S184" s="1325"/>
      <c r="T184" s="1353"/>
      <c r="U184" s="1463"/>
      <c r="V184" s="1464"/>
      <c r="W184" s="1482"/>
      <c r="X184" s="1307"/>
    </row>
    <row r="185" spans="1:24" s="1308" customFormat="1" ht="15" customHeight="1" x14ac:dyDescent="0.25">
      <c r="A185" s="730"/>
      <c r="B185" s="1286">
        <f t="shared" si="21"/>
        <v>82</v>
      </c>
      <c r="C185" s="1775"/>
      <c r="D185" s="1779"/>
      <c r="E185" s="1779"/>
      <c r="F185" s="1448" t="s">
        <v>1285</v>
      </c>
      <c r="G185" s="1302"/>
      <c r="H185" s="1322"/>
      <c r="I185" s="1322"/>
      <c r="J185" s="1322"/>
      <c r="K185" s="1322"/>
      <c r="L185" s="1322"/>
      <c r="M185" s="1322"/>
      <c r="N185" s="1322"/>
      <c r="O185" s="1326"/>
      <c r="P185" s="1322"/>
      <c r="Q185" s="1323"/>
      <c r="R185" s="1324"/>
      <c r="S185" s="1325"/>
      <c r="T185" s="1353"/>
      <c r="U185" s="1463"/>
      <c r="V185" s="1464"/>
      <c r="W185" s="1482"/>
      <c r="X185" s="1307"/>
    </row>
    <row r="186" spans="1:24" s="1308" customFormat="1" ht="15" customHeight="1" x14ac:dyDescent="0.25">
      <c r="A186" s="730"/>
      <c r="B186" s="1286">
        <f t="shared" si="21"/>
        <v>83</v>
      </c>
      <c r="C186" s="1775"/>
      <c r="D186" s="1779"/>
      <c r="E186" s="1779" t="s">
        <v>1281</v>
      </c>
      <c r="F186" s="1448" t="s">
        <v>1424</v>
      </c>
      <c r="G186" s="1302"/>
      <c r="H186" s="1322"/>
      <c r="I186" s="1322"/>
      <c r="J186" s="1322"/>
      <c r="K186" s="1322"/>
      <c r="L186" s="1322"/>
      <c r="M186" s="1322"/>
      <c r="N186" s="1322"/>
      <c r="O186" s="1326"/>
      <c r="P186" s="1322"/>
      <c r="Q186" s="1323"/>
      <c r="R186" s="1324"/>
      <c r="S186" s="1325"/>
      <c r="T186" s="1353"/>
      <c r="U186" s="1463"/>
      <c r="V186" s="1464"/>
      <c r="W186" s="1482"/>
      <c r="X186" s="1307"/>
    </row>
    <row r="187" spans="1:24" s="1308" customFormat="1" ht="15" customHeight="1" x14ac:dyDescent="0.25">
      <c r="A187" s="730"/>
      <c r="B187" s="1286">
        <f t="shared" si="21"/>
        <v>84</v>
      </c>
      <c r="C187" s="1775"/>
      <c r="D187" s="1779"/>
      <c r="E187" s="1779"/>
      <c r="F187" s="1448" t="s">
        <v>1285</v>
      </c>
      <c r="G187" s="1302"/>
      <c r="H187" s="1322"/>
      <c r="I187" s="1322"/>
      <c r="J187" s="1322"/>
      <c r="K187" s="1322"/>
      <c r="L187" s="1322"/>
      <c r="M187" s="1322"/>
      <c r="N187" s="1322"/>
      <c r="O187" s="1326"/>
      <c r="P187" s="1322"/>
      <c r="Q187" s="1323"/>
      <c r="R187" s="1324"/>
      <c r="S187" s="1325"/>
      <c r="T187" s="1353"/>
      <c r="U187" s="1463"/>
      <c r="V187" s="1464"/>
      <c r="W187" s="1482"/>
      <c r="X187" s="1307"/>
    </row>
    <row r="188" spans="1:24" s="1308" customFormat="1" ht="15" customHeight="1" x14ac:dyDescent="0.25">
      <c r="A188" s="730"/>
      <c r="B188" s="1286">
        <f t="shared" si="21"/>
        <v>85</v>
      </c>
      <c r="C188" s="1775"/>
      <c r="D188" s="1779" t="s">
        <v>1286</v>
      </c>
      <c r="E188" s="1779" t="s">
        <v>1280</v>
      </c>
      <c r="F188" s="1448" t="s">
        <v>1424</v>
      </c>
      <c r="G188" s="1302"/>
      <c r="H188" s="1322"/>
      <c r="I188" s="1322"/>
      <c r="J188" s="1322"/>
      <c r="K188" s="1322"/>
      <c r="L188" s="1322"/>
      <c r="M188" s="1322"/>
      <c r="N188" s="1322"/>
      <c r="O188" s="1326"/>
      <c r="P188" s="1322"/>
      <c r="Q188" s="1323"/>
      <c r="R188" s="1324"/>
      <c r="S188" s="1325"/>
      <c r="T188" s="1353"/>
      <c r="U188" s="1463"/>
      <c r="V188" s="1464"/>
      <c r="W188" s="1482"/>
      <c r="X188" s="1307"/>
    </row>
    <row r="189" spans="1:24" s="1308" customFormat="1" ht="15" customHeight="1" x14ac:dyDescent="0.25">
      <c r="A189" s="730"/>
      <c r="B189" s="1286">
        <f t="shared" si="21"/>
        <v>86</v>
      </c>
      <c r="C189" s="1775"/>
      <c r="D189" s="1779"/>
      <c r="E189" s="1779"/>
      <c r="F189" s="1448" t="s">
        <v>1285</v>
      </c>
      <c r="G189" s="1302"/>
      <c r="H189" s="1322"/>
      <c r="I189" s="1322"/>
      <c r="J189" s="1322"/>
      <c r="K189" s="1322"/>
      <c r="L189" s="1322"/>
      <c r="M189" s="1322"/>
      <c r="N189" s="1322"/>
      <c r="O189" s="1326"/>
      <c r="P189" s="1322"/>
      <c r="Q189" s="1323"/>
      <c r="R189" s="1324"/>
      <c r="S189" s="1325"/>
      <c r="T189" s="1353"/>
      <c r="U189" s="1463"/>
      <c r="V189" s="1464"/>
      <c r="W189" s="1482"/>
      <c r="X189" s="1307"/>
    </row>
    <row r="190" spans="1:24" s="1308" customFormat="1" ht="15" customHeight="1" x14ac:dyDescent="0.25">
      <c r="A190" s="730"/>
      <c r="B190" s="1286">
        <f t="shared" si="21"/>
        <v>87</v>
      </c>
      <c r="C190" s="1775"/>
      <c r="D190" s="1779"/>
      <c r="E190" s="1779" t="s">
        <v>1623</v>
      </c>
      <c r="F190" s="1448" t="s">
        <v>1424</v>
      </c>
      <c r="G190" s="1302"/>
      <c r="H190" s="1322"/>
      <c r="I190" s="1322"/>
      <c r="J190" s="1322"/>
      <c r="K190" s="1322"/>
      <c r="L190" s="1322"/>
      <c r="M190" s="1322"/>
      <c r="N190" s="1322"/>
      <c r="O190" s="1326"/>
      <c r="P190" s="1322"/>
      <c r="Q190" s="1323"/>
      <c r="R190" s="1324"/>
      <c r="S190" s="1325"/>
      <c r="T190" s="1353"/>
      <c r="U190" s="1463"/>
      <c r="V190" s="1464"/>
      <c r="W190" s="1482"/>
      <c r="X190" s="1307"/>
    </row>
    <row r="191" spans="1:24" s="1308" customFormat="1" ht="15" customHeight="1" x14ac:dyDescent="0.25">
      <c r="A191" s="730"/>
      <c r="B191" s="1286">
        <f t="shared" si="21"/>
        <v>88</v>
      </c>
      <c r="C191" s="1775"/>
      <c r="D191" s="1779"/>
      <c r="E191" s="1779"/>
      <c r="F191" s="1448" t="s">
        <v>1285</v>
      </c>
      <c r="G191" s="1302"/>
      <c r="H191" s="1322"/>
      <c r="I191" s="1322"/>
      <c r="J191" s="1322"/>
      <c r="K191" s="1322"/>
      <c r="L191" s="1322"/>
      <c r="M191" s="1322"/>
      <c r="N191" s="1322"/>
      <c r="O191" s="1326"/>
      <c r="P191" s="1322"/>
      <c r="Q191" s="1323"/>
      <c r="R191" s="1324"/>
      <c r="S191" s="1325"/>
      <c r="T191" s="1353"/>
      <c r="U191" s="1463"/>
      <c r="V191" s="1464"/>
      <c r="W191" s="1482"/>
      <c r="X191" s="1307"/>
    </row>
    <row r="192" spans="1:24" s="1308" customFormat="1" ht="15" customHeight="1" x14ac:dyDescent="0.25">
      <c r="A192" s="730"/>
      <c r="B192" s="1286">
        <f t="shared" si="21"/>
        <v>89</v>
      </c>
      <c r="C192" s="1775"/>
      <c r="D192" s="1779"/>
      <c r="E192" s="1779" t="s">
        <v>1281</v>
      </c>
      <c r="F192" s="1448" t="s">
        <v>1424</v>
      </c>
      <c r="G192" s="1302"/>
      <c r="H192" s="1322"/>
      <c r="I192" s="1322"/>
      <c r="J192" s="1322"/>
      <c r="K192" s="1322"/>
      <c r="L192" s="1322"/>
      <c r="M192" s="1322"/>
      <c r="N192" s="1322"/>
      <c r="O192" s="1326"/>
      <c r="P192" s="1322"/>
      <c r="Q192" s="1323"/>
      <c r="R192" s="1324"/>
      <c r="S192" s="1325"/>
      <c r="T192" s="1353"/>
      <c r="U192" s="1463"/>
      <c r="V192" s="1464"/>
      <c r="W192" s="1482"/>
      <c r="X192" s="1307"/>
    </row>
    <row r="193" spans="1:24" s="1308" customFormat="1" ht="15" customHeight="1" x14ac:dyDescent="0.25">
      <c r="A193" s="730"/>
      <c r="B193" s="1286">
        <f t="shared" si="21"/>
        <v>90</v>
      </c>
      <c r="C193" s="1775"/>
      <c r="D193" s="1779"/>
      <c r="E193" s="1779"/>
      <c r="F193" s="1448" t="s">
        <v>1285</v>
      </c>
      <c r="G193" s="1302"/>
      <c r="H193" s="1322"/>
      <c r="I193" s="1322"/>
      <c r="J193" s="1322"/>
      <c r="K193" s="1322"/>
      <c r="L193" s="1322"/>
      <c r="M193" s="1322"/>
      <c r="N193" s="1322"/>
      <c r="O193" s="1326"/>
      <c r="P193" s="1322"/>
      <c r="Q193" s="1323"/>
      <c r="R193" s="1324"/>
      <c r="S193" s="1325"/>
      <c r="T193" s="1353"/>
      <c r="U193" s="1463"/>
      <c r="V193" s="1464"/>
      <c r="W193" s="1482"/>
      <c r="X193" s="1307"/>
    </row>
    <row r="194" spans="1:24" s="1308" customFormat="1" ht="15" customHeight="1" x14ac:dyDescent="0.25">
      <c r="A194" s="730"/>
      <c r="B194" s="1286">
        <f t="shared" si="21"/>
        <v>91</v>
      </c>
      <c r="C194" s="1775"/>
      <c r="D194" s="1779" t="s">
        <v>1287</v>
      </c>
      <c r="E194" s="1779" t="s">
        <v>1280</v>
      </c>
      <c r="F194" s="1448" t="s">
        <v>1424</v>
      </c>
      <c r="G194" s="1302"/>
      <c r="H194" s="1322"/>
      <c r="I194" s="1322"/>
      <c r="J194" s="1322"/>
      <c r="K194" s="1322"/>
      <c r="L194" s="1322"/>
      <c r="M194" s="1322"/>
      <c r="N194" s="1322"/>
      <c r="O194" s="1326"/>
      <c r="P194" s="1322"/>
      <c r="Q194" s="1323"/>
      <c r="R194" s="1324"/>
      <c r="S194" s="1325"/>
      <c r="T194" s="1353"/>
      <c r="U194" s="1463"/>
      <c r="V194" s="1464"/>
      <c r="W194" s="1482"/>
      <c r="X194" s="1307"/>
    </row>
    <row r="195" spans="1:24" s="1308" customFormat="1" ht="15" customHeight="1" x14ac:dyDescent="0.25">
      <c r="A195" s="730"/>
      <c r="B195" s="1286">
        <f t="shared" si="21"/>
        <v>92</v>
      </c>
      <c r="C195" s="1775"/>
      <c r="D195" s="1779"/>
      <c r="E195" s="1779"/>
      <c r="F195" s="1448" t="s">
        <v>1285</v>
      </c>
      <c r="G195" s="1302"/>
      <c r="H195" s="1322"/>
      <c r="I195" s="1322"/>
      <c r="J195" s="1322"/>
      <c r="K195" s="1322"/>
      <c r="L195" s="1322"/>
      <c r="M195" s="1322"/>
      <c r="N195" s="1322"/>
      <c r="O195" s="1326"/>
      <c r="P195" s="1322"/>
      <c r="Q195" s="1323"/>
      <c r="R195" s="1324"/>
      <c r="S195" s="1325"/>
      <c r="T195" s="1353"/>
      <c r="U195" s="1463"/>
      <c r="V195" s="1464"/>
      <c r="W195" s="1482"/>
      <c r="X195" s="1307"/>
    </row>
    <row r="196" spans="1:24" s="1308" customFormat="1" ht="15" customHeight="1" x14ac:dyDescent="0.25">
      <c r="A196" s="730"/>
      <c r="B196" s="1286">
        <f t="shared" si="21"/>
        <v>93</v>
      </c>
      <c r="C196" s="1775"/>
      <c r="D196" s="1779"/>
      <c r="E196" s="1779" t="s">
        <v>1623</v>
      </c>
      <c r="F196" s="1448" t="s">
        <v>1424</v>
      </c>
      <c r="G196" s="1302"/>
      <c r="H196" s="1322"/>
      <c r="I196" s="1322"/>
      <c r="J196" s="1322"/>
      <c r="K196" s="1322"/>
      <c r="L196" s="1322"/>
      <c r="M196" s="1322"/>
      <c r="N196" s="1322"/>
      <c r="O196" s="1326"/>
      <c r="P196" s="1322"/>
      <c r="Q196" s="1323"/>
      <c r="R196" s="1324"/>
      <c r="S196" s="1325"/>
      <c r="T196" s="1353"/>
      <c r="U196" s="1463"/>
      <c r="V196" s="1464"/>
      <c r="W196" s="1482"/>
      <c r="X196" s="1307"/>
    </row>
    <row r="197" spans="1:24" s="1308" customFormat="1" ht="15" customHeight="1" x14ac:dyDescent="0.25">
      <c r="A197" s="730"/>
      <c r="B197" s="1286">
        <f t="shared" si="21"/>
        <v>94</v>
      </c>
      <c r="C197" s="1775"/>
      <c r="D197" s="1779"/>
      <c r="E197" s="1779"/>
      <c r="F197" s="1448" t="s">
        <v>1285</v>
      </c>
      <c r="G197" s="1302"/>
      <c r="H197" s="1322"/>
      <c r="I197" s="1322"/>
      <c r="J197" s="1322"/>
      <c r="K197" s="1322"/>
      <c r="L197" s="1322"/>
      <c r="M197" s="1322"/>
      <c r="N197" s="1322"/>
      <c r="O197" s="1326"/>
      <c r="P197" s="1322"/>
      <c r="Q197" s="1323"/>
      <c r="R197" s="1324"/>
      <c r="S197" s="1325"/>
      <c r="T197" s="1353"/>
      <c r="U197" s="1463"/>
      <c r="V197" s="1464"/>
      <c r="W197" s="1482"/>
      <c r="X197" s="1307"/>
    </row>
    <row r="198" spans="1:24" s="1308" customFormat="1" ht="15" customHeight="1" x14ac:dyDescent="0.25">
      <c r="A198" s="730"/>
      <c r="B198" s="1286">
        <f t="shared" si="21"/>
        <v>95</v>
      </c>
      <c r="C198" s="1775"/>
      <c r="D198" s="1779"/>
      <c r="E198" s="1779" t="s">
        <v>1281</v>
      </c>
      <c r="F198" s="1448" t="s">
        <v>1424</v>
      </c>
      <c r="G198" s="1302"/>
      <c r="H198" s="1322"/>
      <c r="I198" s="1322"/>
      <c r="J198" s="1322"/>
      <c r="K198" s="1322"/>
      <c r="L198" s="1322"/>
      <c r="M198" s="1322"/>
      <c r="N198" s="1322"/>
      <c r="O198" s="1326"/>
      <c r="P198" s="1322"/>
      <c r="Q198" s="1323"/>
      <c r="R198" s="1324"/>
      <c r="S198" s="1325"/>
      <c r="T198" s="1353"/>
      <c r="U198" s="1463"/>
      <c r="V198" s="1464"/>
      <c r="W198" s="1482"/>
      <c r="X198" s="1307"/>
    </row>
    <row r="199" spans="1:24" s="1308" customFormat="1" ht="15" customHeight="1" x14ac:dyDescent="0.25">
      <c r="A199" s="730"/>
      <c r="B199" s="1286">
        <f t="shared" si="21"/>
        <v>96</v>
      </c>
      <c r="C199" s="1775"/>
      <c r="D199" s="1779"/>
      <c r="E199" s="1779"/>
      <c r="F199" s="1448" t="s">
        <v>1285</v>
      </c>
      <c r="G199" s="1302"/>
      <c r="H199" s="1322"/>
      <c r="I199" s="1322"/>
      <c r="J199" s="1322"/>
      <c r="K199" s="1322"/>
      <c r="L199" s="1322"/>
      <c r="M199" s="1322"/>
      <c r="N199" s="1322"/>
      <c r="O199" s="1326"/>
      <c r="P199" s="1322"/>
      <c r="Q199" s="1323"/>
      <c r="R199" s="1324"/>
      <c r="S199" s="1325"/>
      <c r="T199" s="1353"/>
      <c r="U199" s="1463"/>
      <c r="V199" s="1464"/>
      <c r="W199" s="1482"/>
      <c r="X199" s="1307"/>
    </row>
    <row r="200" spans="1:24" s="1308" customFormat="1" ht="15" customHeight="1" x14ac:dyDescent="0.25">
      <c r="A200" s="730"/>
      <c r="B200" s="1286">
        <f t="shared" si="21"/>
        <v>97</v>
      </c>
      <c r="C200" s="1775"/>
      <c r="D200" s="1779" t="s">
        <v>1288</v>
      </c>
      <c r="E200" s="1779" t="s">
        <v>1280</v>
      </c>
      <c r="F200" s="1448" t="s">
        <v>1424</v>
      </c>
      <c r="G200" s="1302"/>
      <c r="H200" s="1322"/>
      <c r="I200" s="1322"/>
      <c r="J200" s="1322"/>
      <c r="K200" s="1322"/>
      <c r="L200" s="1322"/>
      <c r="M200" s="1322"/>
      <c r="N200" s="1322"/>
      <c r="O200" s="1326"/>
      <c r="P200" s="1322"/>
      <c r="Q200" s="1323"/>
      <c r="R200" s="1324"/>
      <c r="S200" s="1325"/>
      <c r="T200" s="1353"/>
      <c r="U200" s="1463"/>
      <c r="V200" s="1464"/>
      <c r="W200" s="1482"/>
      <c r="X200" s="1307"/>
    </row>
    <row r="201" spans="1:24" s="1308" customFormat="1" ht="15" customHeight="1" x14ac:dyDescent="0.25">
      <c r="A201" s="730"/>
      <c r="B201" s="1286">
        <f t="shared" si="21"/>
        <v>98</v>
      </c>
      <c r="C201" s="1775"/>
      <c r="D201" s="1779"/>
      <c r="E201" s="1779"/>
      <c r="F201" s="1448" t="s">
        <v>1285</v>
      </c>
      <c r="G201" s="1302"/>
      <c r="H201" s="1322"/>
      <c r="I201" s="1322"/>
      <c r="J201" s="1322"/>
      <c r="K201" s="1322"/>
      <c r="L201" s="1322"/>
      <c r="M201" s="1322"/>
      <c r="N201" s="1322"/>
      <c r="O201" s="1326"/>
      <c r="P201" s="1322"/>
      <c r="Q201" s="1323"/>
      <c r="R201" s="1324"/>
      <c r="S201" s="1325"/>
      <c r="T201" s="1353"/>
      <c r="U201" s="1463"/>
      <c r="V201" s="1464"/>
      <c r="W201" s="1482"/>
      <c r="X201" s="1307"/>
    </row>
    <row r="202" spans="1:24" s="1308" customFormat="1" ht="15" customHeight="1" x14ac:dyDescent="0.25">
      <c r="A202" s="730"/>
      <c r="B202" s="1286">
        <f t="shared" si="21"/>
        <v>99</v>
      </c>
      <c r="C202" s="1775"/>
      <c r="D202" s="1779"/>
      <c r="E202" s="1779" t="s">
        <v>1623</v>
      </c>
      <c r="F202" s="1448" t="s">
        <v>1424</v>
      </c>
      <c r="G202" s="1302"/>
      <c r="H202" s="1322"/>
      <c r="I202" s="1322"/>
      <c r="J202" s="1322"/>
      <c r="K202" s="1322"/>
      <c r="L202" s="1322"/>
      <c r="M202" s="1322"/>
      <c r="N202" s="1322"/>
      <c r="O202" s="1326"/>
      <c r="P202" s="1322"/>
      <c r="Q202" s="1323"/>
      <c r="R202" s="1324"/>
      <c r="S202" s="1325"/>
      <c r="T202" s="1353"/>
      <c r="U202" s="1463"/>
      <c r="V202" s="1464"/>
      <c r="W202" s="1482"/>
      <c r="X202" s="1307"/>
    </row>
    <row r="203" spans="1:24" s="1308" customFormat="1" ht="15" customHeight="1" x14ac:dyDescent="0.25">
      <c r="A203" s="730"/>
      <c r="B203" s="1286">
        <f t="shared" si="21"/>
        <v>100</v>
      </c>
      <c r="C203" s="1775"/>
      <c r="D203" s="1779"/>
      <c r="E203" s="1779"/>
      <c r="F203" s="1448" t="s">
        <v>1285</v>
      </c>
      <c r="G203" s="1302"/>
      <c r="H203" s="1322"/>
      <c r="I203" s="1322"/>
      <c r="J203" s="1322"/>
      <c r="K203" s="1322"/>
      <c r="L203" s="1322"/>
      <c r="M203" s="1322"/>
      <c r="N203" s="1322"/>
      <c r="O203" s="1326"/>
      <c r="P203" s="1322"/>
      <c r="Q203" s="1323"/>
      <c r="R203" s="1324"/>
      <c r="S203" s="1325"/>
      <c r="T203" s="1353"/>
      <c r="U203" s="1463"/>
      <c r="V203" s="1464"/>
      <c r="W203" s="1482"/>
      <c r="X203" s="1307"/>
    </row>
    <row r="204" spans="1:24" s="1308" customFormat="1" ht="15" customHeight="1" x14ac:dyDescent="0.25">
      <c r="A204" s="730"/>
      <c r="B204" s="1286">
        <f t="shared" si="21"/>
        <v>101</v>
      </c>
      <c r="C204" s="1775"/>
      <c r="D204" s="1779"/>
      <c r="E204" s="1779" t="s">
        <v>1281</v>
      </c>
      <c r="F204" s="1448" t="s">
        <v>1424</v>
      </c>
      <c r="G204" s="1302"/>
      <c r="H204" s="1322"/>
      <c r="I204" s="1322"/>
      <c r="J204" s="1322"/>
      <c r="K204" s="1322"/>
      <c r="L204" s="1322"/>
      <c r="M204" s="1322"/>
      <c r="N204" s="1322"/>
      <c r="O204" s="1326"/>
      <c r="P204" s="1322"/>
      <c r="Q204" s="1323"/>
      <c r="R204" s="1324"/>
      <c r="S204" s="1325"/>
      <c r="T204" s="1353"/>
      <c r="U204" s="1463"/>
      <c r="V204" s="1464"/>
      <c r="W204" s="1482"/>
      <c r="X204" s="1307"/>
    </row>
    <row r="205" spans="1:24" s="1308" customFormat="1" ht="15" customHeight="1" x14ac:dyDescent="0.25">
      <c r="A205" s="730"/>
      <c r="B205" s="1286">
        <f t="shared" si="21"/>
        <v>102</v>
      </c>
      <c r="C205" s="1775"/>
      <c r="D205" s="1779"/>
      <c r="E205" s="1779"/>
      <c r="F205" s="1448" t="s">
        <v>1285</v>
      </c>
      <c r="G205" s="1302"/>
      <c r="H205" s="1322"/>
      <c r="I205" s="1322"/>
      <c r="J205" s="1322"/>
      <c r="K205" s="1322"/>
      <c r="L205" s="1322"/>
      <c r="M205" s="1322"/>
      <c r="N205" s="1322"/>
      <c r="O205" s="1326"/>
      <c r="P205" s="1322"/>
      <c r="Q205" s="1323"/>
      <c r="R205" s="1324"/>
      <c r="S205" s="1325"/>
      <c r="T205" s="1353"/>
      <c r="U205" s="1463"/>
      <c r="V205" s="1464"/>
      <c r="W205" s="1482"/>
      <c r="X205" s="1307"/>
    </row>
    <row r="206" spans="1:24" s="1308" customFormat="1" ht="15" customHeight="1" x14ac:dyDescent="0.25">
      <c r="A206" s="730"/>
      <c r="B206" s="1286">
        <f t="shared" si="21"/>
        <v>103</v>
      </c>
      <c r="C206" s="1775"/>
      <c r="D206" s="1779" t="s">
        <v>1279</v>
      </c>
      <c r="E206" s="1779" t="s">
        <v>1280</v>
      </c>
      <c r="F206" s="1448" t="s">
        <v>1424</v>
      </c>
      <c r="G206" s="1302"/>
      <c r="H206" s="1322"/>
      <c r="I206" s="1322"/>
      <c r="J206" s="1322"/>
      <c r="K206" s="1322"/>
      <c r="L206" s="1322"/>
      <c r="M206" s="1322"/>
      <c r="N206" s="1322"/>
      <c r="O206" s="1326"/>
      <c r="P206" s="1322"/>
      <c r="Q206" s="1323"/>
      <c r="R206" s="1324"/>
      <c r="S206" s="1325"/>
      <c r="T206" s="1353"/>
      <c r="U206" s="1463"/>
      <c r="V206" s="1464"/>
      <c r="W206" s="1482"/>
      <c r="X206" s="1307"/>
    </row>
    <row r="207" spans="1:24" s="1308" customFormat="1" ht="15" customHeight="1" x14ac:dyDescent="0.25">
      <c r="A207" s="730"/>
      <c r="B207" s="1286">
        <f t="shared" si="21"/>
        <v>104</v>
      </c>
      <c r="C207" s="1775"/>
      <c r="D207" s="1779"/>
      <c r="E207" s="1779"/>
      <c r="F207" s="1448" t="s">
        <v>1285</v>
      </c>
      <c r="G207" s="1302"/>
      <c r="H207" s="1322"/>
      <c r="I207" s="1322"/>
      <c r="J207" s="1322"/>
      <c r="K207" s="1322"/>
      <c r="L207" s="1322"/>
      <c r="M207" s="1322"/>
      <c r="N207" s="1322"/>
      <c r="O207" s="1326"/>
      <c r="P207" s="1322"/>
      <c r="Q207" s="1323"/>
      <c r="R207" s="1324"/>
      <c r="S207" s="1325"/>
      <c r="T207" s="1353"/>
      <c r="U207" s="1463"/>
      <c r="V207" s="1464"/>
      <c r="W207" s="1482"/>
      <c r="X207" s="1307"/>
    </row>
    <row r="208" spans="1:24" s="1308" customFormat="1" ht="15" customHeight="1" x14ac:dyDescent="0.25">
      <c r="A208" s="730"/>
      <c r="B208" s="1286">
        <f t="shared" si="21"/>
        <v>105</v>
      </c>
      <c r="C208" s="1775"/>
      <c r="D208" s="1779"/>
      <c r="E208" s="1779" t="s">
        <v>1623</v>
      </c>
      <c r="F208" s="1448" t="s">
        <v>1424</v>
      </c>
      <c r="G208" s="1302"/>
      <c r="H208" s="1322"/>
      <c r="I208" s="1322"/>
      <c r="J208" s="1322"/>
      <c r="K208" s="1322"/>
      <c r="L208" s="1322"/>
      <c r="M208" s="1322"/>
      <c r="N208" s="1322"/>
      <c r="O208" s="1326"/>
      <c r="P208" s="1322"/>
      <c r="Q208" s="1323"/>
      <c r="R208" s="1324"/>
      <c r="S208" s="1325"/>
      <c r="T208" s="1353"/>
      <c r="U208" s="1463"/>
      <c r="V208" s="1464"/>
      <c r="W208" s="1482"/>
      <c r="X208" s="1307"/>
    </row>
    <row r="209" spans="1:24" s="1308" customFormat="1" ht="15" customHeight="1" x14ac:dyDescent="0.25">
      <c r="A209" s="730"/>
      <c r="B209" s="1286">
        <f t="shared" si="21"/>
        <v>106</v>
      </c>
      <c r="C209" s="1775"/>
      <c r="D209" s="1779"/>
      <c r="E209" s="1779"/>
      <c r="F209" s="1448" t="s">
        <v>1285</v>
      </c>
      <c r="G209" s="1302"/>
      <c r="H209" s="1322"/>
      <c r="I209" s="1322"/>
      <c r="J209" s="1322"/>
      <c r="K209" s="1322"/>
      <c r="L209" s="1322"/>
      <c r="M209" s="1322"/>
      <c r="N209" s="1322"/>
      <c r="O209" s="1326"/>
      <c r="P209" s="1322"/>
      <c r="Q209" s="1323"/>
      <c r="R209" s="1324"/>
      <c r="S209" s="1325"/>
      <c r="T209" s="1353"/>
      <c r="U209" s="1463"/>
      <c r="V209" s="1464"/>
      <c r="W209" s="1482"/>
      <c r="X209" s="1307"/>
    </row>
    <row r="210" spans="1:24" s="1308" customFormat="1" ht="15" customHeight="1" x14ac:dyDescent="0.25">
      <c r="A210" s="730"/>
      <c r="B210" s="1286">
        <f t="shared" si="21"/>
        <v>107</v>
      </c>
      <c r="C210" s="1775"/>
      <c r="D210" s="1779"/>
      <c r="E210" s="1779" t="s">
        <v>1281</v>
      </c>
      <c r="F210" s="1448" t="s">
        <v>1424</v>
      </c>
      <c r="G210" s="1302"/>
      <c r="H210" s="1322"/>
      <c r="I210" s="1322"/>
      <c r="J210" s="1322"/>
      <c r="K210" s="1322"/>
      <c r="L210" s="1322"/>
      <c r="M210" s="1322"/>
      <c r="N210" s="1322"/>
      <c r="O210" s="1326"/>
      <c r="P210" s="1322"/>
      <c r="Q210" s="1323"/>
      <c r="R210" s="1324"/>
      <c r="S210" s="1325"/>
      <c r="T210" s="1353"/>
      <c r="U210" s="1463"/>
      <c r="V210" s="1464"/>
      <c r="W210" s="1482"/>
      <c r="X210" s="1307"/>
    </row>
    <row r="211" spans="1:24" s="1308" customFormat="1" ht="15" customHeight="1" x14ac:dyDescent="0.25">
      <c r="A211" s="730"/>
      <c r="B211" s="1287">
        <f t="shared" si="21"/>
        <v>108</v>
      </c>
      <c r="C211" s="1776"/>
      <c r="D211" s="1794"/>
      <c r="E211" s="1794"/>
      <c r="F211" s="1449" t="s">
        <v>1285</v>
      </c>
      <c r="G211" s="1327"/>
      <c r="H211" s="1303"/>
      <c r="I211" s="1303"/>
      <c r="J211" s="1303"/>
      <c r="K211" s="1303"/>
      <c r="L211" s="1303"/>
      <c r="M211" s="1303"/>
      <c r="N211" s="1303"/>
      <c r="O211" s="1328"/>
      <c r="P211" s="1303"/>
      <c r="Q211" s="1304"/>
      <c r="R211" s="1305"/>
      <c r="S211" s="1306"/>
      <c r="T211" s="1351"/>
      <c r="U211" s="1466"/>
      <c r="V211" s="1467"/>
      <c r="W211" s="1483"/>
      <c r="X211" s="1307"/>
    </row>
    <row r="212" spans="1:24" s="1308" customFormat="1" ht="15" customHeight="1" x14ac:dyDescent="0.25">
      <c r="A212" s="730"/>
      <c r="B212" s="1285">
        <f t="shared" si="21"/>
        <v>109</v>
      </c>
      <c r="C212" s="1774" t="s">
        <v>1262</v>
      </c>
      <c r="D212" s="1780" t="s">
        <v>1278</v>
      </c>
      <c r="E212" s="1780" t="s">
        <v>1280</v>
      </c>
      <c r="F212" s="1450" t="s">
        <v>1424</v>
      </c>
      <c r="G212" s="1316"/>
      <c r="H212" s="1317"/>
      <c r="I212" s="1317"/>
      <c r="J212" s="1317"/>
      <c r="K212" s="1317"/>
      <c r="L212" s="1317"/>
      <c r="M212" s="1317"/>
      <c r="N212" s="1317"/>
      <c r="O212" s="1321"/>
      <c r="P212" s="1317"/>
      <c r="Q212" s="1318"/>
      <c r="R212" s="1319"/>
      <c r="S212" s="1320"/>
      <c r="T212" s="1349"/>
      <c r="U212" s="1460"/>
      <c r="V212" s="1461"/>
      <c r="W212" s="1481"/>
      <c r="X212" s="1307"/>
    </row>
    <row r="213" spans="1:24" s="1308" customFormat="1" ht="15" customHeight="1" x14ac:dyDescent="0.25">
      <c r="A213" s="730"/>
      <c r="B213" s="1286">
        <f t="shared" si="21"/>
        <v>110</v>
      </c>
      <c r="C213" s="1775"/>
      <c r="D213" s="1779"/>
      <c r="E213" s="1779"/>
      <c r="F213" s="1448" t="s">
        <v>1285</v>
      </c>
      <c r="G213" s="1302"/>
      <c r="H213" s="1322"/>
      <c r="I213" s="1322"/>
      <c r="J213" s="1322"/>
      <c r="K213" s="1322"/>
      <c r="L213" s="1322"/>
      <c r="M213" s="1322"/>
      <c r="N213" s="1322"/>
      <c r="O213" s="1326"/>
      <c r="P213" s="1322"/>
      <c r="Q213" s="1323"/>
      <c r="R213" s="1324"/>
      <c r="S213" s="1325"/>
      <c r="T213" s="1353"/>
      <c r="U213" s="1463"/>
      <c r="V213" s="1464"/>
      <c r="W213" s="1482"/>
      <c r="X213" s="1307"/>
    </row>
    <row r="214" spans="1:24" s="1308" customFormat="1" ht="15" customHeight="1" x14ac:dyDescent="0.25">
      <c r="A214" s="730"/>
      <c r="B214" s="1286">
        <f t="shared" si="21"/>
        <v>111</v>
      </c>
      <c r="C214" s="1775"/>
      <c r="D214" s="1779"/>
      <c r="E214" s="1779" t="s">
        <v>1623</v>
      </c>
      <c r="F214" s="1448" t="s">
        <v>1424</v>
      </c>
      <c r="G214" s="1302"/>
      <c r="H214" s="1322"/>
      <c r="I214" s="1322"/>
      <c r="J214" s="1322"/>
      <c r="K214" s="1322"/>
      <c r="L214" s="1322"/>
      <c r="M214" s="1322"/>
      <c r="N214" s="1322"/>
      <c r="O214" s="1326"/>
      <c r="P214" s="1322"/>
      <c r="Q214" s="1323"/>
      <c r="R214" s="1324"/>
      <c r="S214" s="1325"/>
      <c r="T214" s="1353"/>
      <c r="U214" s="1463"/>
      <c r="V214" s="1464"/>
      <c r="W214" s="1482"/>
      <c r="X214" s="1307"/>
    </row>
    <row r="215" spans="1:24" s="1308" customFormat="1" ht="15" customHeight="1" x14ac:dyDescent="0.25">
      <c r="A215" s="730"/>
      <c r="B215" s="1286">
        <f t="shared" si="21"/>
        <v>112</v>
      </c>
      <c r="C215" s="1775"/>
      <c r="D215" s="1779"/>
      <c r="E215" s="1779"/>
      <c r="F215" s="1448" t="s">
        <v>1285</v>
      </c>
      <c r="G215" s="1302"/>
      <c r="H215" s="1322"/>
      <c r="I215" s="1322"/>
      <c r="J215" s="1322"/>
      <c r="K215" s="1322"/>
      <c r="L215" s="1322"/>
      <c r="M215" s="1322"/>
      <c r="N215" s="1322"/>
      <c r="O215" s="1326"/>
      <c r="P215" s="1322"/>
      <c r="Q215" s="1323"/>
      <c r="R215" s="1324"/>
      <c r="S215" s="1325"/>
      <c r="T215" s="1353"/>
      <c r="U215" s="1463"/>
      <c r="V215" s="1464"/>
      <c r="W215" s="1482"/>
      <c r="X215" s="1307"/>
    </row>
    <row r="216" spans="1:24" s="1308" customFormat="1" ht="15" customHeight="1" x14ac:dyDescent="0.25">
      <c r="A216" s="730"/>
      <c r="B216" s="1286">
        <f t="shared" si="21"/>
        <v>113</v>
      </c>
      <c r="C216" s="1775"/>
      <c r="D216" s="1779"/>
      <c r="E216" s="1779" t="s">
        <v>1281</v>
      </c>
      <c r="F216" s="1448" t="s">
        <v>1424</v>
      </c>
      <c r="G216" s="1302"/>
      <c r="H216" s="1322"/>
      <c r="I216" s="1322"/>
      <c r="J216" s="1322"/>
      <c r="K216" s="1322"/>
      <c r="L216" s="1322"/>
      <c r="M216" s="1322"/>
      <c r="N216" s="1322"/>
      <c r="O216" s="1326"/>
      <c r="P216" s="1322"/>
      <c r="Q216" s="1323"/>
      <c r="R216" s="1324"/>
      <c r="S216" s="1325"/>
      <c r="T216" s="1353"/>
      <c r="U216" s="1463"/>
      <c r="V216" s="1464"/>
      <c r="W216" s="1482"/>
      <c r="X216" s="1307"/>
    </row>
    <row r="217" spans="1:24" s="1308" customFormat="1" ht="15" customHeight="1" x14ac:dyDescent="0.25">
      <c r="A217" s="730"/>
      <c r="B217" s="1286">
        <f t="shared" si="21"/>
        <v>114</v>
      </c>
      <c r="C217" s="1775"/>
      <c r="D217" s="1779"/>
      <c r="E217" s="1779"/>
      <c r="F217" s="1448" t="s">
        <v>1285</v>
      </c>
      <c r="G217" s="1302"/>
      <c r="H217" s="1322"/>
      <c r="I217" s="1322"/>
      <c r="J217" s="1322"/>
      <c r="K217" s="1322"/>
      <c r="L217" s="1322"/>
      <c r="M217" s="1322"/>
      <c r="N217" s="1322"/>
      <c r="O217" s="1326"/>
      <c r="P217" s="1322"/>
      <c r="Q217" s="1323"/>
      <c r="R217" s="1324"/>
      <c r="S217" s="1325"/>
      <c r="T217" s="1353"/>
      <c r="U217" s="1463"/>
      <c r="V217" s="1464"/>
      <c r="W217" s="1482"/>
      <c r="X217" s="1307"/>
    </row>
    <row r="218" spans="1:24" s="1308" customFormat="1" ht="15" customHeight="1" x14ac:dyDescent="0.25">
      <c r="A218" s="730"/>
      <c r="B218" s="1286">
        <f t="shared" si="21"/>
        <v>115</v>
      </c>
      <c r="C218" s="1775"/>
      <c r="D218" s="1779" t="s">
        <v>1624</v>
      </c>
      <c r="E218" s="1779" t="s">
        <v>1280</v>
      </c>
      <c r="F218" s="1448" t="s">
        <v>1424</v>
      </c>
      <c r="G218" s="1302"/>
      <c r="H218" s="1322"/>
      <c r="I218" s="1322"/>
      <c r="J218" s="1322"/>
      <c r="K218" s="1322"/>
      <c r="L218" s="1322"/>
      <c r="M218" s="1322"/>
      <c r="N218" s="1322"/>
      <c r="O218" s="1326"/>
      <c r="P218" s="1322"/>
      <c r="Q218" s="1323"/>
      <c r="R218" s="1324"/>
      <c r="S218" s="1325"/>
      <c r="T218" s="1353"/>
      <c r="U218" s="1463"/>
      <c r="V218" s="1464"/>
      <c r="W218" s="1482"/>
      <c r="X218" s="1307"/>
    </row>
    <row r="219" spans="1:24" s="1308" customFormat="1" ht="15" customHeight="1" x14ac:dyDescent="0.25">
      <c r="A219" s="730"/>
      <c r="B219" s="1286">
        <f t="shared" si="21"/>
        <v>116</v>
      </c>
      <c r="C219" s="1775"/>
      <c r="D219" s="1779"/>
      <c r="E219" s="1779"/>
      <c r="F219" s="1448" t="s">
        <v>1285</v>
      </c>
      <c r="G219" s="1302"/>
      <c r="H219" s="1322"/>
      <c r="I219" s="1322"/>
      <c r="J219" s="1322"/>
      <c r="K219" s="1322"/>
      <c r="L219" s="1322"/>
      <c r="M219" s="1322"/>
      <c r="N219" s="1322"/>
      <c r="O219" s="1326"/>
      <c r="P219" s="1322"/>
      <c r="Q219" s="1323"/>
      <c r="R219" s="1324"/>
      <c r="S219" s="1325"/>
      <c r="T219" s="1353"/>
      <c r="U219" s="1463"/>
      <c r="V219" s="1464"/>
      <c r="W219" s="1482"/>
      <c r="X219" s="1307"/>
    </row>
    <row r="220" spans="1:24" s="1308" customFormat="1" ht="15" customHeight="1" x14ac:dyDescent="0.25">
      <c r="A220" s="730"/>
      <c r="B220" s="1286">
        <f t="shared" si="21"/>
        <v>117</v>
      </c>
      <c r="C220" s="1775"/>
      <c r="D220" s="1779"/>
      <c r="E220" s="1779" t="s">
        <v>1623</v>
      </c>
      <c r="F220" s="1448" t="s">
        <v>1424</v>
      </c>
      <c r="G220" s="1302"/>
      <c r="H220" s="1322"/>
      <c r="I220" s="1322"/>
      <c r="J220" s="1322"/>
      <c r="K220" s="1322"/>
      <c r="L220" s="1322"/>
      <c r="M220" s="1322"/>
      <c r="N220" s="1322"/>
      <c r="O220" s="1326"/>
      <c r="P220" s="1322"/>
      <c r="Q220" s="1323"/>
      <c r="R220" s="1324"/>
      <c r="S220" s="1325"/>
      <c r="T220" s="1353"/>
      <c r="U220" s="1463"/>
      <c r="V220" s="1464"/>
      <c r="W220" s="1482"/>
      <c r="X220" s="1307"/>
    </row>
    <row r="221" spans="1:24" s="1308" customFormat="1" ht="15" customHeight="1" x14ac:dyDescent="0.25">
      <c r="A221" s="730"/>
      <c r="B221" s="1286">
        <f t="shared" si="21"/>
        <v>118</v>
      </c>
      <c r="C221" s="1775"/>
      <c r="D221" s="1779"/>
      <c r="E221" s="1779"/>
      <c r="F221" s="1448" t="s">
        <v>1285</v>
      </c>
      <c r="G221" s="1302"/>
      <c r="H221" s="1322"/>
      <c r="I221" s="1322"/>
      <c r="J221" s="1322"/>
      <c r="K221" s="1322"/>
      <c r="L221" s="1322"/>
      <c r="M221" s="1322"/>
      <c r="N221" s="1322"/>
      <c r="O221" s="1326"/>
      <c r="P221" s="1322"/>
      <c r="Q221" s="1323"/>
      <c r="R221" s="1324"/>
      <c r="S221" s="1325"/>
      <c r="T221" s="1353"/>
      <c r="U221" s="1463"/>
      <c r="V221" s="1464"/>
      <c r="W221" s="1482"/>
      <c r="X221" s="1307"/>
    </row>
    <row r="222" spans="1:24" s="1308" customFormat="1" ht="15" customHeight="1" x14ac:dyDescent="0.25">
      <c r="A222" s="730"/>
      <c r="B222" s="1286">
        <f t="shared" si="21"/>
        <v>119</v>
      </c>
      <c r="C222" s="1775"/>
      <c r="D222" s="1779"/>
      <c r="E222" s="1779" t="s">
        <v>1281</v>
      </c>
      <c r="F222" s="1448" t="s">
        <v>1424</v>
      </c>
      <c r="G222" s="1302"/>
      <c r="H222" s="1322"/>
      <c r="I222" s="1322"/>
      <c r="J222" s="1322"/>
      <c r="K222" s="1322"/>
      <c r="L222" s="1322"/>
      <c r="M222" s="1322"/>
      <c r="N222" s="1322"/>
      <c r="O222" s="1326"/>
      <c r="P222" s="1322"/>
      <c r="Q222" s="1323"/>
      <c r="R222" s="1324"/>
      <c r="S222" s="1325"/>
      <c r="T222" s="1353"/>
      <c r="U222" s="1463"/>
      <c r="V222" s="1464"/>
      <c r="W222" s="1482"/>
      <c r="X222" s="1307"/>
    </row>
    <row r="223" spans="1:24" s="1308" customFormat="1" ht="15" customHeight="1" x14ac:dyDescent="0.25">
      <c r="A223" s="730"/>
      <c r="B223" s="1286">
        <f t="shared" si="21"/>
        <v>120</v>
      </c>
      <c r="C223" s="1775"/>
      <c r="D223" s="1779"/>
      <c r="E223" s="1779"/>
      <c r="F223" s="1448" t="s">
        <v>1285</v>
      </c>
      <c r="G223" s="1302"/>
      <c r="H223" s="1322"/>
      <c r="I223" s="1322"/>
      <c r="J223" s="1322"/>
      <c r="K223" s="1322"/>
      <c r="L223" s="1322"/>
      <c r="M223" s="1322"/>
      <c r="N223" s="1322"/>
      <c r="O223" s="1326"/>
      <c r="P223" s="1322"/>
      <c r="Q223" s="1323"/>
      <c r="R223" s="1324"/>
      <c r="S223" s="1325"/>
      <c r="T223" s="1353"/>
      <c r="U223" s="1463"/>
      <c r="V223" s="1464"/>
      <c r="W223" s="1482"/>
      <c r="X223" s="1307"/>
    </row>
    <row r="224" spans="1:24" s="1308" customFormat="1" ht="15" customHeight="1" x14ac:dyDescent="0.25">
      <c r="A224" s="730"/>
      <c r="B224" s="1286">
        <f t="shared" si="21"/>
        <v>121</v>
      </c>
      <c r="C224" s="1775"/>
      <c r="D224" s="1779" t="s">
        <v>1286</v>
      </c>
      <c r="E224" s="1779" t="s">
        <v>1280</v>
      </c>
      <c r="F224" s="1448" t="s">
        <v>1424</v>
      </c>
      <c r="G224" s="1302"/>
      <c r="H224" s="1322"/>
      <c r="I224" s="1322"/>
      <c r="J224" s="1322"/>
      <c r="K224" s="1322"/>
      <c r="L224" s="1322"/>
      <c r="M224" s="1322"/>
      <c r="N224" s="1322"/>
      <c r="O224" s="1326"/>
      <c r="P224" s="1322"/>
      <c r="Q224" s="1323"/>
      <c r="R224" s="1324"/>
      <c r="S224" s="1325"/>
      <c r="T224" s="1353"/>
      <c r="U224" s="1463"/>
      <c r="V224" s="1464"/>
      <c r="W224" s="1482"/>
      <c r="X224" s="1307"/>
    </row>
    <row r="225" spans="1:24" s="1308" customFormat="1" ht="15" customHeight="1" x14ac:dyDescent="0.25">
      <c r="A225" s="730"/>
      <c r="B225" s="1286">
        <f t="shared" si="21"/>
        <v>122</v>
      </c>
      <c r="C225" s="1775"/>
      <c r="D225" s="1779"/>
      <c r="E225" s="1779"/>
      <c r="F225" s="1448" t="s">
        <v>1285</v>
      </c>
      <c r="G225" s="1302"/>
      <c r="H225" s="1322"/>
      <c r="I225" s="1322"/>
      <c r="J225" s="1322"/>
      <c r="K225" s="1322"/>
      <c r="L225" s="1322"/>
      <c r="M225" s="1322"/>
      <c r="N225" s="1322"/>
      <c r="O225" s="1326"/>
      <c r="P225" s="1322"/>
      <c r="Q225" s="1323"/>
      <c r="R225" s="1324"/>
      <c r="S225" s="1325"/>
      <c r="T225" s="1353"/>
      <c r="U225" s="1463"/>
      <c r="V225" s="1464"/>
      <c r="W225" s="1482"/>
      <c r="X225" s="1307"/>
    </row>
    <row r="226" spans="1:24" s="1308" customFormat="1" ht="15" customHeight="1" x14ac:dyDescent="0.25">
      <c r="A226" s="730"/>
      <c r="B226" s="1286">
        <f t="shared" si="21"/>
        <v>123</v>
      </c>
      <c r="C226" s="1775"/>
      <c r="D226" s="1779"/>
      <c r="E226" s="1779" t="s">
        <v>1623</v>
      </c>
      <c r="F226" s="1448" t="s">
        <v>1424</v>
      </c>
      <c r="G226" s="1302"/>
      <c r="H226" s="1322"/>
      <c r="I226" s="1322"/>
      <c r="J226" s="1322"/>
      <c r="K226" s="1322"/>
      <c r="L226" s="1322"/>
      <c r="M226" s="1322"/>
      <c r="N226" s="1322"/>
      <c r="O226" s="1326"/>
      <c r="P226" s="1322"/>
      <c r="Q226" s="1323"/>
      <c r="R226" s="1324"/>
      <c r="S226" s="1325"/>
      <c r="T226" s="1353"/>
      <c r="U226" s="1463"/>
      <c r="V226" s="1464"/>
      <c r="W226" s="1482"/>
      <c r="X226" s="1307"/>
    </row>
    <row r="227" spans="1:24" s="1308" customFormat="1" ht="15" customHeight="1" x14ac:dyDescent="0.25">
      <c r="A227" s="730"/>
      <c r="B227" s="1286">
        <f t="shared" si="21"/>
        <v>124</v>
      </c>
      <c r="C227" s="1775"/>
      <c r="D227" s="1779"/>
      <c r="E227" s="1779"/>
      <c r="F227" s="1448" t="s">
        <v>1285</v>
      </c>
      <c r="G227" s="1302"/>
      <c r="H227" s="1322"/>
      <c r="I227" s="1322"/>
      <c r="J227" s="1322"/>
      <c r="K227" s="1322"/>
      <c r="L227" s="1322"/>
      <c r="M227" s="1322"/>
      <c r="N227" s="1322"/>
      <c r="O227" s="1326"/>
      <c r="P227" s="1322"/>
      <c r="Q227" s="1323"/>
      <c r="R227" s="1324"/>
      <c r="S227" s="1325"/>
      <c r="T227" s="1353"/>
      <c r="U227" s="1463"/>
      <c r="V227" s="1464"/>
      <c r="W227" s="1482"/>
      <c r="X227" s="1307"/>
    </row>
    <row r="228" spans="1:24" s="1308" customFormat="1" ht="15" customHeight="1" x14ac:dyDescent="0.25">
      <c r="A228" s="730"/>
      <c r="B228" s="1286">
        <f t="shared" si="21"/>
        <v>125</v>
      </c>
      <c r="C228" s="1775"/>
      <c r="D228" s="1779"/>
      <c r="E228" s="1779" t="s">
        <v>1281</v>
      </c>
      <c r="F228" s="1448" t="s">
        <v>1424</v>
      </c>
      <c r="G228" s="1302"/>
      <c r="H228" s="1322"/>
      <c r="I228" s="1322"/>
      <c r="J228" s="1322"/>
      <c r="K228" s="1322"/>
      <c r="L228" s="1322"/>
      <c r="M228" s="1322"/>
      <c r="N228" s="1322"/>
      <c r="O228" s="1326"/>
      <c r="P228" s="1322"/>
      <c r="Q228" s="1323"/>
      <c r="R228" s="1324"/>
      <c r="S228" s="1325"/>
      <c r="T228" s="1353"/>
      <c r="U228" s="1463"/>
      <c r="V228" s="1464"/>
      <c r="W228" s="1482"/>
      <c r="X228" s="1307"/>
    </row>
    <row r="229" spans="1:24" s="1308" customFormat="1" ht="15" customHeight="1" x14ac:dyDescent="0.25">
      <c r="A229" s="730"/>
      <c r="B229" s="1286">
        <f t="shared" si="21"/>
        <v>126</v>
      </c>
      <c r="C229" s="1775"/>
      <c r="D229" s="1779"/>
      <c r="E229" s="1779"/>
      <c r="F229" s="1448" t="s">
        <v>1285</v>
      </c>
      <c r="G229" s="1302"/>
      <c r="H229" s="1322"/>
      <c r="I229" s="1322"/>
      <c r="J229" s="1322"/>
      <c r="K229" s="1322"/>
      <c r="L229" s="1322"/>
      <c r="M229" s="1322"/>
      <c r="N229" s="1322"/>
      <c r="O229" s="1326"/>
      <c r="P229" s="1322"/>
      <c r="Q229" s="1323"/>
      <c r="R229" s="1324"/>
      <c r="S229" s="1325"/>
      <c r="T229" s="1353"/>
      <c r="U229" s="1463"/>
      <c r="V229" s="1464"/>
      <c r="W229" s="1482"/>
      <c r="X229" s="1307"/>
    </row>
    <row r="230" spans="1:24" s="1308" customFormat="1" ht="15" customHeight="1" x14ac:dyDescent="0.25">
      <c r="A230" s="730"/>
      <c r="B230" s="1286">
        <f t="shared" si="21"/>
        <v>127</v>
      </c>
      <c r="C230" s="1775"/>
      <c r="D230" s="1779" t="s">
        <v>1287</v>
      </c>
      <c r="E230" s="1779" t="s">
        <v>1280</v>
      </c>
      <c r="F230" s="1448" t="s">
        <v>1424</v>
      </c>
      <c r="G230" s="1302"/>
      <c r="H230" s="1322"/>
      <c r="I230" s="1322"/>
      <c r="J230" s="1322"/>
      <c r="K230" s="1322"/>
      <c r="L230" s="1322"/>
      <c r="M230" s="1322"/>
      <c r="N230" s="1322"/>
      <c r="O230" s="1326"/>
      <c r="P230" s="1322"/>
      <c r="Q230" s="1323"/>
      <c r="R230" s="1324"/>
      <c r="S230" s="1325"/>
      <c r="T230" s="1353"/>
      <c r="U230" s="1463"/>
      <c r="V230" s="1464"/>
      <c r="W230" s="1482"/>
      <c r="X230" s="1307"/>
    </row>
    <row r="231" spans="1:24" s="1308" customFormat="1" ht="15" customHeight="1" x14ac:dyDescent="0.25">
      <c r="A231" s="730"/>
      <c r="B231" s="1286">
        <f t="shared" si="21"/>
        <v>128</v>
      </c>
      <c r="C231" s="1775"/>
      <c r="D231" s="1779"/>
      <c r="E231" s="1779"/>
      <c r="F231" s="1448" t="s">
        <v>1285</v>
      </c>
      <c r="G231" s="1302"/>
      <c r="H231" s="1322"/>
      <c r="I231" s="1322"/>
      <c r="J231" s="1322"/>
      <c r="K231" s="1322"/>
      <c r="L231" s="1322"/>
      <c r="M231" s="1322"/>
      <c r="N231" s="1322"/>
      <c r="O231" s="1326"/>
      <c r="P231" s="1322"/>
      <c r="Q231" s="1323"/>
      <c r="R231" s="1324"/>
      <c r="S231" s="1325"/>
      <c r="T231" s="1353"/>
      <c r="U231" s="1463"/>
      <c r="V231" s="1464"/>
      <c r="W231" s="1482"/>
      <c r="X231" s="1307"/>
    </row>
    <row r="232" spans="1:24" s="1308" customFormat="1" ht="15" customHeight="1" x14ac:dyDescent="0.25">
      <c r="A232" s="730"/>
      <c r="B232" s="1286">
        <f t="shared" si="21"/>
        <v>129</v>
      </c>
      <c r="C232" s="1775"/>
      <c r="D232" s="1779"/>
      <c r="E232" s="1779" t="s">
        <v>1623</v>
      </c>
      <c r="F232" s="1448" t="s">
        <v>1424</v>
      </c>
      <c r="G232" s="1302"/>
      <c r="H232" s="1322"/>
      <c r="I232" s="1322"/>
      <c r="J232" s="1322"/>
      <c r="K232" s="1322"/>
      <c r="L232" s="1322"/>
      <c r="M232" s="1322"/>
      <c r="N232" s="1322"/>
      <c r="O232" s="1326"/>
      <c r="P232" s="1322"/>
      <c r="Q232" s="1323"/>
      <c r="R232" s="1324"/>
      <c r="S232" s="1325"/>
      <c r="T232" s="1353"/>
      <c r="U232" s="1463"/>
      <c r="V232" s="1464"/>
      <c r="W232" s="1482"/>
      <c r="X232" s="1307"/>
    </row>
    <row r="233" spans="1:24" s="1308" customFormat="1" ht="15" customHeight="1" x14ac:dyDescent="0.25">
      <c r="A233" s="730"/>
      <c r="B233" s="1286">
        <f t="shared" ref="B233:B296" si="22">B232+1</f>
        <v>130</v>
      </c>
      <c r="C233" s="1775"/>
      <c r="D233" s="1779"/>
      <c r="E233" s="1779"/>
      <c r="F233" s="1448" t="s">
        <v>1285</v>
      </c>
      <c r="G233" s="1302"/>
      <c r="H233" s="1322"/>
      <c r="I233" s="1322"/>
      <c r="J233" s="1322"/>
      <c r="K233" s="1322"/>
      <c r="L233" s="1322"/>
      <c r="M233" s="1322"/>
      <c r="N233" s="1322"/>
      <c r="O233" s="1326"/>
      <c r="P233" s="1322"/>
      <c r="Q233" s="1323"/>
      <c r="R233" s="1324"/>
      <c r="S233" s="1325"/>
      <c r="T233" s="1353"/>
      <c r="U233" s="1463"/>
      <c r="V233" s="1464"/>
      <c r="W233" s="1482"/>
      <c r="X233" s="1307"/>
    </row>
    <row r="234" spans="1:24" s="1308" customFormat="1" ht="15" customHeight="1" x14ac:dyDescent="0.25">
      <c r="A234" s="730"/>
      <c r="B234" s="1286">
        <f t="shared" si="22"/>
        <v>131</v>
      </c>
      <c r="C234" s="1775"/>
      <c r="D234" s="1779"/>
      <c r="E234" s="1779" t="s">
        <v>1281</v>
      </c>
      <c r="F234" s="1448" t="s">
        <v>1424</v>
      </c>
      <c r="G234" s="1302"/>
      <c r="H234" s="1322"/>
      <c r="I234" s="1322"/>
      <c r="J234" s="1322"/>
      <c r="K234" s="1322"/>
      <c r="L234" s="1322"/>
      <c r="M234" s="1322"/>
      <c r="N234" s="1322"/>
      <c r="O234" s="1326"/>
      <c r="P234" s="1322"/>
      <c r="Q234" s="1323"/>
      <c r="R234" s="1324"/>
      <c r="S234" s="1325"/>
      <c r="T234" s="1353"/>
      <c r="U234" s="1463"/>
      <c r="V234" s="1464"/>
      <c r="W234" s="1482"/>
      <c r="X234" s="1307"/>
    </row>
    <row r="235" spans="1:24" s="1308" customFormat="1" ht="15" customHeight="1" x14ac:dyDescent="0.25">
      <c r="A235" s="730"/>
      <c r="B235" s="1286">
        <f t="shared" si="22"/>
        <v>132</v>
      </c>
      <c r="C235" s="1775"/>
      <c r="D235" s="1779"/>
      <c r="E235" s="1779"/>
      <c r="F235" s="1448" t="s">
        <v>1285</v>
      </c>
      <c r="G235" s="1302"/>
      <c r="H235" s="1322"/>
      <c r="I235" s="1322"/>
      <c r="J235" s="1322"/>
      <c r="K235" s="1322"/>
      <c r="L235" s="1322"/>
      <c r="M235" s="1322"/>
      <c r="N235" s="1322"/>
      <c r="O235" s="1326"/>
      <c r="P235" s="1322"/>
      <c r="Q235" s="1323"/>
      <c r="R235" s="1324"/>
      <c r="S235" s="1325"/>
      <c r="T235" s="1353"/>
      <c r="U235" s="1463"/>
      <c r="V235" s="1464"/>
      <c r="W235" s="1482"/>
      <c r="X235" s="1307"/>
    </row>
    <row r="236" spans="1:24" s="1308" customFormat="1" ht="15" customHeight="1" x14ac:dyDescent="0.25">
      <c r="A236" s="730"/>
      <c r="B236" s="1286">
        <f t="shared" si="22"/>
        <v>133</v>
      </c>
      <c r="C236" s="1775"/>
      <c r="D236" s="1779" t="s">
        <v>1288</v>
      </c>
      <c r="E236" s="1779" t="s">
        <v>1280</v>
      </c>
      <c r="F236" s="1448" t="s">
        <v>1424</v>
      </c>
      <c r="G236" s="1302"/>
      <c r="H236" s="1322"/>
      <c r="I236" s="1322"/>
      <c r="J236" s="1322"/>
      <c r="K236" s="1322"/>
      <c r="L236" s="1322"/>
      <c r="M236" s="1322"/>
      <c r="N236" s="1322"/>
      <c r="O236" s="1326"/>
      <c r="P236" s="1322"/>
      <c r="Q236" s="1323"/>
      <c r="R236" s="1324"/>
      <c r="S236" s="1325"/>
      <c r="T236" s="1353"/>
      <c r="U236" s="1463"/>
      <c r="V236" s="1464"/>
      <c r="W236" s="1482"/>
      <c r="X236" s="1307"/>
    </row>
    <row r="237" spans="1:24" s="1308" customFormat="1" ht="15" customHeight="1" x14ac:dyDescent="0.25">
      <c r="A237" s="730"/>
      <c r="B237" s="1286">
        <f t="shared" si="22"/>
        <v>134</v>
      </c>
      <c r="C237" s="1775"/>
      <c r="D237" s="1779"/>
      <c r="E237" s="1779"/>
      <c r="F237" s="1448" t="s">
        <v>1285</v>
      </c>
      <c r="G237" s="1302"/>
      <c r="H237" s="1322"/>
      <c r="I237" s="1322"/>
      <c r="J237" s="1322"/>
      <c r="K237" s="1322"/>
      <c r="L237" s="1322"/>
      <c r="M237" s="1322"/>
      <c r="N237" s="1322"/>
      <c r="O237" s="1326"/>
      <c r="P237" s="1322"/>
      <c r="Q237" s="1323"/>
      <c r="R237" s="1324"/>
      <c r="S237" s="1325"/>
      <c r="T237" s="1353"/>
      <c r="U237" s="1463"/>
      <c r="V237" s="1464"/>
      <c r="W237" s="1482"/>
      <c r="X237" s="1307"/>
    </row>
    <row r="238" spans="1:24" s="1308" customFormat="1" ht="15" customHeight="1" x14ac:dyDescent="0.25">
      <c r="A238" s="730"/>
      <c r="B238" s="1286">
        <f t="shared" si="22"/>
        <v>135</v>
      </c>
      <c r="C238" s="1775"/>
      <c r="D238" s="1779"/>
      <c r="E238" s="1779" t="s">
        <v>1623</v>
      </c>
      <c r="F238" s="1448" t="s">
        <v>1424</v>
      </c>
      <c r="G238" s="1302"/>
      <c r="H238" s="1322"/>
      <c r="I238" s="1322"/>
      <c r="J238" s="1322"/>
      <c r="K238" s="1322"/>
      <c r="L238" s="1322"/>
      <c r="M238" s="1322"/>
      <c r="N238" s="1322"/>
      <c r="O238" s="1326"/>
      <c r="P238" s="1322"/>
      <c r="Q238" s="1323"/>
      <c r="R238" s="1324"/>
      <c r="S238" s="1325"/>
      <c r="T238" s="1353"/>
      <c r="U238" s="1463"/>
      <c r="V238" s="1464"/>
      <c r="W238" s="1482"/>
      <c r="X238" s="1307"/>
    </row>
    <row r="239" spans="1:24" s="1308" customFormat="1" ht="15" customHeight="1" x14ac:dyDescent="0.25">
      <c r="A239" s="730"/>
      <c r="B239" s="1286">
        <f t="shared" si="22"/>
        <v>136</v>
      </c>
      <c r="C239" s="1775"/>
      <c r="D239" s="1779"/>
      <c r="E239" s="1779"/>
      <c r="F239" s="1448" t="s">
        <v>1285</v>
      </c>
      <c r="G239" s="1302"/>
      <c r="H239" s="1322"/>
      <c r="I239" s="1322"/>
      <c r="J239" s="1322"/>
      <c r="K239" s="1322"/>
      <c r="L239" s="1322"/>
      <c r="M239" s="1322"/>
      <c r="N239" s="1322"/>
      <c r="O239" s="1326"/>
      <c r="P239" s="1322"/>
      <c r="Q239" s="1323"/>
      <c r="R239" s="1324"/>
      <c r="S239" s="1325"/>
      <c r="T239" s="1353"/>
      <c r="U239" s="1463"/>
      <c r="V239" s="1464"/>
      <c r="W239" s="1482"/>
      <c r="X239" s="1307"/>
    </row>
    <row r="240" spans="1:24" s="1308" customFormat="1" ht="15" customHeight="1" x14ac:dyDescent="0.25">
      <c r="A240" s="730"/>
      <c r="B240" s="1286">
        <f t="shared" si="22"/>
        <v>137</v>
      </c>
      <c r="C240" s="1775"/>
      <c r="D240" s="1779"/>
      <c r="E240" s="1779" t="s">
        <v>1281</v>
      </c>
      <c r="F240" s="1448" t="s">
        <v>1424</v>
      </c>
      <c r="G240" s="1302"/>
      <c r="H240" s="1322"/>
      <c r="I240" s="1322"/>
      <c r="J240" s="1322"/>
      <c r="K240" s="1322"/>
      <c r="L240" s="1322"/>
      <c r="M240" s="1322"/>
      <c r="N240" s="1322"/>
      <c r="O240" s="1326"/>
      <c r="P240" s="1322"/>
      <c r="Q240" s="1323"/>
      <c r="R240" s="1324"/>
      <c r="S240" s="1325"/>
      <c r="T240" s="1353"/>
      <c r="U240" s="1463"/>
      <c r="V240" s="1464"/>
      <c r="W240" s="1482"/>
      <c r="X240" s="1307"/>
    </row>
    <row r="241" spans="1:24" s="1308" customFormat="1" ht="15" customHeight="1" x14ac:dyDescent="0.25">
      <c r="A241" s="730"/>
      <c r="B241" s="1286">
        <f t="shared" si="22"/>
        <v>138</v>
      </c>
      <c r="C241" s="1775"/>
      <c r="D241" s="1779"/>
      <c r="E241" s="1779"/>
      <c r="F241" s="1448" t="s">
        <v>1285</v>
      </c>
      <c r="G241" s="1302"/>
      <c r="H241" s="1322"/>
      <c r="I241" s="1322"/>
      <c r="J241" s="1322"/>
      <c r="K241" s="1322"/>
      <c r="L241" s="1322"/>
      <c r="M241" s="1322"/>
      <c r="N241" s="1322"/>
      <c r="O241" s="1326"/>
      <c r="P241" s="1322"/>
      <c r="Q241" s="1323"/>
      <c r="R241" s="1324"/>
      <c r="S241" s="1325"/>
      <c r="T241" s="1353"/>
      <c r="U241" s="1463"/>
      <c r="V241" s="1464"/>
      <c r="W241" s="1482"/>
      <c r="X241" s="1307"/>
    </row>
    <row r="242" spans="1:24" s="1308" customFormat="1" ht="15" customHeight="1" x14ac:dyDescent="0.25">
      <c r="A242" s="730"/>
      <c r="B242" s="1286">
        <f t="shared" si="22"/>
        <v>139</v>
      </c>
      <c r="C242" s="1775"/>
      <c r="D242" s="1779" t="s">
        <v>1279</v>
      </c>
      <c r="E242" s="1779" t="s">
        <v>1280</v>
      </c>
      <c r="F242" s="1448" t="s">
        <v>1424</v>
      </c>
      <c r="G242" s="1302"/>
      <c r="H242" s="1322"/>
      <c r="I242" s="1322"/>
      <c r="J242" s="1322"/>
      <c r="K242" s="1322"/>
      <c r="L242" s="1322"/>
      <c r="M242" s="1322"/>
      <c r="N242" s="1322"/>
      <c r="O242" s="1326"/>
      <c r="P242" s="1322"/>
      <c r="Q242" s="1323"/>
      <c r="R242" s="1324"/>
      <c r="S242" s="1325"/>
      <c r="T242" s="1353"/>
      <c r="U242" s="1463"/>
      <c r="V242" s="1464"/>
      <c r="W242" s="1482"/>
      <c r="X242" s="1307"/>
    </row>
    <row r="243" spans="1:24" s="1308" customFormat="1" ht="15" customHeight="1" x14ac:dyDescent="0.25">
      <c r="A243" s="730"/>
      <c r="B243" s="1286">
        <f t="shared" si="22"/>
        <v>140</v>
      </c>
      <c r="C243" s="1775"/>
      <c r="D243" s="1779"/>
      <c r="E243" s="1779"/>
      <c r="F243" s="1448" t="s">
        <v>1285</v>
      </c>
      <c r="G243" s="1302"/>
      <c r="H243" s="1322"/>
      <c r="I243" s="1322"/>
      <c r="J243" s="1322"/>
      <c r="K243" s="1322"/>
      <c r="L243" s="1322"/>
      <c r="M243" s="1322"/>
      <c r="N243" s="1322"/>
      <c r="O243" s="1326"/>
      <c r="P243" s="1322"/>
      <c r="Q243" s="1323"/>
      <c r="R243" s="1324"/>
      <c r="S243" s="1325"/>
      <c r="T243" s="1353"/>
      <c r="U243" s="1463"/>
      <c r="V243" s="1464"/>
      <c r="W243" s="1482"/>
      <c r="X243" s="1307"/>
    </row>
    <row r="244" spans="1:24" s="1308" customFormat="1" ht="15" customHeight="1" x14ac:dyDescent="0.25">
      <c r="A244" s="730"/>
      <c r="B244" s="1286">
        <f t="shared" si="22"/>
        <v>141</v>
      </c>
      <c r="C244" s="1775"/>
      <c r="D244" s="1779"/>
      <c r="E244" s="1779" t="s">
        <v>1623</v>
      </c>
      <c r="F244" s="1448" t="s">
        <v>1424</v>
      </c>
      <c r="G244" s="1302"/>
      <c r="H244" s="1322"/>
      <c r="I244" s="1322"/>
      <c r="J244" s="1322"/>
      <c r="K244" s="1322"/>
      <c r="L244" s="1322"/>
      <c r="M244" s="1322"/>
      <c r="N244" s="1322"/>
      <c r="O244" s="1326"/>
      <c r="P244" s="1322"/>
      <c r="Q244" s="1323"/>
      <c r="R244" s="1324"/>
      <c r="S244" s="1325"/>
      <c r="T244" s="1353"/>
      <c r="U244" s="1463"/>
      <c r="V244" s="1464"/>
      <c r="W244" s="1482"/>
      <c r="X244" s="1307"/>
    </row>
    <row r="245" spans="1:24" s="1308" customFormat="1" ht="15" customHeight="1" x14ac:dyDescent="0.25">
      <c r="A245" s="730"/>
      <c r="B245" s="1286">
        <f t="shared" si="22"/>
        <v>142</v>
      </c>
      <c r="C245" s="1775"/>
      <c r="D245" s="1779"/>
      <c r="E245" s="1779"/>
      <c r="F245" s="1448" t="s">
        <v>1285</v>
      </c>
      <c r="G245" s="1302"/>
      <c r="H245" s="1322"/>
      <c r="I245" s="1322"/>
      <c r="J245" s="1322"/>
      <c r="K245" s="1322"/>
      <c r="L245" s="1322"/>
      <c r="M245" s="1322"/>
      <c r="N245" s="1322"/>
      <c r="O245" s="1326"/>
      <c r="P245" s="1322"/>
      <c r="Q245" s="1323"/>
      <c r="R245" s="1324"/>
      <c r="S245" s="1325"/>
      <c r="T245" s="1353"/>
      <c r="U245" s="1463"/>
      <c r="V245" s="1464"/>
      <c r="W245" s="1482"/>
      <c r="X245" s="1307"/>
    </row>
    <row r="246" spans="1:24" s="1308" customFormat="1" ht="15" customHeight="1" x14ac:dyDescent="0.25">
      <c r="A246" s="730"/>
      <c r="B246" s="1286">
        <f t="shared" si="22"/>
        <v>143</v>
      </c>
      <c r="C246" s="1775"/>
      <c r="D246" s="1779"/>
      <c r="E246" s="1779" t="s">
        <v>1281</v>
      </c>
      <c r="F246" s="1448" t="s">
        <v>1424</v>
      </c>
      <c r="G246" s="1302"/>
      <c r="H246" s="1322"/>
      <c r="I246" s="1322"/>
      <c r="J246" s="1322"/>
      <c r="K246" s="1322"/>
      <c r="L246" s="1322"/>
      <c r="M246" s="1322"/>
      <c r="N246" s="1322"/>
      <c r="O246" s="1326"/>
      <c r="P246" s="1322"/>
      <c r="Q246" s="1323"/>
      <c r="R246" s="1324"/>
      <c r="S246" s="1325"/>
      <c r="T246" s="1353"/>
      <c r="U246" s="1463"/>
      <c r="V246" s="1464"/>
      <c r="W246" s="1482"/>
      <c r="X246" s="1307"/>
    </row>
    <row r="247" spans="1:24" s="1308" customFormat="1" ht="15" customHeight="1" x14ac:dyDescent="0.25">
      <c r="A247" s="730"/>
      <c r="B247" s="1287">
        <f t="shared" si="22"/>
        <v>144</v>
      </c>
      <c r="C247" s="1776"/>
      <c r="D247" s="1794"/>
      <c r="E247" s="1794"/>
      <c r="F247" s="1449" t="s">
        <v>1285</v>
      </c>
      <c r="G247" s="1327"/>
      <c r="H247" s="1303"/>
      <c r="I247" s="1303"/>
      <c r="J247" s="1303"/>
      <c r="K247" s="1303"/>
      <c r="L247" s="1303"/>
      <c r="M247" s="1303"/>
      <c r="N247" s="1303"/>
      <c r="O247" s="1328"/>
      <c r="P247" s="1303"/>
      <c r="Q247" s="1304"/>
      <c r="R247" s="1305"/>
      <c r="S247" s="1306"/>
      <c r="T247" s="1351"/>
      <c r="U247" s="1466"/>
      <c r="V247" s="1467"/>
      <c r="W247" s="1483"/>
      <c r="X247" s="1307"/>
    </row>
    <row r="248" spans="1:24" s="1308" customFormat="1" ht="15" customHeight="1" x14ac:dyDescent="0.25">
      <c r="A248" s="730"/>
      <c r="B248" s="1285">
        <f t="shared" si="22"/>
        <v>145</v>
      </c>
      <c r="C248" s="1774" t="s">
        <v>1263</v>
      </c>
      <c r="D248" s="1780" t="s">
        <v>1278</v>
      </c>
      <c r="E248" s="1780" t="s">
        <v>1280</v>
      </c>
      <c r="F248" s="1450" t="s">
        <v>1424</v>
      </c>
      <c r="G248" s="1316"/>
      <c r="H248" s="1317"/>
      <c r="I248" s="1317"/>
      <c r="J248" s="1317"/>
      <c r="K248" s="1317"/>
      <c r="L248" s="1317"/>
      <c r="M248" s="1317"/>
      <c r="N248" s="1317"/>
      <c r="O248" s="1321"/>
      <c r="P248" s="1317"/>
      <c r="Q248" s="1318"/>
      <c r="R248" s="1319"/>
      <c r="S248" s="1320"/>
      <c r="T248" s="1349"/>
      <c r="U248" s="1460"/>
      <c r="V248" s="1461"/>
      <c r="W248" s="1481"/>
      <c r="X248" s="1307"/>
    </row>
    <row r="249" spans="1:24" s="1308" customFormat="1" ht="15" customHeight="1" x14ac:dyDescent="0.25">
      <c r="A249" s="730"/>
      <c r="B249" s="1286">
        <f t="shared" si="22"/>
        <v>146</v>
      </c>
      <c r="C249" s="1775"/>
      <c r="D249" s="1779"/>
      <c r="E249" s="1779"/>
      <c r="F249" s="1448" t="s">
        <v>1285</v>
      </c>
      <c r="G249" s="1302"/>
      <c r="H249" s="1322"/>
      <c r="I249" s="1322"/>
      <c r="J249" s="1322"/>
      <c r="K249" s="1322"/>
      <c r="L249" s="1322"/>
      <c r="M249" s="1322"/>
      <c r="N249" s="1322"/>
      <c r="O249" s="1326"/>
      <c r="P249" s="1322"/>
      <c r="Q249" s="1323"/>
      <c r="R249" s="1324"/>
      <c r="S249" s="1325"/>
      <c r="T249" s="1353"/>
      <c r="U249" s="1463"/>
      <c r="V249" s="1464"/>
      <c r="W249" s="1482"/>
      <c r="X249" s="1307"/>
    </row>
    <row r="250" spans="1:24" s="1308" customFormat="1" ht="15" customHeight="1" x14ac:dyDescent="0.25">
      <c r="A250" s="730"/>
      <c r="B250" s="1286">
        <f t="shared" si="22"/>
        <v>147</v>
      </c>
      <c r="C250" s="1775"/>
      <c r="D250" s="1779"/>
      <c r="E250" s="1779" t="s">
        <v>1623</v>
      </c>
      <c r="F250" s="1448" t="s">
        <v>1424</v>
      </c>
      <c r="G250" s="1302"/>
      <c r="H250" s="1322"/>
      <c r="I250" s="1322"/>
      <c r="J250" s="1322"/>
      <c r="K250" s="1322"/>
      <c r="L250" s="1322"/>
      <c r="M250" s="1322"/>
      <c r="N250" s="1322"/>
      <c r="O250" s="1326"/>
      <c r="P250" s="1322"/>
      <c r="Q250" s="1323"/>
      <c r="R250" s="1324"/>
      <c r="S250" s="1325"/>
      <c r="T250" s="1353"/>
      <c r="U250" s="1463"/>
      <c r="V250" s="1464"/>
      <c r="W250" s="1482"/>
      <c r="X250" s="1307"/>
    </row>
    <row r="251" spans="1:24" s="1308" customFormat="1" ht="15" customHeight="1" x14ac:dyDescent="0.25">
      <c r="A251" s="730"/>
      <c r="B251" s="1286">
        <f t="shared" si="22"/>
        <v>148</v>
      </c>
      <c r="C251" s="1775"/>
      <c r="D251" s="1779"/>
      <c r="E251" s="1779"/>
      <c r="F251" s="1448" t="s">
        <v>1285</v>
      </c>
      <c r="G251" s="1302"/>
      <c r="H251" s="1322"/>
      <c r="I251" s="1322"/>
      <c r="J251" s="1322"/>
      <c r="K251" s="1322"/>
      <c r="L251" s="1322"/>
      <c r="M251" s="1322"/>
      <c r="N251" s="1322"/>
      <c r="O251" s="1326"/>
      <c r="P251" s="1322"/>
      <c r="Q251" s="1323"/>
      <c r="R251" s="1324"/>
      <c r="S251" s="1325"/>
      <c r="T251" s="1353"/>
      <c r="U251" s="1463"/>
      <c r="V251" s="1464"/>
      <c r="W251" s="1482"/>
      <c r="X251" s="1307"/>
    </row>
    <row r="252" spans="1:24" s="1308" customFormat="1" ht="15" customHeight="1" x14ac:dyDescent="0.25">
      <c r="A252" s="730"/>
      <c r="B252" s="1286">
        <f t="shared" si="22"/>
        <v>149</v>
      </c>
      <c r="C252" s="1775"/>
      <c r="D252" s="1779"/>
      <c r="E252" s="1779" t="s">
        <v>1281</v>
      </c>
      <c r="F252" s="1448" t="s">
        <v>1424</v>
      </c>
      <c r="G252" s="1302"/>
      <c r="H252" s="1322"/>
      <c r="I252" s="1322"/>
      <c r="J252" s="1322"/>
      <c r="K252" s="1322"/>
      <c r="L252" s="1322"/>
      <c r="M252" s="1322"/>
      <c r="N252" s="1322"/>
      <c r="O252" s="1326"/>
      <c r="P252" s="1322"/>
      <c r="Q252" s="1323"/>
      <c r="R252" s="1324"/>
      <c r="S252" s="1325"/>
      <c r="T252" s="1353"/>
      <c r="U252" s="1463"/>
      <c r="V252" s="1464"/>
      <c r="W252" s="1482"/>
      <c r="X252" s="1307"/>
    </row>
    <row r="253" spans="1:24" s="1308" customFormat="1" ht="15" customHeight="1" x14ac:dyDescent="0.25">
      <c r="A253" s="730"/>
      <c r="B253" s="1286">
        <f t="shared" si="22"/>
        <v>150</v>
      </c>
      <c r="C253" s="1775"/>
      <c r="D253" s="1779"/>
      <c r="E253" s="1779"/>
      <c r="F253" s="1448" t="s">
        <v>1285</v>
      </c>
      <c r="G253" s="1302"/>
      <c r="H253" s="1322"/>
      <c r="I253" s="1322"/>
      <c r="J253" s="1322"/>
      <c r="K253" s="1322"/>
      <c r="L253" s="1322"/>
      <c r="M253" s="1322"/>
      <c r="N253" s="1322"/>
      <c r="O253" s="1326"/>
      <c r="P253" s="1322"/>
      <c r="Q253" s="1323"/>
      <c r="R253" s="1324"/>
      <c r="S253" s="1325"/>
      <c r="T253" s="1353"/>
      <c r="U253" s="1463"/>
      <c r="V253" s="1464"/>
      <c r="W253" s="1482"/>
      <c r="X253" s="1307"/>
    </row>
    <row r="254" spans="1:24" s="1308" customFormat="1" ht="15" customHeight="1" x14ac:dyDescent="0.25">
      <c r="A254" s="730"/>
      <c r="B254" s="1286">
        <f t="shared" si="22"/>
        <v>151</v>
      </c>
      <c r="C254" s="1775"/>
      <c r="D254" s="1779" t="s">
        <v>1624</v>
      </c>
      <c r="E254" s="1779" t="s">
        <v>1280</v>
      </c>
      <c r="F254" s="1448" t="s">
        <v>1424</v>
      </c>
      <c r="G254" s="1302"/>
      <c r="H254" s="1322"/>
      <c r="I254" s="1322"/>
      <c r="J254" s="1322"/>
      <c r="K254" s="1322"/>
      <c r="L254" s="1322"/>
      <c r="M254" s="1322"/>
      <c r="N254" s="1322"/>
      <c r="O254" s="1326"/>
      <c r="P254" s="1322"/>
      <c r="Q254" s="1323"/>
      <c r="R254" s="1324"/>
      <c r="S254" s="1325"/>
      <c r="T254" s="1353"/>
      <c r="U254" s="1463"/>
      <c r="V254" s="1464"/>
      <c r="W254" s="1482"/>
      <c r="X254" s="1307"/>
    </row>
    <row r="255" spans="1:24" s="1308" customFormat="1" ht="15" customHeight="1" x14ac:dyDescent="0.25">
      <c r="A255" s="730"/>
      <c r="B255" s="1286">
        <f t="shared" si="22"/>
        <v>152</v>
      </c>
      <c r="C255" s="1775"/>
      <c r="D255" s="1779"/>
      <c r="E255" s="1779"/>
      <c r="F255" s="1448" t="s">
        <v>1285</v>
      </c>
      <c r="G255" s="1302"/>
      <c r="H255" s="1322"/>
      <c r="I255" s="1322"/>
      <c r="J255" s="1322"/>
      <c r="K255" s="1322"/>
      <c r="L255" s="1322"/>
      <c r="M255" s="1322"/>
      <c r="N255" s="1322"/>
      <c r="O255" s="1326"/>
      <c r="P255" s="1322"/>
      <c r="Q255" s="1323"/>
      <c r="R255" s="1324"/>
      <c r="S255" s="1325"/>
      <c r="T255" s="1353"/>
      <c r="U255" s="1463"/>
      <c r="V255" s="1464"/>
      <c r="W255" s="1482"/>
      <c r="X255" s="1307"/>
    </row>
    <row r="256" spans="1:24" s="1308" customFormat="1" ht="15" customHeight="1" x14ac:dyDescent="0.25">
      <c r="A256" s="730"/>
      <c r="B256" s="1286">
        <f t="shared" si="22"/>
        <v>153</v>
      </c>
      <c r="C256" s="1775"/>
      <c r="D256" s="1779"/>
      <c r="E256" s="1779" t="s">
        <v>1623</v>
      </c>
      <c r="F256" s="1448" t="s">
        <v>1424</v>
      </c>
      <c r="G256" s="1302"/>
      <c r="H256" s="1322"/>
      <c r="I256" s="1322"/>
      <c r="J256" s="1322"/>
      <c r="K256" s="1322"/>
      <c r="L256" s="1322"/>
      <c r="M256" s="1322"/>
      <c r="N256" s="1322"/>
      <c r="O256" s="1326"/>
      <c r="P256" s="1322"/>
      <c r="Q256" s="1323"/>
      <c r="R256" s="1324"/>
      <c r="S256" s="1325"/>
      <c r="T256" s="1353"/>
      <c r="U256" s="1463"/>
      <c r="V256" s="1464"/>
      <c r="W256" s="1482"/>
      <c r="X256" s="1307"/>
    </row>
    <row r="257" spans="1:24" s="1308" customFormat="1" ht="15" customHeight="1" x14ac:dyDescent="0.25">
      <c r="A257" s="730"/>
      <c r="B257" s="1286">
        <f t="shared" si="22"/>
        <v>154</v>
      </c>
      <c r="C257" s="1775"/>
      <c r="D257" s="1779"/>
      <c r="E257" s="1779"/>
      <c r="F257" s="1448" t="s">
        <v>1285</v>
      </c>
      <c r="G257" s="1302"/>
      <c r="H257" s="1322"/>
      <c r="I257" s="1322"/>
      <c r="J257" s="1322"/>
      <c r="K257" s="1322"/>
      <c r="L257" s="1322"/>
      <c r="M257" s="1322"/>
      <c r="N257" s="1322"/>
      <c r="O257" s="1326"/>
      <c r="P257" s="1322"/>
      <c r="Q257" s="1323"/>
      <c r="R257" s="1324"/>
      <c r="S257" s="1325"/>
      <c r="T257" s="1353"/>
      <c r="U257" s="1463"/>
      <c r="V257" s="1464"/>
      <c r="W257" s="1482"/>
      <c r="X257" s="1307"/>
    </row>
    <row r="258" spans="1:24" s="1308" customFormat="1" ht="15" customHeight="1" x14ac:dyDescent="0.25">
      <c r="A258" s="730"/>
      <c r="B258" s="1286">
        <f t="shared" si="22"/>
        <v>155</v>
      </c>
      <c r="C258" s="1775"/>
      <c r="D258" s="1779"/>
      <c r="E258" s="1779" t="s">
        <v>1281</v>
      </c>
      <c r="F258" s="1448" t="s">
        <v>1424</v>
      </c>
      <c r="G258" s="1302"/>
      <c r="H258" s="1322"/>
      <c r="I258" s="1322"/>
      <c r="J258" s="1322"/>
      <c r="K258" s="1322"/>
      <c r="L258" s="1322"/>
      <c r="M258" s="1322"/>
      <c r="N258" s="1322"/>
      <c r="O258" s="1326"/>
      <c r="P258" s="1322"/>
      <c r="Q258" s="1323"/>
      <c r="R258" s="1324"/>
      <c r="S258" s="1325"/>
      <c r="T258" s="1353"/>
      <c r="U258" s="1463"/>
      <c r="V258" s="1464"/>
      <c r="W258" s="1482"/>
      <c r="X258" s="1307"/>
    </row>
    <row r="259" spans="1:24" s="1308" customFormat="1" ht="15" customHeight="1" x14ac:dyDescent="0.25">
      <c r="A259" s="730"/>
      <c r="B259" s="1286">
        <f t="shared" si="22"/>
        <v>156</v>
      </c>
      <c r="C259" s="1775"/>
      <c r="D259" s="1779"/>
      <c r="E259" s="1779"/>
      <c r="F259" s="1448" t="s">
        <v>1285</v>
      </c>
      <c r="G259" s="1302"/>
      <c r="H259" s="1322"/>
      <c r="I259" s="1322"/>
      <c r="J259" s="1322"/>
      <c r="K259" s="1322"/>
      <c r="L259" s="1322"/>
      <c r="M259" s="1322"/>
      <c r="N259" s="1322"/>
      <c r="O259" s="1326"/>
      <c r="P259" s="1322"/>
      <c r="Q259" s="1323"/>
      <c r="R259" s="1324"/>
      <c r="S259" s="1325"/>
      <c r="T259" s="1353"/>
      <c r="U259" s="1463"/>
      <c r="V259" s="1464"/>
      <c r="W259" s="1482"/>
      <c r="X259" s="1307"/>
    </row>
    <row r="260" spans="1:24" s="1308" customFormat="1" ht="15" customHeight="1" x14ac:dyDescent="0.25">
      <c r="A260" s="730"/>
      <c r="B260" s="1286">
        <f t="shared" si="22"/>
        <v>157</v>
      </c>
      <c r="C260" s="1775"/>
      <c r="D260" s="1779" t="s">
        <v>1286</v>
      </c>
      <c r="E260" s="1779" t="s">
        <v>1280</v>
      </c>
      <c r="F260" s="1448" t="s">
        <v>1424</v>
      </c>
      <c r="G260" s="1302"/>
      <c r="H260" s="1322"/>
      <c r="I260" s="1322"/>
      <c r="J260" s="1322"/>
      <c r="K260" s="1322"/>
      <c r="L260" s="1322"/>
      <c r="M260" s="1322"/>
      <c r="N260" s="1322"/>
      <c r="O260" s="1326"/>
      <c r="P260" s="1322"/>
      <c r="Q260" s="1323"/>
      <c r="R260" s="1324"/>
      <c r="S260" s="1325"/>
      <c r="T260" s="1353"/>
      <c r="U260" s="1463"/>
      <c r="V260" s="1464"/>
      <c r="W260" s="1482"/>
      <c r="X260" s="1307"/>
    </row>
    <row r="261" spans="1:24" s="1308" customFormat="1" ht="15" customHeight="1" x14ac:dyDescent="0.25">
      <c r="A261" s="730"/>
      <c r="B261" s="1286">
        <f t="shared" si="22"/>
        <v>158</v>
      </c>
      <c r="C261" s="1775"/>
      <c r="D261" s="1779"/>
      <c r="E261" s="1779"/>
      <c r="F261" s="1448" t="s">
        <v>1285</v>
      </c>
      <c r="G261" s="1302"/>
      <c r="H261" s="1322"/>
      <c r="I261" s="1322"/>
      <c r="J261" s="1322"/>
      <c r="K261" s="1322"/>
      <c r="L261" s="1322"/>
      <c r="M261" s="1322"/>
      <c r="N261" s="1322"/>
      <c r="O261" s="1326"/>
      <c r="P261" s="1322"/>
      <c r="Q261" s="1323"/>
      <c r="R261" s="1324"/>
      <c r="S261" s="1325"/>
      <c r="T261" s="1353"/>
      <c r="U261" s="1463"/>
      <c r="V261" s="1464"/>
      <c r="W261" s="1482"/>
      <c r="X261" s="1307"/>
    </row>
    <row r="262" spans="1:24" s="1308" customFormat="1" ht="15" customHeight="1" x14ac:dyDescent="0.25">
      <c r="A262" s="730"/>
      <c r="B262" s="1286">
        <f t="shared" si="22"/>
        <v>159</v>
      </c>
      <c r="C262" s="1775"/>
      <c r="D262" s="1779"/>
      <c r="E262" s="1779" t="s">
        <v>1623</v>
      </c>
      <c r="F262" s="1448" t="s">
        <v>1424</v>
      </c>
      <c r="G262" s="1302"/>
      <c r="H262" s="1322"/>
      <c r="I262" s="1322"/>
      <c r="J262" s="1322"/>
      <c r="K262" s="1322"/>
      <c r="L262" s="1322"/>
      <c r="M262" s="1322"/>
      <c r="N262" s="1322"/>
      <c r="O262" s="1326"/>
      <c r="P262" s="1322"/>
      <c r="Q262" s="1323"/>
      <c r="R262" s="1324"/>
      <c r="S262" s="1325"/>
      <c r="T262" s="1353"/>
      <c r="U262" s="1463"/>
      <c r="V262" s="1464"/>
      <c r="W262" s="1482"/>
      <c r="X262" s="1307"/>
    </row>
    <row r="263" spans="1:24" s="1308" customFormat="1" ht="15" customHeight="1" x14ac:dyDescent="0.25">
      <c r="A263" s="730"/>
      <c r="B263" s="1286">
        <f t="shared" si="22"/>
        <v>160</v>
      </c>
      <c r="C263" s="1775"/>
      <c r="D263" s="1779"/>
      <c r="E263" s="1779"/>
      <c r="F263" s="1448" t="s">
        <v>1285</v>
      </c>
      <c r="G263" s="1302"/>
      <c r="H263" s="1322"/>
      <c r="I263" s="1322"/>
      <c r="J263" s="1322"/>
      <c r="K263" s="1322"/>
      <c r="L263" s="1322"/>
      <c r="M263" s="1322"/>
      <c r="N263" s="1322"/>
      <c r="O263" s="1326"/>
      <c r="P263" s="1322"/>
      <c r="Q263" s="1323"/>
      <c r="R263" s="1324"/>
      <c r="S263" s="1325"/>
      <c r="T263" s="1353"/>
      <c r="U263" s="1463"/>
      <c r="V263" s="1464"/>
      <c r="W263" s="1482"/>
      <c r="X263" s="1307"/>
    </row>
    <row r="264" spans="1:24" s="1308" customFormat="1" ht="15" customHeight="1" x14ac:dyDescent="0.25">
      <c r="A264" s="730"/>
      <c r="B264" s="1286">
        <f t="shared" si="22"/>
        <v>161</v>
      </c>
      <c r="C264" s="1775"/>
      <c r="D264" s="1779"/>
      <c r="E264" s="1779" t="s">
        <v>1281</v>
      </c>
      <c r="F264" s="1448" t="s">
        <v>1424</v>
      </c>
      <c r="G264" s="1302"/>
      <c r="H264" s="1322"/>
      <c r="I264" s="1322"/>
      <c r="J264" s="1322"/>
      <c r="K264" s="1322"/>
      <c r="L264" s="1322"/>
      <c r="M264" s="1322"/>
      <c r="N264" s="1322"/>
      <c r="O264" s="1326"/>
      <c r="P264" s="1322"/>
      <c r="Q264" s="1323"/>
      <c r="R264" s="1324"/>
      <c r="S264" s="1325"/>
      <c r="T264" s="1353"/>
      <c r="U264" s="1463"/>
      <c r="V264" s="1464"/>
      <c r="W264" s="1482"/>
      <c r="X264" s="1307"/>
    </row>
    <row r="265" spans="1:24" s="1308" customFormat="1" ht="15" customHeight="1" x14ac:dyDescent="0.25">
      <c r="A265" s="730"/>
      <c r="B265" s="1286">
        <f t="shared" si="22"/>
        <v>162</v>
      </c>
      <c r="C265" s="1775"/>
      <c r="D265" s="1779"/>
      <c r="E265" s="1779"/>
      <c r="F265" s="1448" t="s">
        <v>1285</v>
      </c>
      <c r="G265" s="1302"/>
      <c r="H265" s="1322"/>
      <c r="I265" s="1322"/>
      <c r="J265" s="1322"/>
      <c r="K265" s="1322"/>
      <c r="L265" s="1322"/>
      <c r="M265" s="1322"/>
      <c r="N265" s="1322"/>
      <c r="O265" s="1326"/>
      <c r="P265" s="1322"/>
      <c r="Q265" s="1323"/>
      <c r="R265" s="1324"/>
      <c r="S265" s="1325"/>
      <c r="T265" s="1353"/>
      <c r="U265" s="1463"/>
      <c r="V265" s="1464"/>
      <c r="W265" s="1482"/>
      <c r="X265" s="1307"/>
    </row>
    <row r="266" spans="1:24" s="1308" customFormat="1" ht="15" customHeight="1" x14ac:dyDescent="0.25">
      <c r="A266" s="730"/>
      <c r="B266" s="1286">
        <f t="shared" si="22"/>
        <v>163</v>
      </c>
      <c r="C266" s="1775"/>
      <c r="D266" s="1779" t="s">
        <v>1287</v>
      </c>
      <c r="E266" s="1779" t="s">
        <v>1280</v>
      </c>
      <c r="F266" s="1448" t="s">
        <v>1424</v>
      </c>
      <c r="G266" s="1302"/>
      <c r="H266" s="1322"/>
      <c r="I266" s="1322"/>
      <c r="J266" s="1322"/>
      <c r="K266" s="1322"/>
      <c r="L266" s="1322"/>
      <c r="M266" s="1322"/>
      <c r="N266" s="1322"/>
      <c r="O266" s="1326"/>
      <c r="P266" s="1322"/>
      <c r="Q266" s="1323"/>
      <c r="R266" s="1324"/>
      <c r="S266" s="1325"/>
      <c r="T266" s="1353"/>
      <c r="U266" s="1463"/>
      <c r="V266" s="1464"/>
      <c r="W266" s="1482"/>
      <c r="X266" s="1307"/>
    </row>
    <row r="267" spans="1:24" s="1308" customFormat="1" ht="15" customHeight="1" x14ac:dyDescent="0.25">
      <c r="A267" s="730"/>
      <c r="B267" s="1286">
        <f t="shared" si="22"/>
        <v>164</v>
      </c>
      <c r="C267" s="1775"/>
      <c r="D267" s="1779"/>
      <c r="E267" s="1779"/>
      <c r="F267" s="1448" t="s">
        <v>1285</v>
      </c>
      <c r="G267" s="1302"/>
      <c r="H267" s="1322"/>
      <c r="I267" s="1322"/>
      <c r="J267" s="1322"/>
      <c r="K267" s="1322"/>
      <c r="L267" s="1322"/>
      <c r="M267" s="1322"/>
      <c r="N267" s="1322"/>
      <c r="O267" s="1326"/>
      <c r="P267" s="1322"/>
      <c r="Q267" s="1323"/>
      <c r="R267" s="1324"/>
      <c r="S267" s="1325"/>
      <c r="T267" s="1353"/>
      <c r="U267" s="1463"/>
      <c r="V267" s="1464"/>
      <c r="W267" s="1482"/>
      <c r="X267" s="1307"/>
    </row>
    <row r="268" spans="1:24" s="1308" customFormat="1" ht="15" customHeight="1" x14ac:dyDescent="0.25">
      <c r="A268" s="730"/>
      <c r="B268" s="1286">
        <f t="shared" si="22"/>
        <v>165</v>
      </c>
      <c r="C268" s="1775"/>
      <c r="D268" s="1779"/>
      <c r="E268" s="1779" t="s">
        <v>1623</v>
      </c>
      <c r="F268" s="1448" t="s">
        <v>1424</v>
      </c>
      <c r="G268" s="1302"/>
      <c r="H268" s="1322"/>
      <c r="I268" s="1322"/>
      <c r="J268" s="1322"/>
      <c r="K268" s="1322"/>
      <c r="L268" s="1322"/>
      <c r="M268" s="1322"/>
      <c r="N268" s="1322"/>
      <c r="O268" s="1326"/>
      <c r="P268" s="1322"/>
      <c r="Q268" s="1323"/>
      <c r="R268" s="1324"/>
      <c r="S268" s="1325"/>
      <c r="T268" s="1353"/>
      <c r="U268" s="1463"/>
      <c r="V268" s="1464"/>
      <c r="W268" s="1482"/>
      <c r="X268" s="1307"/>
    </row>
    <row r="269" spans="1:24" s="1308" customFormat="1" ht="15" customHeight="1" x14ac:dyDescent="0.25">
      <c r="A269" s="730"/>
      <c r="B269" s="1286">
        <f t="shared" si="22"/>
        <v>166</v>
      </c>
      <c r="C269" s="1775"/>
      <c r="D269" s="1779"/>
      <c r="E269" s="1779"/>
      <c r="F269" s="1448" t="s">
        <v>1285</v>
      </c>
      <c r="G269" s="1302"/>
      <c r="H269" s="1322"/>
      <c r="I269" s="1322"/>
      <c r="J269" s="1322"/>
      <c r="K269" s="1322"/>
      <c r="L269" s="1322"/>
      <c r="M269" s="1322"/>
      <c r="N269" s="1322"/>
      <c r="O269" s="1326"/>
      <c r="P269" s="1322"/>
      <c r="Q269" s="1323"/>
      <c r="R269" s="1324"/>
      <c r="S269" s="1325"/>
      <c r="T269" s="1353"/>
      <c r="U269" s="1463"/>
      <c r="V269" s="1464"/>
      <c r="W269" s="1482"/>
      <c r="X269" s="1307"/>
    </row>
    <row r="270" spans="1:24" s="1308" customFormat="1" ht="15" customHeight="1" x14ac:dyDescent="0.25">
      <c r="A270" s="730"/>
      <c r="B270" s="1286">
        <f t="shared" si="22"/>
        <v>167</v>
      </c>
      <c r="C270" s="1775"/>
      <c r="D270" s="1779"/>
      <c r="E270" s="1779" t="s">
        <v>1281</v>
      </c>
      <c r="F270" s="1448" t="s">
        <v>1424</v>
      </c>
      <c r="G270" s="1302"/>
      <c r="H270" s="1322"/>
      <c r="I270" s="1322"/>
      <c r="J270" s="1322"/>
      <c r="K270" s="1322"/>
      <c r="L270" s="1322"/>
      <c r="M270" s="1322"/>
      <c r="N270" s="1322"/>
      <c r="O270" s="1326"/>
      <c r="P270" s="1322"/>
      <c r="Q270" s="1323"/>
      <c r="R270" s="1324"/>
      <c r="S270" s="1325"/>
      <c r="T270" s="1353"/>
      <c r="U270" s="1463"/>
      <c r="V270" s="1464"/>
      <c r="W270" s="1482"/>
      <c r="X270" s="1307"/>
    </row>
    <row r="271" spans="1:24" s="1308" customFormat="1" ht="15" customHeight="1" x14ac:dyDescent="0.25">
      <c r="A271" s="730"/>
      <c r="B271" s="1286">
        <f t="shared" si="22"/>
        <v>168</v>
      </c>
      <c r="C271" s="1775"/>
      <c r="D271" s="1779"/>
      <c r="E271" s="1779"/>
      <c r="F271" s="1448" t="s">
        <v>1285</v>
      </c>
      <c r="G271" s="1302"/>
      <c r="H271" s="1322"/>
      <c r="I271" s="1322"/>
      <c r="J271" s="1322"/>
      <c r="K271" s="1322"/>
      <c r="L271" s="1322"/>
      <c r="M271" s="1322"/>
      <c r="N271" s="1322"/>
      <c r="O271" s="1326"/>
      <c r="P271" s="1322"/>
      <c r="Q271" s="1323"/>
      <c r="R271" s="1324"/>
      <c r="S271" s="1325"/>
      <c r="T271" s="1353"/>
      <c r="U271" s="1463"/>
      <c r="V271" s="1464"/>
      <c r="W271" s="1482"/>
      <c r="X271" s="1307"/>
    </row>
    <row r="272" spans="1:24" s="1308" customFormat="1" ht="15" customHeight="1" x14ac:dyDescent="0.25">
      <c r="A272" s="730"/>
      <c r="B272" s="1286">
        <f t="shared" si="22"/>
        <v>169</v>
      </c>
      <c r="C272" s="1775"/>
      <c r="D272" s="1779" t="s">
        <v>1288</v>
      </c>
      <c r="E272" s="1779" t="s">
        <v>1280</v>
      </c>
      <c r="F272" s="1448" t="s">
        <v>1424</v>
      </c>
      <c r="G272" s="1302"/>
      <c r="H272" s="1322"/>
      <c r="I272" s="1322"/>
      <c r="J272" s="1322"/>
      <c r="K272" s="1322"/>
      <c r="L272" s="1322"/>
      <c r="M272" s="1322"/>
      <c r="N272" s="1322"/>
      <c r="O272" s="1326"/>
      <c r="P272" s="1322"/>
      <c r="Q272" s="1323"/>
      <c r="R272" s="1324"/>
      <c r="S272" s="1325"/>
      <c r="T272" s="1353"/>
      <c r="U272" s="1463"/>
      <c r="V272" s="1464"/>
      <c r="W272" s="1482"/>
      <c r="X272" s="1307"/>
    </row>
    <row r="273" spans="1:24" s="1308" customFormat="1" ht="15" customHeight="1" x14ac:dyDescent="0.25">
      <c r="A273" s="730"/>
      <c r="B273" s="1286">
        <f t="shared" si="22"/>
        <v>170</v>
      </c>
      <c r="C273" s="1775"/>
      <c r="D273" s="1779"/>
      <c r="E273" s="1779"/>
      <c r="F273" s="1448" t="s">
        <v>1285</v>
      </c>
      <c r="G273" s="1302"/>
      <c r="H273" s="1322"/>
      <c r="I273" s="1322"/>
      <c r="J273" s="1322"/>
      <c r="K273" s="1322"/>
      <c r="L273" s="1322"/>
      <c r="M273" s="1322"/>
      <c r="N273" s="1322"/>
      <c r="O273" s="1326"/>
      <c r="P273" s="1322"/>
      <c r="Q273" s="1323"/>
      <c r="R273" s="1324"/>
      <c r="S273" s="1325"/>
      <c r="T273" s="1353"/>
      <c r="U273" s="1463"/>
      <c r="V273" s="1464"/>
      <c r="W273" s="1482"/>
      <c r="X273" s="1307"/>
    </row>
    <row r="274" spans="1:24" s="1308" customFormat="1" ht="15" customHeight="1" x14ac:dyDescent="0.25">
      <c r="A274" s="730"/>
      <c r="B274" s="1286">
        <f t="shared" si="22"/>
        <v>171</v>
      </c>
      <c r="C274" s="1775"/>
      <c r="D274" s="1779"/>
      <c r="E274" s="1779" t="s">
        <v>1623</v>
      </c>
      <c r="F274" s="1448" t="s">
        <v>1424</v>
      </c>
      <c r="G274" s="1302"/>
      <c r="H274" s="1322"/>
      <c r="I274" s="1322"/>
      <c r="J274" s="1322"/>
      <c r="K274" s="1322"/>
      <c r="L274" s="1322"/>
      <c r="M274" s="1322"/>
      <c r="N274" s="1322"/>
      <c r="O274" s="1326"/>
      <c r="P274" s="1322"/>
      <c r="Q274" s="1323"/>
      <c r="R274" s="1324"/>
      <c r="S274" s="1325"/>
      <c r="T274" s="1353"/>
      <c r="U274" s="1463"/>
      <c r="V274" s="1464"/>
      <c r="W274" s="1482"/>
      <c r="X274" s="1307"/>
    </row>
    <row r="275" spans="1:24" s="1308" customFormat="1" ht="15" customHeight="1" x14ac:dyDescent="0.25">
      <c r="A275" s="730"/>
      <c r="B275" s="1286">
        <f t="shared" si="22"/>
        <v>172</v>
      </c>
      <c r="C275" s="1775"/>
      <c r="D275" s="1779"/>
      <c r="E275" s="1779"/>
      <c r="F275" s="1448" t="s">
        <v>1285</v>
      </c>
      <c r="G275" s="1302"/>
      <c r="H275" s="1322"/>
      <c r="I275" s="1322"/>
      <c r="J275" s="1322"/>
      <c r="K275" s="1322"/>
      <c r="L275" s="1322"/>
      <c r="M275" s="1322"/>
      <c r="N275" s="1322"/>
      <c r="O275" s="1326"/>
      <c r="P275" s="1322"/>
      <c r="Q275" s="1323"/>
      <c r="R275" s="1324"/>
      <c r="S275" s="1325"/>
      <c r="T275" s="1353"/>
      <c r="U275" s="1463"/>
      <c r="V275" s="1464"/>
      <c r="W275" s="1482"/>
      <c r="X275" s="1307"/>
    </row>
    <row r="276" spans="1:24" s="1308" customFormat="1" ht="15" customHeight="1" x14ac:dyDescent="0.25">
      <c r="A276" s="730"/>
      <c r="B276" s="1286">
        <f t="shared" si="22"/>
        <v>173</v>
      </c>
      <c r="C276" s="1775"/>
      <c r="D276" s="1779"/>
      <c r="E276" s="1779" t="s">
        <v>1281</v>
      </c>
      <c r="F276" s="1448" t="s">
        <v>1424</v>
      </c>
      <c r="G276" s="1302"/>
      <c r="H276" s="1322"/>
      <c r="I276" s="1322"/>
      <c r="J276" s="1322"/>
      <c r="K276" s="1322"/>
      <c r="L276" s="1322"/>
      <c r="M276" s="1322"/>
      <c r="N276" s="1322"/>
      <c r="O276" s="1326"/>
      <c r="P276" s="1322"/>
      <c r="Q276" s="1323"/>
      <c r="R276" s="1324"/>
      <c r="S276" s="1325"/>
      <c r="T276" s="1353"/>
      <c r="U276" s="1463"/>
      <c r="V276" s="1464"/>
      <c r="W276" s="1482"/>
      <c r="X276" s="1307"/>
    </row>
    <row r="277" spans="1:24" s="1308" customFormat="1" ht="15" customHeight="1" x14ac:dyDescent="0.25">
      <c r="A277" s="730"/>
      <c r="B277" s="1286">
        <f t="shared" si="22"/>
        <v>174</v>
      </c>
      <c r="C277" s="1775"/>
      <c r="D277" s="1779"/>
      <c r="E277" s="1779"/>
      <c r="F277" s="1448" t="s">
        <v>1285</v>
      </c>
      <c r="G277" s="1302"/>
      <c r="H277" s="1322"/>
      <c r="I277" s="1322"/>
      <c r="J277" s="1322"/>
      <c r="K277" s="1322"/>
      <c r="L277" s="1322"/>
      <c r="M277" s="1322"/>
      <c r="N277" s="1322"/>
      <c r="O277" s="1326"/>
      <c r="P277" s="1322"/>
      <c r="Q277" s="1323"/>
      <c r="R277" s="1324"/>
      <c r="S277" s="1325"/>
      <c r="T277" s="1353"/>
      <c r="U277" s="1463"/>
      <c r="V277" s="1464"/>
      <c r="W277" s="1482"/>
      <c r="X277" s="1307"/>
    </row>
    <row r="278" spans="1:24" s="1308" customFormat="1" ht="15" customHeight="1" x14ac:dyDescent="0.25">
      <c r="A278" s="730"/>
      <c r="B278" s="1286">
        <f t="shared" si="22"/>
        <v>175</v>
      </c>
      <c r="C278" s="1775"/>
      <c r="D278" s="1779" t="s">
        <v>1279</v>
      </c>
      <c r="E278" s="1779" t="s">
        <v>1280</v>
      </c>
      <c r="F278" s="1448" t="s">
        <v>1424</v>
      </c>
      <c r="G278" s="1302"/>
      <c r="H278" s="1322"/>
      <c r="I278" s="1322"/>
      <c r="J278" s="1322"/>
      <c r="K278" s="1322"/>
      <c r="L278" s="1322"/>
      <c r="M278" s="1322"/>
      <c r="N278" s="1322"/>
      <c r="O278" s="1326"/>
      <c r="P278" s="1322"/>
      <c r="Q278" s="1323"/>
      <c r="R278" s="1324"/>
      <c r="S278" s="1325"/>
      <c r="T278" s="1353"/>
      <c r="U278" s="1463"/>
      <c r="V278" s="1464"/>
      <c r="W278" s="1482"/>
      <c r="X278" s="1307"/>
    </row>
    <row r="279" spans="1:24" s="1308" customFormat="1" ht="15" customHeight="1" x14ac:dyDescent="0.25">
      <c r="A279" s="730"/>
      <c r="B279" s="1286">
        <f t="shared" si="22"/>
        <v>176</v>
      </c>
      <c r="C279" s="1775"/>
      <c r="D279" s="1779"/>
      <c r="E279" s="1779"/>
      <c r="F279" s="1448" t="s">
        <v>1285</v>
      </c>
      <c r="G279" s="1302"/>
      <c r="H279" s="1322"/>
      <c r="I279" s="1322"/>
      <c r="J279" s="1322"/>
      <c r="K279" s="1322"/>
      <c r="L279" s="1322"/>
      <c r="M279" s="1322"/>
      <c r="N279" s="1322"/>
      <c r="O279" s="1326"/>
      <c r="P279" s="1322"/>
      <c r="Q279" s="1323"/>
      <c r="R279" s="1324"/>
      <c r="S279" s="1325"/>
      <c r="T279" s="1353"/>
      <c r="U279" s="1463"/>
      <c r="V279" s="1464"/>
      <c r="W279" s="1482"/>
      <c r="X279" s="1307"/>
    </row>
    <row r="280" spans="1:24" s="1308" customFormat="1" ht="15" customHeight="1" x14ac:dyDescent="0.25">
      <c r="A280" s="730"/>
      <c r="B280" s="1286">
        <f t="shared" si="22"/>
        <v>177</v>
      </c>
      <c r="C280" s="1775"/>
      <c r="D280" s="1779"/>
      <c r="E280" s="1779" t="s">
        <v>1623</v>
      </c>
      <c r="F280" s="1448" t="s">
        <v>1424</v>
      </c>
      <c r="G280" s="1302"/>
      <c r="H280" s="1322"/>
      <c r="I280" s="1322"/>
      <c r="J280" s="1322"/>
      <c r="K280" s="1322"/>
      <c r="L280" s="1322"/>
      <c r="M280" s="1322"/>
      <c r="N280" s="1322"/>
      <c r="O280" s="1326"/>
      <c r="P280" s="1322"/>
      <c r="Q280" s="1323"/>
      <c r="R280" s="1324"/>
      <c r="S280" s="1325"/>
      <c r="T280" s="1353"/>
      <c r="U280" s="1463"/>
      <c r="V280" s="1464"/>
      <c r="W280" s="1482"/>
      <c r="X280" s="1307"/>
    </row>
    <row r="281" spans="1:24" s="1308" customFormat="1" ht="15" customHeight="1" x14ac:dyDescent="0.25">
      <c r="A281" s="730"/>
      <c r="B281" s="1286">
        <f t="shared" si="22"/>
        <v>178</v>
      </c>
      <c r="C281" s="1775"/>
      <c r="D281" s="1779"/>
      <c r="E281" s="1779"/>
      <c r="F281" s="1448" t="s">
        <v>1285</v>
      </c>
      <c r="G281" s="1302"/>
      <c r="H281" s="1322"/>
      <c r="I281" s="1322"/>
      <c r="J281" s="1322"/>
      <c r="K281" s="1322"/>
      <c r="L281" s="1322"/>
      <c r="M281" s="1322"/>
      <c r="N281" s="1322"/>
      <c r="O281" s="1326"/>
      <c r="P281" s="1322"/>
      <c r="Q281" s="1323"/>
      <c r="R281" s="1324"/>
      <c r="S281" s="1325"/>
      <c r="T281" s="1353"/>
      <c r="U281" s="1463"/>
      <c r="V281" s="1464"/>
      <c r="W281" s="1482"/>
      <c r="X281" s="1307"/>
    </row>
    <row r="282" spans="1:24" s="1308" customFormat="1" ht="15" customHeight="1" x14ac:dyDescent="0.25">
      <c r="A282" s="730"/>
      <c r="B282" s="1286">
        <f t="shared" si="22"/>
        <v>179</v>
      </c>
      <c r="C282" s="1775"/>
      <c r="D282" s="1779"/>
      <c r="E282" s="1779" t="s">
        <v>1281</v>
      </c>
      <c r="F282" s="1448" t="s">
        <v>1424</v>
      </c>
      <c r="G282" s="1302"/>
      <c r="H282" s="1322"/>
      <c r="I282" s="1322"/>
      <c r="J282" s="1322"/>
      <c r="K282" s="1322"/>
      <c r="L282" s="1322"/>
      <c r="M282" s="1322"/>
      <c r="N282" s="1322"/>
      <c r="O282" s="1326"/>
      <c r="P282" s="1322"/>
      <c r="Q282" s="1323"/>
      <c r="R282" s="1324"/>
      <c r="S282" s="1325"/>
      <c r="T282" s="1353"/>
      <c r="U282" s="1463"/>
      <c r="V282" s="1464"/>
      <c r="W282" s="1482"/>
      <c r="X282" s="1307"/>
    </row>
    <row r="283" spans="1:24" s="1308" customFormat="1" ht="15" customHeight="1" x14ac:dyDescent="0.25">
      <c r="A283" s="730"/>
      <c r="B283" s="1287">
        <f t="shared" si="22"/>
        <v>180</v>
      </c>
      <c r="C283" s="1776"/>
      <c r="D283" s="1794"/>
      <c r="E283" s="1794"/>
      <c r="F283" s="1449" t="s">
        <v>1285</v>
      </c>
      <c r="G283" s="1327"/>
      <c r="H283" s="1303"/>
      <c r="I283" s="1303"/>
      <c r="J283" s="1303"/>
      <c r="K283" s="1303"/>
      <c r="L283" s="1303"/>
      <c r="M283" s="1303"/>
      <c r="N283" s="1303"/>
      <c r="O283" s="1328"/>
      <c r="P283" s="1303"/>
      <c r="Q283" s="1304"/>
      <c r="R283" s="1305"/>
      <c r="S283" s="1306"/>
      <c r="T283" s="1351"/>
      <c r="U283" s="1466"/>
      <c r="V283" s="1467"/>
      <c r="W283" s="1483"/>
      <c r="X283" s="1307"/>
    </row>
    <row r="284" spans="1:24" s="1308" customFormat="1" ht="15" customHeight="1" x14ac:dyDescent="0.25">
      <c r="A284" s="730"/>
      <c r="B284" s="1285">
        <f t="shared" si="22"/>
        <v>181</v>
      </c>
      <c r="C284" s="1774" t="s">
        <v>1264</v>
      </c>
      <c r="D284" s="1780" t="s">
        <v>1278</v>
      </c>
      <c r="E284" s="1780" t="s">
        <v>1280</v>
      </c>
      <c r="F284" s="1450" t="s">
        <v>1424</v>
      </c>
      <c r="G284" s="1316"/>
      <c r="H284" s="1317"/>
      <c r="I284" s="1317"/>
      <c r="J284" s="1317"/>
      <c r="K284" s="1317"/>
      <c r="L284" s="1317"/>
      <c r="M284" s="1317"/>
      <c r="N284" s="1317"/>
      <c r="O284" s="1321"/>
      <c r="P284" s="1317"/>
      <c r="Q284" s="1318"/>
      <c r="R284" s="1319"/>
      <c r="S284" s="1320"/>
      <c r="T284" s="1349"/>
      <c r="U284" s="1460"/>
      <c r="V284" s="1461"/>
      <c r="W284" s="1481"/>
      <c r="X284" s="1307"/>
    </row>
    <row r="285" spans="1:24" s="1308" customFormat="1" ht="15" customHeight="1" x14ac:dyDescent="0.25">
      <c r="A285" s="730"/>
      <c r="B285" s="1286">
        <f t="shared" si="22"/>
        <v>182</v>
      </c>
      <c r="C285" s="1775"/>
      <c r="D285" s="1779"/>
      <c r="E285" s="1779"/>
      <c r="F285" s="1448" t="s">
        <v>1285</v>
      </c>
      <c r="G285" s="1302"/>
      <c r="H285" s="1322"/>
      <c r="I285" s="1322"/>
      <c r="J285" s="1322"/>
      <c r="K285" s="1322"/>
      <c r="L285" s="1322"/>
      <c r="M285" s="1322"/>
      <c r="N285" s="1322"/>
      <c r="O285" s="1326"/>
      <c r="P285" s="1322"/>
      <c r="Q285" s="1323"/>
      <c r="R285" s="1324"/>
      <c r="S285" s="1325"/>
      <c r="T285" s="1353"/>
      <c r="U285" s="1463"/>
      <c r="V285" s="1464"/>
      <c r="W285" s="1482"/>
      <c r="X285" s="1307"/>
    </row>
    <row r="286" spans="1:24" s="1308" customFormat="1" ht="15" customHeight="1" x14ac:dyDescent="0.25">
      <c r="A286" s="730"/>
      <c r="B286" s="1286">
        <f t="shared" si="22"/>
        <v>183</v>
      </c>
      <c r="C286" s="1775"/>
      <c r="D286" s="1779"/>
      <c r="E286" s="1779" t="s">
        <v>1623</v>
      </c>
      <c r="F286" s="1448" t="s">
        <v>1424</v>
      </c>
      <c r="G286" s="1302"/>
      <c r="H286" s="1322"/>
      <c r="I286" s="1322"/>
      <c r="J286" s="1322"/>
      <c r="K286" s="1322"/>
      <c r="L286" s="1322"/>
      <c r="M286" s="1322"/>
      <c r="N286" s="1322"/>
      <c r="O286" s="1326"/>
      <c r="P286" s="1322"/>
      <c r="Q286" s="1323"/>
      <c r="R286" s="1324"/>
      <c r="S286" s="1325"/>
      <c r="T286" s="1353"/>
      <c r="U286" s="1463"/>
      <c r="V286" s="1464"/>
      <c r="W286" s="1482"/>
      <c r="X286" s="1307"/>
    </row>
    <row r="287" spans="1:24" s="1308" customFormat="1" ht="15" customHeight="1" x14ac:dyDescent="0.25">
      <c r="A287" s="730"/>
      <c r="B287" s="1286">
        <f t="shared" si="22"/>
        <v>184</v>
      </c>
      <c r="C287" s="1775"/>
      <c r="D287" s="1779"/>
      <c r="E287" s="1779"/>
      <c r="F287" s="1448" t="s">
        <v>1285</v>
      </c>
      <c r="G287" s="1302"/>
      <c r="H287" s="1322"/>
      <c r="I287" s="1322"/>
      <c r="J287" s="1322"/>
      <c r="K287" s="1322"/>
      <c r="L287" s="1322"/>
      <c r="M287" s="1322"/>
      <c r="N287" s="1322"/>
      <c r="O287" s="1326"/>
      <c r="P287" s="1322"/>
      <c r="Q287" s="1323"/>
      <c r="R287" s="1324"/>
      <c r="S287" s="1325"/>
      <c r="T287" s="1353"/>
      <c r="U287" s="1463"/>
      <c r="V287" s="1464"/>
      <c r="W287" s="1482"/>
      <c r="X287" s="1307"/>
    </row>
    <row r="288" spans="1:24" s="1308" customFormat="1" ht="15" customHeight="1" x14ac:dyDescent="0.25">
      <c r="A288" s="730"/>
      <c r="B288" s="1286">
        <f t="shared" si="22"/>
        <v>185</v>
      </c>
      <c r="C288" s="1775"/>
      <c r="D288" s="1779"/>
      <c r="E288" s="1779" t="s">
        <v>1281</v>
      </c>
      <c r="F288" s="1448" t="s">
        <v>1424</v>
      </c>
      <c r="G288" s="1302"/>
      <c r="H288" s="1322"/>
      <c r="I288" s="1322"/>
      <c r="J288" s="1322"/>
      <c r="K288" s="1322"/>
      <c r="L288" s="1322"/>
      <c r="M288" s="1322"/>
      <c r="N288" s="1322"/>
      <c r="O288" s="1326"/>
      <c r="P288" s="1322"/>
      <c r="Q288" s="1323"/>
      <c r="R288" s="1324"/>
      <c r="S288" s="1325"/>
      <c r="T288" s="1353"/>
      <c r="U288" s="1463"/>
      <c r="V288" s="1464"/>
      <c r="W288" s="1482"/>
      <c r="X288" s="1307"/>
    </row>
    <row r="289" spans="1:24" s="1308" customFormat="1" ht="15" customHeight="1" x14ac:dyDescent="0.25">
      <c r="A289" s="730"/>
      <c r="B289" s="1286">
        <f t="shared" si="22"/>
        <v>186</v>
      </c>
      <c r="C289" s="1775"/>
      <c r="D289" s="1779"/>
      <c r="E289" s="1779"/>
      <c r="F289" s="1448" t="s">
        <v>1285</v>
      </c>
      <c r="G289" s="1302"/>
      <c r="H289" s="1322"/>
      <c r="I289" s="1322"/>
      <c r="J289" s="1322"/>
      <c r="K289" s="1322"/>
      <c r="L289" s="1322"/>
      <c r="M289" s="1322"/>
      <c r="N289" s="1322"/>
      <c r="O289" s="1326"/>
      <c r="P289" s="1322"/>
      <c r="Q289" s="1323"/>
      <c r="R289" s="1324"/>
      <c r="S289" s="1325"/>
      <c r="T289" s="1353"/>
      <c r="U289" s="1463"/>
      <c r="V289" s="1464"/>
      <c r="W289" s="1482"/>
      <c r="X289" s="1307"/>
    </row>
    <row r="290" spans="1:24" s="1308" customFormat="1" ht="15" customHeight="1" x14ac:dyDescent="0.25">
      <c r="A290" s="730"/>
      <c r="B290" s="1286">
        <f t="shared" si="22"/>
        <v>187</v>
      </c>
      <c r="C290" s="1775"/>
      <c r="D290" s="1779" t="s">
        <v>1624</v>
      </c>
      <c r="E290" s="1779" t="s">
        <v>1280</v>
      </c>
      <c r="F290" s="1448" t="s">
        <v>1424</v>
      </c>
      <c r="G290" s="1302"/>
      <c r="H290" s="1322"/>
      <c r="I290" s="1322"/>
      <c r="J290" s="1322"/>
      <c r="K290" s="1322"/>
      <c r="L290" s="1322"/>
      <c r="M290" s="1322"/>
      <c r="N290" s="1322"/>
      <c r="O290" s="1326"/>
      <c r="P290" s="1322"/>
      <c r="Q290" s="1323"/>
      <c r="R290" s="1324"/>
      <c r="S290" s="1325"/>
      <c r="T290" s="1353"/>
      <c r="U290" s="1463"/>
      <c r="V290" s="1464"/>
      <c r="W290" s="1482"/>
      <c r="X290" s="1307"/>
    </row>
    <row r="291" spans="1:24" s="1308" customFormat="1" ht="15" customHeight="1" x14ac:dyDescent="0.25">
      <c r="A291" s="730"/>
      <c r="B291" s="1286">
        <f t="shared" si="22"/>
        <v>188</v>
      </c>
      <c r="C291" s="1775"/>
      <c r="D291" s="1779"/>
      <c r="E291" s="1779"/>
      <c r="F291" s="1448" t="s">
        <v>1285</v>
      </c>
      <c r="G291" s="1302"/>
      <c r="H291" s="1322"/>
      <c r="I291" s="1322"/>
      <c r="J291" s="1322"/>
      <c r="K291" s="1322"/>
      <c r="L291" s="1322"/>
      <c r="M291" s="1322"/>
      <c r="N291" s="1322"/>
      <c r="O291" s="1326"/>
      <c r="P291" s="1322"/>
      <c r="Q291" s="1323"/>
      <c r="R291" s="1324"/>
      <c r="S291" s="1325"/>
      <c r="T291" s="1353"/>
      <c r="U291" s="1463"/>
      <c r="V291" s="1464"/>
      <c r="W291" s="1482"/>
      <c r="X291" s="1307"/>
    </row>
    <row r="292" spans="1:24" s="1308" customFormat="1" ht="15" customHeight="1" x14ac:dyDescent="0.25">
      <c r="A292" s="730"/>
      <c r="B292" s="1286">
        <f t="shared" si="22"/>
        <v>189</v>
      </c>
      <c r="C292" s="1775"/>
      <c r="D292" s="1779"/>
      <c r="E292" s="1779" t="s">
        <v>1623</v>
      </c>
      <c r="F292" s="1448" t="s">
        <v>1424</v>
      </c>
      <c r="G292" s="1302"/>
      <c r="H292" s="1322"/>
      <c r="I292" s="1322"/>
      <c r="J292" s="1322"/>
      <c r="K292" s="1322"/>
      <c r="L292" s="1322"/>
      <c r="M292" s="1322"/>
      <c r="N292" s="1322"/>
      <c r="O292" s="1326"/>
      <c r="P292" s="1322"/>
      <c r="Q292" s="1323"/>
      <c r="R292" s="1324"/>
      <c r="S292" s="1325"/>
      <c r="T292" s="1353"/>
      <c r="U292" s="1463"/>
      <c r="V292" s="1464"/>
      <c r="W292" s="1482"/>
      <c r="X292" s="1307"/>
    </row>
    <row r="293" spans="1:24" s="1308" customFormat="1" ht="15" customHeight="1" x14ac:dyDescent="0.25">
      <c r="A293" s="730"/>
      <c r="B293" s="1286">
        <f t="shared" si="22"/>
        <v>190</v>
      </c>
      <c r="C293" s="1775"/>
      <c r="D293" s="1779"/>
      <c r="E293" s="1779"/>
      <c r="F293" s="1448" t="s">
        <v>1285</v>
      </c>
      <c r="G293" s="1302"/>
      <c r="H293" s="1322"/>
      <c r="I293" s="1322"/>
      <c r="J293" s="1322"/>
      <c r="K293" s="1322"/>
      <c r="L293" s="1322"/>
      <c r="M293" s="1322"/>
      <c r="N293" s="1322"/>
      <c r="O293" s="1326"/>
      <c r="P293" s="1322"/>
      <c r="Q293" s="1323"/>
      <c r="R293" s="1324"/>
      <c r="S293" s="1325"/>
      <c r="T293" s="1353"/>
      <c r="U293" s="1463"/>
      <c r="V293" s="1464"/>
      <c r="W293" s="1482"/>
      <c r="X293" s="1307"/>
    </row>
    <row r="294" spans="1:24" s="1308" customFormat="1" ht="15" customHeight="1" x14ac:dyDescent="0.25">
      <c r="A294" s="730"/>
      <c r="B294" s="1286">
        <f t="shared" si="22"/>
        <v>191</v>
      </c>
      <c r="C294" s="1775"/>
      <c r="D294" s="1779"/>
      <c r="E294" s="1779" t="s">
        <v>1281</v>
      </c>
      <c r="F294" s="1448" t="s">
        <v>1424</v>
      </c>
      <c r="G294" s="1302"/>
      <c r="H294" s="1322"/>
      <c r="I294" s="1322"/>
      <c r="J294" s="1322"/>
      <c r="K294" s="1322"/>
      <c r="L294" s="1322"/>
      <c r="M294" s="1322"/>
      <c r="N294" s="1322"/>
      <c r="O294" s="1326"/>
      <c r="P294" s="1322"/>
      <c r="Q294" s="1323"/>
      <c r="R294" s="1324"/>
      <c r="S294" s="1325"/>
      <c r="T294" s="1353"/>
      <c r="U294" s="1463"/>
      <c r="V294" s="1464"/>
      <c r="W294" s="1482"/>
      <c r="X294" s="1307"/>
    </row>
    <row r="295" spans="1:24" s="1308" customFormat="1" ht="15" customHeight="1" x14ac:dyDescent="0.25">
      <c r="A295" s="730"/>
      <c r="B295" s="1286">
        <f t="shared" si="22"/>
        <v>192</v>
      </c>
      <c r="C295" s="1775"/>
      <c r="D295" s="1779"/>
      <c r="E295" s="1779"/>
      <c r="F295" s="1448" t="s">
        <v>1285</v>
      </c>
      <c r="G295" s="1302"/>
      <c r="H295" s="1322"/>
      <c r="I295" s="1322"/>
      <c r="J295" s="1322"/>
      <c r="K295" s="1322"/>
      <c r="L295" s="1322"/>
      <c r="M295" s="1322"/>
      <c r="N295" s="1322"/>
      <c r="O295" s="1326"/>
      <c r="P295" s="1322"/>
      <c r="Q295" s="1323"/>
      <c r="R295" s="1324"/>
      <c r="S295" s="1325"/>
      <c r="T295" s="1353"/>
      <c r="U295" s="1463"/>
      <c r="V295" s="1464"/>
      <c r="W295" s="1482"/>
      <c r="X295" s="1307"/>
    </row>
    <row r="296" spans="1:24" s="1308" customFormat="1" ht="15" customHeight="1" x14ac:dyDescent="0.25">
      <c r="A296" s="730"/>
      <c r="B296" s="1286">
        <f t="shared" si="22"/>
        <v>193</v>
      </c>
      <c r="C296" s="1775"/>
      <c r="D296" s="1779" t="s">
        <v>1286</v>
      </c>
      <c r="E296" s="1779" t="s">
        <v>1280</v>
      </c>
      <c r="F296" s="1448" t="s">
        <v>1424</v>
      </c>
      <c r="G296" s="1302"/>
      <c r="H296" s="1322"/>
      <c r="I296" s="1322"/>
      <c r="J296" s="1322"/>
      <c r="K296" s="1322"/>
      <c r="L296" s="1322"/>
      <c r="M296" s="1322"/>
      <c r="N296" s="1322"/>
      <c r="O296" s="1326"/>
      <c r="P296" s="1322"/>
      <c r="Q296" s="1323"/>
      <c r="R296" s="1324"/>
      <c r="S296" s="1325"/>
      <c r="T296" s="1353"/>
      <c r="U296" s="1463"/>
      <c r="V296" s="1464"/>
      <c r="W296" s="1482"/>
      <c r="X296" s="1307"/>
    </row>
    <row r="297" spans="1:24" s="1308" customFormat="1" ht="15" customHeight="1" x14ac:dyDescent="0.25">
      <c r="A297" s="730"/>
      <c r="B297" s="1286">
        <f t="shared" ref="B297:B360" si="23">B296+1</f>
        <v>194</v>
      </c>
      <c r="C297" s="1775"/>
      <c r="D297" s="1779"/>
      <c r="E297" s="1779"/>
      <c r="F297" s="1448" t="s">
        <v>1285</v>
      </c>
      <c r="G297" s="1302"/>
      <c r="H297" s="1322"/>
      <c r="I297" s="1322"/>
      <c r="J297" s="1322"/>
      <c r="K297" s="1322"/>
      <c r="L297" s="1322"/>
      <c r="M297" s="1322"/>
      <c r="N297" s="1322"/>
      <c r="O297" s="1326"/>
      <c r="P297" s="1322"/>
      <c r="Q297" s="1323"/>
      <c r="R297" s="1324"/>
      <c r="S297" s="1325"/>
      <c r="T297" s="1353"/>
      <c r="U297" s="1463"/>
      <c r="V297" s="1464"/>
      <c r="W297" s="1482"/>
      <c r="X297" s="1307"/>
    </row>
    <row r="298" spans="1:24" s="1308" customFormat="1" ht="15" customHeight="1" x14ac:dyDescent="0.25">
      <c r="A298" s="730"/>
      <c r="B298" s="1286">
        <f t="shared" si="23"/>
        <v>195</v>
      </c>
      <c r="C298" s="1775"/>
      <c r="D298" s="1779"/>
      <c r="E298" s="1779" t="s">
        <v>1623</v>
      </c>
      <c r="F298" s="1448" t="s">
        <v>1424</v>
      </c>
      <c r="G298" s="1302"/>
      <c r="H298" s="1322"/>
      <c r="I298" s="1322"/>
      <c r="J298" s="1322"/>
      <c r="K298" s="1322"/>
      <c r="L298" s="1322"/>
      <c r="M298" s="1322"/>
      <c r="N298" s="1322"/>
      <c r="O298" s="1326"/>
      <c r="P298" s="1322"/>
      <c r="Q298" s="1323"/>
      <c r="R298" s="1324"/>
      <c r="S298" s="1325"/>
      <c r="T298" s="1353"/>
      <c r="U298" s="1463"/>
      <c r="V298" s="1464"/>
      <c r="W298" s="1482"/>
      <c r="X298" s="1307"/>
    </row>
    <row r="299" spans="1:24" s="1308" customFormat="1" ht="15" customHeight="1" x14ac:dyDescent="0.25">
      <c r="A299" s="730"/>
      <c r="B299" s="1286">
        <f t="shared" si="23"/>
        <v>196</v>
      </c>
      <c r="C299" s="1775"/>
      <c r="D299" s="1779"/>
      <c r="E299" s="1779"/>
      <c r="F299" s="1448" t="s">
        <v>1285</v>
      </c>
      <c r="G299" s="1302"/>
      <c r="H299" s="1322"/>
      <c r="I299" s="1322"/>
      <c r="J299" s="1322"/>
      <c r="K299" s="1322"/>
      <c r="L299" s="1322"/>
      <c r="M299" s="1322"/>
      <c r="N299" s="1322"/>
      <c r="O299" s="1326"/>
      <c r="P299" s="1322"/>
      <c r="Q299" s="1323"/>
      <c r="R299" s="1324"/>
      <c r="S299" s="1325"/>
      <c r="T299" s="1353"/>
      <c r="U299" s="1463"/>
      <c r="V299" s="1464"/>
      <c r="W299" s="1482"/>
      <c r="X299" s="1307"/>
    </row>
    <row r="300" spans="1:24" s="1308" customFormat="1" ht="15" customHeight="1" x14ac:dyDescent="0.25">
      <c r="A300" s="730"/>
      <c r="B300" s="1286">
        <f t="shared" si="23"/>
        <v>197</v>
      </c>
      <c r="C300" s="1775"/>
      <c r="D300" s="1779"/>
      <c r="E300" s="1779" t="s">
        <v>1281</v>
      </c>
      <c r="F300" s="1448" t="s">
        <v>1424</v>
      </c>
      <c r="G300" s="1302"/>
      <c r="H300" s="1322"/>
      <c r="I300" s="1322"/>
      <c r="J300" s="1322"/>
      <c r="K300" s="1322"/>
      <c r="L300" s="1322"/>
      <c r="M300" s="1322"/>
      <c r="N300" s="1322"/>
      <c r="O300" s="1326"/>
      <c r="P300" s="1322"/>
      <c r="Q300" s="1323"/>
      <c r="R300" s="1324"/>
      <c r="S300" s="1325"/>
      <c r="T300" s="1353"/>
      <c r="U300" s="1463"/>
      <c r="V300" s="1464"/>
      <c r="W300" s="1482"/>
      <c r="X300" s="1307"/>
    </row>
    <row r="301" spans="1:24" s="1308" customFormat="1" ht="15" customHeight="1" x14ac:dyDescent="0.25">
      <c r="A301" s="730"/>
      <c r="B301" s="1286">
        <f t="shared" si="23"/>
        <v>198</v>
      </c>
      <c r="C301" s="1775"/>
      <c r="D301" s="1779"/>
      <c r="E301" s="1779"/>
      <c r="F301" s="1448" t="s">
        <v>1285</v>
      </c>
      <c r="G301" s="1302"/>
      <c r="H301" s="1322"/>
      <c r="I301" s="1322"/>
      <c r="J301" s="1322"/>
      <c r="K301" s="1322"/>
      <c r="L301" s="1322"/>
      <c r="M301" s="1322"/>
      <c r="N301" s="1322"/>
      <c r="O301" s="1326"/>
      <c r="P301" s="1322"/>
      <c r="Q301" s="1323"/>
      <c r="R301" s="1324"/>
      <c r="S301" s="1325"/>
      <c r="T301" s="1353"/>
      <c r="U301" s="1463"/>
      <c r="V301" s="1464"/>
      <c r="W301" s="1482"/>
      <c r="X301" s="1307"/>
    </row>
    <row r="302" spans="1:24" s="1308" customFormat="1" ht="15" customHeight="1" x14ac:dyDescent="0.25">
      <c r="A302" s="730"/>
      <c r="B302" s="1286">
        <f t="shared" si="23"/>
        <v>199</v>
      </c>
      <c r="C302" s="1775"/>
      <c r="D302" s="1779" t="s">
        <v>1287</v>
      </c>
      <c r="E302" s="1779" t="s">
        <v>1280</v>
      </c>
      <c r="F302" s="1448" t="s">
        <v>1424</v>
      </c>
      <c r="G302" s="1302"/>
      <c r="H302" s="1322"/>
      <c r="I302" s="1322"/>
      <c r="J302" s="1322"/>
      <c r="K302" s="1322"/>
      <c r="L302" s="1322"/>
      <c r="M302" s="1322"/>
      <c r="N302" s="1322"/>
      <c r="O302" s="1326"/>
      <c r="P302" s="1322"/>
      <c r="Q302" s="1323"/>
      <c r="R302" s="1324"/>
      <c r="S302" s="1325"/>
      <c r="T302" s="1353"/>
      <c r="U302" s="1463"/>
      <c r="V302" s="1464"/>
      <c r="W302" s="1482"/>
      <c r="X302" s="1307"/>
    </row>
    <row r="303" spans="1:24" s="1308" customFormat="1" ht="15" customHeight="1" x14ac:dyDescent="0.25">
      <c r="A303" s="730"/>
      <c r="B303" s="1286">
        <f t="shared" si="23"/>
        <v>200</v>
      </c>
      <c r="C303" s="1775"/>
      <c r="D303" s="1779"/>
      <c r="E303" s="1779"/>
      <c r="F303" s="1448" t="s">
        <v>1285</v>
      </c>
      <c r="G303" s="1302"/>
      <c r="H303" s="1322"/>
      <c r="I303" s="1322"/>
      <c r="J303" s="1322"/>
      <c r="K303" s="1322"/>
      <c r="L303" s="1322"/>
      <c r="M303" s="1322"/>
      <c r="N303" s="1322"/>
      <c r="O303" s="1326"/>
      <c r="P303" s="1322"/>
      <c r="Q303" s="1323"/>
      <c r="R303" s="1324"/>
      <c r="S303" s="1325"/>
      <c r="T303" s="1353"/>
      <c r="U303" s="1463"/>
      <c r="V303" s="1464"/>
      <c r="W303" s="1482"/>
      <c r="X303" s="1307"/>
    </row>
    <row r="304" spans="1:24" s="1308" customFormat="1" ht="15" customHeight="1" x14ac:dyDescent="0.25">
      <c r="A304" s="730"/>
      <c r="B304" s="1286">
        <f t="shared" si="23"/>
        <v>201</v>
      </c>
      <c r="C304" s="1775"/>
      <c r="D304" s="1779"/>
      <c r="E304" s="1779" t="s">
        <v>1623</v>
      </c>
      <c r="F304" s="1448" t="s">
        <v>1424</v>
      </c>
      <c r="G304" s="1302"/>
      <c r="H304" s="1322"/>
      <c r="I304" s="1322"/>
      <c r="J304" s="1322"/>
      <c r="K304" s="1322"/>
      <c r="L304" s="1322"/>
      <c r="M304" s="1322"/>
      <c r="N304" s="1322"/>
      <c r="O304" s="1326"/>
      <c r="P304" s="1322"/>
      <c r="Q304" s="1323"/>
      <c r="R304" s="1324"/>
      <c r="S304" s="1325"/>
      <c r="T304" s="1353"/>
      <c r="U304" s="1463"/>
      <c r="V304" s="1464"/>
      <c r="W304" s="1482"/>
      <c r="X304" s="1307"/>
    </row>
    <row r="305" spans="1:24" s="1308" customFormat="1" ht="15" customHeight="1" x14ac:dyDescent="0.25">
      <c r="A305" s="730"/>
      <c r="B305" s="1286">
        <f t="shared" si="23"/>
        <v>202</v>
      </c>
      <c r="C305" s="1775"/>
      <c r="D305" s="1779"/>
      <c r="E305" s="1779"/>
      <c r="F305" s="1448" t="s">
        <v>1285</v>
      </c>
      <c r="G305" s="1302"/>
      <c r="H305" s="1322"/>
      <c r="I305" s="1322"/>
      <c r="J305" s="1322"/>
      <c r="K305" s="1322"/>
      <c r="L305" s="1322"/>
      <c r="M305" s="1322"/>
      <c r="N305" s="1322"/>
      <c r="O305" s="1326"/>
      <c r="P305" s="1322"/>
      <c r="Q305" s="1323"/>
      <c r="R305" s="1324"/>
      <c r="S305" s="1325"/>
      <c r="T305" s="1353"/>
      <c r="U305" s="1463"/>
      <c r="V305" s="1464"/>
      <c r="W305" s="1482"/>
      <c r="X305" s="1307"/>
    </row>
    <row r="306" spans="1:24" s="1308" customFormat="1" ht="15" customHeight="1" x14ac:dyDescent="0.25">
      <c r="A306" s="730"/>
      <c r="B306" s="1286">
        <f t="shared" si="23"/>
        <v>203</v>
      </c>
      <c r="C306" s="1775"/>
      <c r="D306" s="1779"/>
      <c r="E306" s="1779" t="s">
        <v>1281</v>
      </c>
      <c r="F306" s="1448" t="s">
        <v>1424</v>
      </c>
      <c r="G306" s="1302"/>
      <c r="H306" s="1322"/>
      <c r="I306" s="1322"/>
      <c r="J306" s="1322"/>
      <c r="K306" s="1322"/>
      <c r="L306" s="1322"/>
      <c r="M306" s="1322"/>
      <c r="N306" s="1322"/>
      <c r="O306" s="1326"/>
      <c r="P306" s="1322"/>
      <c r="Q306" s="1323"/>
      <c r="R306" s="1324"/>
      <c r="S306" s="1325"/>
      <c r="T306" s="1353"/>
      <c r="U306" s="1463"/>
      <c r="V306" s="1464"/>
      <c r="W306" s="1482"/>
      <c r="X306" s="1307"/>
    </row>
    <row r="307" spans="1:24" s="1308" customFormat="1" ht="15" customHeight="1" x14ac:dyDescent="0.25">
      <c r="A307" s="730"/>
      <c r="B307" s="1286">
        <f t="shared" si="23"/>
        <v>204</v>
      </c>
      <c r="C307" s="1775"/>
      <c r="D307" s="1779"/>
      <c r="E307" s="1779"/>
      <c r="F307" s="1448" t="s">
        <v>1285</v>
      </c>
      <c r="G307" s="1302"/>
      <c r="H307" s="1322"/>
      <c r="I307" s="1322"/>
      <c r="J307" s="1322"/>
      <c r="K307" s="1322"/>
      <c r="L307" s="1322"/>
      <c r="M307" s="1322"/>
      <c r="N307" s="1322"/>
      <c r="O307" s="1326"/>
      <c r="P307" s="1322"/>
      <c r="Q307" s="1323"/>
      <c r="R307" s="1324"/>
      <c r="S307" s="1325"/>
      <c r="T307" s="1353"/>
      <c r="U307" s="1463"/>
      <c r="V307" s="1464"/>
      <c r="W307" s="1482"/>
      <c r="X307" s="1307"/>
    </row>
    <row r="308" spans="1:24" s="1308" customFormat="1" ht="15" customHeight="1" x14ac:dyDescent="0.25">
      <c r="A308" s="730"/>
      <c r="B308" s="1286">
        <f t="shared" si="23"/>
        <v>205</v>
      </c>
      <c r="C308" s="1775"/>
      <c r="D308" s="1779" t="s">
        <v>1288</v>
      </c>
      <c r="E308" s="1779" t="s">
        <v>1280</v>
      </c>
      <c r="F308" s="1448" t="s">
        <v>1424</v>
      </c>
      <c r="G308" s="1302"/>
      <c r="H308" s="1322"/>
      <c r="I308" s="1322"/>
      <c r="J308" s="1322"/>
      <c r="K308" s="1322"/>
      <c r="L308" s="1322"/>
      <c r="M308" s="1322"/>
      <c r="N308" s="1322"/>
      <c r="O308" s="1326"/>
      <c r="P308" s="1322"/>
      <c r="Q308" s="1323"/>
      <c r="R308" s="1324"/>
      <c r="S308" s="1325"/>
      <c r="T308" s="1353"/>
      <c r="U308" s="1463"/>
      <c r="V308" s="1464"/>
      <c r="W308" s="1482"/>
      <c r="X308" s="1307"/>
    </row>
    <row r="309" spans="1:24" s="1308" customFormat="1" ht="15" customHeight="1" x14ac:dyDescent="0.25">
      <c r="A309" s="730"/>
      <c r="B309" s="1286">
        <f t="shared" si="23"/>
        <v>206</v>
      </c>
      <c r="C309" s="1775"/>
      <c r="D309" s="1779"/>
      <c r="E309" s="1779"/>
      <c r="F309" s="1448" t="s">
        <v>1285</v>
      </c>
      <c r="G309" s="1302"/>
      <c r="H309" s="1322"/>
      <c r="I309" s="1322"/>
      <c r="J309" s="1322"/>
      <c r="K309" s="1322"/>
      <c r="L309" s="1322"/>
      <c r="M309" s="1322"/>
      <c r="N309" s="1322"/>
      <c r="O309" s="1326"/>
      <c r="P309" s="1322"/>
      <c r="Q309" s="1323"/>
      <c r="R309" s="1324"/>
      <c r="S309" s="1325"/>
      <c r="T309" s="1353"/>
      <c r="U309" s="1463"/>
      <c r="V309" s="1464"/>
      <c r="W309" s="1482"/>
      <c r="X309" s="1307"/>
    </row>
    <row r="310" spans="1:24" s="1308" customFormat="1" ht="15" customHeight="1" x14ac:dyDescent="0.25">
      <c r="A310" s="730"/>
      <c r="B310" s="1286">
        <f t="shared" si="23"/>
        <v>207</v>
      </c>
      <c r="C310" s="1775"/>
      <c r="D310" s="1779"/>
      <c r="E310" s="1779" t="s">
        <v>1623</v>
      </c>
      <c r="F310" s="1448" t="s">
        <v>1424</v>
      </c>
      <c r="G310" s="1302"/>
      <c r="H310" s="1322"/>
      <c r="I310" s="1322"/>
      <c r="J310" s="1322"/>
      <c r="K310" s="1322"/>
      <c r="L310" s="1322"/>
      <c r="M310" s="1322"/>
      <c r="N310" s="1322"/>
      <c r="O310" s="1326"/>
      <c r="P310" s="1322"/>
      <c r="Q310" s="1323"/>
      <c r="R310" s="1324"/>
      <c r="S310" s="1325"/>
      <c r="T310" s="1353"/>
      <c r="U310" s="1463"/>
      <c r="V310" s="1464"/>
      <c r="W310" s="1482"/>
      <c r="X310" s="1307"/>
    </row>
    <row r="311" spans="1:24" s="1308" customFormat="1" ht="15" customHeight="1" x14ac:dyDescent="0.25">
      <c r="A311" s="730"/>
      <c r="B311" s="1286">
        <f t="shared" si="23"/>
        <v>208</v>
      </c>
      <c r="C311" s="1775"/>
      <c r="D311" s="1779"/>
      <c r="E311" s="1779"/>
      <c r="F311" s="1448" t="s">
        <v>1285</v>
      </c>
      <c r="G311" s="1302"/>
      <c r="H311" s="1322"/>
      <c r="I311" s="1322"/>
      <c r="J311" s="1322"/>
      <c r="K311" s="1322"/>
      <c r="L311" s="1322"/>
      <c r="M311" s="1322"/>
      <c r="N311" s="1322"/>
      <c r="O311" s="1326"/>
      <c r="P311" s="1322"/>
      <c r="Q311" s="1323"/>
      <c r="R311" s="1324"/>
      <c r="S311" s="1325"/>
      <c r="T311" s="1353"/>
      <c r="U311" s="1463"/>
      <c r="V311" s="1464"/>
      <c r="W311" s="1482"/>
      <c r="X311" s="1307"/>
    </row>
    <row r="312" spans="1:24" s="1308" customFormat="1" ht="15" customHeight="1" x14ac:dyDescent="0.25">
      <c r="A312" s="730"/>
      <c r="B312" s="1286">
        <f t="shared" si="23"/>
        <v>209</v>
      </c>
      <c r="C312" s="1775"/>
      <c r="D312" s="1779"/>
      <c r="E312" s="1779" t="s">
        <v>1281</v>
      </c>
      <c r="F312" s="1448" t="s">
        <v>1424</v>
      </c>
      <c r="G312" s="1302"/>
      <c r="H312" s="1322"/>
      <c r="I312" s="1322"/>
      <c r="J312" s="1322"/>
      <c r="K312" s="1322"/>
      <c r="L312" s="1322"/>
      <c r="M312" s="1322"/>
      <c r="N312" s="1322"/>
      <c r="O312" s="1326"/>
      <c r="P312" s="1322"/>
      <c r="Q312" s="1323"/>
      <c r="R312" s="1324"/>
      <c r="S312" s="1325"/>
      <c r="T312" s="1353"/>
      <c r="U312" s="1463"/>
      <c r="V312" s="1464"/>
      <c r="W312" s="1482"/>
      <c r="X312" s="1307"/>
    </row>
    <row r="313" spans="1:24" s="1308" customFormat="1" ht="15" customHeight="1" x14ac:dyDescent="0.25">
      <c r="A313" s="730"/>
      <c r="B313" s="1286">
        <f t="shared" si="23"/>
        <v>210</v>
      </c>
      <c r="C313" s="1775"/>
      <c r="D313" s="1779"/>
      <c r="E313" s="1779"/>
      <c r="F313" s="1448" t="s">
        <v>1285</v>
      </c>
      <c r="G313" s="1302"/>
      <c r="H313" s="1322"/>
      <c r="I313" s="1322"/>
      <c r="J313" s="1322"/>
      <c r="K313" s="1322"/>
      <c r="L313" s="1322"/>
      <c r="M313" s="1322"/>
      <c r="N313" s="1322"/>
      <c r="O313" s="1326"/>
      <c r="P313" s="1322"/>
      <c r="Q313" s="1323"/>
      <c r="R313" s="1324"/>
      <c r="S313" s="1325"/>
      <c r="T313" s="1353"/>
      <c r="U313" s="1463"/>
      <c r="V313" s="1464"/>
      <c r="W313" s="1482"/>
      <c r="X313" s="1307"/>
    </row>
    <row r="314" spans="1:24" s="1308" customFormat="1" ht="15" customHeight="1" x14ac:dyDescent="0.25">
      <c r="A314" s="730"/>
      <c r="B314" s="1286">
        <f t="shared" si="23"/>
        <v>211</v>
      </c>
      <c r="C314" s="1775"/>
      <c r="D314" s="1779" t="s">
        <v>1279</v>
      </c>
      <c r="E314" s="1779" t="s">
        <v>1280</v>
      </c>
      <c r="F314" s="1448" t="s">
        <v>1424</v>
      </c>
      <c r="G314" s="1302"/>
      <c r="H314" s="1322"/>
      <c r="I314" s="1322"/>
      <c r="J314" s="1322"/>
      <c r="K314" s="1322"/>
      <c r="L314" s="1322"/>
      <c r="M314" s="1322"/>
      <c r="N314" s="1322"/>
      <c r="O314" s="1326"/>
      <c r="P314" s="1322"/>
      <c r="Q314" s="1323"/>
      <c r="R314" s="1324"/>
      <c r="S314" s="1325"/>
      <c r="T314" s="1353"/>
      <c r="U314" s="1463"/>
      <c r="V314" s="1464"/>
      <c r="W314" s="1482"/>
      <c r="X314" s="1307"/>
    </row>
    <row r="315" spans="1:24" s="1308" customFormat="1" ht="15" customHeight="1" x14ac:dyDescent="0.25">
      <c r="A315" s="730"/>
      <c r="B315" s="1286">
        <f t="shared" si="23"/>
        <v>212</v>
      </c>
      <c r="C315" s="1775"/>
      <c r="D315" s="1779"/>
      <c r="E315" s="1779"/>
      <c r="F315" s="1448" t="s">
        <v>1285</v>
      </c>
      <c r="G315" s="1302"/>
      <c r="H315" s="1322"/>
      <c r="I315" s="1322"/>
      <c r="J315" s="1322"/>
      <c r="K315" s="1322"/>
      <c r="L315" s="1322"/>
      <c r="M315" s="1322"/>
      <c r="N315" s="1322"/>
      <c r="O315" s="1326"/>
      <c r="P315" s="1322"/>
      <c r="Q315" s="1323"/>
      <c r="R315" s="1324"/>
      <c r="S315" s="1325"/>
      <c r="T315" s="1353"/>
      <c r="U315" s="1463"/>
      <c r="V315" s="1464"/>
      <c r="W315" s="1482"/>
      <c r="X315" s="1307"/>
    </row>
    <row r="316" spans="1:24" s="1308" customFormat="1" ht="15" customHeight="1" x14ac:dyDescent="0.25">
      <c r="A316" s="730"/>
      <c r="B316" s="1286">
        <f t="shared" si="23"/>
        <v>213</v>
      </c>
      <c r="C316" s="1775"/>
      <c r="D316" s="1779"/>
      <c r="E316" s="1779" t="s">
        <v>1623</v>
      </c>
      <c r="F316" s="1448" t="s">
        <v>1424</v>
      </c>
      <c r="G316" s="1302"/>
      <c r="H316" s="1322"/>
      <c r="I316" s="1322"/>
      <c r="J316" s="1322"/>
      <c r="K316" s="1322"/>
      <c r="L316" s="1322"/>
      <c r="M316" s="1322"/>
      <c r="N316" s="1322"/>
      <c r="O316" s="1326"/>
      <c r="P316" s="1322"/>
      <c r="Q316" s="1323"/>
      <c r="R316" s="1324"/>
      <c r="S316" s="1325"/>
      <c r="T316" s="1353"/>
      <c r="U316" s="1463"/>
      <c r="V316" s="1464"/>
      <c r="W316" s="1482"/>
      <c r="X316" s="1307"/>
    </row>
    <row r="317" spans="1:24" s="1308" customFormat="1" ht="15" customHeight="1" x14ac:dyDescent="0.25">
      <c r="A317" s="730"/>
      <c r="B317" s="1286">
        <f t="shared" si="23"/>
        <v>214</v>
      </c>
      <c r="C317" s="1775"/>
      <c r="D317" s="1779"/>
      <c r="E317" s="1779"/>
      <c r="F317" s="1448" t="s">
        <v>1285</v>
      </c>
      <c r="G317" s="1302"/>
      <c r="H317" s="1322"/>
      <c r="I317" s="1322"/>
      <c r="J317" s="1322"/>
      <c r="K317" s="1322"/>
      <c r="L317" s="1322"/>
      <c r="M317" s="1322"/>
      <c r="N317" s="1322"/>
      <c r="O317" s="1326"/>
      <c r="P317" s="1322"/>
      <c r="Q317" s="1323"/>
      <c r="R317" s="1324"/>
      <c r="S317" s="1325"/>
      <c r="T317" s="1353"/>
      <c r="U317" s="1463"/>
      <c r="V317" s="1464"/>
      <c r="W317" s="1482"/>
      <c r="X317" s="1307"/>
    </row>
    <row r="318" spans="1:24" s="1308" customFormat="1" ht="15" customHeight="1" x14ac:dyDescent="0.25">
      <c r="A318" s="730"/>
      <c r="B318" s="1286">
        <f t="shared" si="23"/>
        <v>215</v>
      </c>
      <c r="C318" s="1775"/>
      <c r="D318" s="1779"/>
      <c r="E318" s="1779" t="s">
        <v>1281</v>
      </c>
      <c r="F318" s="1448" t="s">
        <v>1424</v>
      </c>
      <c r="G318" s="1302"/>
      <c r="H318" s="1322"/>
      <c r="I318" s="1322"/>
      <c r="J318" s="1322"/>
      <c r="K318" s="1322"/>
      <c r="L318" s="1322"/>
      <c r="M318" s="1322"/>
      <c r="N318" s="1322"/>
      <c r="O318" s="1326"/>
      <c r="P318" s="1322"/>
      <c r="Q318" s="1323"/>
      <c r="R318" s="1324"/>
      <c r="S318" s="1325"/>
      <c r="T318" s="1353"/>
      <c r="U318" s="1463"/>
      <c r="V318" s="1464"/>
      <c r="W318" s="1482"/>
      <c r="X318" s="1307"/>
    </row>
    <row r="319" spans="1:24" s="1308" customFormat="1" ht="15" customHeight="1" x14ac:dyDescent="0.25">
      <c r="A319" s="730"/>
      <c r="B319" s="1287">
        <f t="shared" si="23"/>
        <v>216</v>
      </c>
      <c r="C319" s="1776"/>
      <c r="D319" s="1794"/>
      <c r="E319" s="1794"/>
      <c r="F319" s="1449" t="s">
        <v>1285</v>
      </c>
      <c r="G319" s="1327"/>
      <c r="H319" s="1303"/>
      <c r="I319" s="1303"/>
      <c r="J319" s="1303"/>
      <c r="K319" s="1303"/>
      <c r="L319" s="1303"/>
      <c r="M319" s="1303"/>
      <c r="N319" s="1303"/>
      <c r="O319" s="1328"/>
      <c r="P319" s="1303"/>
      <c r="Q319" s="1304"/>
      <c r="R319" s="1305"/>
      <c r="S319" s="1306"/>
      <c r="T319" s="1351"/>
      <c r="U319" s="1466"/>
      <c r="V319" s="1467"/>
      <c r="W319" s="1483"/>
      <c r="X319" s="1307"/>
    </row>
    <row r="320" spans="1:24" s="1308" customFormat="1" ht="15" customHeight="1" x14ac:dyDescent="0.25">
      <c r="A320" s="730"/>
      <c r="B320" s="1285">
        <f t="shared" si="23"/>
        <v>217</v>
      </c>
      <c r="C320" s="1774" t="s">
        <v>1265</v>
      </c>
      <c r="D320" s="1780" t="s">
        <v>1278</v>
      </c>
      <c r="E320" s="1780" t="s">
        <v>1280</v>
      </c>
      <c r="F320" s="1450" t="s">
        <v>1424</v>
      </c>
      <c r="G320" s="1316"/>
      <c r="H320" s="1317"/>
      <c r="I320" s="1317"/>
      <c r="J320" s="1317"/>
      <c r="K320" s="1317"/>
      <c r="L320" s="1317"/>
      <c r="M320" s="1317"/>
      <c r="N320" s="1317"/>
      <c r="O320" s="1321"/>
      <c r="P320" s="1317"/>
      <c r="Q320" s="1318"/>
      <c r="R320" s="1319"/>
      <c r="S320" s="1320"/>
      <c r="T320" s="1349"/>
      <c r="U320" s="1460"/>
      <c r="V320" s="1461"/>
      <c r="W320" s="1481"/>
      <c r="X320" s="1307"/>
    </row>
    <row r="321" spans="1:24" s="1308" customFormat="1" ht="15" customHeight="1" x14ac:dyDescent="0.25">
      <c r="A321" s="730"/>
      <c r="B321" s="1286">
        <f t="shared" si="23"/>
        <v>218</v>
      </c>
      <c r="C321" s="1775"/>
      <c r="D321" s="1779"/>
      <c r="E321" s="1779"/>
      <c r="F321" s="1448" t="s">
        <v>1285</v>
      </c>
      <c r="G321" s="1302"/>
      <c r="H321" s="1322"/>
      <c r="I321" s="1322"/>
      <c r="J321" s="1322"/>
      <c r="K321" s="1322"/>
      <c r="L321" s="1322"/>
      <c r="M321" s="1322"/>
      <c r="N321" s="1322"/>
      <c r="O321" s="1326"/>
      <c r="P321" s="1322"/>
      <c r="Q321" s="1323"/>
      <c r="R321" s="1324"/>
      <c r="S321" s="1325"/>
      <c r="T321" s="1353"/>
      <c r="U321" s="1463"/>
      <c r="V321" s="1464"/>
      <c r="W321" s="1482"/>
      <c r="X321" s="1307"/>
    </row>
    <row r="322" spans="1:24" s="1308" customFormat="1" ht="15" customHeight="1" x14ac:dyDescent="0.25">
      <c r="A322" s="730"/>
      <c r="B322" s="1286">
        <f t="shared" si="23"/>
        <v>219</v>
      </c>
      <c r="C322" s="1775"/>
      <c r="D322" s="1779"/>
      <c r="E322" s="1779" t="s">
        <v>1623</v>
      </c>
      <c r="F322" s="1448" t="s">
        <v>1424</v>
      </c>
      <c r="G322" s="1302"/>
      <c r="H322" s="1322"/>
      <c r="I322" s="1322"/>
      <c r="J322" s="1322"/>
      <c r="K322" s="1322"/>
      <c r="L322" s="1322"/>
      <c r="M322" s="1322"/>
      <c r="N322" s="1322"/>
      <c r="O322" s="1326"/>
      <c r="P322" s="1322"/>
      <c r="Q322" s="1323"/>
      <c r="R322" s="1324"/>
      <c r="S322" s="1325"/>
      <c r="T322" s="1353"/>
      <c r="U322" s="1463"/>
      <c r="V322" s="1464"/>
      <c r="W322" s="1482"/>
      <c r="X322" s="1307"/>
    </row>
    <row r="323" spans="1:24" s="1308" customFormat="1" ht="15" customHeight="1" x14ac:dyDescent="0.25">
      <c r="A323" s="730"/>
      <c r="B323" s="1286">
        <f t="shared" si="23"/>
        <v>220</v>
      </c>
      <c r="C323" s="1775"/>
      <c r="D323" s="1779"/>
      <c r="E323" s="1779"/>
      <c r="F323" s="1448" t="s">
        <v>1285</v>
      </c>
      <c r="G323" s="1302"/>
      <c r="H323" s="1322"/>
      <c r="I323" s="1322"/>
      <c r="J323" s="1322"/>
      <c r="K323" s="1322"/>
      <c r="L323" s="1322"/>
      <c r="M323" s="1322"/>
      <c r="N323" s="1322"/>
      <c r="O323" s="1326"/>
      <c r="P323" s="1322"/>
      <c r="Q323" s="1323"/>
      <c r="R323" s="1324"/>
      <c r="S323" s="1325"/>
      <c r="T323" s="1353"/>
      <c r="U323" s="1463"/>
      <c r="V323" s="1464"/>
      <c r="W323" s="1482"/>
      <c r="X323" s="1307"/>
    </row>
    <row r="324" spans="1:24" s="1308" customFormat="1" ht="15" customHeight="1" x14ac:dyDescent="0.25">
      <c r="A324" s="730"/>
      <c r="B324" s="1286">
        <f t="shared" si="23"/>
        <v>221</v>
      </c>
      <c r="C324" s="1775"/>
      <c r="D324" s="1779"/>
      <c r="E324" s="1779" t="s">
        <v>1281</v>
      </c>
      <c r="F324" s="1448" t="s">
        <v>1424</v>
      </c>
      <c r="G324" s="1302"/>
      <c r="H324" s="1322"/>
      <c r="I324" s="1322"/>
      <c r="J324" s="1322"/>
      <c r="K324" s="1322"/>
      <c r="L324" s="1322"/>
      <c r="M324" s="1322"/>
      <c r="N324" s="1322"/>
      <c r="O324" s="1326"/>
      <c r="P324" s="1322"/>
      <c r="Q324" s="1323"/>
      <c r="R324" s="1324"/>
      <c r="S324" s="1325"/>
      <c r="T324" s="1353"/>
      <c r="U324" s="1463"/>
      <c r="V324" s="1464"/>
      <c r="W324" s="1482"/>
      <c r="X324" s="1307"/>
    </row>
    <row r="325" spans="1:24" s="1308" customFormat="1" ht="15" customHeight="1" x14ac:dyDescent="0.25">
      <c r="A325" s="730"/>
      <c r="B325" s="1286">
        <f t="shared" si="23"/>
        <v>222</v>
      </c>
      <c r="C325" s="1775"/>
      <c r="D325" s="1779"/>
      <c r="E325" s="1779"/>
      <c r="F325" s="1448" t="s">
        <v>1285</v>
      </c>
      <c r="G325" s="1302"/>
      <c r="H325" s="1322"/>
      <c r="I325" s="1322"/>
      <c r="J325" s="1322"/>
      <c r="K325" s="1322"/>
      <c r="L325" s="1322"/>
      <c r="M325" s="1322"/>
      <c r="N325" s="1322"/>
      <c r="O325" s="1326"/>
      <c r="P325" s="1322"/>
      <c r="Q325" s="1323"/>
      <c r="R325" s="1324"/>
      <c r="S325" s="1325"/>
      <c r="T325" s="1353"/>
      <c r="U325" s="1463"/>
      <c r="V325" s="1464"/>
      <c r="W325" s="1482"/>
      <c r="X325" s="1307"/>
    </row>
    <row r="326" spans="1:24" s="1308" customFormat="1" ht="15" customHeight="1" x14ac:dyDescent="0.25">
      <c r="A326" s="730"/>
      <c r="B326" s="1286">
        <f t="shared" si="23"/>
        <v>223</v>
      </c>
      <c r="C326" s="1775"/>
      <c r="D326" s="1779" t="s">
        <v>1624</v>
      </c>
      <c r="E326" s="1779" t="s">
        <v>1280</v>
      </c>
      <c r="F326" s="1448" t="s">
        <v>1424</v>
      </c>
      <c r="G326" s="1302"/>
      <c r="H326" s="1322"/>
      <c r="I326" s="1322"/>
      <c r="J326" s="1322"/>
      <c r="K326" s="1322"/>
      <c r="L326" s="1322"/>
      <c r="M326" s="1322"/>
      <c r="N326" s="1322"/>
      <c r="O326" s="1326"/>
      <c r="P326" s="1322"/>
      <c r="Q326" s="1323"/>
      <c r="R326" s="1324"/>
      <c r="S326" s="1325"/>
      <c r="T326" s="1353"/>
      <c r="U326" s="1463"/>
      <c r="V326" s="1464"/>
      <c r="W326" s="1482"/>
      <c r="X326" s="1307"/>
    </row>
    <row r="327" spans="1:24" s="1308" customFormat="1" ht="15" customHeight="1" x14ac:dyDescent="0.25">
      <c r="A327" s="730"/>
      <c r="B327" s="1286">
        <f t="shared" si="23"/>
        <v>224</v>
      </c>
      <c r="C327" s="1775"/>
      <c r="D327" s="1779"/>
      <c r="E327" s="1779"/>
      <c r="F327" s="1448" t="s">
        <v>1285</v>
      </c>
      <c r="G327" s="1302"/>
      <c r="H327" s="1322"/>
      <c r="I327" s="1322"/>
      <c r="J327" s="1322"/>
      <c r="K327" s="1322"/>
      <c r="L327" s="1322"/>
      <c r="M327" s="1322"/>
      <c r="N327" s="1322"/>
      <c r="O327" s="1326"/>
      <c r="P327" s="1322"/>
      <c r="Q327" s="1323"/>
      <c r="R327" s="1324"/>
      <c r="S327" s="1325"/>
      <c r="T327" s="1353"/>
      <c r="U327" s="1463"/>
      <c r="V327" s="1464"/>
      <c r="W327" s="1482"/>
      <c r="X327" s="1307"/>
    </row>
    <row r="328" spans="1:24" s="1308" customFormat="1" ht="15" customHeight="1" x14ac:dyDescent="0.25">
      <c r="A328" s="730"/>
      <c r="B328" s="1286">
        <f t="shared" si="23"/>
        <v>225</v>
      </c>
      <c r="C328" s="1775"/>
      <c r="D328" s="1779"/>
      <c r="E328" s="1779" t="s">
        <v>1623</v>
      </c>
      <c r="F328" s="1448" t="s">
        <v>1424</v>
      </c>
      <c r="G328" s="1302"/>
      <c r="H328" s="1322"/>
      <c r="I328" s="1322"/>
      <c r="J328" s="1322"/>
      <c r="K328" s="1322"/>
      <c r="L328" s="1322"/>
      <c r="M328" s="1322"/>
      <c r="N328" s="1322"/>
      <c r="O328" s="1326"/>
      <c r="P328" s="1322"/>
      <c r="Q328" s="1323"/>
      <c r="R328" s="1324"/>
      <c r="S328" s="1325"/>
      <c r="T328" s="1353"/>
      <c r="U328" s="1463"/>
      <c r="V328" s="1464"/>
      <c r="W328" s="1482"/>
      <c r="X328" s="1307"/>
    </row>
    <row r="329" spans="1:24" s="1308" customFormat="1" ht="15" customHeight="1" x14ac:dyDescent="0.25">
      <c r="A329" s="730"/>
      <c r="B329" s="1286">
        <f t="shared" si="23"/>
        <v>226</v>
      </c>
      <c r="C329" s="1775"/>
      <c r="D329" s="1779"/>
      <c r="E329" s="1779"/>
      <c r="F329" s="1448" t="s">
        <v>1285</v>
      </c>
      <c r="G329" s="1302"/>
      <c r="H329" s="1322"/>
      <c r="I329" s="1322"/>
      <c r="J329" s="1322"/>
      <c r="K329" s="1322"/>
      <c r="L329" s="1322"/>
      <c r="M329" s="1322"/>
      <c r="N329" s="1322"/>
      <c r="O329" s="1326"/>
      <c r="P329" s="1322"/>
      <c r="Q329" s="1323"/>
      <c r="R329" s="1324"/>
      <c r="S329" s="1325"/>
      <c r="T329" s="1353"/>
      <c r="U329" s="1463"/>
      <c r="V329" s="1464"/>
      <c r="W329" s="1482"/>
      <c r="X329" s="1307"/>
    </row>
    <row r="330" spans="1:24" s="1308" customFormat="1" ht="15" customHeight="1" x14ac:dyDescent="0.25">
      <c r="A330" s="730"/>
      <c r="B330" s="1286">
        <f t="shared" si="23"/>
        <v>227</v>
      </c>
      <c r="C330" s="1775"/>
      <c r="D330" s="1779"/>
      <c r="E330" s="1779" t="s">
        <v>1281</v>
      </c>
      <c r="F330" s="1448" t="s">
        <v>1424</v>
      </c>
      <c r="G330" s="1302"/>
      <c r="H330" s="1322"/>
      <c r="I330" s="1322"/>
      <c r="J330" s="1322"/>
      <c r="K330" s="1322"/>
      <c r="L330" s="1322"/>
      <c r="M330" s="1322"/>
      <c r="N330" s="1322"/>
      <c r="O330" s="1326"/>
      <c r="P330" s="1322"/>
      <c r="Q330" s="1323"/>
      <c r="R330" s="1324"/>
      <c r="S330" s="1325"/>
      <c r="T330" s="1353"/>
      <c r="U330" s="1463"/>
      <c r="V330" s="1464"/>
      <c r="W330" s="1482"/>
      <c r="X330" s="1307"/>
    </row>
    <row r="331" spans="1:24" s="1308" customFormat="1" ht="15" customHeight="1" x14ac:dyDescent="0.25">
      <c r="A331" s="730"/>
      <c r="B331" s="1286">
        <f t="shared" si="23"/>
        <v>228</v>
      </c>
      <c r="C331" s="1775"/>
      <c r="D331" s="1779"/>
      <c r="E331" s="1779"/>
      <c r="F331" s="1448" t="s">
        <v>1285</v>
      </c>
      <c r="G331" s="1302"/>
      <c r="H331" s="1322"/>
      <c r="I331" s="1322"/>
      <c r="J331" s="1322"/>
      <c r="K331" s="1322"/>
      <c r="L331" s="1322"/>
      <c r="M331" s="1322"/>
      <c r="N331" s="1322"/>
      <c r="O331" s="1326"/>
      <c r="P331" s="1322"/>
      <c r="Q331" s="1323"/>
      <c r="R331" s="1324"/>
      <c r="S331" s="1325"/>
      <c r="T331" s="1353"/>
      <c r="U331" s="1463"/>
      <c r="V331" s="1464"/>
      <c r="W331" s="1482"/>
      <c r="X331" s="1307"/>
    </row>
    <row r="332" spans="1:24" s="1308" customFormat="1" ht="15" customHeight="1" x14ac:dyDescent="0.25">
      <c r="A332" s="730"/>
      <c r="B332" s="1286">
        <f t="shared" si="23"/>
        <v>229</v>
      </c>
      <c r="C332" s="1775"/>
      <c r="D332" s="1779" t="s">
        <v>1286</v>
      </c>
      <c r="E332" s="1779" t="s">
        <v>1280</v>
      </c>
      <c r="F332" s="1448" t="s">
        <v>1424</v>
      </c>
      <c r="G332" s="1302"/>
      <c r="H332" s="1322"/>
      <c r="I332" s="1322"/>
      <c r="J332" s="1322"/>
      <c r="K332" s="1322"/>
      <c r="L332" s="1322"/>
      <c r="M332" s="1322"/>
      <c r="N332" s="1322"/>
      <c r="O332" s="1326"/>
      <c r="P332" s="1322"/>
      <c r="Q332" s="1323"/>
      <c r="R332" s="1324"/>
      <c r="S332" s="1325"/>
      <c r="T332" s="1353"/>
      <c r="U332" s="1463"/>
      <c r="V332" s="1464"/>
      <c r="W332" s="1482"/>
      <c r="X332" s="1307"/>
    </row>
    <row r="333" spans="1:24" s="1308" customFormat="1" ht="15" customHeight="1" x14ac:dyDescent="0.25">
      <c r="A333" s="730"/>
      <c r="B333" s="1286">
        <f t="shared" si="23"/>
        <v>230</v>
      </c>
      <c r="C333" s="1775"/>
      <c r="D333" s="1779"/>
      <c r="E333" s="1779"/>
      <c r="F333" s="1448" t="s">
        <v>1285</v>
      </c>
      <c r="G333" s="1302"/>
      <c r="H333" s="1322"/>
      <c r="I333" s="1322"/>
      <c r="J333" s="1322"/>
      <c r="K333" s="1322"/>
      <c r="L333" s="1322"/>
      <c r="M333" s="1322"/>
      <c r="N333" s="1322"/>
      <c r="O333" s="1326"/>
      <c r="P333" s="1322"/>
      <c r="Q333" s="1323"/>
      <c r="R333" s="1324"/>
      <c r="S333" s="1325"/>
      <c r="T333" s="1353"/>
      <c r="U333" s="1463"/>
      <c r="V333" s="1464"/>
      <c r="W333" s="1482"/>
      <c r="X333" s="1307"/>
    </row>
    <row r="334" spans="1:24" s="1308" customFormat="1" ht="15" customHeight="1" x14ac:dyDescent="0.25">
      <c r="A334" s="730"/>
      <c r="B334" s="1286">
        <f t="shared" si="23"/>
        <v>231</v>
      </c>
      <c r="C334" s="1775"/>
      <c r="D334" s="1779"/>
      <c r="E334" s="1779" t="s">
        <v>1623</v>
      </c>
      <c r="F334" s="1448" t="s">
        <v>1424</v>
      </c>
      <c r="G334" s="1302"/>
      <c r="H334" s="1322"/>
      <c r="I334" s="1322"/>
      <c r="J334" s="1322"/>
      <c r="K334" s="1322"/>
      <c r="L334" s="1322"/>
      <c r="M334" s="1322"/>
      <c r="N334" s="1322"/>
      <c r="O334" s="1326"/>
      <c r="P334" s="1322"/>
      <c r="Q334" s="1323"/>
      <c r="R334" s="1324"/>
      <c r="S334" s="1325"/>
      <c r="T334" s="1353"/>
      <c r="U334" s="1463"/>
      <c r="V334" s="1464"/>
      <c r="W334" s="1482"/>
      <c r="X334" s="1307"/>
    </row>
    <row r="335" spans="1:24" s="1308" customFormat="1" ht="15" customHeight="1" x14ac:dyDescent="0.25">
      <c r="A335" s="730"/>
      <c r="B335" s="1286">
        <f t="shared" si="23"/>
        <v>232</v>
      </c>
      <c r="C335" s="1775"/>
      <c r="D335" s="1779"/>
      <c r="E335" s="1779"/>
      <c r="F335" s="1448" t="s">
        <v>1285</v>
      </c>
      <c r="G335" s="1302"/>
      <c r="H335" s="1322"/>
      <c r="I335" s="1322"/>
      <c r="J335" s="1322"/>
      <c r="K335" s="1322"/>
      <c r="L335" s="1322"/>
      <c r="M335" s="1322"/>
      <c r="N335" s="1322"/>
      <c r="O335" s="1326"/>
      <c r="P335" s="1322"/>
      <c r="Q335" s="1323"/>
      <c r="R335" s="1324"/>
      <c r="S335" s="1325"/>
      <c r="T335" s="1353"/>
      <c r="U335" s="1463"/>
      <c r="V335" s="1464"/>
      <c r="W335" s="1482"/>
      <c r="X335" s="1307"/>
    </row>
    <row r="336" spans="1:24" s="1308" customFormat="1" ht="15" customHeight="1" x14ac:dyDescent="0.25">
      <c r="A336" s="730"/>
      <c r="B336" s="1286">
        <f t="shared" si="23"/>
        <v>233</v>
      </c>
      <c r="C336" s="1775"/>
      <c r="D336" s="1779"/>
      <c r="E336" s="1779" t="s">
        <v>1281</v>
      </c>
      <c r="F336" s="1448" t="s">
        <v>1424</v>
      </c>
      <c r="G336" s="1302"/>
      <c r="H336" s="1322"/>
      <c r="I336" s="1322"/>
      <c r="J336" s="1322"/>
      <c r="K336" s="1322"/>
      <c r="L336" s="1322"/>
      <c r="M336" s="1322"/>
      <c r="N336" s="1322"/>
      <c r="O336" s="1326"/>
      <c r="P336" s="1322"/>
      <c r="Q336" s="1323"/>
      <c r="R336" s="1324"/>
      <c r="S336" s="1325"/>
      <c r="T336" s="1353"/>
      <c r="U336" s="1463"/>
      <c r="V336" s="1464"/>
      <c r="W336" s="1482"/>
      <c r="X336" s="1307"/>
    </row>
    <row r="337" spans="1:24" s="1308" customFormat="1" ht="15" customHeight="1" x14ac:dyDescent="0.25">
      <c r="A337" s="730"/>
      <c r="B337" s="1286">
        <f t="shared" si="23"/>
        <v>234</v>
      </c>
      <c r="C337" s="1775"/>
      <c r="D337" s="1779"/>
      <c r="E337" s="1779"/>
      <c r="F337" s="1448" t="s">
        <v>1285</v>
      </c>
      <c r="G337" s="1302"/>
      <c r="H337" s="1322"/>
      <c r="I337" s="1322"/>
      <c r="J337" s="1322"/>
      <c r="K337" s="1322"/>
      <c r="L337" s="1322"/>
      <c r="M337" s="1322"/>
      <c r="N337" s="1322"/>
      <c r="O337" s="1326"/>
      <c r="P337" s="1322"/>
      <c r="Q337" s="1323"/>
      <c r="R337" s="1324"/>
      <c r="S337" s="1325"/>
      <c r="T337" s="1353"/>
      <c r="U337" s="1463"/>
      <c r="V337" s="1464"/>
      <c r="W337" s="1482"/>
      <c r="X337" s="1307"/>
    </row>
    <row r="338" spans="1:24" s="1308" customFormat="1" ht="15" customHeight="1" x14ac:dyDescent="0.25">
      <c r="A338" s="730"/>
      <c r="B338" s="1286">
        <f t="shared" si="23"/>
        <v>235</v>
      </c>
      <c r="C338" s="1775"/>
      <c r="D338" s="1779" t="s">
        <v>1287</v>
      </c>
      <c r="E338" s="1779" t="s">
        <v>1280</v>
      </c>
      <c r="F338" s="1448" t="s">
        <v>1424</v>
      </c>
      <c r="G338" s="1302"/>
      <c r="H338" s="1322"/>
      <c r="I338" s="1322"/>
      <c r="J338" s="1322"/>
      <c r="K338" s="1322"/>
      <c r="L338" s="1322"/>
      <c r="M338" s="1322"/>
      <c r="N338" s="1322"/>
      <c r="O338" s="1326"/>
      <c r="P338" s="1322"/>
      <c r="Q338" s="1323"/>
      <c r="R338" s="1324"/>
      <c r="S338" s="1325"/>
      <c r="T338" s="1353"/>
      <c r="U338" s="1463"/>
      <c r="V338" s="1464"/>
      <c r="W338" s="1482"/>
      <c r="X338" s="1307"/>
    </row>
    <row r="339" spans="1:24" s="1308" customFormat="1" ht="15" customHeight="1" x14ac:dyDescent="0.25">
      <c r="A339" s="730"/>
      <c r="B339" s="1286">
        <f t="shared" si="23"/>
        <v>236</v>
      </c>
      <c r="C339" s="1775"/>
      <c r="D339" s="1779"/>
      <c r="E339" s="1779"/>
      <c r="F339" s="1448" t="s">
        <v>1285</v>
      </c>
      <c r="G339" s="1302"/>
      <c r="H339" s="1322"/>
      <c r="I339" s="1322"/>
      <c r="J339" s="1322"/>
      <c r="K339" s="1322"/>
      <c r="L339" s="1322"/>
      <c r="M339" s="1322"/>
      <c r="N339" s="1322"/>
      <c r="O339" s="1326"/>
      <c r="P339" s="1322"/>
      <c r="Q339" s="1323"/>
      <c r="R339" s="1324"/>
      <c r="S339" s="1325"/>
      <c r="T339" s="1353"/>
      <c r="U339" s="1463"/>
      <c r="V339" s="1464"/>
      <c r="W339" s="1482"/>
      <c r="X339" s="1307"/>
    </row>
    <row r="340" spans="1:24" s="1308" customFormat="1" ht="15" customHeight="1" x14ac:dyDescent="0.25">
      <c r="A340" s="730"/>
      <c r="B340" s="1286">
        <f t="shared" si="23"/>
        <v>237</v>
      </c>
      <c r="C340" s="1775"/>
      <c r="D340" s="1779"/>
      <c r="E340" s="1779" t="s">
        <v>1623</v>
      </c>
      <c r="F340" s="1448" t="s">
        <v>1424</v>
      </c>
      <c r="G340" s="1302"/>
      <c r="H340" s="1322"/>
      <c r="I340" s="1322"/>
      <c r="J340" s="1322"/>
      <c r="K340" s="1322"/>
      <c r="L340" s="1322"/>
      <c r="M340" s="1322"/>
      <c r="N340" s="1322"/>
      <c r="O340" s="1326"/>
      <c r="P340" s="1322"/>
      <c r="Q340" s="1323"/>
      <c r="R340" s="1324"/>
      <c r="S340" s="1325"/>
      <c r="T340" s="1353"/>
      <c r="U340" s="1463"/>
      <c r="V340" s="1464"/>
      <c r="W340" s="1482"/>
      <c r="X340" s="1307"/>
    </row>
    <row r="341" spans="1:24" s="1308" customFormat="1" ht="15" customHeight="1" x14ac:dyDescent="0.25">
      <c r="A341" s="730"/>
      <c r="B341" s="1286">
        <f t="shared" si="23"/>
        <v>238</v>
      </c>
      <c r="C341" s="1775"/>
      <c r="D341" s="1779"/>
      <c r="E341" s="1779"/>
      <c r="F341" s="1448" t="s">
        <v>1285</v>
      </c>
      <c r="G341" s="1302"/>
      <c r="H341" s="1322"/>
      <c r="I341" s="1322"/>
      <c r="J341" s="1322"/>
      <c r="K341" s="1322"/>
      <c r="L341" s="1322"/>
      <c r="M341" s="1322"/>
      <c r="N341" s="1322"/>
      <c r="O341" s="1326"/>
      <c r="P341" s="1322"/>
      <c r="Q341" s="1323"/>
      <c r="R341" s="1324"/>
      <c r="S341" s="1325"/>
      <c r="T341" s="1353"/>
      <c r="U341" s="1463"/>
      <c r="V341" s="1464"/>
      <c r="W341" s="1482"/>
      <c r="X341" s="1307"/>
    </row>
    <row r="342" spans="1:24" s="1308" customFormat="1" ht="15" customHeight="1" x14ac:dyDescent="0.25">
      <c r="A342" s="730"/>
      <c r="B342" s="1286">
        <f t="shared" si="23"/>
        <v>239</v>
      </c>
      <c r="C342" s="1775"/>
      <c r="D342" s="1779"/>
      <c r="E342" s="1779" t="s">
        <v>1281</v>
      </c>
      <c r="F342" s="1448" t="s">
        <v>1424</v>
      </c>
      <c r="G342" s="1302"/>
      <c r="H342" s="1322"/>
      <c r="I342" s="1322"/>
      <c r="J342" s="1322"/>
      <c r="K342" s="1322"/>
      <c r="L342" s="1322"/>
      <c r="M342" s="1322"/>
      <c r="N342" s="1322"/>
      <c r="O342" s="1326"/>
      <c r="P342" s="1322"/>
      <c r="Q342" s="1323"/>
      <c r="R342" s="1324"/>
      <c r="S342" s="1325"/>
      <c r="T342" s="1353"/>
      <c r="U342" s="1463"/>
      <c r="V342" s="1464"/>
      <c r="W342" s="1482"/>
      <c r="X342" s="1307"/>
    </row>
    <row r="343" spans="1:24" s="1308" customFormat="1" ht="15" customHeight="1" x14ac:dyDescent="0.25">
      <c r="A343" s="730"/>
      <c r="B343" s="1286">
        <f t="shared" si="23"/>
        <v>240</v>
      </c>
      <c r="C343" s="1775"/>
      <c r="D343" s="1779"/>
      <c r="E343" s="1779"/>
      <c r="F343" s="1448" t="s">
        <v>1285</v>
      </c>
      <c r="G343" s="1302"/>
      <c r="H343" s="1322"/>
      <c r="I343" s="1322"/>
      <c r="J343" s="1322"/>
      <c r="K343" s="1322"/>
      <c r="L343" s="1322"/>
      <c r="M343" s="1322"/>
      <c r="N343" s="1322"/>
      <c r="O343" s="1326"/>
      <c r="P343" s="1322"/>
      <c r="Q343" s="1323"/>
      <c r="R343" s="1324"/>
      <c r="S343" s="1325"/>
      <c r="T343" s="1353"/>
      <c r="U343" s="1463"/>
      <c r="V343" s="1464"/>
      <c r="W343" s="1482"/>
      <c r="X343" s="1307"/>
    </row>
    <row r="344" spans="1:24" s="1308" customFormat="1" ht="15" customHeight="1" x14ac:dyDescent="0.25">
      <c r="A344" s="730"/>
      <c r="B344" s="1286">
        <f t="shared" si="23"/>
        <v>241</v>
      </c>
      <c r="C344" s="1775"/>
      <c r="D344" s="1779" t="s">
        <v>1288</v>
      </c>
      <c r="E344" s="1779" t="s">
        <v>1280</v>
      </c>
      <c r="F344" s="1448" t="s">
        <v>1424</v>
      </c>
      <c r="G344" s="1302"/>
      <c r="H344" s="1322"/>
      <c r="I344" s="1322"/>
      <c r="J344" s="1322"/>
      <c r="K344" s="1322"/>
      <c r="L344" s="1322"/>
      <c r="M344" s="1322"/>
      <c r="N344" s="1322"/>
      <c r="O344" s="1326"/>
      <c r="P344" s="1322"/>
      <c r="Q344" s="1323"/>
      <c r="R344" s="1324"/>
      <c r="S344" s="1325"/>
      <c r="T344" s="1353"/>
      <c r="U344" s="1463"/>
      <c r="V344" s="1464"/>
      <c r="W344" s="1482"/>
      <c r="X344" s="1307"/>
    </row>
    <row r="345" spans="1:24" s="1308" customFormat="1" ht="15" customHeight="1" x14ac:dyDescent="0.25">
      <c r="A345" s="730"/>
      <c r="B345" s="1286">
        <f t="shared" si="23"/>
        <v>242</v>
      </c>
      <c r="C345" s="1775"/>
      <c r="D345" s="1779"/>
      <c r="E345" s="1779"/>
      <c r="F345" s="1448" t="s">
        <v>1285</v>
      </c>
      <c r="G345" s="1302"/>
      <c r="H345" s="1322"/>
      <c r="I345" s="1322"/>
      <c r="J345" s="1322"/>
      <c r="K345" s="1322"/>
      <c r="L345" s="1322"/>
      <c r="M345" s="1322"/>
      <c r="N345" s="1322"/>
      <c r="O345" s="1326"/>
      <c r="P345" s="1322"/>
      <c r="Q345" s="1323"/>
      <c r="R345" s="1324"/>
      <c r="S345" s="1325"/>
      <c r="T345" s="1353"/>
      <c r="U345" s="1463"/>
      <c r="V345" s="1464"/>
      <c r="W345" s="1482"/>
      <c r="X345" s="1307"/>
    </row>
    <row r="346" spans="1:24" s="1308" customFormat="1" ht="15" customHeight="1" x14ac:dyDescent="0.25">
      <c r="A346" s="730"/>
      <c r="B346" s="1286">
        <f t="shared" si="23"/>
        <v>243</v>
      </c>
      <c r="C346" s="1775"/>
      <c r="D346" s="1779"/>
      <c r="E346" s="1779" t="s">
        <v>1623</v>
      </c>
      <c r="F346" s="1448" t="s">
        <v>1424</v>
      </c>
      <c r="G346" s="1302"/>
      <c r="H346" s="1322"/>
      <c r="I346" s="1322"/>
      <c r="J346" s="1322"/>
      <c r="K346" s="1322"/>
      <c r="L346" s="1322"/>
      <c r="M346" s="1322"/>
      <c r="N346" s="1322"/>
      <c r="O346" s="1326"/>
      <c r="P346" s="1322"/>
      <c r="Q346" s="1323"/>
      <c r="R346" s="1324"/>
      <c r="S346" s="1325"/>
      <c r="T346" s="1353"/>
      <c r="U346" s="1463"/>
      <c r="V346" s="1464"/>
      <c r="W346" s="1482"/>
      <c r="X346" s="1307"/>
    </row>
    <row r="347" spans="1:24" s="1308" customFormat="1" ht="15" customHeight="1" x14ac:dyDescent="0.25">
      <c r="A347" s="730"/>
      <c r="B347" s="1286">
        <f t="shared" si="23"/>
        <v>244</v>
      </c>
      <c r="C347" s="1775"/>
      <c r="D347" s="1779"/>
      <c r="E347" s="1779"/>
      <c r="F347" s="1448" t="s">
        <v>1285</v>
      </c>
      <c r="G347" s="1302"/>
      <c r="H347" s="1322"/>
      <c r="I347" s="1322"/>
      <c r="J347" s="1322"/>
      <c r="K347" s="1322"/>
      <c r="L347" s="1322"/>
      <c r="M347" s="1322"/>
      <c r="N347" s="1322"/>
      <c r="O347" s="1326"/>
      <c r="P347" s="1322"/>
      <c r="Q347" s="1323"/>
      <c r="R347" s="1324"/>
      <c r="S347" s="1325"/>
      <c r="T347" s="1353"/>
      <c r="U347" s="1463"/>
      <c r="V347" s="1464"/>
      <c r="W347" s="1482"/>
      <c r="X347" s="1307"/>
    </row>
    <row r="348" spans="1:24" s="1308" customFormat="1" ht="15" customHeight="1" x14ac:dyDescent="0.25">
      <c r="A348" s="730"/>
      <c r="B348" s="1286">
        <f t="shared" si="23"/>
        <v>245</v>
      </c>
      <c r="C348" s="1775"/>
      <c r="D348" s="1779"/>
      <c r="E348" s="1779" t="s">
        <v>1281</v>
      </c>
      <c r="F348" s="1448" t="s">
        <v>1424</v>
      </c>
      <c r="G348" s="1302"/>
      <c r="H348" s="1322"/>
      <c r="I348" s="1322"/>
      <c r="J348" s="1322"/>
      <c r="K348" s="1322"/>
      <c r="L348" s="1322"/>
      <c r="M348" s="1322"/>
      <c r="N348" s="1322"/>
      <c r="O348" s="1326"/>
      <c r="P348" s="1322"/>
      <c r="Q348" s="1323"/>
      <c r="R348" s="1324"/>
      <c r="S348" s="1325"/>
      <c r="T348" s="1353"/>
      <c r="U348" s="1463"/>
      <c r="V348" s="1464"/>
      <c r="W348" s="1482"/>
      <c r="X348" s="1307"/>
    </row>
    <row r="349" spans="1:24" s="1308" customFormat="1" ht="15" customHeight="1" x14ac:dyDescent="0.25">
      <c r="A349" s="730"/>
      <c r="B349" s="1286">
        <f t="shared" si="23"/>
        <v>246</v>
      </c>
      <c r="C349" s="1775"/>
      <c r="D349" s="1779"/>
      <c r="E349" s="1779"/>
      <c r="F349" s="1448" t="s">
        <v>1285</v>
      </c>
      <c r="G349" s="1302"/>
      <c r="H349" s="1322"/>
      <c r="I349" s="1322"/>
      <c r="J349" s="1322"/>
      <c r="K349" s="1322"/>
      <c r="L349" s="1322"/>
      <c r="M349" s="1322"/>
      <c r="N349" s="1322"/>
      <c r="O349" s="1326"/>
      <c r="P349" s="1322"/>
      <c r="Q349" s="1323"/>
      <c r="R349" s="1324"/>
      <c r="S349" s="1325"/>
      <c r="T349" s="1353"/>
      <c r="U349" s="1463"/>
      <c r="V349" s="1464"/>
      <c r="W349" s="1482"/>
      <c r="X349" s="1307"/>
    </row>
    <row r="350" spans="1:24" s="1308" customFormat="1" ht="15" customHeight="1" x14ac:dyDescent="0.25">
      <c r="A350" s="730"/>
      <c r="B350" s="1286">
        <f t="shared" si="23"/>
        <v>247</v>
      </c>
      <c r="C350" s="1775"/>
      <c r="D350" s="1779" t="s">
        <v>1279</v>
      </c>
      <c r="E350" s="1779" t="s">
        <v>1280</v>
      </c>
      <c r="F350" s="1448" t="s">
        <v>1424</v>
      </c>
      <c r="G350" s="1302"/>
      <c r="H350" s="1322"/>
      <c r="I350" s="1322"/>
      <c r="J350" s="1322"/>
      <c r="K350" s="1322"/>
      <c r="L350" s="1322"/>
      <c r="M350" s="1322"/>
      <c r="N350" s="1322"/>
      <c r="O350" s="1326"/>
      <c r="P350" s="1322"/>
      <c r="Q350" s="1323"/>
      <c r="R350" s="1324"/>
      <c r="S350" s="1325"/>
      <c r="T350" s="1353"/>
      <c r="U350" s="1463"/>
      <c r="V350" s="1464"/>
      <c r="W350" s="1482"/>
      <c r="X350" s="1307"/>
    </row>
    <row r="351" spans="1:24" s="1308" customFormat="1" ht="15" customHeight="1" x14ac:dyDescent="0.25">
      <c r="A351" s="730"/>
      <c r="B351" s="1286">
        <f t="shared" si="23"/>
        <v>248</v>
      </c>
      <c r="C351" s="1775"/>
      <c r="D351" s="1779"/>
      <c r="E351" s="1779"/>
      <c r="F351" s="1448" t="s">
        <v>1285</v>
      </c>
      <c r="G351" s="1302"/>
      <c r="H351" s="1322"/>
      <c r="I351" s="1322"/>
      <c r="J351" s="1322"/>
      <c r="K351" s="1322"/>
      <c r="L351" s="1322"/>
      <c r="M351" s="1322"/>
      <c r="N351" s="1322"/>
      <c r="O351" s="1326"/>
      <c r="P351" s="1322"/>
      <c r="Q351" s="1323"/>
      <c r="R351" s="1324"/>
      <c r="S351" s="1325"/>
      <c r="T351" s="1353"/>
      <c r="U351" s="1463"/>
      <c r="V351" s="1464"/>
      <c r="W351" s="1482"/>
      <c r="X351" s="1307"/>
    </row>
    <row r="352" spans="1:24" s="1308" customFormat="1" ht="15" customHeight="1" x14ac:dyDescent="0.25">
      <c r="A352" s="730"/>
      <c r="B352" s="1286">
        <f t="shared" si="23"/>
        <v>249</v>
      </c>
      <c r="C352" s="1775"/>
      <c r="D352" s="1779"/>
      <c r="E352" s="1779" t="s">
        <v>1623</v>
      </c>
      <c r="F352" s="1448" t="s">
        <v>1424</v>
      </c>
      <c r="G352" s="1302"/>
      <c r="H352" s="1322"/>
      <c r="I352" s="1322"/>
      <c r="J352" s="1322"/>
      <c r="K352" s="1322"/>
      <c r="L352" s="1322"/>
      <c r="M352" s="1322"/>
      <c r="N352" s="1322"/>
      <c r="O352" s="1326"/>
      <c r="P352" s="1322"/>
      <c r="Q352" s="1323"/>
      <c r="R352" s="1324"/>
      <c r="S352" s="1325"/>
      <c r="T352" s="1353"/>
      <c r="U352" s="1463"/>
      <c r="V352" s="1464"/>
      <c r="W352" s="1482"/>
      <c r="X352" s="1307"/>
    </row>
    <row r="353" spans="1:24" s="1308" customFormat="1" ht="15" customHeight="1" x14ac:dyDescent="0.25">
      <c r="A353" s="730"/>
      <c r="B353" s="1286">
        <f t="shared" si="23"/>
        <v>250</v>
      </c>
      <c r="C353" s="1775"/>
      <c r="D353" s="1779"/>
      <c r="E353" s="1779"/>
      <c r="F353" s="1448" t="s">
        <v>1285</v>
      </c>
      <c r="G353" s="1302"/>
      <c r="H353" s="1322"/>
      <c r="I353" s="1322"/>
      <c r="J353" s="1322"/>
      <c r="K353" s="1322"/>
      <c r="L353" s="1322"/>
      <c r="M353" s="1322"/>
      <c r="N353" s="1322"/>
      <c r="O353" s="1326"/>
      <c r="P353" s="1322"/>
      <c r="Q353" s="1323"/>
      <c r="R353" s="1324"/>
      <c r="S353" s="1325"/>
      <c r="T353" s="1353"/>
      <c r="U353" s="1463"/>
      <c r="V353" s="1464"/>
      <c r="W353" s="1482"/>
      <c r="X353" s="1307"/>
    </row>
    <row r="354" spans="1:24" s="1308" customFormat="1" ht="15" customHeight="1" x14ac:dyDescent="0.25">
      <c r="A354" s="730"/>
      <c r="B354" s="1286">
        <f t="shared" si="23"/>
        <v>251</v>
      </c>
      <c r="C354" s="1775"/>
      <c r="D354" s="1779"/>
      <c r="E354" s="1779" t="s">
        <v>1281</v>
      </c>
      <c r="F354" s="1448" t="s">
        <v>1424</v>
      </c>
      <c r="G354" s="1302"/>
      <c r="H354" s="1322"/>
      <c r="I354" s="1322"/>
      <c r="J354" s="1322"/>
      <c r="K354" s="1322"/>
      <c r="L354" s="1322"/>
      <c r="M354" s="1322"/>
      <c r="N354" s="1322"/>
      <c r="O354" s="1326"/>
      <c r="P354" s="1322"/>
      <c r="Q354" s="1323"/>
      <c r="R354" s="1324"/>
      <c r="S354" s="1325"/>
      <c r="T354" s="1353"/>
      <c r="U354" s="1463"/>
      <c r="V354" s="1464"/>
      <c r="W354" s="1482"/>
      <c r="X354" s="1307"/>
    </row>
    <row r="355" spans="1:24" s="1308" customFormat="1" ht="15" customHeight="1" x14ac:dyDescent="0.25">
      <c r="A355" s="730"/>
      <c r="B355" s="1287">
        <f t="shared" si="23"/>
        <v>252</v>
      </c>
      <c r="C355" s="1776"/>
      <c r="D355" s="1794"/>
      <c r="E355" s="1794"/>
      <c r="F355" s="1449" t="s">
        <v>1285</v>
      </c>
      <c r="G355" s="1327"/>
      <c r="H355" s="1303"/>
      <c r="I355" s="1303"/>
      <c r="J355" s="1303"/>
      <c r="K355" s="1303"/>
      <c r="L355" s="1303"/>
      <c r="M355" s="1303"/>
      <c r="N355" s="1303"/>
      <c r="O355" s="1328"/>
      <c r="P355" s="1303"/>
      <c r="Q355" s="1304"/>
      <c r="R355" s="1305"/>
      <c r="S355" s="1306"/>
      <c r="T355" s="1351"/>
      <c r="U355" s="1466"/>
      <c r="V355" s="1467"/>
      <c r="W355" s="1483"/>
      <c r="X355" s="1307"/>
    </row>
    <row r="356" spans="1:24" s="1308" customFormat="1" ht="15" customHeight="1" x14ac:dyDescent="0.25">
      <c r="A356" s="730"/>
      <c r="B356" s="1285">
        <f t="shared" si="23"/>
        <v>253</v>
      </c>
      <c r="C356" s="1774" t="s">
        <v>1266</v>
      </c>
      <c r="D356" s="1780" t="s">
        <v>1278</v>
      </c>
      <c r="E356" s="1780" t="s">
        <v>1280</v>
      </c>
      <c r="F356" s="1450" t="s">
        <v>1424</v>
      </c>
      <c r="G356" s="1316"/>
      <c r="H356" s="1317"/>
      <c r="I356" s="1317"/>
      <c r="J356" s="1317"/>
      <c r="K356" s="1317"/>
      <c r="L356" s="1317"/>
      <c r="M356" s="1317"/>
      <c r="N356" s="1317"/>
      <c r="O356" s="1321"/>
      <c r="P356" s="1317"/>
      <c r="Q356" s="1318"/>
      <c r="R356" s="1319"/>
      <c r="S356" s="1320"/>
      <c r="T356" s="1349"/>
      <c r="U356" s="1460"/>
      <c r="V356" s="1461"/>
      <c r="W356" s="1481"/>
      <c r="X356" s="1307"/>
    </row>
    <row r="357" spans="1:24" s="1308" customFormat="1" ht="15" customHeight="1" x14ac:dyDescent="0.25">
      <c r="A357" s="730"/>
      <c r="B357" s="1286">
        <f t="shared" si="23"/>
        <v>254</v>
      </c>
      <c r="C357" s="1775"/>
      <c r="D357" s="1779"/>
      <c r="E357" s="1779"/>
      <c r="F357" s="1448" t="s">
        <v>1285</v>
      </c>
      <c r="G357" s="1302"/>
      <c r="H357" s="1322"/>
      <c r="I357" s="1322"/>
      <c r="J357" s="1322"/>
      <c r="K357" s="1322"/>
      <c r="L357" s="1322"/>
      <c r="M357" s="1322"/>
      <c r="N357" s="1322"/>
      <c r="O357" s="1326"/>
      <c r="P357" s="1322"/>
      <c r="Q357" s="1323"/>
      <c r="R357" s="1324"/>
      <c r="S357" s="1325"/>
      <c r="T357" s="1353"/>
      <c r="U357" s="1463"/>
      <c r="V357" s="1464"/>
      <c r="W357" s="1482"/>
      <c r="X357" s="1307"/>
    </row>
    <row r="358" spans="1:24" s="1308" customFormat="1" ht="15" customHeight="1" x14ac:dyDescent="0.25">
      <c r="A358" s="730"/>
      <c r="B358" s="1286">
        <f t="shared" si="23"/>
        <v>255</v>
      </c>
      <c r="C358" s="1775"/>
      <c r="D358" s="1779"/>
      <c r="E358" s="1779" t="s">
        <v>1623</v>
      </c>
      <c r="F358" s="1448" t="s">
        <v>1424</v>
      </c>
      <c r="G358" s="1302"/>
      <c r="H358" s="1322"/>
      <c r="I358" s="1322"/>
      <c r="J358" s="1322"/>
      <c r="K358" s="1322"/>
      <c r="L358" s="1322"/>
      <c r="M358" s="1322"/>
      <c r="N358" s="1322"/>
      <c r="O358" s="1326"/>
      <c r="P358" s="1322"/>
      <c r="Q358" s="1323"/>
      <c r="R358" s="1324"/>
      <c r="S358" s="1325"/>
      <c r="T358" s="1353"/>
      <c r="U358" s="1463"/>
      <c r="V358" s="1464"/>
      <c r="W358" s="1482"/>
      <c r="X358" s="1307"/>
    </row>
    <row r="359" spans="1:24" s="1308" customFormat="1" ht="15" customHeight="1" x14ac:dyDescent="0.25">
      <c r="A359" s="730"/>
      <c r="B359" s="1286">
        <f t="shared" si="23"/>
        <v>256</v>
      </c>
      <c r="C359" s="1775"/>
      <c r="D359" s="1779"/>
      <c r="E359" s="1779"/>
      <c r="F359" s="1448" t="s">
        <v>1285</v>
      </c>
      <c r="G359" s="1302"/>
      <c r="H359" s="1322"/>
      <c r="I359" s="1322"/>
      <c r="J359" s="1322"/>
      <c r="K359" s="1322"/>
      <c r="L359" s="1322"/>
      <c r="M359" s="1322"/>
      <c r="N359" s="1322"/>
      <c r="O359" s="1326"/>
      <c r="P359" s="1322"/>
      <c r="Q359" s="1323"/>
      <c r="R359" s="1324"/>
      <c r="S359" s="1325"/>
      <c r="T359" s="1353"/>
      <c r="U359" s="1463"/>
      <c r="V359" s="1464"/>
      <c r="W359" s="1482"/>
      <c r="X359" s="1307"/>
    </row>
    <row r="360" spans="1:24" s="1308" customFormat="1" ht="15" customHeight="1" x14ac:dyDescent="0.25">
      <c r="A360" s="730"/>
      <c r="B360" s="1286">
        <f t="shared" si="23"/>
        <v>257</v>
      </c>
      <c r="C360" s="1775"/>
      <c r="D360" s="1779"/>
      <c r="E360" s="1779" t="s">
        <v>1281</v>
      </c>
      <c r="F360" s="1448" t="s">
        <v>1424</v>
      </c>
      <c r="G360" s="1302"/>
      <c r="H360" s="1322"/>
      <c r="I360" s="1322"/>
      <c r="J360" s="1322"/>
      <c r="K360" s="1322"/>
      <c r="L360" s="1322"/>
      <c r="M360" s="1322"/>
      <c r="N360" s="1322"/>
      <c r="O360" s="1326"/>
      <c r="P360" s="1322"/>
      <c r="Q360" s="1323"/>
      <c r="R360" s="1324"/>
      <c r="S360" s="1325"/>
      <c r="T360" s="1353"/>
      <c r="U360" s="1463"/>
      <c r="V360" s="1464"/>
      <c r="W360" s="1482"/>
      <c r="X360" s="1307"/>
    </row>
    <row r="361" spans="1:24" s="1308" customFormat="1" ht="15" customHeight="1" x14ac:dyDescent="0.25">
      <c r="A361" s="730"/>
      <c r="B361" s="1286">
        <f t="shared" ref="B361:B424" si="24">B360+1</f>
        <v>258</v>
      </c>
      <c r="C361" s="1775"/>
      <c r="D361" s="1779"/>
      <c r="E361" s="1779"/>
      <c r="F361" s="1448" t="s">
        <v>1285</v>
      </c>
      <c r="G361" s="1302"/>
      <c r="H361" s="1322"/>
      <c r="I361" s="1322"/>
      <c r="J361" s="1322"/>
      <c r="K361" s="1322"/>
      <c r="L361" s="1322"/>
      <c r="M361" s="1322"/>
      <c r="N361" s="1322"/>
      <c r="O361" s="1326"/>
      <c r="P361" s="1322"/>
      <c r="Q361" s="1323"/>
      <c r="R361" s="1324"/>
      <c r="S361" s="1325"/>
      <c r="T361" s="1353"/>
      <c r="U361" s="1463"/>
      <c r="V361" s="1464"/>
      <c r="W361" s="1482"/>
      <c r="X361" s="1307"/>
    </row>
    <row r="362" spans="1:24" s="1308" customFormat="1" ht="15" customHeight="1" x14ac:dyDescent="0.25">
      <c r="A362" s="730"/>
      <c r="B362" s="1286">
        <f t="shared" si="24"/>
        <v>259</v>
      </c>
      <c r="C362" s="1775"/>
      <c r="D362" s="1779" t="s">
        <v>1624</v>
      </c>
      <c r="E362" s="1779" t="s">
        <v>1280</v>
      </c>
      <c r="F362" s="1448" t="s">
        <v>1424</v>
      </c>
      <c r="G362" s="1302"/>
      <c r="H362" s="1322"/>
      <c r="I362" s="1322"/>
      <c r="J362" s="1322"/>
      <c r="K362" s="1322"/>
      <c r="L362" s="1322"/>
      <c r="M362" s="1322"/>
      <c r="N362" s="1322"/>
      <c r="O362" s="1326"/>
      <c r="P362" s="1322"/>
      <c r="Q362" s="1323"/>
      <c r="R362" s="1324"/>
      <c r="S362" s="1325"/>
      <c r="T362" s="1353"/>
      <c r="U362" s="1463"/>
      <c r="V362" s="1464"/>
      <c r="W362" s="1482"/>
      <c r="X362" s="1307"/>
    </row>
    <row r="363" spans="1:24" s="1308" customFormat="1" ht="15" customHeight="1" x14ac:dyDescent="0.25">
      <c r="A363" s="730"/>
      <c r="B363" s="1286">
        <f t="shared" si="24"/>
        <v>260</v>
      </c>
      <c r="C363" s="1775"/>
      <c r="D363" s="1779"/>
      <c r="E363" s="1779"/>
      <c r="F363" s="1448" t="s">
        <v>1285</v>
      </c>
      <c r="G363" s="1302"/>
      <c r="H363" s="1322"/>
      <c r="I363" s="1322"/>
      <c r="J363" s="1322"/>
      <c r="K363" s="1322"/>
      <c r="L363" s="1322"/>
      <c r="M363" s="1322"/>
      <c r="N363" s="1322"/>
      <c r="O363" s="1326"/>
      <c r="P363" s="1322"/>
      <c r="Q363" s="1323"/>
      <c r="R363" s="1324"/>
      <c r="S363" s="1325"/>
      <c r="T363" s="1353"/>
      <c r="U363" s="1463"/>
      <c r="V363" s="1464"/>
      <c r="W363" s="1482"/>
      <c r="X363" s="1307"/>
    </row>
    <row r="364" spans="1:24" s="1308" customFormat="1" ht="15" customHeight="1" x14ac:dyDescent="0.25">
      <c r="A364" s="730"/>
      <c r="B364" s="1286">
        <f t="shared" si="24"/>
        <v>261</v>
      </c>
      <c r="C364" s="1775"/>
      <c r="D364" s="1779"/>
      <c r="E364" s="1779" t="s">
        <v>1623</v>
      </c>
      <c r="F364" s="1448" t="s">
        <v>1424</v>
      </c>
      <c r="G364" s="1302"/>
      <c r="H364" s="1322"/>
      <c r="I364" s="1322"/>
      <c r="J364" s="1322"/>
      <c r="K364" s="1322"/>
      <c r="L364" s="1322"/>
      <c r="M364" s="1322"/>
      <c r="N364" s="1322"/>
      <c r="O364" s="1326"/>
      <c r="P364" s="1322"/>
      <c r="Q364" s="1323"/>
      <c r="R364" s="1324"/>
      <c r="S364" s="1325"/>
      <c r="T364" s="1353"/>
      <c r="U364" s="1463"/>
      <c r="V364" s="1464"/>
      <c r="W364" s="1482"/>
      <c r="X364" s="1307"/>
    </row>
    <row r="365" spans="1:24" s="1308" customFormat="1" ht="15" customHeight="1" x14ac:dyDescent="0.25">
      <c r="A365" s="730"/>
      <c r="B365" s="1286">
        <f t="shared" si="24"/>
        <v>262</v>
      </c>
      <c r="C365" s="1775"/>
      <c r="D365" s="1779"/>
      <c r="E365" s="1779"/>
      <c r="F365" s="1448" t="s">
        <v>1285</v>
      </c>
      <c r="G365" s="1302"/>
      <c r="H365" s="1322"/>
      <c r="I365" s="1322"/>
      <c r="J365" s="1322"/>
      <c r="K365" s="1322"/>
      <c r="L365" s="1322"/>
      <c r="M365" s="1322"/>
      <c r="N365" s="1322"/>
      <c r="O365" s="1326"/>
      <c r="P365" s="1322"/>
      <c r="Q365" s="1323"/>
      <c r="R365" s="1324"/>
      <c r="S365" s="1325"/>
      <c r="T365" s="1353"/>
      <c r="U365" s="1463"/>
      <c r="V365" s="1464"/>
      <c r="W365" s="1482"/>
      <c r="X365" s="1307"/>
    </row>
    <row r="366" spans="1:24" s="1308" customFormat="1" ht="15" customHeight="1" x14ac:dyDescent="0.25">
      <c r="A366" s="730"/>
      <c r="B366" s="1286">
        <f t="shared" si="24"/>
        <v>263</v>
      </c>
      <c r="C366" s="1775"/>
      <c r="D366" s="1779"/>
      <c r="E366" s="1779" t="s">
        <v>1281</v>
      </c>
      <c r="F366" s="1448" t="s">
        <v>1424</v>
      </c>
      <c r="G366" s="1302"/>
      <c r="H366" s="1322"/>
      <c r="I366" s="1322"/>
      <c r="J366" s="1322"/>
      <c r="K366" s="1322"/>
      <c r="L366" s="1322"/>
      <c r="M366" s="1322"/>
      <c r="N366" s="1322"/>
      <c r="O366" s="1326"/>
      <c r="P366" s="1322"/>
      <c r="Q366" s="1323"/>
      <c r="R366" s="1324"/>
      <c r="S366" s="1325"/>
      <c r="T366" s="1353"/>
      <c r="U366" s="1463"/>
      <c r="V366" s="1464"/>
      <c r="W366" s="1482"/>
      <c r="X366" s="1307"/>
    </row>
    <row r="367" spans="1:24" s="1308" customFormat="1" ht="15" customHeight="1" x14ac:dyDescent="0.25">
      <c r="A367" s="730"/>
      <c r="B367" s="1286">
        <f t="shared" si="24"/>
        <v>264</v>
      </c>
      <c r="C367" s="1775"/>
      <c r="D367" s="1779"/>
      <c r="E367" s="1779"/>
      <c r="F367" s="1448" t="s">
        <v>1285</v>
      </c>
      <c r="G367" s="1302"/>
      <c r="H367" s="1322"/>
      <c r="I367" s="1322"/>
      <c r="J367" s="1322"/>
      <c r="K367" s="1322"/>
      <c r="L367" s="1322"/>
      <c r="M367" s="1322"/>
      <c r="N367" s="1322"/>
      <c r="O367" s="1326"/>
      <c r="P367" s="1322"/>
      <c r="Q367" s="1323"/>
      <c r="R367" s="1324"/>
      <c r="S367" s="1325"/>
      <c r="T367" s="1353"/>
      <c r="U367" s="1463"/>
      <c r="V367" s="1464"/>
      <c r="W367" s="1482"/>
      <c r="X367" s="1307"/>
    </row>
    <row r="368" spans="1:24" s="1308" customFormat="1" ht="15" customHeight="1" x14ac:dyDescent="0.25">
      <c r="A368" s="730"/>
      <c r="B368" s="1286">
        <f t="shared" si="24"/>
        <v>265</v>
      </c>
      <c r="C368" s="1775"/>
      <c r="D368" s="1779" t="s">
        <v>1286</v>
      </c>
      <c r="E368" s="1779" t="s">
        <v>1280</v>
      </c>
      <c r="F368" s="1448" t="s">
        <v>1424</v>
      </c>
      <c r="G368" s="1302"/>
      <c r="H368" s="1322"/>
      <c r="I368" s="1322"/>
      <c r="J368" s="1322"/>
      <c r="K368" s="1322"/>
      <c r="L368" s="1322"/>
      <c r="M368" s="1322"/>
      <c r="N368" s="1322"/>
      <c r="O368" s="1326"/>
      <c r="P368" s="1322"/>
      <c r="Q368" s="1323"/>
      <c r="R368" s="1324"/>
      <c r="S368" s="1325"/>
      <c r="T368" s="1353"/>
      <c r="U368" s="1463"/>
      <c r="V368" s="1464"/>
      <c r="W368" s="1482"/>
      <c r="X368" s="1307"/>
    </row>
    <row r="369" spans="1:24" s="1308" customFormat="1" ht="15" customHeight="1" x14ac:dyDescent="0.25">
      <c r="A369" s="730"/>
      <c r="B369" s="1286">
        <f t="shared" si="24"/>
        <v>266</v>
      </c>
      <c r="C369" s="1775"/>
      <c r="D369" s="1779"/>
      <c r="E369" s="1779"/>
      <c r="F369" s="1448" t="s">
        <v>1285</v>
      </c>
      <c r="G369" s="1302"/>
      <c r="H369" s="1322"/>
      <c r="I369" s="1322"/>
      <c r="J369" s="1322"/>
      <c r="K369" s="1322"/>
      <c r="L369" s="1322"/>
      <c r="M369" s="1322"/>
      <c r="N369" s="1322"/>
      <c r="O369" s="1326"/>
      <c r="P369" s="1322"/>
      <c r="Q369" s="1323"/>
      <c r="R369" s="1324"/>
      <c r="S369" s="1325"/>
      <c r="T369" s="1353"/>
      <c r="U369" s="1463"/>
      <c r="V369" s="1464"/>
      <c r="W369" s="1482"/>
      <c r="X369" s="1307"/>
    </row>
    <row r="370" spans="1:24" s="1308" customFormat="1" ht="15" customHeight="1" x14ac:dyDescent="0.25">
      <c r="A370" s="730"/>
      <c r="B370" s="1286">
        <f t="shared" si="24"/>
        <v>267</v>
      </c>
      <c r="C370" s="1775"/>
      <c r="D370" s="1779"/>
      <c r="E370" s="1779" t="s">
        <v>1623</v>
      </c>
      <c r="F370" s="1448" t="s">
        <v>1424</v>
      </c>
      <c r="G370" s="1302"/>
      <c r="H370" s="1322"/>
      <c r="I370" s="1322"/>
      <c r="J370" s="1322"/>
      <c r="K370" s="1322"/>
      <c r="L370" s="1322"/>
      <c r="M370" s="1322"/>
      <c r="N370" s="1322"/>
      <c r="O370" s="1326"/>
      <c r="P370" s="1322"/>
      <c r="Q370" s="1323"/>
      <c r="R370" s="1324"/>
      <c r="S370" s="1325"/>
      <c r="T370" s="1353"/>
      <c r="U370" s="1463"/>
      <c r="V370" s="1464"/>
      <c r="W370" s="1482"/>
      <c r="X370" s="1307"/>
    </row>
    <row r="371" spans="1:24" s="1308" customFormat="1" ht="15" customHeight="1" x14ac:dyDescent="0.25">
      <c r="A371" s="730"/>
      <c r="B371" s="1286">
        <f t="shared" si="24"/>
        <v>268</v>
      </c>
      <c r="C371" s="1775"/>
      <c r="D371" s="1779"/>
      <c r="E371" s="1779"/>
      <c r="F371" s="1448" t="s">
        <v>1285</v>
      </c>
      <c r="G371" s="1302"/>
      <c r="H371" s="1322"/>
      <c r="I371" s="1322"/>
      <c r="J371" s="1322"/>
      <c r="K371" s="1322"/>
      <c r="L371" s="1322"/>
      <c r="M371" s="1322"/>
      <c r="N371" s="1322"/>
      <c r="O371" s="1326"/>
      <c r="P371" s="1322"/>
      <c r="Q371" s="1323"/>
      <c r="R371" s="1324"/>
      <c r="S371" s="1325"/>
      <c r="T371" s="1353"/>
      <c r="U371" s="1463"/>
      <c r="V371" s="1464"/>
      <c r="W371" s="1482"/>
      <c r="X371" s="1307"/>
    </row>
    <row r="372" spans="1:24" s="1308" customFormat="1" ht="15" customHeight="1" x14ac:dyDescent="0.25">
      <c r="A372" s="730"/>
      <c r="B372" s="1286">
        <f t="shared" si="24"/>
        <v>269</v>
      </c>
      <c r="C372" s="1775"/>
      <c r="D372" s="1779"/>
      <c r="E372" s="1779" t="s">
        <v>1281</v>
      </c>
      <c r="F372" s="1448" t="s">
        <v>1424</v>
      </c>
      <c r="G372" s="1302"/>
      <c r="H372" s="1322"/>
      <c r="I372" s="1322"/>
      <c r="J372" s="1322"/>
      <c r="K372" s="1322"/>
      <c r="L372" s="1322"/>
      <c r="M372" s="1322"/>
      <c r="N372" s="1322"/>
      <c r="O372" s="1326"/>
      <c r="P372" s="1322"/>
      <c r="Q372" s="1323"/>
      <c r="R372" s="1324"/>
      <c r="S372" s="1325"/>
      <c r="T372" s="1353"/>
      <c r="U372" s="1463"/>
      <c r="V372" s="1464"/>
      <c r="W372" s="1482"/>
      <c r="X372" s="1307"/>
    </row>
    <row r="373" spans="1:24" s="1308" customFormat="1" ht="15" customHeight="1" x14ac:dyDescent="0.25">
      <c r="A373" s="730"/>
      <c r="B373" s="1286">
        <f t="shared" si="24"/>
        <v>270</v>
      </c>
      <c r="C373" s="1775"/>
      <c r="D373" s="1779"/>
      <c r="E373" s="1779"/>
      <c r="F373" s="1448" t="s">
        <v>1285</v>
      </c>
      <c r="G373" s="1302"/>
      <c r="H373" s="1322"/>
      <c r="I373" s="1322"/>
      <c r="J373" s="1322"/>
      <c r="K373" s="1322"/>
      <c r="L373" s="1322"/>
      <c r="M373" s="1322"/>
      <c r="N373" s="1322"/>
      <c r="O373" s="1326"/>
      <c r="P373" s="1322"/>
      <c r="Q373" s="1323"/>
      <c r="R373" s="1324"/>
      <c r="S373" s="1325"/>
      <c r="T373" s="1353"/>
      <c r="U373" s="1463"/>
      <c r="V373" s="1464"/>
      <c r="W373" s="1482"/>
      <c r="X373" s="1307"/>
    </row>
    <row r="374" spans="1:24" s="1308" customFormat="1" ht="15" customHeight="1" x14ac:dyDescent="0.25">
      <c r="A374" s="730"/>
      <c r="B374" s="1286">
        <f t="shared" si="24"/>
        <v>271</v>
      </c>
      <c r="C374" s="1775"/>
      <c r="D374" s="1779" t="s">
        <v>1287</v>
      </c>
      <c r="E374" s="1779" t="s">
        <v>1280</v>
      </c>
      <c r="F374" s="1448" t="s">
        <v>1424</v>
      </c>
      <c r="G374" s="1302"/>
      <c r="H374" s="1322"/>
      <c r="I374" s="1322"/>
      <c r="J374" s="1322"/>
      <c r="K374" s="1322"/>
      <c r="L374" s="1322"/>
      <c r="M374" s="1322"/>
      <c r="N374" s="1322"/>
      <c r="O374" s="1326"/>
      <c r="P374" s="1322"/>
      <c r="Q374" s="1323"/>
      <c r="R374" s="1324"/>
      <c r="S374" s="1325"/>
      <c r="T374" s="1353"/>
      <c r="U374" s="1463"/>
      <c r="V374" s="1464"/>
      <c r="W374" s="1482"/>
      <c r="X374" s="1307"/>
    </row>
    <row r="375" spans="1:24" s="1308" customFormat="1" ht="15" customHeight="1" x14ac:dyDescent="0.25">
      <c r="A375" s="730"/>
      <c r="B375" s="1286">
        <f t="shared" si="24"/>
        <v>272</v>
      </c>
      <c r="C375" s="1775"/>
      <c r="D375" s="1779"/>
      <c r="E375" s="1779"/>
      <c r="F375" s="1448" t="s">
        <v>1285</v>
      </c>
      <c r="G375" s="1302"/>
      <c r="H375" s="1322"/>
      <c r="I375" s="1322"/>
      <c r="J375" s="1322"/>
      <c r="K375" s="1322"/>
      <c r="L375" s="1322"/>
      <c r="M375" s="1322"/>
      <c r="N375" s="1322"/>
      <c r="O375" s="1326"/>
      <c r="P375" s="1322"/>
      <c r="Q375" s="1323"/>
      <c r="R375" s="1324"/>
      <c r="S375" s="1325"/>
      <c r="T375" s="1353"/>
      <c r="U375" s="1463"/>
      <c r="V375" s="1464"/>
      <c r="W375" s="1482"/>
      <c r="X375" s="1307"/>
    </row>
    <row r="376" spans="1:24" s="1308" customFormat="1" ht="15" customHeight="1" x14ac:dyDescent="0.25">
      <c r="A376" s="730"/>
      <c r="B376" s="1286">
        <f t="shared" si="24"/>
        <v>273</v>
      </c>
      <c r="C376" s="1775"/>
      <c r="D376" s="1779"/>
      <c r="E376" s="1779" t="s">
        <v>1623</v>
      </c>
      <c r="F376" s="1448" t="s">
        <v>1424</v>
      </c>
      <c r="G376" s="1302"/>
      <c r="H376" s="1322"/>
      <c r="I376" s="1322"/>
      <c r="J376" s="1322"/>
      <c r="K376" s="1322"/>
      <c r="L376" s="1322"/>
      <c r="M376" s="1322"/>
      <c r="N376" s="1322"/>
      <c r="O376" s="1326"/>
      <c r="P376" s="1322"/>
      <c r="Q376" s="1323"/>
      <c r="R376" s="1324"/>
      <c r="S376" s="1325"/>
      <c r="T376" s="1353"/>
      <c r="U376" s="1463"/>
      <c r="V376" s="1464"/>
      <c r="W376" s="1482"/>
      <c r="X376" s="1307"/>
    </row>
    <row r="377" spans="1:24" s="1308" customFormat="1" ht="15" customHeight="1" x14ac:dyDescent="0.25">
      <c r="A377" s="730"/>
      <c r="B377" s="1286">
        <f t="shared" si="24"/>
        <v>274</v>
      </c>
      <c r="C377" s="1775"/>
      <c r="D377" s="1779"/>
      <c r="E377" s="1779"/>
      <c r="F377" s="1448" t="s">
        <v>1285</v>
      </c>
      <c r="G377" s="1302"/>
      <c r="H377" s="1322"/>
      <c r="I377" s="1322"/>
      <c r="J377" s="1322"/>
      <c r="K377" s="1322"/>
      <c r="L377" s="1322"/>
      <c r="M377" s="1322"/>
      <c r="N377" s="1322"/>
      <c r="O377" s="1326"/>
      <c r="P377" s="1322"/>
      <c r="Q377" s="1323"/>
      <c r="R377" s="1324"/>
      <c r="S377" s="1325"/>
      <c r="T377" s="1353"/>
      <c r="U377" s="1463"/>
      <c r="V377" s="1464"/>
      <c r="W377" s="1482"/>
      <c r="X377" s="1307"/>
    </row>
    <row r="378" spans="1:24" s="1308" customFormat="1" ht="15" customHeight="1" x14ac:dyDescent="0.25">
      <c r="A378" s="730"/>
      <c r="B378" s="1286">
        <f t="shared" si="24"/>
        <v>275</v>
      </c>
      <c r="C378" s="1775"/>
      <c r="D378" s="1779"/>
      <c r="E378" s="1779" t="s">
        <v>1281</v>
      </c>
      <c r="F378" s="1448" t="s">
        <v>1424</v>
      </c>
      <c r="G378" s="1302"/>
      <c r="H378" s="1322"/>
      <c r="I378" s="1322"/>
      <c r="J378" s="1322"/>
      <c r="K378" s="1322"/>
      <c r="L378" s="1322"/>
      <c r="M378" s="1322"/>
      <c r="N378" s="1322"/>
      <c r="O378" s="1326"/>
      <c r="P378" s="1322"/>
      <c r="Q378" s="1323"/>
      <c r="R378" s="1324"/>
      <c r="S378" s="1325"/>
      <c r="T378" s="1353"/>
      <c r="U378" s="1463"/>
      <c r="V378" s="1464"/>
      <c r="W378" s="1482"/>
      <c r="X378" s="1307"/>
    </row>
    <row r="379" spans="1:24" s="1308" customFormat="1" ht="15" customHeight="1" x14ac:dyDescent="0.25">
      <c r="A379" s="730"/>
      <c r="B379" s="1286">
        <f t="shared" si="24"/>
        <v>276</v>
      </c>
      <c r="C379" s="1775"/>
      <c r="D379" s="1779"/>
      <c r="E379" s="1779"/>
      <c r="F379" s="1448" t="s">
        <v>1285</v>
      </c>
      <c r="G379" s="1302"/>
      <c r="H379" s="1322"/>
      <c r="I379" s="1322"/>
      <c r="J379" s="1322"/>
      <c r="K379" s="1322"/>
      <c r="L379" s="1322"/>
      <c r="M379" s="1322"/>
      <c r="N379" s="1322"/>
      <c r="O379" s="1326"/>
      <c r="P379" s="1322"/>
      <c r="Q379" s="1323"/>
      <c r="R379" s="1324"/>
      <c r="S379" s="1325"/>
      <c r="T379" s="1353"/>
      <c r="U379" s="1463"/>
      <c r="V379" s="1464"/>
      <c r="W379" s="1482"/>
      <c r="X379" s="1307"/>
    </row>
    <row r="380" spans="1:24" s="1308" customFormat="1" ht="15" customHeight="1" x14ac:dyDescent="0.25">
      <c r="A380" s="730"/>
      <c r="B380" s="1286">
        <f t="shared" si="24"/>
        <v>277</v>
      </c>
      <c r="C380" s="1775"/>
      <c r="D380" s="1779" t="s">
        <v>1288</v>
      </c>
      <c r="E380" s="1779" t="s">
        <v>1280</v>
      </c>
      <c r="F380" s="1448" t="s">
        <v>1424</v>
      </c>
      <c r="G380" s="1302"/>
      <c r="H380" s="1322"/>
      <c r="I380" s="1322"/>
      <c r="J380" s="1322"/>
      <c r="K380" s="1322"/>
      <c r="L380" s="1322"/>
      <c r="M380" s="1322"/>
      <c r="N380" s="1322"/>
      <c r="O380" s="1326"/>
      <c r="P380" s="1322"/>
      <c r="Q380" s="1323"/>
      <c r="R380" s="1324"/>
      <c r="S380" s="1325"/>
      <c r="T380" s="1353"/>
      <c r="U380" s="1463"/>
      <c r="V380" s="1464"/>
      <c r="W380" s="1482"/>
      <c r="X380" s="1307"/>
    </row>
    <row r="381" spans="1:24" s="1308" customFormat="1" ht="15" customHeight="1" x14ac:dyDescent="0.25">
      <c r="A381" s="730"/>
      <c r="B381" s="1286">
        <f t="shared" si="24"/>
        <v>278</v>
      </c>
      <c r="C381" s="1775"/>
      <c r="D381" s="1779"/>
      <c r="E381" s="1779"/>
      <c r="F381" s="1448" t="s">
        <v>1285</v>
      </c>
      <c r="G381" s="1302"/>
      <c r="H381" s="1322"/>
      <c r="I381" s="1322"/>
      <c r="J381" s="1322"/>
      <c r="K381" s="1322"/>
      <c r="L381" s="1322"/>
      <c r="M381" s="1322"/>
      <c r="N381" s="1322"/>
      <c r="O381" s="1326"/>
      <c r="P381" s="1322"/>
      <c r="Q381" s="1323"/>
      <c r="R381" s="1324"/>
      <c r="S381" s="1325"/>
      <c r="T381" s="1353"/>
      <c r="U381" s="1463"/>
      <c r="V381" s="1464"/>
      <c r="W381" s="1482"/>
      <c r="X381" s="1307"/>
    </row>
    <row r="382" spans="1:24" s="1308" customFormat="1" ht="15" customHeight="1" x14ac:dyDescent="0.25">
      <c r="A382" s="730"/>
      <c r="B382" s="1286">
        <f t="shared" si="24"/>
        <v>279</v>
      </c>
      <c r="C382" s="1775"/>
      <c r="D382" s="1779"/>
      <c r="E382" s="1779" t="s">
        <v>1623</v>
      </c>
      <c r="F382" s="1448" t="s">
        <v>1424</v>
      </c>
      <c r="G382" s="1302"/>
      <c r="H382" s="1322"/>
      <c r="I382" s="1322"/>
      <c r="J382" s="1322"/>
      <c r="K382" s="1322"/>
      <c r="L382" s="1322"/>
      <c r="M382" s="1322"/>
      <c r="N382" s="1322"/>
      <c r="O382" s="1326"/>
      <c r="P382" s="1322"/>
      <c r="Q382" s="1323"/>
      <c r="R382" s="1324"/>
      <c r="S382" s="1325"/>
      <c r="T382" s="1353"/>
      <c r="U382" s="1463"/>
      <c r="V382" s="1464"/>
      <c r="W382" s="1482"/>
      <c r="X382" s="1307"/>
    </row>
    <row r="383" spans="1:24" s="1308" customFormat="1" ht="15" customHeight="1" x14ac:dyDescent="0.25">
      <c r="A383" s="730"/>
      <c r="B383" s="1286">
        <f t="shared" si="24"/>
        <v>280</v>
      </c>
      <c r="C383" s="1775"/>
      <c r="D383" s="1779"/>
      <c r="E383" s="1779"/>
      <c r="F383" s="1448" t="s">
        <v>1285</v>
      </c>
      <c r="G383" s="1302"/>
      <c r="H383" s="1322"/>
      <c r="I383" s="1322"/>
      <c r="J383" s="1322"/>
      <c r="K383" s="1322"/>
      <c r="L383" s="1322"/>
      <c r="M383" s="1322"/>
      <c r="N383" s="1322"/>
      <c r="O383" s="1326"/>
      <c r="P383" s="1322"/>
      <c r="Q383" s="1323"/>
      <c r="R383" s="1324"/>
      <c r="S383" s="1325"/>
      <c r="T383" s="1353"/>
      <c r="U383" s="1463"/>
      <c r="V383" s="1464"/>
      <c r="W383" s="1482"/>
      <c r="X383" s="1307"/>
    </row>
    <row r="384" spans="1:24" s="1308" customFormat="1" ht="15" customHeight="1" x14ac:dyDescent="0.25">
      <c r="A384" s="730"/>
      <c r="B384" s="1286">
        <f t="shared" si="24"/>
        <v>281</v>
      </c>
      <c r="C384" s="1775"/>
      <c r="D384" s="1779"/>
      <c r="E384" s="1779" t="s">
        <v>1281</v>
      </c>
      <c r="F384" s="1448" t="s">
        <v>1424</v>
      </c>
      <c r="G384" s="1302"/>
      <c r="H384" s="1322"/>
      <c r="I384" s="1322"/>
      <c r="J384" s="1322"/>
      <c r="K384" s="1322"/>
      <c r="L384" s="1322"/>
      <c r="M384" s="1322"/>
      <c r="N384" s="1322"/>
      <c r="O384" s="1326"/>
      <c r="P384" s="1322"/>
      <c r="Q384" s="1323"/>
      <c r="R384" s="1324"/>
      <c r="S384" s="1325"/>
      <c r="T384" s="1353"/>
      <c r="U384" s="1463"/>
      <c r="V384" s="1464"/>
      <c r="W384" s="1482"/>
      <c r="X384" s="1307"/>
    </row>
    <row r="385" spans="1:24" s="1308" customFormat="1" ht="15" customHeight="1" x14ac:dyDescent="0.25">
      <c r="A385" s="730"/>
      <c r="B385" s="1286">
        <f t="shared" si="24"/>
        <v>282</v>
      </c>
      <c r="C385" s="1775"/>
      <c r="D385" s="1779"/>
      <c r="E385" s="1779"/>
      <c r="F385" s="1448" t="s">
        <v>1285</v>
      </c>
      <c r="G385" s="1302"/>
      <c r="H385" s="1322"/>
      <c r="I385" s="1322"/>
      <c r="J385" s="1322"/>
      <c r="K385" s="1322"/>
      <c r="L385" s="1322"/>
      <c r="M385" s="1322"/>
      <c r="N385" s="1322"/>
      <c r="O385" s="1326"/>
      <c r="P385" s="1322"/>
      <c r="Q385" s="1323"/>
      <c r="R385" s="1324"/>
      <c r="S385" s="1325"/>
      <c r="T385" s="1353"/>
      <c r="U385" s="1463"/>
      <c r="V385" s="1464"/>
      <c r="W385" s="1482"/>
      <c r="X385" s="1307"/>
    </row>
    <row r="386" spans="1:24" s="1308" customFormat="1" ht="15" customHeight="1" x14ac:dyDescent="0.25">
      <c r="A386" s="730"/>
      <c r="B386" s="1286">
        <f t="shared" si="24"/>
        <v>283</v>
      </c>
      <c r="C386" s="1775"/>
      <c r="D386" s="1779" t="s">
        <v>1279</v>
      </c>
      <c r="E386" s="1779" t="s">
        <v>1280</v>
      </c>
      <c r="F386" s="1448" t="s">
        <v>1424</v>
      </c>
      <c r="G386" s="1302"/>
      <c r="H386" s="1322"/>
      <c r="I386" s="1322"/>
      <c r="J386" s="1322"/>
      <c r="K386" s="1322"/>
      <c r="L386" s="1322"/>
      <c r="M386" s="1322"/>
      <c r="N386" s="1322"/>
      <c r="O386" s="1326"/>
      <c r="P386" s="1322"/>
      <c r="Q386" s="1323"/>
      <c r="R386" s="1324"/>
      <c r="S386" s="1325"/>
      <c r="T386" s="1353"/>
      <c r="U386" s="1463"/>
      <c r="V386" s="1464"/>
      <c r="W386" s="1482"/>
      <c r="X386" s="1307"/>
    </row>
    <row r="387" spans="1:24" s="1308" customFormat="1" ht="15" customHeight="1" x14ac:dyDescent="0.25">
      <c r="A387" s="730"/>
      <c r="B387" s="1286">
        <f t="shared" si="24"/>
        <v>284</v>
      </c>
      <c r="C387" s="1775"/>
      <c r="D387" s="1779"/>
      <c r="E387" s="1779"/>
      <c r="F387" s="1448" t="s">
        <v>1285</v>
      </c>
      <c r="G387" s="1302"/>
      <c r="H387" s="1322"/>
      <c r="I387" s="1322"/>
      <c r="J387" s="1322"/>
      <c r="K387" s="1322"/>
      <c r="L387" s="1322"/>
      <c r="M387" s="1322"/>
      <c r="N387" s="1322"/>
      <c r="O387" s="1326"/>
      <c r="P387" s="1322"/>
      <c r="Q387" s="1323"/>
      <c r="R387" s="1324"/>
      <c r="S387" s="1325"/>
      <c r="T387" s="1353"/>
      <c r="U387" s="1463"/>
      <c r="V387" s="1464"/>
      <c r="W387" s="1482"/>
      <c r="X387" s="1307"/>
    </row>
    <row r="388" spans="1:24" s="1308" customFormat="1" ht="15" customHeight="1" x14ac:dyDescent="0.25">
      <c r="A388" s="730"/>
      <c r="B388" s="1286">
        <f t="shared" si="24"/>
        <v>285</v>
      </c>
      <c r="C388" s="1775"/>
      <c r="D388" s="1779"/>
      <c r="E388" s="1779" t="s">
        <v>1623</v>
      </c>
      <c r="F388" s="1448" t="s">
        <v>1424</v>
      </c>
      <c r="G388" s="1302"/>
      <c r="H388" s="1322"/>
      <c r="I388" s="1322"/>
      <c r="J388" s="1322"/>
      <c r="K388" s="1322"/>
      <c r="L388" s="1322"/>
      <c r="M388" s="1322"/>
      <c r="N388" s="1322"/>
      <c r="O388" s="1326"/>
      <c r="P388" s="1322"/>
      <c r="Q388" s="1323"/>
      <c r="R388" s="1324"/>
      <c r="S388" s="1325"/>
      <c r="T388" s="1353"/>
      <c r="U388" s="1463"/>
      <c r="V388" s="1464"/>
      <c r="W388" s="1482"/>
      <c r="X388" s="1307"/>
    </row>
    <row r="389" spans="1:24" s="1308" customFormat="1" ht="15" customHeight="1" x14ac:dyDescent="0.25">
      <c r="A389" s="730"/>
      <c r="B389" s="1286">
        <f t="shared" si="24"/>
        <v>286</v>
      </c>
      <c r="C389" s="1775"/>
      <c r="D389" s="1779"/>
      <c r="E389" s="1779"/>
      <c r="F389" s="1448" t="s">
        <v>1285</v>
      </c>
      <c r="G389" s="1302"/>
      <c r="H389" s="1322"/>
      <c r="I389" s="1322"/>
      <c r="J389" s="1322"/>
      <c r="K389" s="1322"/>
      <c r="L389" s="1322"/>
      <c r="M389" s="1322"/>
      <c r="N389" s="1322"/>
      <c r="O389" s="1326"/>
      <c r="P389" s="1322"/>
      <c r="Q389" s="1323"/>
      <c r="R389" s="1324"/>
      <c r="S389" s="1325"/>
      <c r="T389" s="1353"/>
      <c r="U389" s="1463"/>
      <c r="V389" s="1464"/>
      <c r="W389" s="1482"/>
      <c r="X389" s="1307"/>
    </row>
    <row r="390" spans="1:24" s="1308" customFormat="1" ht="15" customHeight="1" x14ac:dyDescent="0.25">
      <c r="A390" s="730"/>
      <c r="B390" s="1286">
        <f t="shared" si="24"/>
        <v>287</v>
      </c>
      <c r="C390" s="1775"/>
      <c r="D390" s="1779"/>
      <c r="E390" s="1779" t="s">
        <v>1281</v>
      </c>
      <c r="F390" s="1448" t="s">
        <v>1424</v>
      </c>
      <c r="G390" s="1302"/>
      <c r="H390" s="1322"/>
      <c r="I390" s="1322"/>
      <c r="J390" s="1322"/>
      <c r="K390" s="1322"/>
      <c r="L390" s="1322"/>
      <c r="M390" s="1322"/>
      <c r="N390" s="1322"/>
      <c r="O390" s="1326"/>
      <c r="P390" s="1322"/>
      <c r="Q390" s="1323"/>
      <c r="R390" s="1324"/>
      <c r="S390" s="1325"/>
      <c r="T390" s="1353"/>
      <c r="U390" s="1463"/>
      <c r="V390" s="1464"/>
      <c r="W390" s="1482"/>
      <c r="X390" s="1307"/>
    </row>
    <row r="391" spans="1:24" s="1308" customFormat="1" ht="15" customHeight="1" x14ac:dyDescent="0.25">
      <c r="A391" s="730"/>
      <c r="B391" s="1287">
        <f t="shared" si="24"/>
        <v>288</v>
      </c>
      <c r="C391" s="1776"/>
      <c r="D391" s="1794"/>
      <c r="E391" s="1794"/>
      <c r="F391" s="1449" t="s">
        <v>1285</v>
      </c>
      <c r="G391" s="1327"/>
      <c r="H391" s="1303"/>
      <c r="I391" s="1303"/>
      <c r="J391" s="1303"/>
      <c r="K391" s="1303"/>
      <c r="L391" s="1303"/>
      <c r="M391" s="1303"/>
      <c r="N391" s="1303"/>
      <c r="O391" s="1328"/>
      <c r="P391" s="1303"/>
      <c r="Q391" s="1304"/>
      <c r="R391" s="1305"/>
      <c r="S391" s="1306"/>
      <c r="T391" s="1351"/>
      <c r="U391" s="1466"/>
      <c r="V391" s="1467"/>
      <c r="W391" s="1483"/>
      <c r="X391" s="1307"/>
    </row>
    <row r="392" spans="1:24" s="1308" customFormat="1" ht="15" customHeight="1" x14ac:dyDescent="0.25">
      <c r="A392" s="730"/>
      <c r="B392" s="1285">
        <f t="shared" si="24"/>
        <v>289</v>
      </c>
      <c r="C392" s="1774" t="s">
        <v>1267</v>
      </c>
      <c r="D392" s="1780" t="s">
        <v>1278</v>
      </c>
      <c r="E392" s="1780" t="s">
        <v>1280</v>
      </c>
      <c r="F392" s="1450" t="s">
        <v>1424</v>
      </c>
      <c r="G392" s="1316"/>
      <c r="H392" s="1317"/>
      <c r="I392" s="1317"/>
      <c r="J392" s="1317"/>
      <c r="K392" s="1317"/>
      <c r="L392" s="1317"/>
      <c r="M392" s="1317"/>
      <c r="N392" s="1317"/>
      <c r="O392" s="1321"/>
      <c r="P392" s="1317"/>
      <c r="Q392" s="1318"/>
      <c r="R392" s="1319"/>
      <c r="S392" s="1320"/>
      <c r="T392" s="1349"/>
      <c r="U392" s="1460"/>
      <c r="V392" s="1461"/>
      <c r="W392" s="1481"/>
      <c r="X392" s="1307"/>
    </row>
    <row r="393" spans="1:24" s="1308" customFormat="1" ht="15" customHeight="1" x14ac:dyDescent="0.25">
      <c r="A393" s="730"/>
      <c r="B393" s="1286">
        <f t="shared" si="24"/>
        <v>290</v>
      </c>
      <c r="C393" s="1775"/>
      <c r="D393" s="1779"/>
      <c r="E393" s="1779"/>
      <c r="F393" s="1448" t="s">
        <v>1285</v>
      </c>
      <c r="G393" s="1302"/>
      <c r="H393" s="1322"/>
      <c r="I393" s="1322"/>
      <c r="J393" s="1322"/>
      <c r="K393" s="1322"/>
      <c r="L393" s="1322"/>
      <c r="M393" s="1322"/>
      <c r="N393" s="1322"/>
      <c r="O393" s="1326"/>
      <c r="P393" s="1322"/>
      <c r="Q393" s="1323"/>
      <c r="R393" s="1324"/>
      <c r="S393" s="1325"/>
      <c r="T393" s="1353"/>
      <c r="U393" s="1463"/>
      <c r="V393" s="1464"/>
      <c r="W393" s="1482"/>
      <c r="X393" s="1307"/>
    </row>
    <row r="394" spans="1:24" s="1308" customFormat="1" ht="15" customHeight="1" x14ac:dyDescent="0.25">
      <c r="A394" s="730"/>
      <c r="B394" s="1286">
        <f t="shared" si="24"/>
        <v>291</v>
      </c>
      <c r="C394" s="1775"/>
      <c r="D394" s="1779"/>
      <c r="E394" s="1779" t="s">
        <v>1623</v>
      </c>
      <c r="F394" s="1448" t="s">
        <v>1424</v>
      </c>
      <c r="G394" s="1302"/>
      <c r="H394" s="1322"/>
      <c r="I394" s="1322"/>
      <c r="J394" s="1322"/>
      <c r="K394" s="1322"/>
      <c r="L394" s="1322"/>
      <c r="M394" s="1322"/>
      <c r="N394" s="1322"/>
      <c r="O394" s="1326"/>
      <c r="P394" s="1322"/>
      <c r="Q394" s="1323"/>
      <c r="R394" s="1324"/>
      <c r="S394" s="1325"/>
      <c r="T394" s="1353"/>
      <c r="U394" s="1463"/>
      <c r="V394" s="1464"/>
      <c r="W394" s="1482"/>
      <c r="X394" s="1307"/>
    </row>
    <row r="395" spans="1:24" s="1308" customFormat="1" ht="15" customHeight="1" x14ac:dyDescent="0.25">
      <c r="A395" s="730"/>
      <c r="B395" s="1286">
        <f t="shared" si="24"/>
        <v>292</v>
      </c>
      <c r="C395" s="1775"/>
      <c r="D395" s="1779"/>
      <c r="E395" s="1779"/>
      <c r="F395" s="1448" t="s">
        <v>1285</v>
      </c>
      <c r="G395" s="1302"/>
      <c r="H395" s="1322"/>
      <c r="I395" s="1322"/>
      <c r="J395" s="1322"/>
      <c r="K395" s="1322"/>
      <c r="L395" s="1322"/>
      <c r="M395" s="1322"/>
      <c r="N395" s="1322"/>
      <c r="O395" s="1326"/>
      <c r="P395" s="1322"/>
      <c r="Q395" s="1323"/>
      <c r="R395" s="1324"/>
      <c r="S395" s="1325"/>
      <c r="T395" s="1353"/>
      <c r="U395" s="1463"/>
      <c r="V395" s="1464"/>
      <c r="W395" s="1482"/>
      <c r="X395" s="1307"/>
    </row>
    <row r="396" spans="1:24" s="1308" customFormat="1" ht="15" customHeight="1" x14ac:dyDescent="0.25">
      <c r="A396" s="730"/>
      <c r="B396" s="1286">
        <f t="shared" si="24"/>
        <v>293</v>
      </c>
      <c r="C396" s="1775"/>
      <c r="D396" s="1779"/>
      <c r="E396" s="1779" t="s">
        <v>1281</v>
      </c>
      <c r="F396" s="1448" t="s">
        <v>1424</v>
      </c>
      <c r="G396" s="1302"/>
      <c r="H396" s="1322"/>
      <c r="I396" s="1322"/>
      <c r="J396" s="1322"/>
      <c r="K396" s="1322"/>
      <c r="L396" s="1322"/>
      <c r="M396" s="1322"/>
      <c r="N396" s="1322"/>
      <c r="O396" s="1326"/>
      <c r="P396" s="1322"/>
      <c r="Q396" s="1323"/>
      <c r="R396" s="1324"/>
      <c r="S396" s="1325"/>
      <c r="T396" s="1353"/>
      <c r="U396" s="1463"/>
      <c r="V396" s="1464"/>
      <c r="W396" s="1482"/>
      <c r="X396" s="1307"/>
    </row>
    <row r="397" spans="1:24" s="1308" customFormat="1" ht="15" customHeight="1" x14ac:dyDescent="0.25">
      <c r="A397" s="730"/>
      <c r="B397" s="1286">
        <f t="shared" si="24"/>
        <v>294</v>
      </c>
      <c r="C397" s="1775"/>
      <c r="D397" s="1779"/>
      <c r="E397" s="1779"/>
      <c r="F397" s="1448" t="s">
        <v>1285</v>
      </c>
      <c r="G397" s="1302"/>
      <c r="H397" s="1322"/>
      <c r="I397" s="1322"/>
      <c r="J397" s="1322"/>
      <c r="K397" s="1322"/>
      <c r="L397" s="1322"/>
      <c r="M397" s="1322"/>
      <c r="N397" s="1322"/>
      <c r="O397" s="1326"/>
      <c r="P397" s="1322"/>
      <c r="Q397" s="1323"/>
      <c r="R397" s="1324"/>
      <c r="S397" s="1325"/>
      <c r="T397" s="1353"/>
      <c r="U397" s="1463"/>
      <c r="V397" s="1464"/>
      <c r="W397" s="1482"/>
      <c r="X397" s="1307"/>
    </row>
    <row r="398" spans="1:24" s="1308" customFormat="1" ht="15" customHeight="1" x14ac:dyDescent="0.25">
      <c r="A398" s="730"/>
      <c r="B398" s="1286">
        <f t="shared" si="24"/>
        <v>295</v>
      </c>
      <c r="C398" s="1775"/>
      <c r="D398" s="1779" t="s">
        <v>1624</v>
      </c>
      <c r="E398" s="1779" t="s">
        <v>1280</v>
      </c>
      <c r="F398" s="1448" t="s">
        <v>1424</v>
      </c>
      <c r="G398" s="1302"/>
      <c r="H398" s="1322"/>
      <c r="I398" s="1322"/>
      <c r="J398" s="1322"/>
      <c r="K398" s="1322"/>
      <c r="L398" s="1322"/>
      <c r="M398" s="1322"/>
      <c r="N398" s="1322"/>
      <c r="O398" s="1326"/>
      <c r="P398" s="1322"/>
      <c r="Q398" s="1323"/>
      <c r="R398" s="1324"/>
      <c r="S398" s="1325"/>
      <c r="T398" s="1353"/>
      <c r="U398" s="1463"/>
      <c r="V398" s="1464"/>
      <c r="W398" s="1482"/>
      <c r="X398" s="1307"/>
    </row>
    <row r="399" spans="1:24" s="1308" customFormat="1" ht="15" customHeight="1" x14ac:dyDescent="0.25">
      <c r="A399" s="730"/>
      <c r="B399" s="1286">
        <f t="shared" si="24"/>
        <v>296</v>
      </c>
      <c r="C399" s="1775"/>
      <c r="D399" s="1779"/>
      <c r="E399" s="1779"/>
      <c r="F399" s="1448" t="s">
        <v>1285</v>
      </c>
      <c r="G399" s="1302"/>
      <c r="H399" s="1322"/>
      <c r="I399" s="1322"/>
      <c r="J399" s="1322"/>
      <c r="K399" s="1322"/>
      <c r="L399" s="1322"/>
      <c r="M399" s="1322"/>
      <c r="N399" s="1322"/>
      <c r="O399" s="1326"/>
      <c r="P399" s="1322"/>
      <c r="Q399" s="1323"/>
      <c r="R399" s="1324"/>
      <c r="S399" s="1325"/>
      <c r="T399" s="1353"/>
      <c r="U399" s="1463"/>
      <c r="V399" s="1464"/>
      <c r="W399" s="1482"/>
      <c r="X399" s="1307"/>
    </row>
    <row r="400" spans="1:24" s="1308" customFormat="1" ht="15" customHeight="1" x14ac:dyDescent="0.25">
      <c r="A400" s="730"/>
      <c r="B400" s="1286">
        <f t="shared" si="24"/>
        <v>297</v>
      </c>
      <c r="C400" s="1775"/>
      <c r="D400" s="1779"/>
      <c r="E400" s="1779" t="s">
        <v>1623</v>
      </c>
      <c r="F400" s="1448" t="s">
        <v>1424</v>
      </c>
      <c r="G400" s="1302"/>
      <c r="H400" s="1322"/>
      <c r="I400" s="1322"/>
      <c r="J400" s="1322"/>
      <c r="K400" s="1322"/>
      <c r="L400" s="1322"/>
      <c r="M400" s="1322"/>
      <c r="N400" s="1322"/>
      <c r="O400" s="1326"/>
      <c r="P400" s="1322"/>
      <c r="Q400" s="1323"/>
      <c r="R400" s="1324"/>
      <c r="S400" s="1325"/>
      <c r="T400" s="1353"/>
      <c r="U400" s="1463"/>
      <c r="V400" s="1464"/>
      <c r="W400" s="1482"/>
      <c r="X400" s="1307"/>
    </row>
    <row r="401" spans="1:24" s="1308" customFormat="1" ht="15" customHeight="1" x14ac:dyDescent="0.25">
      <c r="A401" s="730"/>
      <c r="B401" s="1286">
        <f t="shared" si="24"/>
        <v>298</v>
      </c>
      <c r="C401" s="1775"/>
      <c r="D401" s="1779"/>
      <c r="E401" s="1779"/>
      <c r="F401" s="1448" t="s">
        <v>1285</v>
      </c>
      <c r="G401" s="1302"/>
      <c r="H401" s="1322"/>
      <c r="I401" s="1322"/>
      <c r="J401" s="1322"/>
      <c r="K401" s="1322"/>
      <c r="L401" s="1322"/>
      <c r="M401" s="1322"/>
      <c r="N401" s="1322"/>
      <c r="O401" s="1326"/>
      <c r="P401" s="1322"/>
      <c r="Q401" s="1323"/>
      <c r="R401" s="1324"/>
      <c r="S401" s="1325"/>
      <c r="T401" s="1353"/>
      <c r="U401" s="1463"/>
      <c r="V401" s="1464"/>
      <c r="W401" s="1482"/>
      <c r="X401" s="1307"/>
    </row>
    <row r="402" spans="1:24" s="1308" customFormat="1" ht="15" customHeight="1" x14ac:dyDescent="0.25">
      <c r="A402" s="730"/>
      <c r="B402" s="1286">
        <f t="shared" si="24"/>
        <v>299</v>
      </c>
      <c r="C402" s="1775"/>
      <c r="D402" s="1779"/>
      <c r="E402" s="1779" t="s">
        <v>1281</v>
      </c>
      <c r="F402" s="1448" t="s">
        <v>1424</v>
      </c>
      <c r="G402" s="1302"/>
      <c r="H402" s="1322"/>
      <c r="I402" s="1322"/>
      <c r="J402" s="1322"/>
      <c r="K402" s="1322"/>
      <c r="L402" s="1322"/>
      <c r="M402" s="1322"/>
      <c r="N402" s="1322"/>
      <c r="O402" s="1326"/>
      <c r="P402" s="1322"/>
      <c r="Q402" s="1323"/>
      <c r="R402" s="1324"/>
      <c r="S402" s="1325"/>
      <c r="T402" s="1353"/>
      <c r="U402" s="1463"/>
      <c r="V402" s="1464"/>
      <c r="W402" s="1482"/>
      <c r="X402" s="1307"/>
    </row>
    <row r="403" spans="1:24" s="1308" customFormat="1" ht="15" customHeight="1" x14ac:dyDescent="0.25">
      <c r="A403" s="730"/>
      <c r="B403" s="1286">
        <f t="shared" si="24"/>
        <v>300</v>
      </c>
      <c r="C403" s="1775"/>
      <c r="D403" s="1779"/>
      <c r="E403" s="1779"/>
      <c r="F403" s="1448" t="s">
        <v>1285</v>
      </c>
      <c r="G403" s="1302"/>
      <c r="H403" s="1322"/>
      <c r="I403" s="1322"/>
      <c r="J403" s="1322"/>
      <c r="K403" s="1322"/>
      <c r="L403" s="1322"/>
      <c r="M403" s="1322"/>
      <c r="N403" s="1322"/>
      <c r="O403" s="1326"/>
      <c r="P403" s="1322"/>
      <c r="Q403" s="1323"/>
      <c r="R403" s="1324"/>
      <c r="S403" s="1325"/>
      <c r="T403" s="1353"/>
      <c r="U403" s="1463"/>
      <c r="V403" s="1464"/>
      <c r="W403" s="1482"/>
      <c r="X403" s="1307"/>
    </row>
    <row r="404" spans="1:24" s="1308" customFormat="1" ht="15" customHeight="1" x14ac:dyDescent="0.25">
      <c r="A404" s="730"/>
      <c r="B404" s="1286">
        <f t="shared" si="24"/>
        <v>301</v>
      </c>
      <c r="C404" s="1775"/>
      <c r="D404" s="1779" t="s">
        <v>1286</v>
      </c>
      <c r="E404" s="1779" t="s">
        <v>1280</v>
      </c>
      <c r="F404" s="1448" t="s">
        <v>1424</v>
      </c>
      <c r="G404" s="1302"/>
      <c r="H404" s="1322"/>
      <c r="I404" s="1322"/>
      <c r="J404" s="1322"/>
      <c r="K404" s="1322"/>
      <c r="L404" s="1322"/>
      <c r="M404" s="1322"/>
      <c r="N404" s="1322"/>
      <c r="O404" s="1326"/>
      <c r="P404" s="1322"/>
      <c r="Q404" s="1323"/>
      <c r="R404" s="1324"/>
      <c r="S404" s="1325"/>
      <c r="T404" s="1353"/>
      <c r="U404" s="1463"/>
      <c r="V404" s="1464"/>
      <c r="W404" s="1482"/>
      <c r="X404" s="1307"/>
    </row>
    <row r="405" spans="1:24" s="1308" customFormat="1" ht="15" customHeight="1" x14ac:dyDescent="0.25">
      <c r="A405" s="730"/>
      <c r="B405" s="1286">
        <f t="shared" si="24"/>
        <v>302</v>
      </c>
      <c r="C405" s="1775"/>
      <c r="D405" s="1779"/>
      <c r="E405" s="1779"/>
      <c r="F405" s="1448" t="s">
        <v>1285</v>
      </c>
      <c r="G405" s="1302"/>
      <c r="H405" s="1322"/>
      <c r="I405" s="1322"/>
      <c r="J405" s="1322"/>
      <c r="K405" s="1322"/>
      <c r="L405" s="1322"/>
      <c r="M405" s="1322"/>
      <c r="N405" s="1322"/>
      <c r="O405" s="1326"/>
      <c r="P405" s="1322"/>
      <c r="Q405" s="1323"/>
      <c r="R405" s="1324"/>
      <c r="S405" s="1325"/>
      <c r="T405" s="1353"/>
      <c r="U405" s="1463"/>
      <c r="V405" s="1464"/>
      <c r="W405" s="1482"/>
      <c r="X405" s="1307"/>
    </row>
    <row r="406" spans="1:24" s="1308" customFormat="1" ht="15" customHeight="1" x14ac:dyDescent="0.25">
      <c r="A406" s="730"/>
      <c r="B406" s="1286">
        <f t="shared" si="24"/>
        <v>303</v>
      </c>
      <c r="C406" s="1775"/>
      <c r="D406" s="1779"/>
      <c r="E406" s="1779" t="s">
        <v>1623</v>
      </c>
      <c r="F406" s="1448" t="s">
        <v>1424</v>
      </c>
      <c r="G406" s="1302"/>
      <c r="H406" s="1322"/>
      <c r="I406" s="1322"/>
      <c r="J406" s="1322"/>
      <c r="K406" s="1322"/>
      <c r="L406" s="1322"/>
      <c r="M406" s="1322"/>
      <c r="N406" s="1322"/>
      <c r="O406" s="1326"/>
      <c r="P406" s="1322"/>
      <c r="Q406" s="1323"/>
      <c r="R406" s="1324"/>
      <c r="S406" s="1325"/>
      <c r="T406" s="1353"/>
      <c r="U406" s="1463"/>
      <c r="V406" s="1464"/>
      <c r="W406" s="1482"/>
      <c r="X406" s="1307"/>
    </row>
    <row r="407" spans="1:24" s="1308" customFormat="1" ht="15" customHeight="1" x14ac:dyDescent="0.25">
      <c r="A407" s="730"/>
      <c r="B407" s="1286">
        <f t="shared" si="24"/>
        <v>304</v>
      </c>
      <c r="C407" s="1775"/>
      <c r="D407" s="1779"/>
      <c r="E407" s="1779"/>
      <c r="F407" s="1448" t="s">
        <v>1285</v>
      </c>
      <c r="G407" s="1302"/>
      <c r="H407" s="1322"/>
      <c r="I407" s="1322"/>
      <c r="J407" s="1322"/>
      <c r="K407" s="1322"/>
      <c r="L407" s="1322"/>
      <c r="M407" s="1322"/>
      <c r="N407" s="1322"/>
      <c r="O407" s="1326"/>
      <c r="P407" s="1322"/>
      <c r="Q407" s="1323"/>
      <c r="R407" s="1324"/>
      <c r="S407" s="1325"/>
      <c r="T407" s="1353"/>
      <c r="U407" s="1463"/>
      <c r="V407" s="1464"/>
      <c r="W407" s="1482"/>
      <c r="X407" s="1307"/>
    </row>
    <row r="408" spans="1:24" s="1308" customFormat="1" ht="15" customHeight="1" x14ac:dyDescent="0.25">
      <c r="A408" s="730"/>
      <c r="B408" s="1286">
        <f t="shared" si="24"/>
        <v>305</v>
      </c>
      <c r="C408" s="1775"/>
      <c r="D408" s="1779"/>
      <c r="E408" s="1779" t="s">
        <v>1281</v>
      </c>
      <c r="F408" s="1448" t="s">
        <v>1424</v>
      </c>
      <c r="G408" s="1302"/>
      <c r="H408" s="1322"/>
      <c r="I408" s="1322"/>
      <c r="J408" s="1322"/>
      <c r="K408" s="1322"/>
      <c r="L408" s="1322"/>
      <c r="M408" s="1322"/>
      <c r="N408" s="1322"/>
      <c r="O408" s="1326"/>
      <c r="P408" s="1322"/>
      <c r="Q408" s="1323"/>
      <c r="R408" s="1324"/>
      <c r="S408" s="1325"/>
      <c r="T408" s="1353"/>
      <c r="U408" s="1463"/>
      <c r="V408" s="1464"/>
      <c r="W408" s="1482"/>
      <c r="X408" s="1307"/>
    </row>
    <row r="409" spans="1:24" s="1308" customFormat="1" ht="15" customHeight="1" x14ac:dyDescent="0.25">
      <c r="A409" s="730"/>
      <c r="B409" s="1286">
        <f t="shared" si="24"/>
        <v>306</v>
      </c>
      <c r="C409" s="1775"/>
      <c r="D409" s="1779"/>
      <c r="E409" s="1779"/>
      <c r="F409" s="1448" t="s">
        <v>1285</v>
      </c>
      <c r="G409" s="1302"/>
      <c r="H409" s="1322"/>
      <c r="I409" s="1322"/>
      <c r="J409" s="1322"/>
      <c r="K409" s="1322"/>
      <c r="L409" s="1322"/>
      <c r="M409" s="1322"/>
      <c r="N409" s="1322"/>
      <c r="O409" s="1326"/>
      <c r="P409" s="1322"/>
      <c r="Q409" s="1323"/>
      <c r="R409" s="1324"/>
      <c r="S409" s="1325"/>
      <c r="T409" s="1353"/>
      <c r="U409" s="1463"/>
      <c r="V409" s="1464"/>
      <c r="W409" s="1482"/>
      <c r="X409" s="1307"/>
    </row>
    <row r="410" spans="1:24" s="1308" customFormat="1" ht="15" customHeight="1" x14ac:dyDescent="0.25">
      <c r="A410" s="730"/>
      <c r="B410" s="1286">
        <f t="shared" si="24"/>
        <v>307</v>
      </c>
      <c r="C410" s="1775"/>
      <c r="D410" s="1779" t="s">
        <v>1287</v>
      </c>
      <c r="E410" s="1779" t="s">
        <v>1280</v>
      </c>
      <c r="F410" s="1448" t="s">
        <v>1424</v>
      </c>
      <c r="G410" s="1302"/>
      <c r="H410" s="1322"/>
      <c r="I410" s="1322"/>
      <c r="J410" s="1322"/>
      <c r="K410" s="1322"/>
      <c r="L410" s="1322"/>
      <c r="M410" s="1322"/>
      <c r="N410" s="1322"/>
      <c r="O410" s="1326"/>
      <c r="P410" s="1322"/>
      <c r="Q410" s="1323"/>
      <c r="R410" s="1324"/>
      <c r="S410" s="1325"/>
      <c r="T410" s="1353"/>
      <c r="U410" s="1463"/>
      <c r="V410" s="1464"/>
      <c r="W410" s="1482"/>
      <c r="X410" s="1307"/>
    </row>
    <row r="411" spans="1:24" s="1308" customFormat="1" ht="15" customHeight="1" x14ac:dyDescent="0.25">
      <c r="A411" s="730"/>
      <c r="B411" s="1286">
        <f t="shared" si="24"/>
        <v>308</v>
      </c>
      <c r="C411" s="1775"/>
      <c r="D411" s="1779"/>
      <c r="E411" s="1779"/>
      <c r="F411" s="1448" t="s">
        <v>1285</v>
      </c>
      <c r="G411" s="1302"/>
      <c r="H411" s="1322"/>
      <c r="I411" s="1322"/>
      <c r="J411" s="1322"/>
      <c r="K411" s="1322"/>
      <c r="L411" s="1322"/>
      <c r="M411" s="1322"/>
      <c r="N411" s="1322"/>
      <c r="O411" s="1326"/>
      <c r="P411" s="1322"/>
      <c r="Q411" s="1323"/>
      <c r="R411" s="1324"/>
      <c r="S411" s="1325"/>
      <c r="T411" s="1353"/>
      <c r="U411" s="1463"/>
      <c r="V411" s="1464"/>
      <c r="W411" s="1482"/>
      <c r="X411" s="1307"/>
    </row>
    <row r="412" spans="1:24" s="1308" customFormat="1" ht="15" customHeight="1" x14ac:dyDescent="0.25">
      <c r="A412" s="730"/>
      <c r="B412" s="1286">
        <f t="shared" si="24"/>
        <v>309</v>
      </c>
      <c r="C412" s="1775"/>
      <c r="D412" s="1779"/>
      <c r="E412" s="1779" t="s">
        <v>1623</v>
      </c>
      <c r="F412" s="1448" t="s">
        <v>1424</v>
      </c>
      <c r="G412" s="1302"/>
      <c r="H412" s="1322"/>
      <c r="I412" s="1322"/>
      <c r="J412" s="1322"/>
      <c r="K412" s="1322"/>
      <c r="L412" s="1322"/>
      <c r="M412" s="1322"/>
      <c r="N412" s="1322"/>
      <c r="O412" s="1326"/>
      <c r="P412" s="1322"/>
      <c r="Q412" s="1323"/>
      <c r="R412" s="1324"/>
      <c r="S412" s="1325"/>
      <c r="T412" s="1353"/>
      <c r="U412" s="1463"/>
      <c r="V412" s="1464"/>
      <c r="W412" s="1482"/>
      <c r="X412" s="1307"/>
    </row>
    <row r="413" spans="1:24" s="1308" customFormat="1" ht="15" customHeight="1" x14ac:dyDescent="0.25">
      <c r="A413" s="730"/>
      <c r="B413" s="1286">
        <f t="shared" si="24"/>
        <v>310</v>
      </c>
      <c r="C413" s="1775"/>
      <c r="D413" s="1779"/>
      <c r="E413" s="1779"/>
      <c r="F413" s="1448" t="s">
        <v>1285</v>
      </c>
      <c r="G413" s="1302"/>
      <c r="H413" s="1322"/>
      <c r="I413" s="1322"/>
      <c r="J413" s="1322"/>
      <c r="K413" s="1322"/>
      <c r="L413" s="1322"/>
      <c r="M413" s="1322"/>
      <c r="N413" s="1322"/>
      <c r="O413" s="1326"/>
      <c r="P413" s="1322"/>
      <c r="Q413" s="1323"/>
      <c r="R413" s="1324"/>
      <c r="S413" s="1325"/>
      <c r="T413" s="1353"/>
      <c r="U413" s="1463"/>
      <c r="V413" s="1464"/>
      <c r="W413" s="1482"/>
      <c r="X413" s="1307"/>
    </row>
    <row r="414" spans="1:24" s="1308" customFormat="1" ht="15" customHeight="1" x14ac:dyDescent="0.25">
      <c r="A414" s="730"/>
      <c r="B414" s="1286">
        <f t="shared" si="24"/>
        <v>311</v>
      </c>
      <c r="C414" s="1775"/>
      <c r="D414" s="1779"/>
      <c r="E414" s="1779" t="s">
        <v>1281</v>
      </c>
      <c r="F414" s="1448" t="s">
        <v>1424</v>
      </c>
      <c r="G414" s="1302"/>
      <c r="H414" s="1322"/>
      <c r="I414" s="1322"/>
      <c r="J414" s="1322"/>
      <c r="K414" s="1322"/>
      <c r="L414" s="1322"/>
      <c r="M414" s="1322"/>
      <c r="N414" s="1322"/>
      <c r="O414" s="1326"/>
      <c r="P414" s="1322"/>
      <c r="Q414" s="1323"/>
      <c r="R414" s="1324"/>
      <c r="S414" s="1325"/>
      <c r="T414" s="1353"/>
      <c r="U414" s="1463"/>
      <c r="V414" s="1464"/>
      <c r="W414" s="1482"/>
      <c r="X414" s="1307"/>
    </row>
    <row r="415" spans="1:24" s="1308" customFormat="1" ht="15" customHeight="1" x14ac:dyDescent="0.25">
      <c r="A415" s="730"/>
      <c r="B415" s="1286">
        <f t="shared" si="24"/>
        <v>312</v>
      </c>
      <c r="C415" s="1775"/>
      <c r="D415" s="1779"/>
      <c r="E415" s="1779"/>
      <c r="F415" s="1448" t="s">
        <v>1285</v>
      </c>
      <c r="G415" s="1302"/>
      <c r="H415" s="1322"/>
      <c r="I415" s="1322"/>
      <c r="J415" s="1322"/>
      <c r="K415" s="1322"/>
      <c r="L415" s="1322"/>
      <c r="M415" s="1322"/>
      <c r="N415" s="1322"/>
      <c r="O415" s="1326"/>
      <c r="P415" s="1322"/>
      <c r="Q415" s="1323"/>
      <c r="R415" s="1324"/>
      <c r="S415" s="1325"/>
      <c r="T415" s="1353"/>
      <c r="U415" s="1463"/>
      <c r="V415" s="1464"/>
      <c r="W415" s="1482"/>
      <c r="X415" s="1307"/>
    </row>
    <row r="416" spans="1:24" s="1308" customFormat="1" ht="15" customHeight="1" x14ac:dyDescent="0.25">
      <c r="A416" s="730"/>
      <c r="B416" s="1286">
        <f t="shared" si="24"/>
        <v>313</v>
      </c>
      <c r="C416" s="1775"/>
      <c r="D416" s="1779" t="s">
        <v>1288</v>
      </c>
      <c r="E416" s="1779" t="s">
        <v>1280</v>
      </c>
      <c r="F416" s="1448" t="s">
        <v>1424</v>
      </c>
      <c r="G416" s="1302"/>
      <c r="H416" s="1322"/>
      <c r="I416" s="1322"/>
      <c r="J416" s="1322"/>
      <c r="K416" s="1322"/>
      <c r="L416" s="1322"/>
      <c r="M416" s="1322"/>
      <c r="N416" s="1322"/>
      <c r="O416" s="1326"/>
      <c r="P416" s="1322"/>
      <c r="Q416" s="1323"/>
      <c r="R416" s="1324"/>
      <c r="S416" s="1325"/>
      <c r="T416" s="1353"/>
      <c r="U416" s="1463"/>
      <c r="V416" s="1464"/>
      <c r="W416" s="1482"/>
      <c r="X416" s="1307"/>
    </row>
    <row r="417" spans="1:24" s="1308" customFormat="1" ht="15" customHeight="1" x14ac:dyDescent="0.25">
      <c r="A417" s="730"/>
      <c r="B417" s="1286">
        <f t="shared" si="24"/>
        <v>314</v>
      </c>
      <c r="C417" s="1775"/>
      <c r="D417" s="1779"/>
      <c r="E417" s="1779"/>
      <c r="F417" s="1448" t="s">
        <v>1285</v>
      </c>
      <c r="G417" s="1302"/>
      <c r="H417" s="1322"/>
      <c r="I417" s="1322"/>
      <c r="J417" s="1322"/>
      <c r="K417" s="1322"/>
      <c r="L417" s="1322"/>
      <c r="M417" s="1322"/>
      <c r="N417" s="1322"/>
      <c r="O417" s="1326"/>
      <c r="P417" s="1322"/>
      <c r="Q417" s="1323"/>
      <c r="R417" s="1324"/>
      <c r="S417" s="1325"/>
      <c r="T417" s="1353"/>
      <c r="U417" s="1463"/>
      <c r="V417" s="1464"/>
      <c r="W417" s="1482"/>
      <c r="X417" s="1307"/>
    </row>
    <row r="418" spans="1:24" s="1308" customFormat="1" ht="15" customHeight="1" x14ac:dyDescent="0.25">
      <c r="A418" s="730"/>
      <c r="B418" s="1286">
        <f t="shared" si="24"/>
        <v>315</v>
      </c>
      <c r="C418" s="1775"/>
      <c r="D418" s="1779"/>
      <c r="E418" s="1779" t="s">
        <v>1623</v>
      </c>
      <c r="F418" s="1448" t="s">
        <v>1424</v>
      </c>
      <c r="G418" s="1302"/>
      <c r="H418" s="1322"/>
      <c r="I418" s="1322"/>
      <c r="J418" s="1322"/>
      <c r="K418" s="1322"/>
      <c r="L418" s="1322"/>
      <c r="M418" s="1322"/>
      <c r="N418" s="1322"/>
      <c r="O418" s="1326"/>
      <c r="P418" s="1322"/>
      <c r="Q418" s="1323"/>
      <c r="R418" s="1324"/>
      <c r="S418" s="1325"/>
      <c r="T418" s="1353"/>
      <c r="U418" s="1463"/>
      <c r="V418" s="1464"/>
      <c r="W418" s="1482"/>
      <c r="X418" s="1307"/>
    </row>
    <row r="419" spans="1:24" s="1308" customFormat="1" ht="15" customHeight="1" x14ac:dyDescent="0.25">
      <c r="A419" s="730"/>
      <c r="B419" s="1286">
        <f t="shared" si="24"/>
        <v>316</v>
      </c>
      <c r="C419" s="1775"/>
      <c r="D419" s="1779"/>
      <c r="E419" s="1779"/>
      <c r="F419" s="1448" t="s">
        <v>1285</v>
      </c>
      <c r="G419" s="1302"/>
      <c r="H419" s="1322"/>
      <c r="I419" s="1322"/>
      <c r="J419" s="1322"/>
      <c r="K419" s="1322"/>
      <c r="L419" s="1322"/>
      <c r="M419" s="1322"/>
      <c r="N419" s="1322"/>
      <c r="O419" s="1326"/>
      <c r="P419" s="1322"/>
      <c r="Q419" s="1323"/>
      <c r="R419" s="1324"/>
      <c r="S419" s="1325"/>
      <c r="T419" s="1353"/>
      <c r="U419" s="1463"/>
      <c r="V419" s="1464"/>
      <c r="W419" s="1482"/>
      <c r="X419" s="1307"/>
    </row>
    <row r="420" spans="1:24" s="1308" customFormat="1" ht="15" customHeight="1" x14ac:dyDescent="0.25">
      <c r="A420" s="730"/>
      <c r="B420" s="1286">
        <f t="shared" si="24"/>
        <v>317</v>
      </c>
      <c r="C420" s="1775"/>
      <c r="D420" s="1779"/>
      <c r="E420" s="1779" t="s">
        <v>1281</v>
      </c>
      <c r="F420" s="1448" t="s">
        <v>1424</v>
      </c>
      <c r="G420" s="1302"/>
      <c r="H420" s="1322"/>
      <c r="I420" s="1322"/>
      <c r="J420" s="1322"/>
      <c r="K420" s="1322"/>
      <c r="L420" s="1322"/>
      <c r="M420" s="1322"/>
      <c r="N420" s="1322"/>
      <c r="O420" s="1326"/>
      <c r="P420" s="1322"/>
      <c r="Q420" s="1323"/>
      <c r="R420" s="1324"/>
      <c r="S420" s="1325"/>
      <c r="T420" s="1353"/>
      <c r="U420" s="1463"/>
      <c r="V420" s="1464"/>
      <c r="W420" s="1482"/>
      <c r="X420" s="1307"/>
    </row>
    <row r="421" spans="1:24" s="1308" customFormat="1" ht="15" customHeight="1" x14ac:dyDescent="0.25">
      <c r="A421" s="730"/>
      <c r="B421" s="1286">
        <f t="shared" si="24"/>
        <v>318</v>
      </c>
      <c r="C421" s="1775"/>
      <c r="D421" s="1779"/>
      <c r="E421" s="1779"/>
      <c r="F421" s="1448" t="s">
        <v>1285</v>
      </c>
      <c r="G421" s="1302"/>
      <c r="H421" s="1322"/>
      <c r="I421" s="1322"/>
      <c r="J421" s="1322"/>
      <c r="K421" s="1322"/>
      <c r="L421" s="1322"/>
      <c r="M421" s="1322"/>
      <c r="N421" s="1322"/>
      <c r="O421" s="1326"/>
      <c r="P421" s="1322"/>
      <c r="Q421" s="1323"/>
      <c r="R421" s="1324"/>
      <c r="S421" s="1325"/>
      <c r="T421" s="1353"/>
      <c r="U421" s="1463"/>
      <c r="V421" s="1464"/>
      <c r="W421" s="1482"/>
      <c r="X421" s="1307"/>
    </row>
    <row r="422" spans="1:24" s="1308" customFormat="1" ht="15" customHeight="1" x14ac:dyDescent="0.25">
      <c r="A422" s="730"/>
      <c r="B422" s="1286">
        <f t="shared" si="24"/>
        <v>319</v>
      </c>
      <c r="C422" s="1775"/>
      <c r="D422" s="1779" t="s">
        <v>1279</v>
      </c>
      <c r="E422" s="1779" t="s">
        <v>1280</v>
      </c>
      <c r="F422" s="1448" t="s">
        <v>1424</v>
      </c>
      <c r="G422" s="1302"/>
      <c r="H422" s="1322"/>
      <c r="I422" s="1322"/>
      <c r="J422" s="1322"/>
      <c r="K422" s="1322"/>
      <c r="L422" s="1322"/>
      <c r="M422" s="1322"/>
      <c r="N422" s="1322"/>
      <c r="O422" s="1326"/>
      <c r="P422" s="1322"/>
      <c r="Q422" s="1323"/>
      <c r="R422" s="1324"/>
      <c r="S422" s="1325"/>
      <c r="T422" s="1353"/>
      <c r="U422" s="1463"/>
      <c r="V422" s="1464"/>
      <c r="W422" s="1482"/>
      <c r="X422" s="1307"/>
    </row>
    <row r="423" spans="1:24" s="1308" customFormat="1" ht="15" customHeight="1" x14ac:dyDescent="0.25">
      <c r="A423" s="730"/>
      <c r="B423" s="1286">
        <f t="shared" si="24"/>
        <v>320</v>
      </c>
      <c r="C423" s="1775"/>
      <c r="D423" s="1779"/>
      <c r="E423" s="1779"/>
      <c r="F423" s="1448" t="s">
        <v>1285</v>
      </c>
      <c r="G423" s="1302"/>
      <c r="H423" s="1322"/>
      <c r="I423" s="1322"/>
      <c r="J423" s="1322"/>
      <c r="K423" s="1322"/>
      <c r="L423" s="1322"/>
      <c r="M423" s="1322"/>
      <c r="N423" s="1322"/>
      <c r="O423" s="1326"/>
      <c r="P423" s="1322"/>
      <c r="Q423" s="1323"/>
      <c r="R423" s="1324"/>
      <c r="S423" s="1325"/>
      <c r="T423" s="1353"/>
      <c r="U423" s="1463"/>
      <c r="V423" s="1464"/>
      <c r="W423" s="1482"/>
      <c r="X423" s="1307"/>
    </row>
    <row r="424" spans="1:24" s="1308" customFormat="1" ht="15" customHeight="1" x14ac:dyDescent="0.25">
      <c r="A424" s="730"/>
      <c r="B424" s="1286">
        <f t="shared" si="24"/>
        <v>321</v>
      </c>
      <c r="C424" s="1775"/>
      <c r="D424" s="1779"/>
      <c r="E424" s="1779" t="s">
        <v>1623</v>
      </c>
      <c r="F424" s="1448" t="s">
        <v>1424</v>
      </c>
      <c r="G424" s="1302"/>
      <c r="H424" s="1322"/>
      <c r="I424" s="1322"/>
      <c r="J424" s="1322"/>
      <c r="K424" s="1322"/>
      <c r="L424" s="1322"/>
      <c r="M424" s="1322"/>
      <c r="N424" s="1322"/>
      <c r="O424" s="1326"/>
      <c r="P424" s="1322"/>
      <c r="Q424" s="1323"/>
      <c r="R424" s="1324"/>
      <c r="S424" s="1325"/>
      <c r="T424" s="1353"/>
      <c r="U424" s="1463"/>
      <c r="V424" s="1464"/>
      <c r="W424" s="1482"/>
      <c r="X424" s="1307"/>
    </row>
    <row r="425" spans="1:24" s="1308" customFormat="1" ht="15" customHeight="1" x14ac:dyDescent="0.25">
      <c r="A425" s="730"/>
      <c r="B425" s="1286">
        <f t="shared" ref="B425:B488" si="25">B424+1</f>
        <v>322</v>
      </c>
      <c r="C425" s="1775"/>
      <c r="D425" s="1779"/>
      <c r="E425" s="1779"/>
      <c r="F425" s="1448" t="s">
        <v>1285</v>
      </c>
      <c r="G425" s="1302"/>
      <c r="H425" s="1322"/>
      <c r="I425" s="1322"/>
      <c r="J425" s="1322"/>
      <c r="K425" s="1322"/>
      <c r="L425" s="1322"/>
      <c r="M425" s="1322"/>
      <c r="N425" s="1322"/>
      <c r="O425" s="1326"/>
      <c r="P425" s="1322"/>
      <c r="Q425" s="1323"/>
      <c r="R425" s="1324"/>
      <c r="S425" s="1325"/>
      <c r="T425" s="1353"/>
      <c r="U425" s="1463"/>
      <c r="V425" s="1464"/>
      <c r="W425" s="1482"/>
      <c r="X425" s="1307"/>
    </row>
    <row r="426" spans="1:24" s="1308" customFormat="1" ht="15" customHeight="1" x14ac:dyDescent="0.25">
      <c r="A426" s="730"/>
      <c r="B426" s="1286">
        <f t="shared" si="25"/>
        <v>323</v>
      </c>
      <c r="C426" s="1775"/>
      <c r="D426" s="1779"/>
      <c r="E426" s="1779" t="s">
        <v>1281</v>
      </c>
      <c r="F426" s="1448" t="s">
        <v>1424</v>
      </c>
      <c r="G426" s="1302"/>
      <c r="H426" s="1322"/>
      <c r="I426" s="1322"/>
      <c r="J426" s="1322"/>
      <c r="K426" s="1322"/>
      <c r="L426" s="1322"/>
      <c r="M426" s="1322"/>
      <c r="N426" s="1322"/>
      <c r="O426" s="1326"/>
      <c r="P426" s="1322"/>
      <c r="Q426" s="1323"/>
      <c r="R426" s="1324"/>
      <c r="S426" s="1325"/>
      <c r="T426" s="1353"/>
      <c r="U426" s="1463"/>
      <c r="V426" s="1464"/>
      <c r="W426" s="1482"/>
      <c r="X426" s="1307"/>
    </row>
    <row r="427" spans="1:24" s="1308" customFormat="1" ht="15" customHeight="1" x14ac:dyDescent="0.25">
      <c r="A427" s="730"/>
      <c r="B427" s="1287">
        <f t="shared" si="25"/>
        <v>324</v>
      </c>
      <c r="C427" s="1776"/>
      <c r="D427" s="1794"/>
      <c r="E427" s="1794"/>
      <c r="F427" s="1449" t="s">
        <v>1285</v>
      </c>
      <c r="G427" s="1327"/>
      <c r="H427" s="1303"/>
      <c r="I427" s="1303"/>
      <c r="J427" s="1303"/>
      <c r="K427" s="1303"/>
      <c r="L427" s="1303"/>
      <c r="M427" s="1303"/>
      <c r="N427" s="1303"/>
      <c r="O427" s="1328"/>
      <c r="P427" s="1303"/>
      <c r="Q427" s="1304"/>
      <c r="R427" s="1305"/>
      <c r="S427" s="1306"/>
      <c r="T427" s="1351"/>
      <c r="U427" s="1466"/>
      <c r="V427" s="1467"/>
      <c r="W427" s="1483"/>
      <c r="X427" s="1307"/>
    </row>
    <row r="428" spans="1:24" s="1308" customFormat="1" ht="15" customHeight="1" x14ac:dyDescent="0.25">
      <c r="A428" s="730"/>
      <c r="B428" s="1285">
        <f t="shared" si="25"/>
        <v>325</v>
      </c>
      <c r="C428" s="1774" t="s">
        <v>1268</v>
      </c>
      <c r="D428" s="1780" t="s">
        <v>1278</v>
      </c>
      <c r="E428" s="1780" t="s">
        <v>1280</v>
      </c>
      <c r="F428" s="1450" t="s">
        <v>1424</v>
      </c>
      <c r="G428" s="1316"/>
      <c r="H428" s="1317"/>
      <c r="I428" s="1317"/>
      <c r="J428" s="1317"/>
      <c r="K428" s="1317"/>
      <c r="L428" s="1317"/>
      <c r="M428" s="1317"/>
      <c r="N428" s="1317"/>
      <c r="O428" s="1321"/>
      <c r="P428" s="1317"/>
      <c r="Q428" s="1318"/>
      <c r="R428" s="1319"/>
      <c r="S428" s="1320"/>
      <c r="T428" s="1349"/>
      <c r="U428" s="1460"/>
      <c r="V428" s="1461"/>
      <c r="W428" s="1481"/>
      <c r="X428" s="1307"/>
    </row>
    <row r="429" spans="1:24" s="1308" customFormat="1" ht="15" customHeight="1" x14ac:dyDescent="0.25">
      <c r="A429" s="730"/>
      <c r="B429" s="1286">
        <f t="shared" si="25"/>
        <v>326</v>
      </c>
      <c r="C429" s="1775"/>
      <c r="D429" s="1779"/>
      <c r="E429" s="1779"/>
      <c r="F429" s="1448" t="s">
        <v>1285</v>
      </c>
      <c r="G429" s="1302"/>
      <c r="H429" s="1322"/>
      <c r="I429" s="1322"/>
      <c r="J429" s="1322"/>
      <c r="K429" s="1322"/>
      <c r="L429" s="1322"/>
      <c r="M429" s="1322"/>
      <c r="N429" s="1322"/>
      <c r="O429" s="1326"/>
      <c r="P429" s="1322"/>
      <c r="Q429" s="1323"/>
      <c r="R429" s="1324"/>
      <c r="S429" s="1325"/>
      <c r="T429" s="1353"/>
      <c r="U429" s="1463"/>
      <c r="V429" s="1464"/>
      <c r="W429" s="1482"/>
      <c r="X429" s="1307"/>
    </row>
    <row r="430" spans="1:24" s="1308" customFormat="1" ht="15" customHeight="1" x14ac:dyDescent="0.25">
      <c r="A430" s="730"/>
      <c r="B430" s="1286">
        <f t="shared" si="25"/>
        <v>327</v>
      </c>
      <c r="C430" s="1775"/>
      <c r="D430" s="1779"/>
      <c r="E430" s="1779" t="s">
        <v>1623</v>
      </c>
      <c r="F430" s="1448" t="s">
        <v>1424</v>
      </c>
      <c r="G430" s="1302"/>
      <c r="H430" s="1322"/>
      <c r="I430" s="1322"/>
      <c r="J430" s="1322"/>
      <c r="K430" s="1322"/>
      <c r="L430" s="1322"/>
      <c r="M430" s="1322"/>
      <c r="N430" s="1322"/>
      <c r="O430" s="1326"/>
      <c r="P430" s="1322"/>
      <c r="Q430" s="1323"/>
      <c r="R430" s="1324"/>
      <c r="S430" s="1325"/>
      <c r="T430" s="1353"/>
      <c r="U430" s="1463"/>
      <c r="V430" s="1464"/>
      <c r="W430" s="1482"/>
      <c r="X430" s="1307"/>
    </row>
    <row r="431" spans="1:24" s="1308" customFormat="1" ht="15" customHeight="1" x14ac:dyDescent="0.25">
      <c r="A431" s="730"/>
      <c r="B431" s="1286">
        <f t="shared" si="25"/>
        <v>328</v>
      </c>
      <c r="C431" s="1775"/>
      <c r="D431" s="1779"/>
      <c r="E431" s="1779"/>
      <c r="F431" s="1448" t="s">
        <v>1285</v>
      </c>
      <c r="G431" s="1302"/>
      <c r="H431" s="1322"/>
      <c r="I431" s="1322"/>
      <c r="J431" s="1322"/>
      <c r="K431" s="1322"/>
      <c r="L431" s="1322"/>
      <c r="M431" s="1322"/>
      <c r="N431" s="1322"/>
      <c r="O431" s="1326"/>
      <c r="P431" s="1322"/>
      <c r="Q431" s="1323"/>
      <c r="R431" s="1324"/>
      <c r="S431" s="1325"/>
      <c r="T431" s="1353"/>
      <c r="U431" s="1463"/>
      <c r="V431" s="1464"/>
      <c r="W431" s="1482"/>
      <c r="X431" s="1307"/>
    </row>
    <row r="432" spans="1:24" s="1308" customFormat="1" ht="15" customHeight="1" x14ac:dyDescent="0.25">
      <c r="A432" s="730"/>
      <c r="B432" s="1286">
        <f t="shared" si="25"/>
        <v>329</v>
      </c>
      <c r="C432" s="1775"/>
      <c r="D432" s="1779"/>
      <c r="E432" s="1779" t="s">
        <v>1281</v>
      </c>
      <c r="F432" s="1448" t="s">
        <v>1424</v>
      </c>
      <c r="G432" s="1302"/>
      <c r="H432" s="1322"/>
      <c r="I432" s="1322"/>
      <c r="J432" s="1322"/>
      <c r="K432" s="1322"/>
      <c r="L432" s="1322"/>
      <c r="M432" s="1322"/>
      <c r="N432" s="1322"/>
      <c r="O432" s="1326"/>
      <c r="P432" s="1322"/>
      <c r="Q432" s="1323"/>
      <c r="R432" s="1324"/>
      <c r="S432" s="1325"/>
      <c r="T432" s="1353"/>
      <c r="U432" s="1463"/>
      <c r="V432" s="1464"/>
      <c r="W432" s="1482"/>
      <c r="X432" s="1307"/>
    </row>
    <row r="433" spans="1:24" s="1308" customFormat="1" ht="15" customHeight="1" x14ac:dyDescent="0.25">
      <c r="A433" s="730"/>
      <c r="B433" s="1286">
        <f t="shared" si="25"/>
        <v>330</v>
      </c>
      <c r="C433" s="1775"/>
      <c r="D433" s="1779"/>
      <c r="E433" s="1779"/>
      <c r="F433" s="1448" t="s">
        <v>1285</v>
      </c>
      <c r="G433" s="1302"/>
      <c r="H433" s="1322"/>
      <c r="I433" s="1322"/>
      <c r="J433" s="1322"/>
      <c r="K433" s="1322"/>
      <c r="L433" s="1322"/>
      <c r="M433" s="1322"/>
      <c r="N433" s="1322"/>
      <c r="O433" s="1326"/>
      <c r="P433" s="1322"/>
      <c r="Q433" s="1323"/>
      <c r="R433" s="1324"/>
      <c r="S433" s="1325"/>
      <c r="T433" s="1353"/>
      <c r="U433" s="1463"/>
      <c r="V433" s="1464"/>
      <c r="W433" s="1482"/>
      <c r="X433" s="1307"/>
    </row>
    <row r="434" spans="1:24" s="1308" customFormat="1" ht="15" customHeight="1" x14ac:dyDescent="0.25">
      <c r="A434" s="730"/>
      <c r="B434" s="1286">
        <f t="shared" si="25"/>
        <v>331</v>
      </c>
      <c r="C434" s="1775"/>
      <c r="D434" s="1779" t="s">
        <v>1624</v>
      </c>
      <c r="E434" s="1779" t="s">
        <v>1280</v>
      </c>
      <c r="F434" s="1448" t="s">
        <v>1424</v>
      </c>
      <c r="G434" s="1302"/>
      <c r="H434" s="1322"/>
      <c r="I434" s="1322"/>
      <c r="J434" s="1322"/>
      <c r="K434" s="1322"/>
      <c r="L434" s="1322"/>
      <c r="M434" s="1322"/>
      <c r="N434" s="1322"/>
      <c r="O434" s="1326"/>
      <c r="P434" s="1322"/>
      <c r="Q434" s="1323"/>
      <c r="R434" s="1324"/>
      <c r="S434" s="1325"/>
      <c r="T434" s="1353"/>
      <c r="U434" s="1463"/>
      <c r="V434" s="1464"/>
      <c r="W434" s="1482"/>
      <c r="X434" s="1307"/>
    </row>
    <row r="435" spans="1:24" s="1308" customFormat="1" ht="15" customHeight="1" x14ac:dyDescent="0.25">
      <c r="A435" s="730"/>
      <c r="B435" s="1286">
        <f t="shared" si="25"/>
        <v>332</v>
      </c>
      <c r="C435" s="1775"/>
      <c r="D435" s="1779"/>
      <c r="E435" s="1779"/>
      <c r="F435" s="1448" t="s">
        <v>1285</v>
      </c>
      <c r="G435" s="1302"/>
      <c r="H435" s="1322"/>
      <c r="I435" s="1322"/>
      <c r="J435" s="1322"/>
      <c r="K435" s="1322"/>
      <c r="L435" s="1322"/>
      <c r="M435" s="1322"/>
      <c r="N435" s="1322"/>
      <c r="O435" s="1326"/>
      <c r="P435" s="1322"/>
      <c r="Q435" s="1323"/>
      <c r="R435" s="1324"/>
      <c r="S435" s="1325"/>
      <c r="T435" s="1353"/>
      <c r="U435" s="1463"/>
      <c r="V435" s="1464"/>
      <c r="W435" s="1482"/>
      <c r="X435" s="1307"/>
    </row>
    <row r="436" spans="1:24" s="1308" customFormat="1" ht="15" customHeight="1" x14ac:dyDescent="0.25">
      <c r="A436" s="730"/>
      <c r="B436" s="1286">
        <f t="shared" si="25"/>
        <v>333</v>
      </c>
      <c r="C436" s="1775"/>
      <c r="D436" s="1779"/>
      <c r="E436" s="1779" t="s">
        <v>1623</v>
      </c>
      <c r="F436" s="1448" t="s">
        <v>1424</v>
      </c>
      <c r="G436" s="1302"/>
      <c r="H436" s="1322"/>
      <c r="I436" s="1322"/>
      <c r="J436" s="1322"/>
      <c r="K436" s="1322"/>
      <c r="L436" s="1322"/>
      <c r="M436" s="1322"/>
      <c r="N436" s="1322"/>
      <c r="O436" s="1326"/>
      <c r="P436" s="1322"/>
      <c r="Q436" s="1323"/>
      <c r="R436" s="1324"/>
      <c r="S436" s="1325"/>
      <c r="T436" s="1353"/>
      <c r="U436" s="1463"/>
      <c r="V436" s="1464"/>
      <c r="W436" s="1482"/>
      <c r="X436" s="1307"/>
    </row>
    <row r="437" spans="1:24" s="1308" customFormat="1" ht="15" customHeight="1" x14ac:dyDescent="0.25">
      <c r="A437" s="730"/>
      <c r="B437" s="1286">
        <f t="shared" si="25"/>
        <v>334</v>
      </c>
      <c r="C437" s="1775"/>
      <c r="D437" s="1779"/>
      <c r="E437" s="1779"/>
      <c r="F437" s="1448" t="s">
        <v>1285</v>
      </c>
      <c r="G437" s="1302"/>
      <c r="H437" s="1322"/>
      <c r="I437" s="1322"/>
      <c r="J437" s="1322"/>
      <c r="K437" s="1322"/>
      <c r="L437" s="1322"/>
      <c r="M437" s="1322"/>
      <c r="N437" s="1322"/>
      <c r="O437" s="1326"/>
      <c r="P437" s="1322"/>
      <c r="Q437" s="1323"/>
      <c r="R437" s="1324"/>
      <c r="S437" s="1325"/>
      <c r="T437" s="1353"/>
      <c r="U437" s="1463"/>
      <c r="V437" s="1464"/>
      <c r="W437" s="1482"/>
      <c r="X437" s="1307"/>
    </row>
    <row r="438" spans="1:24" s="1308" customFormat="1" ht="15" customHeight="1" x14ac:dyDescent="0.25">
      <c r="A438" s="730"/>
      <c r="B438" s="1286">
        <f t="shared" si="25"/>
        <v>335</v>
      </c>
      <c r="C438" s="1775"/>
      <c r="D438" s="1779"/>
      <c r="E438" s="1779" t="s">
        <v>1281</v>
      </c>
      <c r="F438" s="1448" t="s">
        <v>1424</v>
      </c>
      <c r="G438" s="1302"/>
      <c r="H438" s="1322"/>
      <c r="I438" s="1322"/>
      <c r="J438" s="1322"/>
      <c r="K438" s="1322"/>
      <c r="L438" s="1322"/>
      <c r="M438" s="1322"/>
      <c r="N438" s="1322"/>
      <c r="O438" s="1326"/>
      <c r="P438" s="1322"/>
      <c r="Q438" s="1323"/>
      <c r="R438" s="1324"/>
      <c r="S438" s="1325"/>
      <c r="T438" s="1353"/>
      <c r="U438" s="1463"/>
      <c r="V438" s="1464"/>
      <c r="W438" s="1482"/>
      <c r="X438" s="1307"/>
    </row>
    <row r="439" spans="1:24" s="1308" customFormat="1" ht="15" customHeight="1" x14ac:dyDescent="0.25">
      <c r="A439" s="730"/>
      <c r="B439" s="1286">
        <f t="shared" si="25"/>
        <v>336</v>
      </c>
      <c r="C439" s="1775"/>
      <c r="D439" s="1779"/>
      <c r="E439" s="1779"/>
      <c r="F439" s="1448" t="s">
        <v>1285</v>
      </c>
      <c r="G439" s="1302"/>
      <c r="H439" s="1322"/>
      <c r="I439" s="1322"/>
      <c r="J439" s="1322"/>
      <c r="K439" s="1322"/>
      <c r="L439" s="1322"/>
      <c r="M439" s="1322"/>
      <c r="N439" s="1322"/>
      <c r="O439" s="1326"/>
      <c r="P439" s="1322"/>
      <c r="Q439" s="1323"/>
      <c r="R439" s="1324"/>
      <c r="S439" s="1325"/>
      <c r="T439" s="1353"/>
      <c r="U439" s="1463"/>
      <c r="V439" s="1464"/>
      <c r="W439" s="1482"/>
      <c r="X439" s="1307"/>
    </row>
    <row r="440" spans="1:24" s="1308" customFormat="1" ht="15" customHeight="1" x14ac:dyDescent="0.25">
      <c r="A440" s="730"/>
      <c r="B440" s="1286">
        <f t="shared" si="25"/>
        <v>337</v>
      </c>
      <c r="C440" s="1775"/>
      <c r="D440" s="1779" t="s">
        <v>1286</v>
      </c>
      <c r="E440" s="1779" t="s">
        <v>1280</v>
      </c>
      <c r="F440" s="1448" t="s">
        <v>1424</v>
      </c>
      <c r="G440" s="1302"/>
      <c r="H440" s="1322"/>
      <c r="I440" s="1322"/>
      <c r="J440" s="1322"/>
      <c r="K440" s="1322"/>
      <c r="L440" s="1322"/>
      <c r="M440" s="1322"/>
      <c r="N440" s="1322"/>
      <c r="O440" s="1326"/>
      <c r="P440" s="1322"/>
      <c r="Q440" s="1323"/>
      <c r="R440" s="1324"/>
      <c r="S440" s="1325"/>
      <c r="T440" s="1353"/>
      <c r="U440" s="1463"/>
      <c r="V440" s="1464"/>
      <c r="W440" s="1482"/>
      <c r="X440" s="1307"/>
    </row>
    <row r="441" spans="1:24" s="1308" customFormat="1" ht="15" customHeight="1" x14ac:dyDescent="0.25">
      <c r="A441" s="730"/>
      <c r="B441" s="1286">
        <f t="shared" si="25"/>
        <v>338</v>
      </c>
      <c r="C441" s="1775"/>
      <c r="D441" s="1779"/>
      <c r="E441" s="1779"/>
      <c r="F441" s="1448" t="s">
        <v>1285</v>
      </c>
      <c r="G441" s="1302"/>
      <c r="H441" s="1322"/>
      <c r="I441" s="1322"/>
      <c r="J441" s="1322"/>
      <c r="K441" s="1322"/>
      <c r="L441" s="1322"/>
      <c r="M441" s="1322"/>
      <c r="N441" s="1322"/>
      <c r="O441" s="1326"/>
      <c r="P441" s="1322"/>
      <c r="Q441" s="1323"/>
      <c r="R441" s="1324"/>
      <c r="S441" s="1325"/>
      <c r="T441" s="1353"/>
      <c r="U441" s="1463"/>
      <c r="V441" s="1464"/>
      <c r="W441" s="1482"/>
      <c r="X441" s="1307"/>
    </row>
    <row r="442" spans="1:24" s="1308" customFormat="1" ht="15" customHeight="1" x14ac:dyDescent="0.25">
      <c r="A442" s="730"/>
      <c r="B442" s="1286">
        <f t="shared" si="25"/>
        <v>339</v>
      </c>
      <c r="C442" s="1775"/>
      <c r="D442" s="1779"/>
      <c r="E442" s="1779" t="s">
        <v>1623</v>
      </c>
      <c r="F442" s="1448" t="s">
        <v>1424</v>
      </c>
      <c r="G442" s="1302"/>
      <c r="H442" s="1322"/>
      <c r="I442" s="1322"/>
      <c r="J442" s="1322"/>
      <c r="K442" s="1322"/>
      <c r="L442" s="1322"/>
      <c r="M442" s="1322"/>
      <c r="N442" s="1322"/>
      <c r="O442" s="1326"/>
      <c r="P442" s="1322"/>
      <c r="Q442" s="1323"/>
      <c r="R442" s="1324"/>
      <c r="S442" s="1325"/>
      <c r="T442" s="1353"/>
      <c r="U442" s="1463"/>
      <c r="V442" s="1464"/>
      <c r="W442" s="1482"/>
      <c r="X442" s="1307"/>
    </row>
    <row r="443" spans="1:24" s="1308" customFormat="1" ht="15" customHeight="1" x14ac:dyDescent="0.25">
      <c r="A443" s="730"/>
      <c r="B443" s="1286">
        <f t="shared" si="25"/>
        <v>340</v>
      </c>
      <c r="C443" s="1775"/>
      <c r="D443" s="1779"/>
      <c r="E443" s="1779"/>
      <c r="F443" s="1448" t="s">
        <v>1285</v>
      </c>
      <c r="G443" s="1302"/>
      <c r="H443" s="1322"/>
      <c r="I443" s="1322"/>
      <c r="J443" s="1322"/>
      <c r="K443" s="1322"/>
      <c r="L443" s="1322"/>
      <c r="M443" s="1322"/>
      <c r="N443" s="1322"/>
      <c r="O443" s="1326"/>
      <c r="P443" s="1322"/>
      <c r="Q443" s="1323"/>
      <c r="R443" s="1324"/>
      <c r="S443" s="1325"/>
      <c r="T443" s="1353"/>
      <c r="U443" s="1463"/>
      <c r="V443" s="1464"/>
      <c r="W443" s="1482"/>
      <c r="X443" s="1307"/>
    </row>
    <row r="444" spans="1:24" s="1308" customFormat="1" ht="15" customHeight="1" x14ac:dyDescent="0.25">
      <c r="A444" s="730"/>
      <c r="B444" s="1286">
        <f t="shared" si="25"/>
        <v>341</v>
      </c>
      <c r="C444" s="1775"/>
      <c r="D444" s="1779"/>
      <c r="E444" s="1779" t="s">
        <v>1281</v>
      </c>
      <c r="F444" s="1448" t="s">
        <v>1424</v>
      </c>
      <c r="G444" s="1302"/>
      <c r="H444" s="1322"/>
      <c r="I444" s="1322"/>
      <c r="J444" s="1322"/>
      <c r="K444" s="1322"/>
      <c r="L444" s="1322"/>
      <c r="M444" s="1322"/>
      <c r="N444" s="1322"/>
      <c r="O444" s="1326"/>
      <c r="P444" s="1322"/>
      <c r="Q444" s="1323"/>
      <c r="R444" s="1324"/>
      <c r="S444" s="1325"/>
      <c r="T444" s="1353"/>
      <c r="U444" s="1463"/>
      <c r="V444" s="1464"/>
      <c r="W444" s="1482"/>
      <c r="X444" s="1307"/>
    </row>
    <row r="445" spans="1:24" s="1308" customFormat="1" ht="15" customHeight="1" x14ac:dyDescent="0.25">
      <c r="A445" s="730"/>
      <c r="B445" s="1286">
        <f t="shared" si="25"/>
        <v>342</v>
      </c>
      <c r="C445" s="1775"/>
      <c r="D445" s="1779"/>
      <c r="E445" s="1779"/>
      <c r="F445" s="1448" t="s">
        <v>1285</v>
      </c>
      <c r="G445" s="1302"/>
      <c r="H445" s="1322"/>
      <c r="I445" s="1322"/>
      <c r="J445" s="1322"/>
      <c r="K445" s="1322"/>
      <c r="L445" s="1322"/>
      <c r="M445" s="1322"/>
      <c r="N445" s="1322"/>
      <c r="O445" s="1326"/>
      <c r="P445" s="1322"/>
      <c r="Q445" s="1323"/>
      <c r="R445" s="1324"/>
      <c r="S445" s="1325"/>
      <c r="T445" s="1353"/>
      <c r="U445" s="1463"/>
      <c r="V445" s="1464"/>
      <c r="W445" s="1482"/>
      <c r="X445" s="1307"/>
    </row>
    <row r="446" spans="1:24" s="1308" customFormat="1" ht="15" customHeight="1" x14ac:dyDescent="0.25">
      <c r="A446" s="730"/>
      <c r="B446" s="1286">
        <f t="shared" si="25"/>
        <v>343</v>
      </c>
      <c r="C446" s="1775"/>
      <c r="D446" s="1779" t="s">
        <v>1287</v>
      </c>
      <c r="E446" s="1779" t="s">
        <v>1280</v>
      </c>
      <c r="F446" s="1448" t="s">
        <v>1424</v>
      </c>
      <c r="G446" s="1302"/>
      <c r="H446" s="1322"/>
      <c r="I446" s="1322"/>
      <c r="J446" s="1322"/>
      <c r="K446" s="1322"/>
      <c r="L446" s="1322"/>
      <c r="M446" s="1322"/>
      <c r="N446" s="1322"/>
      <c r="O446" s="1326"/>
      <c r="P446" s="1322"/>
      <c r="Q446" s="1323"/>
      <c r="R446" s="1324"/>
      <c r="S446" s="1325"/>
      <c r="T446" s="1353"/>
      <c r="U446" s="1463"/>
      <c r="V446" s="1464"/>
      <c r="W446" s="1482"/>
      <c r="X446" s="1307"/>
    </row>
    <row r="447" spans="1:24" s="1308" customFormat="1" ht="15" customHeight="1" x14ac:dyDescent="0.25">
      <c r="A447" s="730"/>
      <c r="B447" s="1286">
        <f t="shared" si="25"/>
        <v>344</v>
      </c>
      <c r="C447" s="1775"/>
      <c r="D447" s="1779"/>
      <c r="E447" s="1779"/>
      <c r="F447" s="1448" t="s">
        <v>1285</v>
      </c>
      <c r="G447" s="1302"/>
      <c r="H447" s="1322"/>
      <c r="I447" s="1322"/>
      <c r="J447" s="1322"/>
      <c r="K447" s="1322"/>
      <c r="L447" s="1322"/>
      <c r="M447" s="1322"/>
      <c r="N447" s="1322"/>
      <c r="O447" s="1326"/>
      <c r="P447" s="1322"/>
      <c r="Q447" s="1323"/>
      <c r="R447" s="1324"/>
      <c r="S447" s="1325"/>
      <c r="T447" s="1353"/>
      <c r="U447" s="1463"/>
      <c r="V447" s="1464"/>
      <c r="W447" s="1482"/>
      <c r="X447" s="1307"/>
    </row>
    <row r="448" spans="1:24" s="1308" customFormat="1" ht="15" customHeight="1" x14ac:dyDescent="0.25">
      <c r="A448" s="730"/>
      <c r="B448" s="1286">
        <f t="shared" si="25"/>
        <v>345</v>
      </c>
      <c r="C448" s="1775"/>
      <c r="D448" s="1779"/>
      <c r="E448" s="1779" t="s">
        <v>1623</v>
      </c>
      <c r="F448" s="1448" t="s">
        <v>1424</v>
      </c>
      <c r="G448" s="1302"/>
      <c r="H448" s="1322"/>
      <c r="I448" s="1322"/>
      <c r="J448" s="1322"/>
      <c r="K448" s="1322"/>
      <c r="L448" s="1322"/>
      <c r="M448" s="1322"/>
      <c r="N448" s="1322"/>
      <c r="O448" s="1326"/>
      <c r="P448" s="1322"/>
      <c r="Q448" s="1323"/>
      <c r="R448" s="1324"/>
      <c r="S448" s="1325"/>
      <c r="T448" s="1353"/>
      <c r="U448" s="1463"/>
      <c r="V448" s="1464"/>
      <c r="W448" s="1482"/>
      <c r="X448" s="1307"/>
    </row>
    <row r="449" spans="1:24" s="1308" customFormat="1" ht="15" customHeight="1" x14ac:dyDescent="0.25">
      <c r="A449" s="730"/>
      <c r="B449" s="1286">
        <f t="shared" si="25"/>
        <v>346</v>
      </c>
      <c r="C449" s="1775"/>
      <c r="D449" s="1779"/>
      <c r="E449" s="1779"/>
      <c r="F449" s="1448" t="s">
        <v>1285</v>
      </c>
      <c r="G449" s="1302"/>
      <c r="H449" s="1322"/>
      <c r="I449" s="1322"/>
      <c r="J449" s="1322"/>
      <c r="K449" s="1322"/>
      <c r="L449" s="1322"/>
      <c r="M449" s="1322"/>
      <c r="N449" s="1322"/>
      <c r="O449" s="1326"/>
      <c r="P449" s="1322"/>
      <c r="Q449" s="1323"/>
      <c r="R449" s="1324"/>
      <c r="S449" s="1325"/>
      <c r="T449" s="1353"/>
      <c r="U449" s="1463"/>
      <c r="V449" s="1464"/>
      <c r="W449" s="1482"/>
      <c r="X449" s="1307"/>
    </row>
    <row r="450" spans="1:24" s="1308" customFormat="1" ht="15" customHeight="1" x14ac:dyDescent="0.25">
      <c r="A450" s="730"/>
      <c r="B450" s="1286">
        <f t="shared" si="25"/>
        <v>347</v>
      </c>
      <c r="C450" s="1775"/>
      <c r="D450" s="1779"/>
      <c r="E450" s="1779" t="s">
        <v>1281</v>
      </c>
      <c r="F450" s="1448" t="s">
        <v>1424</v>
      </c>
      <c r="G450" s="1302"/>
      <c r="H450" s="1322"/>
      <c r="I450" s="1322"/>
      <c r="J450" s="1322"/>
      <c r="K450" s="1322"/>
      <c r="L450" s="1322"/>
      <c r="M450" s="1322"/>
      <c r="N450" s="1322"/>
      <c r="O450" s="1326"/>
      <c r="P450" s="1322"/>
      <c r="Q450" s="1323"/>
      <c r="R450" s="1324"/>
      <c r="S450" s="1325"/>
      <c r="T450" s="1353"/>
      <c r="U450" s="1463"/>
      <c r="V450" s="1464"/>
      <c r="W450" s="1482"/>
      <c r="X450" s="1307"/>
    </row>
    <row r="451" spans="1:24" s="1308" customFormat="1" ht="15" customHeight="1" x14ac:dyDescent="0.25">
      <c r="A451" s="730"/>
      <c r="B451" s="1286">
        <f t="shared" si="25"/>
        <v>348</v>
      </c>
      <c r="C451" s="1775"/>
      <c r="D451" s="1779"/>
      <c r="E451" s="1779"/>
      <c r="F451" s="1448" t="s">
        <v>1285</v>
      </c>
      <c r="G451" s="1302"/>
      <c r="H451" s="1322"/>
      <c r="I451" s="1322"/>
      <c r="J451" s="1322"/>
      <c r="K451" s="1322"/>
      <c r="L451" s="1322"/>
      <c r="M451" s="1322"/>
      <c r="N451" s="1322"/>
      <c r="O451" s="1326"/>
      <c r="P451" s="1322"/>
      <c r="Q451" s="1323"/>
      <c r="R451" s="1324"/>
      <c r="S451" s="1325"/>
      <c r="T451" s="1353"/>
      <c r="U451" s="1463"/>
      <c r="V451" s="1464"/>
      <c r="W451" s="1482"/>
      <c r="X451" s="1307"/>
    </row>
    <row r="452" spans="1:24" s="1308" customFormat="1" ht="15" customHeight="1" x14ac:dyDescent="0.25">
      <c r="A452" s="730"/>
      <c r="B452" s="1286">
        <f t="shared" si="25"/>
        <v>349</v>
      </c>
      <c r="C452" s="1775"/>
      <c r="D452" s="1779" t="s">
        <v>1288</v>
      </c>
      <c r="E452" s="1779" t="s">
        <v>1280</v>
      </c>
      <c r="F452" s="1448" t="s">
        <v>1424</v>
      </c>
      <c r="G452" s="1302"/>
      <c r="H452" s="1322"/>
      <c r="I452" s="1322"/>
      <c r="J452" s="1322"/>
      <c r="K452" s="1322"/>
      <c r="L452" s="1322"/>
      <c r="M452" s="1322"/>
      <c r="N452" s="1322"/>
      <c r="O452" s="1326"/>
      <c r="P452" s="1322"/>
      <c r="Q452" s="1323"/>
      <c r="R452" s="1324"/>
      <c r="S452" s="1325"/>
      <c r="T452" s="1353"/>
      <c r="U452" s="1463"/>
      <c r="V452" s="1464"/>
      <c r="W452" s="1482"/>
      <c r="X452" s="1307"/>
    </row>
    <row r="453" spans="1:24" s="1308" customFormat="1" ht="15" customHeight="1" x14ac:dyDescent="0.25">
      <c r="A453" s="730"/>
      <c r="B453" s="1286">
        <f t="shared" si="25"/>
        <v>350</v>
      </c>
      <c r="C453" s="1775"/>
      <c r="D453" s="1779"/>
      <c r="E453" s="1779"/>
      <c r="F453" s="1448" t="s">
        <v>1285</v>
      </c>
      <c r="G453" s="1302"/>
      <c r="H453" s="1322"/>
      <c r="I453" s="1322"/>
      <c r="J453" s="1322"/>
      <c r="K453" s="1322"/>
      <c r="L453" s="1322"/>
      <c r="M453" s="1322"/>
      <c r="N453" s="1322"/>
      <c r="O453" s="1326"/>
      <c r="P453" s="1322"/>
      <c r="Q453" s="1323"/>
      <c r="R453" s="1324"/>
      <c r="S453" s="1325"/>
      <c r="T453" s="1353"/>
      <c r="U453" s="1463"/>
      <c r="V453" s="1464"/>
      <c r="W453" s="1482"/>
      <c r="X453" s="1307"/>
    </row>
    <row r="454" spans="1:24" s="1308" customFormat="1" ht="15" customHeight="1" x14ac:dyDescent="0.25">
      <c r="A454" s="730"/>
      <c r="B454" s="1286">
        <f t="shared" si="25"/>
        <v>351</v>
      </c>
      <c r="C454" s="1775"/>
      <c r="D454" s="1779"/>
      <c r="E454" s="1779" t="s">
        <v>1623</v>
      </c>
      <c r="F454" s="1448" t="s">
        <v>1424</v>
      </c>
      <c r="G454" s="1302"/>
      <c r="H454" s="1322"/>
      <c r="I454" s="1322"/>
      <c r="J454" s="1322"/>
      <c r="K454" s="1322"/>
      <c r="L454" s="1322"/>
      <c r="M454" s="1322"/>
      <c r="N454" s="1322"/>
      <c r="O454" s="1326"/>
      <c r="P454" s="1322"/>
      <c r="Q454" s="1323"/>
      <c r="R454" s="1324"/>
      <c r="S454" s="1325"/>
      <c r="T454" s="1353"/>
      <c r="U454" s="1463"/>
      <c r="V454" s="1464"/>
      <c r="W454" s="1482"/>
      <c r="X454" s="1307"/>
    </row>
    <row r="455" spans="1:24" s="1308" customFormat="1" ht="15" customHeight="1" x14ac:dyDescent="0.25">
      <c r="A455" s="730"/>
      <c r="B455" s="1286">
        <f t="shared" si="25"/>
        <v>352</v>
      </c>
      <c r="C455" s="1775"/>
      <c r="D455" s="1779"/>
      <c r="E455" s="1779"/>
      <c r="F455" s="1448" t="s">
        <v>1285</v>
      </c>
      <c r="G455" s="1302"/>
      <c r="H455" s="1322"/>
      <c r="I455" s="1322"/>
      <c r="J455" s="1322"/>
      <c r="K455" s="1322"/>
      <c r="L455" s="1322"/>
      <c r="M455" s="1322"/>
      <c r="N455" s="1322"/>
      <c r="O455" s="1326"/>
      <c r="P455" s="1322"/>
      <c r="Q455" s="1323"/>
      <c r="R455" s="1324"/>
      <c r="S455" s="1325"/>
      <c r="T455" s="1353"/>
      <c r="U455" s="1463"/>
      <c r="V455" s="1464"/>
      <c r="W455" s="1482"/>
      <c r="X455" s="1307"/>
    </row>
    <row r="456" spans="1:24" s="1308" customFormat="1" ht="15" customHeight="1" x14ac:dyDescent="0.25">
      <c r="A456" s="730"/>
      <c r="B456" s="1286">
        <f t="shared" si="25"/>
        <v>353</v>
      </c>
      <c r="C456" s="1775"/>
      <c r="D456" s="1779"/>
      <c r="E456" s="1779" t="s">
        <v>1281</v>
      </c>
      <c r="F456" s="1448" t="s">
        <v>1424</v>
      </c>
      <c r="G456" s="1302"/>
      <c r="H456" s="1322"/>
      <c r="I456" s="1322"/>
      <c r="J456" s="1322"/>
      <c r="K456" s="1322"/>
      <c r="L456" s="1322"/>
      <c r="M456" s="1322"/>
      <c r="N456" s="1322"/>
      <c r="O456" s="1326"/>
      <c r="P456" s="1322"/>
      <c r="Q456" s="1323"/>
      <c r="R456" s="1324"/>
      <c r="S456" s="1325"/>
      <c r="T456" s="1353"/>
      <c r="U456" s="1463"/>
      <c r="V456" s="1464"/>
      <c r="W456" s="1482"/>
      <c r="X456" s="1307"/>
    </row>
    <row r="457" spans="1:24" s="1308" customFormat="1" ht="15" customHeight="1" x14ac:dyDescent="0.25">
      <c r="A457" s="730"/>
      <c r="B457" s="1286">
        <f t="shared" si="25"/>
        <v>354</v>
      </c>
      <c r="C457" s="1775"/>
      <c r="D457" s="1779"/>
      <c r="E457" s="1779"/>
      <c r="F457" s="1448" t="s">
        <v>1285</v>
      </c>
      <c r="G457" s="1302"/>
      <c r="H457" s="1322"/>
      <c r="I457" s="1322"/>
      <c r="J457" s="1322"/>
      <c r="K457" s="1322"/>
      <c r="L457" s="1322"/>
      <c r="M457" s="1322"/>
      <c r="N457" s="1322"/>
      <c r="O457" s="1326"/>
      <c r="P457" s="1322"/>
      <c r="Q457" s="1323"/>
      <c r="R457" s="1324"/>
      <c r="S457" s="1325"/>
      <c r="T457" s="1353"/>
      <c r="U457" s="1463"/>
      <c r="V457" s="1464"/>
      <c r="W457" s="1482"/>
      <c r="X457" s="1307"/>
    </row>
    <row r="458" spans="1:24" s="1308" customFormat="1" ht="15" customHeight="1" x14ac:dyDescent="0.25">
      <c r="A458" s="730"/>
      <c r="B458" s="1286">
        <f t="shared" si="25"/>
        <v>355</v>
      </c>
      <c r="C458" s="1775"/>
      <c r="D458" s="1779" t="s">
        <v>1279</v>
      </c>
      <c r="E458" s="1779" t="s">
        <v>1280</v>
      </c>
      <c r="F458" s="1448" t="s">
        <v>1424</v>
      </c>
      <c r="G458" s="1302"/>
      <c r="H458" s="1322"/>
      <c r="I458" s="1322"/>
      <c r="J458" s="1322"/>
      <c r="K458" s="1322"/>
      <c r="L458" s="1322"/>
      <c r="M458" s="1322"/>
      <c r="N458" s="1322"/>
      <c r="O458" s="1326"/>
      <c r="P458" s="1322"/>
      <c r="Q458" s="1323"/>
      <c r="R458" s="1324"/>
      <c r="S458" s="1325"/>
      <c r="T458" s="1353"/>
      <c r="U458" s="1463"/>
      <c r="V458" s="1464"/>
      <c r="W458" s="1482"/>
      <c r="X458" s="1307"/>
    </row>
    <row r="459" spans="1:24" s="1308" customFormat="1" ht="15" customHeight="1" x14ac:dyDescent="0.25">
      <c r="A459" s="730"/>
      <c r="B459" s="1286">
        <f t="shared" si="25"/>
        <v>356</v>
      </c>
      <c r="C459" s="1775"/>
      <c r="D459" s="1779"/>
      <c r="E459" s="1779"/>
      <c r="F459" s="1448" t="s">
        <v>1285</v>
      </c>
      <c r="G459" s="1302"/>
      <c r="H459" s="1322"/>
      <c r="I459" s="1322"/>
      <c r="J459" s="1322"/>
      <c r="K459" s="1322"/>
      <c r="L459" s="1322"/>
      <c r="M459" s="1322"/>
      <c r="N459" s="1322"/>
      <c r="O459" s="1326"/>
      <c r="P459" s="1322"/>
      <c r="Q459" s="1323"/>
      <c r="R459" s="1324"/>
      <c r="S459" s="1325"/>
      <c r="T459" s="1353"/>
      <c r="U459" s="1463"/>
      <c r="V459" s="1464"/>
      <c r="W459" s="1482"/>
      <c r="X459" s="1307"/>
    </row>
    <row r="460" spans="1:24" s="1308" customFormat="1" ht="15" customHeight="1" x14ac:dyDescent="0.25">
      <c r="A460" s="730"/>
      <c r="B460" s="1286">
        <f t="shared" si="25"/>
        <v>357</v>
      </c>
      <c r="C460" s="1775"/>
      <c r="D460" s="1779"/>
      <c r="E460" s="1779" t="s">
        <v>1623</v>
      </c>
      <c r="F460" s="1448" t="s">
        <v>1424</v>
      </c>
      <c r="G460" s="1302"/>
      <c r="H460" s="1322"/>
      <c r="I460" s="1322"/>
      <c r="J460" s="1322"/>
      <c r="K460" s="1322"/>
      <c r="L460" s="1322"/>
      <c r="M460" s="1322"/>
      <c r="N460" s="1322"/>
      <c r="O460" s="1326"/>
      <c r="P460" s="1322"/>
      <c r="Q460" s="1323"/>
      <c r="R460" s="1324"/>
      <c r="S460" s="1325"/>
      <c r="T460" s="1353"/>
      <c r="U460" s="1463"/>
      <c r="V460" s="1464"/>
      <c r="W460" s="1482"/>
      <c r="X460" s="1307"/>
    </row>
    <row r="461" spans="1:24" s="1308" customFormat="1" ht="15" customHeight="1" x14ac:dyDescent="0.25">
      <c r="A461" s="730"/>
      <c r="B461" s="1286">
        <f t="shared" si="25"/>
        <v>358</v>
      </c>
      <c r="C461" s="1775"/>
      <c r="D461" s="1779"/>
      <c r="E461" s="1779"/>
      <c r="F461" s="1448" t="s">
        <v>1285</v>
      </c>
      <c r="G461" s="1302"/>
      <c r="H461" s="1322"/>
      <c r="I461" s="1322"/>
      <c r="J461" s="1322"/>
      <c r="K461" s="1322"/>
      <c r="L461" s="1322"/>
      <c r="M461" s="1322"/>
      <c r="N461" s="1322"/>
      <c r="O461" s="1326"/>
      <c r="P461" s="1322"/>
      <c r="Q461" s="1323"/>
      <c r="R461" s="1324"/>
      <c r="S461" s="1325"/>
      <c r="T461" s="1353"/>
      <c r="U461" s="1463"/>
      <c r="V461" s="1464"/>
      <c r="W461" s="1482"/>
      <c r="X461" s="1307"/>
    </row>
    <row r="462" spans="1:24" s="1308" customFormat="1" ht="15" customHeight="1" x14ac:dyDescent="0.25">
      <c r="A462" s="730"/>
      <c r="B462" s="1286">
        <f t="shared" si="25"/>
        <v>359</v>
      </c>
      <c r="C462" s="1775"/>
      <c r="D462" s="1779"/>
      <c r="E462" s="1779" t="s">
        <v>1281</v>
      </c>
      <c r="F462" s="1448" t="s">
        <v>1424</v>
      </c>
      <c r="G462" s="1302"/>
      <c r="H462" s="1322"/>
      <c r="I462" s="1322"/>
      <c r="J462" s="1322"/>
      <c r="K462" s="1322"/>
      <c r="L462" s="1322"/>
      <c r="M462" s="1322"/>
      <c r="N462" s="1322"/>
      <c r="O462" s="1326"/>
      <c r="P462" s="1322"/>
      <c r="Q462" s="1323"/>
      <c r="R462" s="1324"/>
      <c r="S462" s="1325"/>
      <c r="T462" s="1353"/>
      <c r="U462" s="1463"/>
      <c r="V462" s="1464"/>
      <c r="W462" s="1482"/>
      <c r="X462" s="1307"/>
    </row>
    <row r="463" spans="1:24" s="1308" customFormat="1" ht="15" customHeight="1" x14ac:dyDescent="0.25">
      <c r="A463" s="730"/>
      <c r="B463" s="1287">
        <f t="shared" si="25"/>
        <v>360</v>
      </c>
      <c r="C463" s="1776"/>
      <c r="D463" s="1794"/>
      <c r="E463" s="1794"/>
      <c r="F463" s="1449" t="s">
        <v>1285</v>
      </c>
      <c r="G463" s="1327"/>
      <c r="H463" s="1303"/>
      <c r="I463" s="1303"/>
      <c r="J463" s="1303"/>
      <c r="K463" s="1303"/>
      <c r="L463" s="1303"/>
      <c r="M463" s="1303"/>
      <c r="N463" s="1303"/>
      <c r="O463" s="1328"/>
      <c r="P463" s="1303"/>
      <c r="Q463" s="1304"/>
      <c r="R463" s="1305"/>
      <c r="S463" s="1306"/>
      <c r="T463" s="1351"/>
      <c r="U463" s="1466"/>
      <c r="V463" s="1467"/>
      <c r="W463" s="1483"/>
      <c r="X463" s="1307"/>
    </row>
    <row r="464" spans="1:24" s="1308" customFormat="1" ht="15" customHeight="1" x14ac:dyDescent="0.25">
      <c r="A464" s="730"/>
      <c r="B464" s="1285">
        <f t="shared" si="25"/>
        <v>361</v>
      </c>
      <c r="C464" s="1774" t="s">
        <v>1269</v>
      </c>
      <c r="D464" s="1780" t="s">
        <v>1278</v>
      </c>
      <c r="E464" s="1780" t="s">
        <v>1280</v>
      </c>
      <c r="F464" s="1450" t="s">
        <v>1424</v>
      </c>
      <c r="G464" s="1316"/>
      <c r="H464" s="1317"/>
      <c r="I464" s="1317"/>
      <c r="J464" s="1317"/>
      <c r="K464" s="1317"/>
      <c r="L464" s="1317"/>
      <c r="M464" s="1317"/>
      <c r="N464" s="1317"/>
      <c r="O464" s="1321"/>
      <c r="P464" s="1317"/>
      <c r="Q464" s="1318"/>
      <c r="R464" s="1319"/>
      <c r="S464" s="1320"/>
      <c r="T464" s="1349"/>
      <c r="U464" s="1460"/>
      <c r="V464" s="1461"/>
      <c r="W464" s="1481"/>
      <c r="X464" s="1307"/>
    </row>
    <row r="465" spans="1:24" s="1308" customFormat="1" ht="15" customHeight="1" x14ac:dyDescent="0.25">
      <c r="A465" s="730"/>
      <c r="B465" s="1286">
        <f t="shared" si="25"/>
        <v>362</v>
      </c>
      <c r="C465" s="1775"/>
      <c r="D465" s="1779"/>
      <c r="E465" s="1779"/>
      <c r="F465" s="1448" t="s">
        <v>1285</v>
      </c>
      <c r="G465" s="1302"/>
      <c r="H465" s="1322"/>
      <c r="I465" s="1322"/>
      <c r="J465" s="1322"/>
      <c r="K465" s="1322"/>
      <c r="L465" s="1322"/>
      <c r="M465" s="1322"/>
      <c r="N465" s="1322"/>
      <c r="O465" s="1326"/>
      <c r="P465" s="1322"/>
      <c r="Q465" s="1323"/>
      <c r="R465" s="1324"/>
      <c r="S465" s="1325"/>
      <c r="T465" s="1353"/>
      <c r="U465" s="1463"/>
      <c r="V465" s="1464"/>
      <c r="W465" s="1482"/>
      <c r="X465" s="1307"/>
    </row>
    <row r="466" spans="1:24" s="1308" customFormat="1" ht="15" customHeight="1" x14ac:dyDescent="0.25">
      <c r="A466" s="730"/>
      <c r="B466" s="1286">
        <f t="shared" si="25"/>
        <v>363</v>
      </c>
      <c r="C466" s="1775"/>
      <c r="D466" s="1779"/>
      <c r="E466" s="1779" t="s">
        <v>1623</v>
      </c>
      <c r="F466" s="1448" t="s">
        <v>1424</v>
      </c>
      <c r="G466" s="1302"/>
      <c r="H466" s="1322"/>
      <c r="I466" s="1322"/>
      <c r="J466" s="1322"/>
      <c r="K466" s="1322"/>
      <c r="L466" s="1322"/>
      <c r="M466" s="1322"/>
      <c r="N466" s="1322"/>
      <c r="O466" s="1326"/>
      <c r="P466" s="1322"/>
      <c r="Q466" s="1323"/>
      <c r="R466" s="1324"/>
      <c r="S466" s="1325"/>
      <c r="T466" s="1353"/>
      <c r="U466" s="1463"/>
      <c r="V466" s="1464"/>
      <c r="W466" s="1482"/>
      <c r="X466" s="1307"/>
    </row>
    <row r="467" spans="1:24" s="1308" customFormat="1" ht="15" customHeight="1" x14ac:dyDescent="0.25">
      <c r="A467" s="730"/>
      <c r="B467" s="1286">
        <f t="shared" si="25"/>
        <v>364</v>
      </c>
      <c r="C467" s="1775"/>
      <c r="D467" s="1779"/>
      <c r="E467" s="1779"/>
      <c r="F467" s="1448" t="s">
        <v>1285</v>
      </c>
      <c r="G467" s="1302"/>
      <c r="H467" s="1322"/>
      <c r="I467" s="1322"/>
      <c r="J467" s="1322"/>
      <c r="K467" s="1322"/>
      <c r="L467" s="1322"/>
      <c r="M467" s="1322"/>
      <c r="N467" s="1322"/>
      <c r="O467" s="1326"/>
      <c r="P467" s="1322"/>
      <c r="Q467" s="1323"/>
      <c r="R467" s="1324"/>
      <c r="S467" s="1325"/>
      <c r="T467" s="1353"/>
      <c r="U467" s="1463"/>
      <c r="V467" s="1464"/>
      <c r="W467" s="1482"/>
      <c r="X467" s="1307"/>
    </row>
    <row r="468" spans="1:24" s="1308" customFormat="1" ht="15" customHeight="1" x14ac:dyDescent="0.25">
      <c r="A468" s="730"/>
      <c r="B468" s="1286">
        <f t="shared" si="25"/>
        <v>365</v>
      </c>
      <c r="C468" s="1775"/>
      <c r="D468" s="1779"/>
      <c r="E468" s="1779" t="s">
        <v>1281</v>
      </c>
      <c r="F468" s="1448" t="s">
        <v>1424</v>
      </c>
      <c r="G468" s="1302"/>
      <c r="H468" s="1322"/>
      <c r="I468" s="1322"/>
      <c r="J468" s="1322"/>
      <c r="K468" s="1322"/>
      <c r="L468" s="1322"/>
      <c r="M468" s="1322"/>
      <c r="N468" s="1322"/>
      <c r="O468" s="1326"/>
      <c r="P468" s="1322"/>
      <c r="Q468" s="1323"/>
      <c r="R468" s="1324"/>
      <c r="S468" s="1325"/>
      <c r="T468" s="1353"/>
      <c r="U468" s="1463"/>
      <c r="V468" s="1464"/>
      <c r="W468" s="1482"/>
      <c r="X468" s="1307"/>
    </row>
    <row r="469" spans="1:24" s="1308" customFormat="1" ht="15" customHeight="1" x14ac:dyDescent="0.25">
      <c r="A469" s="730"/>
      <c r="B469" s="1286">
        <f t="shared" si="25"/>
        <v>366</v>
      </c>
      <c r="C469" s="1775"/>
      <c r="D469" s="1779"/>
      <c r="E469" s="1779"/>
      <c r="F469" s="1448" t="s">
        <v>1285</v>
      </c>
      <c r="G469" s="1302"/>
      <c r="H469" s="1322"/>
      <c r="I469" s="1322"/>
      <c r="J469" s="1322"/>
      <c r="K469" s="1322"/>
      <c r="L469" s="1322"/>
      <c r="M469" s="1322"/>
      <c r="N469" s="1322"/>
      <c r="O469" s="1326"/>
      <c r="P469" s="1322"/>
      <c r="Q469" s="1323"/>
      <c r="R469" s="1324"/>
      <c r="S469" s="1325"/>
      <c r="T469" s="1353"/>
      <c r="U469" s="1463"/>
      <c r="V469" s="1464"/>
      <c r="W469" s="1482"/>
      <c r="X469" s="1307"/>
    </row>
    <row r="470" spans="1:24" s="1308" customFormat="1" ht="15" customHeight="1" x14ac:dyDescent="0.25">
      <c r="A470" s="730"/>
      <c r="B470" s="1286">
        <f t="shared" si="25"/>
        <v>367</v>
      </c>
      <c r="C470" s="1775"/>
      <c r="D470" s="1779" t="s">
        <v>1624</v>
      </c>
      <c r="E470" s="1779" t="s">
        <v>1280</v>
      </c>
      <c r="F470" s="1448" t="s">
        <v>1424</v>
      </c>
      <c r="G470" s="1302"/>
      <c r="H470" s="1322"/>
      <c r="I470" s="1322"/>
      <c r="J470" s="1322"/>
      <c r="K470" s="1322"/>
      <c r="L470" s="1322"/>
      <c r="M470" s="1322"/>
      <c r="N470" s="1322"/>
      <c r="O470" s="1326"/>
      <c r="P470" s="1322"/>
      <c r="Q470" s="1323"/>
      <c r="R470" s="1324"/>
      <c r="S470" s="1325"/>
      <c r="T470" s="1353"/>
      <c r="U470" s="1463"/>
      <c r="V470" s="1464"/>
      <c r="W470" s="1482"/>
      <c r="X470" s="1307"/>
    </row>
    <row r="471" spans="1:24" s="1308" customFormat="1" ht="15" customHeight="1" x14ac:dyDescent="0.25">
      <c r="A471" s="730"/>
      <c r="B471" s="1286">
        <f t="shared" si="25"/>
        <v>368</v>
      </c>
      <c r="C471" s="1775"/>
      <c r="D471" s="1779"/>
      <c r="E471" s="1779"/>
      <c r="F471" s="1448" t="s">
        <v>1285</v>
      </c>
      <c r="G471" s="1302"/>
      <c r="H471" s="1322"/>
      <c r="I471" s="1322"/>
      <c r="J471" s="1322"/>
      <c r="K471" s="1322"/>
      <c r="L471" s="1322"/>
      <c r="M471" s="1322"/>
      <c r="N471" s="1322"/>
      <c r="O471" s="1326"/>
      <c r="P471" s="1322"/>
      <c r="Q471" s="1323"/>
      <c r="R471" s="1324"/>
      <c r="S471" s="1325"/>
      <c r="T471" s="1353"/>
      <c r="U471" s="1463"/>
      <c r="V471" s="1464"/>
      <c r="W471" s="1482"/>
      <c r="X471" s="1307"/>
    </row>
    <row r="472" spans="1:24" s="1308" customFormat="1" ht="15" customHeight="1" x14ac:dyDescent="0.25">
      <c r="A472" s="730"/>
      <c r="B472" s="1286">
        <f t="shared" si="25"/>
        <v>369</v>
      </c>
      <c r="C472" s="1775"/>
      <c r="D472" s="1779"/>
      <c r="E472" s="1779" t="s">
        <v>1623</v>
      </c>
      <c r="F472" s="1448" t="s">
        <v>1424</v>
      </c>
      <c r="G472" s="1302"/>
      <c r="H472" s="1322"/>
      <c r="I472" s="1322"/>
      <c r="J472" s="1322"/>
      <c r="K472" s="1322"/>
      <c r="L472" s="1322"/>
      <c r="M472" s="1322"/>
      <c r="N472" s="1322"/>
      <c r="O472" s="1326"/>
      <c r="P472" s="1322"/>
      <c r="Q472" s="1323"/>
      <c r="R472" s="1324"/>
      <c r="S472" s="1325"/>
      <c r="T472" s="1353"/>
      <c r="U472" s="1463"/>
      <c r="V472" s="1464"/>
      <c r="W472" s="1482"/>
      <c r="X472" s="1307"/>
    </row>
    <row r="473" spans="1:24" s="1308" customFormat="1" ht="15" customHeight="1" x14ac:dyDescent="0.25">
      <c r="A473" s="730"/>
      <c r="B473" s="1286">
        <f t="shared" si="25"/>
        <v>370</v>
      </c>
      <c r="C473" s="1775"/>
      <c r="D473" s="1779"/>
      <c r="E473" s="1779"/>
      <c r="F473" s="1448" t="s">
        <v>1285</v>
      </c>
      <c r="G473" s="1302"/>
      <c r="H473" s="1322"/>
      <c r="I473" s="1322"/>
      <c r="J473" s="1322"/>
      <c r="K473" s="1322"/>
      <c r="L473" s="1322"/>
      <c r="M473" s="1322"/>
      <c r="N473" s="1322"/>
      <c r="O473" s="1326"/>
      <c r="P473" s="1322"/>
      <c r="Q473" s="1323"/>
      <c r="R473" s="1324"/>
      <c r="S473" s="1325"/>
      <c r="T473" s="1353"/>
      <c r="U473" s="1463"/>
      <c r="V473" s="1464"/>
      <c r="W473" s="1482"/>
      <c r="X473" s="1307"/>
    </row>
    <row r="474" spans="1:24" s="1308" customFormat="1" ht="15" customHeight="1" x14ac:dyDescent="0.25">
      <c r="A474" s="730"/>
      <c r="B474" s="1286">
        <f t="shared" si="25"/>
        <v>371</v>
      </c>
      <c r="C474" s="1775"/>
      <c r="D474" s="1779"/>
      <c r="E474" s="1779" t="s">
        <v>1281</v>
      </c>
      <c r="F474" s="1448" t="s">
        <v>1424</v>
      </c>
      <c r="G474" s="1302"/>
      <c r="H474" s="1322"/>
      <c r="I474" s="1322"/>
      <c r="J474" s="1322"/>
      <c r="K474" s="1322"/>
      <c r="L474" s="1322"/>
      <c r="M474" s="1322"/>
      <c r="N474" s="1322"/>
      <c r="O474" s="1326"/>
      <c r="P474" s="1322"/>
      <c r="Q474" s="1323"/>
      <c r="R474" s="1324"/>
      <c r="S474" s="1325"/>
      <c r="T474" s="1353"/>
      <c r="U474" s="1463"/>
      <c r="V474" s="1464"/>
      <c r="W474" s="1482"/>
      <c r="X474" s="1307"/>
    </row>
    <row r="475" spans="1:24" s="1308" customFormat="1" ht="15" customHeight="1" x14ac:dyDescent="0.25">
      <c r="A475" s="730"/>
      <c r="B475" s="1286">
        <f t="shared" si="25"/>
        <v>372</v>
      </c>
      <c r="C475" s="1775"/>
      <c r="D475" s="1779"/>
      <c r="E475" s="1779"/>
      <c r="F475" s="1448" t="s">
        <v>1285</v>
      </c>
      <c r="G475" s="1302"/>
      <c r="H475" s="1322"/>
      <c r="I475" s="1322"/>
      <c r="J475" s="1322"/>
      <c r="K475" s="1322"/>
      <c r="L475" s="1322"/>
      <c r="M475" s="1322"/>
      <c r="N475" s="1322"/>
      <c r="O475" s="1326"/>
      <c r="P475" s="1322"/>
      <c r="Q475" s="1323"/>
      <c r="R475" s="1324"/>
      <c r="S475" s="1325"/>
      <c r="T475" s="1353"/>
      <c r="U475" s="1463"/>
      <c r="V475" s="1464"/>
      <c r="W475" s="1482"/>
      <c r="X475" s="1307"/>
    </row>
    <row r="476" spans="1:24" s="1308" customFormat="1" ht="15" customHeight="1" x14ac:dyDescent="0.25">
      <c r="A476" s="730"/>
      <c r="B476" s="1286">
        <f t="shared" si="25"/>
        <v>373</v>
      </c>
      <c r="C476" s="1775"/>
      <c r="D476" s="1779" t="s">
        <v>1286</v>
      </c>
      <c r="E476" s="1779" t="s">
        <v>1280</v>
      </c>
      <c r="F476" s="1448" t="s">
        <v>1424</v>
      </c>
      <c r="G476" s="1302"/>
      <c r="H476" s="1322"/>
      <c r="I476" s="1322"/>
      <c r="J476" s="1322"/>
      <c r="K476" s="1322"/>
      <c r="L476" s="1322"/>
      <c r="M476" s="1322"/>
      <c r="N476" s="1322"/>
      <c r="O476" s="1326"/>
      <c r="P476" s="1322"/>
      <c r="Q476" s="1323"/>
      <c r="R476" s="1324"/>
      <c r="S476" s="1325"/>
      <c r="T476" s="1353"/>
      <c r="U476" s="1463"/>
      <c r="V476" s="1464"/>
      <c r="W476" s="1482"/>
      <c r="X476" s="1307"/>
    </row>
    <row r="477" spans="1:24" s="1308" customFormat="1" ht="15" customHeight="1" x14ac:dyDescent="0.25">
      <c r="A477" s="730"/>
      <c r="B477" s="1286">
        <f t="shared" si="25"/>
        <v>374</v>
      </c>
      <c r="C477" s="1775"/>
      <c r="D477" s="1779"/>
      <c r="E477" s="1779"/>
      <c r="F477" s="1448" t="s">
        <v>1285</v>
      </c>
      <c r="G477" s="1302"/>
      <c r="H477" s="1322"/>
      <c r="I477" s="1322"/>
      <c r="J477" s="1322"/>
      <c r="K477" s="1322"/>
      <c r="L477" s="1322"/>
      <c r="M477" s="1322"/>
      <c r="N477" s="1322"/>
      <c r="O477" s="1326"/>
      <c r="P477" s="1322"/>
      <c r="Q477" s="1323"/>
      <c r="R477" s="1324"/>
      <c r="S477" s="1325"/>
      <c r="T477" s="1353"/>
      <c r="U477" s="1463"/>
      <c r="V477" s="1464"/>
      <c r="W477" s="1482"/>
      <c r="X477" s="1307"/>
    </row>
    <row r="478" spans="1:24" s="1308" customFormat="1" ht="15" customHeight="1" x14ac:dyDescent="0.25">
      <c r="A478" s="730"/>
      <c r="B478" s="1286">
        <f t="shared" si="25"/>
        <v>375</v>
      </c>
      <c r="C478" s="1775"/>
      <c r="D478" s="1779"/>
      <c r="E478" s="1779" t="s">
        <v>1623</v>
      </c>
      <c r="F478" s="1448" t="s">
        <v>1424</v>
      </c>
      <c r="G478" s="1302"/>
      <c r="H478" s="1322"/>
      <c r="I478" s="1322"/>
      <c r="J478" s="1322"/>
      <c r="K478" s="1322"/>
      <c r="L478" s="1322"/>
      <c r="M478" s="1322"/>
      <c r="N478" s="1322"/>
      <c r="O478" s="1326"/>
      <c r="P478" s="1322"/>
      <c r="Q478" s="1323"/>
      <c r="R478" s="1324"/>
      <c r="S478" s="1325"/>
      <c r="T478" s="1353"/>
      <c r="U478" s="1463"/>
      <c r="V478" s="1464"/>
      <c r="W478" s="1482"/>
      <c r="X478" s="1307"/>
    </row>
    <row r="479" spans="1:24" s="1308" customFormat="1" ht="15" customHeight="1" x14ac:dyDescent="0.25">
      <c r="A479" s="730"/>
      <c r="B479" s="1286">
        <f t="shared" si="25"/>
        <v>376</v>
      </c>
      <c r="C479" s="1775"/>
      <c r="D479" s="1779"/>
      <c r="E479" s="1779"/>
      <c r="F479" s="1448" t="s">
        <v>1285</v>
      </c>
      <c r="G479" s="1302"/>
      <c r="H479" s="1322"/>
      <c r="I479" s="1322"/>
      <c r="J479" s="1322"/>
      <c r="K479" s="1322"/>
      <c r="L479" s="1322"/>
      <c r="M479" s="1322"/>
      <c r="N479" s="1322"/>
      <c r="O479" s="1326"/>
      <c r="P479" s="1322"/>
      <c r="Q479" s="1323"/>
      <c r="R479" s="1324"/>
      <c r="S479" s="1325"/>
      <c r="T479" s="1353"/>
      <c r="U479" s="1463"/>
      <c r="V479" s="1464"/>
      <c r="W479" s="1482"/>
      <c r="X479" s="1307"/>
    </row>
    <row r="480" spans="1:24" s="1308" customFormat="1" ht="15" customHeight="1" x14ac:dyDescent="0.25">
      <c r="A480" s="730"/>
      <c r="B480" s="1286">
        <f t="shared" si="25"/>
        <v>377</v>
      </c>
      <c r="C480" s="1775"/>
      <c r="D480" s="1779"/>
      <c r="E480" s="1779" t="s">
        <v>1281</v>
      </c>
      <c r="F480" s="1448" t="s">
        <v>1424</v>
      </c>
      <c r="G480" s="1302"/>
      <c r="H480" s="1322"/>
      <c r="I480" s="1322"/>
      <c r="J480" s="1322"/>
      <c r="K480" s="1322"/>
      <c r="L480" s="1322"/>
      <c r="M480" s="1322"/>
      <c r="N480" s="1322"/>
      <c r="O480" s="1326"/>
      <c r="P480" s="1322"/>
      <c r="Q480" s="1323"/>
      <c r="R480" s="1324"/>
      <c r="S480" s="1325"/>
      <c r="T480" s="1353"/>
      <c r="U480" s="1463"/>
      <c r="V480" s="1464"/>
      <c r="W480" s="1482"/>
      <c r="X480" s="1307"/>
    </row>
    <row r="481" spans="1:24" s="1308" customFormat="1" ht="15" customHeight="1" x14ac:dyDescent="0.25">
      <c r="A481" s="730"/>
      <c r="B481" s="1286">
        <f t="shared" si="25"/>
        <v>378</v>
      </c>
      <c r="C481" s="1775"/>
      <c r="D481" s="1779"/>
      <c r="E481" s="1779"/>
      <c r="F481" s="1448" t="s">
        <v>1285</v>
      </c>
      <c r="G481" s="1302"/>
      <c r="H481" s="1322"/>
      <c r="I481" s="1322"/>
      <c r="J481" s="1322"/>
      <c r="K481" s="1322"/>
      <c r="L481" s="1322"/>
      <c r="M481" s="1322"/>
      <c r="N481" s="1322"/>
      <c r="O481" s="1326"/>
      <c r="P481" s="1322"/>
      <c r="Q481" s="1323"/>
      <c r="R481" s="1324"/>
      <c r="S481" s="1325"/>
      <c r="T481" s="1353"/>
      <c r="U481" s="1463"/>
      <c r="V481" s="1464"/>
      <c r="W481" s="1482"/>
      <c r="X481" s="1307"/>
    </row>
    <row r="482" spans="1:24" s="1308" customFormat="1" ht="15" customHeight="1" x14ac:dyDescent="0.25">
      <c r="A482" s="730"/>
      <c r="B482" s="1286">
        <f t="shared" si="25"/>
        <v>379</v>
      </c>
      <c r="C482" s="1775"/>
      <c r="D482" s="1779" t="s">
        <v>1287</v>
      </c>
      <c r="E482" s="1779" t="s">
        <v>1280</v>
      </c>
      <c r="F482" s="1448" t="s">
        <v>1424</v>
      </c>
      <c r="G482" s="1302"/>
      <c r="H482" s="1322"/>
      <c r="I482" s="1322"/>
      <c r="J482" s="1322"/>
      <c r="K482" s="1322"/>
      <c r="L482" s="1322"/>
      <c r="M482" s="1322"/>
      <c r="N482" s="1322"/>
      <c r="O482" s="1326"/>
      <c r="P482" s="1322"/>
      <c r="Q482" s="1323"/>
      <c r="R482" s="1324"/>
      <c r="S482" s="1325"/>
      <c r="T482" s="1353"/>
      <c r="U482" s="1463"/>
      <c r="V482" s="1464"/>
      <c r="W482" s="1482"/>
      <c r="X482" s="1307"/>
    </row>
    <row r="483" spans="1:24" s="1308" customFormat="1" ht="15" customHeight="1" x14ac:dyDescent="0.25">
      <c r="A483" s="730"/>
      <c r="B483" s="1286">
        <f t="shared" si="25"/>
        <v>380</v>
      </c>
      <c r="C483" s="1775"/>
      <c r="D483" s="1779"/>
      <c r="E483" s="1779"/>
      <c r="F483" s="1448" t="s">
        <v>1285</v>
      </c>
      <c r="G483" s="1302"/>
      <c r="H483" s="1322"/>
      <c r="I483" s="1322"/>
      <c r="J483" s="1322"/>
      <c r="K483" s="1322"/>
      <c r="L483" s="1322"/>
      <c r="M483" s="1322"/>
      <c r="N483" s="1322"/>
      <c r="O483" s="1326"/>
      <c r="P483" s="1322"/>
      <c r="Q483" s="1323"/>
      <c r="R483" s="1324"/>
      <c r="S483" s="1325"/>
      <c r="T483" s="1353"/>
      <c r="U483" s="1463"/>
      <c r="V483" s="1464"/>
      <c r="W483" s="1482"/>
      <c r="X483" s="1307"/>
    </row>
    <row r="484" spans="1:24" s="1308" customFormat="1" ht="15" customHeight="1" x14ac:dyDescent="0.25">
      <c r="A484" s="730"/>
      <c r="B484" s="1286">
        <f t="shared" si="25"/>
        <v>381</v>
      </c>
      <c r="C484" s="1775"/>
      <c r="D484" s="1779"/>
      <c r="E484" s="1779" t="s">
        <v>1623</v>
      </c>
      <c r="F484" s="1448" t="s">
        <v>1424</v>
      </c>
      <c r="G484" s="1302"/>
      <c r="H484" s="1322"/>
      <c r="I484" s="1322"/>
      <c r="J484" s="1322"/>
      <c r="K484" s="1322"/>
      <c r="L484" s="1322"/>
      <c r="M484" s="1322"/>
      <c r="N484" s="1322"/>
      <c r="O484" s="1326"/>
      <c r="P484" s="1322"/>
      <c r="Q484" s="1323"/>
      <c r="R484" s="1324"/>
      <c r="S484" s="1325"/>
      <c r="T484" s="1353"/>
      <c r="U484" s="1463"/>
      <c r="V484" s="1464"/>
      <c r="W484" s="1482"/>
      <c r="X484" s="1307"/>
    </row>
    <row r="485" spans="1:24" s="1308" customFormat="1" ht="15" customHeight="1" x14ac:dyDescent="0.25">
      <c r="A485" s="730"/>
      <c r="B485" s="1286">
        <f t="shared" si="25"/>
        <v>382</v>
      </c>
      <c r="C485" s="1775"/>
      <c r="D485" s="1779"/>
      <c r="E485" s="1779"/>
      <c r="F485" s="1448" t="s">
        <v>1285</v>
      </c>
      <c r="G485" s="1302"/>
      <c r="H485" s="1322"/>
      <c r="I485" s="1322"/>
      <c r="J485" s="1322"/>
      <c r="K485" s="1322"/>
      <c r="L485" s="1322"/>
      <c r="M485" s="1322"/>
      <c r="N485" s="1322"/>
      <c r="O485" s="1326"/>
      <c r="P485" s="1322"/>
      <c r="Q485" s="1323"/>
      <c r="R485" s="1324"/>
      <c r="S485" s="1325"/>
      <c r="T485" s="1353"/>
      <c r="U485" s="1463"/>
      <c r="V485" s="1464"/>
      <c r="W485" s="1482"/>
      <c r="X485" s="1307"/>
    </row>
    <row r="486" spans="1:24" s="1308" customFormat="1" ht="15" customHeight="1" x14ac:dyDescent="0.25">
      <c r="A486" s="730"/>
      <c r="B486" s="1286">
        <f t="shared" si="25"/>
        <v>383</v>
      </c>
      <c r="C486" s="1775"/>
      <c r="D486" s="1779"/>
      <c r="E486" s="1779" t="s">
        <v>1281</v>
      </c>
      <c r="F486" s="1448" t="s">
        <v>1424</v>
      </c>
      <c r="G486" s="1302"/>
      <c r="H486" s="1322"/>
      <c r="I486" s="1322"/>
      <c r="J486" s="1322"/>
      <c r="K486" s="1322"/>
      <c r="L486" s="1322"/>
      <c r="M486" s="1322"/>
      <c r="N486" s="1322"/>
      <c r="O486" s="1326"/>
      <c r="P486" s="1322"/>
      <c r="Q486" s="1323"/>
      <c r="R486" s="1324"/>
      <c r="S486" s="1325"/>
      <c r="T486" s="1353"/>
      <c r="U486" s="1463"/>
      <c r="V486" s="1464"/>
      <c r="W486" s="1482"/>
      <c r="X486" s="1307"/>
    </row>
    <row r="487" spans="1:24" s="1308" customFormat="1" ht="15" customHeight="1" x14ac:dyDescent="0.25">
      <c r="A487" s="730"/>
      <c r="B487" s="1286">
        <f t="shared" si="25"/>
        <v>384</v>
      </c>
      <c r="C487" s="1775"/>
      <c r="D487" s="1779"/>
      <c r="E487" s="1779"/>
      <c r="F487" s="1448" t="s">
        <v>1285</v>
      </c>
      <c r="G487" s="1302"/>
      <c r="H487" s="1322"/>
      <c r="I487" s="1322"/>
      <c r="J487" s="1322"/>
      <c r="K487" s="1322"/>
      <c r="L487" s="1322"/>
      <c r="M487" s="1322"/>
      <c r="N487" s="1322"/>
      <c r="O487" s="1326"/>
      <c r="P487" s="1322"/>
      <c r="Q487" s="1323"/>
      <c r="R487" s="1324"/>
      <c r="S487" s="1325"/>
      <c r="T487" s="1353"/>
      <c r="U487" s="1463"/>
      <c r="V487" s="1464"/>
      <c r="W487" s="1482"/>
      <c r="X487" s="1307"/>
    </row>
    <row r="488" spans="1:24" s="1308" customFormat="1" ht="15" customHeight="1" x14ac:dyDescent="0.25">
      <c r="A488" s="730"/>
      <c r="B488" s="1286">
        <f t="shared" si="25"/>
        <v>385</v>
      </c>
      <c r="C488" s="1775"/>
      <c r="D488" s="1779" t="s">
        <v>1288</v>
      </c>
      <c r="E488" s="1779" t="s">
        <v>1280</v>
      </c>
      <c r="F488" s="1448" t="s">
        <v>1424</v>
      </c>
      <c r="G488" s="1302"/>
      <c r="H488" s="1322"/>
      <c r="I488" s="1322"/>
      <c r="J488" s="1322"/>
      <c r="K488" s="1322"/>
      <c r="L488" s="1322"/>
      <c r="M488" s="1322"/>
      <c r="N488" s="1322"/>
      <c r="O488" s="1326"/>
      <c r="P488" s="1322"/>
      <c r="Q488" s="1323"/>
      <c r="R488" s="1324"/>
      <c r="S488" s="1325"/>
      <c r="T488" s="1353"/>
      <c r="U488" s="1463"/>
      <c r="V488" s="1464"/>
      <c r="W488" s="1482"/>
      <c r="X488" s="1307"/>
    </row>
    <row r="489" spans="1:24" s="1308" customFormat="1" ht="15" customHeight="1" x14ac:dyDescent="0.25">
      <c r="A489" s="730"/>
      <c r="B489" s="1286">
        <f t="shared" ref="B489:B535" si="26">B488+1</f>
        <v>386</v>
      </c>
      <c r="C489" s="1775"/>
      <c r="D489" s="1779"/>
      <c r="E489" s="1779"/>
      <c r="F489" s="1448" t="s">
        <v>1285</v>
      </c>
      <c r="G489" s="1302"/>
      <c r="H489" s="1322"/>
      <c r="I489" s="1322"/>
      <c r="J489" s="1322"/>
      <c r="K489" s="1322"/>
      <c r="L489" s="1322"/>
      <c r="M489" s="1322"/>
      <c r="N489" s="1322"/>
      <c r="O489" s="1326"/>
      <c r="P489" s="1322"/>
      <c r="Q489" s="1323"/>
      <c r="R489" s="1324"/>
      <c r="S489" s="1325"/>
      <c r="T489" s="1353"/>
      <c r="U489" s="1463"/>
      <c r="V489" s="1464"/>
      <c r="W489" s="1482"/>
      <c r="X489" s="1307"/>
    </row>
    <row r="490" spans="1:24" s="1308" customFormat="1" ht="15" customHeight="1" x14ac:dyDescent="0.25">
      <c r="A490" s="730"/>
      <c r="B490" s="1286">
        <f t="shared" si="26"/>
        <v>387</v>
      </c>
      <c r="C490" s="1775"/>
      <c r="D490" s="1779"/>
      <c r="E490" s="1779" t="s">
        <v>1623</v>
      </c>
      <c r="F490" s="1448" t="s">
        <v>1424</v>
      </c>
      <c r="G490" s="1302"/>
      <c r="H490" s="1322"/>
      <c r="I490" s="1322"/>
      <c r="J490" s="1322"/>
      <c r="K490" s="1322"/>
      <c r="L490" s="1322"/>
      <c r="M490" s="1322"/>
      <c r="N490" s="1322"/>
      <c r="O490" s="1326"/>
      <c r="P490" s="1322"/>
      <c r="Q490" s="1323"/>
      <c r="R490" s="1324"/>
      <c r="S490" s="1325"/>
      <c r="T490" s="1353"/>
      <c r="U490" s="1463"/>
      <c r="V490" s="1464"/>
      <c r="W490" s="1482"/>
      <c r="X490" s="1307"/>
    </row>
    <row r="491" spans="1:24" s="1308" customFormat="1" ht="15" customHeight="1" x14ac:dyDescent="0.25">
      <c r="A491" s="730"/>
      <c r="B491" s="1286">
        <f t="shared" si="26"/>
        <v>388</v>
      </c>
      <c r="C491" s="1775"/>
      <c r="D491" s="1779"/>
      <c r="E491" s="1779"/>
      <c r="F491" s="1448" t="s">
        <v>1285</v>
      </c>
      <c r="G491" s="1302"/>
      <c r="H491" s="1322"/>
      <c r="I491" s="1322"/>
      <c r="J491" s="1322"/>
      <c r="K491" s="1322"/>
      <c r="L491" s="1322"/>
      <c r="M491" s="1322"/>
      <c r="N491" s="1322"/>
      <c r="O491" s="1326"/>
      <c r="P491" s="1322"/>
      <c r="Q491" s="1323"/>
      <c r="R491" s="1324"/>
      <c r="S491" s="1325"/>
      <c r="T491" s="1353"/>
      <c r="U491" s="1463"/>
      <c r="V491" s="1464"/>
      <c r="W491" s="1482"/>
      <c r="X491" s="1307"/>
    </row>
    <row r="492" spans="1:24" s="1308" customFormat="1" ht="15" customHeight="1" x14ac:dyDescent="0.25">
      <c r="A492" s="730"/>
      <c r="B492" s="1286">
        <f t="shared" si="26"/>
        <v>389</v>
      </c>
      <c r="C492" s="1775"/>
      <c r="D492" s="1779"/>
      <c r="E492" s="1779" t="s">
        <v>1281</v>
      </c>
      <c r="F492" s="1448" t="s">
        <v>1424</v>
      </c>
      <c r="G492" s="1302"/>
      <c r="H492" s="1322"/>
      <c r="I492" s="1322"/>
      <c r="J492" s="1322"/>
      <c r="K492" s="1322"/>
      <c r="L492" s="1322"/>
      <c r="M492" s="1322"/>
      <c r="N492" s="1322"/>
      <c r="O492" s="1326"/>
      <c r="P492" s="1322"/>
      <c r="Q492" s="1323"/>
      <c r="R492" s="1324"/>
      <c r="S492" s="1325"/>
      <c r="T492" s="1353"/>
      <c r="U492" s="1463"/>
      <c r="V492" s="1464"/>
      <c r="W492" s="1482"/>
      <c r="X492" s="1307"/>
    </row>
    <row r="493" spans="1:24" s="1308" customFormat="1" ht="15" customHeight="1" x14ac:dyDescent="0.25">
      <c r="A493" s="730"/>
      <c r="B493" s="1286">
        <f t="shared" si="26"/>
        <v>390</v>
      </c>
      <c r="C493" s="1775"/>
      <c r="D493" s="1779"/>
      <c r="E493" s="1779"/>
      <c r="F493" s="1448" t="s">
        <v>1285</v>
      </c>
      <c r="G493" s="1302"/>
      <c r="H493" s="1322"/>
      <c r="I493" s="1322"/>
      <c r="J493" s="1322"/>
      <c r="K493" s="1322"/>
      <c r="L493" s="1322"/>
      <c r="M493" s="1322"/>
      <c r="N493" s="1322"/>
      <c r="O493" s="1326"/>
      <c r="P493" s="1322"/>
      <c r="Q493" s="1323"/>
      <c r="R493" s="1324"/>
      <c r="S493" s="1325"/>
      <c r="T493" s="1353"/>
      <c r="U493" s="1463"/>
      <c r="V493" s="1464"/>
      <c r="W493" s="1482"/>
      <c r="X493" s="1307"/>
    </row>
    <row r="494" spans="1:24" s="1308" customFormat="1" ht="15" customHeight="1" x14ac:dyDescent="0.25">
      <c r="A494" s="730"/>
      <c r="B494" s="1286">
        <f t="shared" si="26"/>
        <v>391</v>
      </c>
      <c r="C494" s="1775"/>
      <c r="D494" s="1779" t="s">
        <v>1279</v>
      </c>
      <c r="E494" s="1779" t="s">
        <v>1280</v>
      </c>
      <c r="F494" s="1448" t="s">
        <v>1424</v>
      </c>
      <c r="G494" s="1302"/>
      <c r="H494" s="1322"/>
      <c r="I494" s="1322"/>
      <c r="J494" s="1322"/>
      <c r="K494" s="1322"/>
      <c r="L494" s="1322"/>
      <c r="M494" s="1322"/>
      <c r="N494" s="1322"/>
      <c r="O494" s="1326"/>
      <c r="P494" s="1322"/>
      <c r="Q494" s="1323"/>
      <c r="R494" s="1324"/>
      <c r="S494" s="1325"/>
      <c r="T494" s="1353"/>
      <c r="U494" s="1463"/>
      <c r="V494" s="1464"/>
      <c r="W494" s="1482"/>
      <c r="X494" s="1307"/>
    </row>
    <row r="495" spans="1:24" s="1308" customFormat="1" ht="15" customHeight="1" x14ac:dyDescent="0.25">
      <c r="A495" s="730"/>
      <c r="B495" s="1286">
        <f t="shared" si="26"/>
        <v>392</v>
      </c>
      <c r="C495" s="1775"/>
      <c r="D495" s="1779"/>
      <c r="E495" s="1779"/>
      <c r="F495" s="1448" t="s">
        <v>1285</v>
      </c>
      <c r="G495" s="1302"/>
      <c r="H495" s="1322"/>
      <c r="I495" s="1322"/>
      <c r="J495" s="1322"/>
      <c r="K495" s="1322"/>
      <c r="L495" s="1322"/>
      <c r="M495" s="1322"/>
      <c r="N495" s="1322"/>
      <c r="O495" s="1326"/>
      <c r="P495" s="1322"/>
      <c r="Q495" s="1323"/>
      <c r="R495" s="1324"/>
      <c r="S495" s="1325"/>
      <c r="T495" s="1353"/>
      <c r="U495" s="1463"/>
      <c r="V495" s="1464"/>
      <c r="W495" s="1482"/>
      <c r="X495" s="1307"/>
    </row>
    <row r="496" spans="1:24" s="1308" customFormat="1" ht="15" customHeight="1" x14ac:dyDescent="0.25">
      <c r="A496" s="730"/>
      <c r="B496" s="1286">
        <f t="shared" si="26"/>
        <v>393</v>
      </c>
      <c r="C496" s="1775"/>
      <c r="D496" s="1779"/>
      <c r="E496" s="1779" t="s">
        <v>1623</v>
      </c>
      <c r="F496" s="1448" t="s">
        <v>1424</v>
      </c>
      <c r="G496" s="1302"/>
      <c r="H496" s="1322"/>
      <c r="I496" s="1322"/>
      <c r="J496" s="1322"/>
      <c r="K496" s="1322"/>
      <c r="L496" s="1322"/>
      <c r="M496" s="1322"/>
      <c r="N496" s="1322"/>
      <c r="O496" s="1326"/>
      <c r="P496" s="1322"/>
      <c r="Q496" s="1323"/>
      <c r="R496" s="1324"/>
      <c r="S496" s="1325"/>
      <c r="T496" s="1353"/>
      <c r="U496" s="1463"/>
      <c r="V496" s="1464"/>
      <c r="W496" s="1482"/>
      <c r="X496" s="1307"/>
    </row>
    <row r="497" spans="1:24" s="1308" customFormat="1" ht="15" customHeight="1" x14ac:dyDescent="0.25">
      <c r="A497" s="730"/>
      <c r="B497" s="1286">
        <f t="shared" si="26"/>
        <v>394</v>
      </c>
      <c r="C497" s="1775"/>
      <c r="D497" s="1779"/>
      <c r="E497" s="1779"/>
      <c r="F497" s="1448" t="s">
        <v>1285</v>
      </c>
      <c r="G497" s="1302"/>
      <c r="H497" s="1322"/>
      <c r="I497" s="1322"/>
      <c r="J497" s="1322"/>
      <c r="K497" s="1322"/>
      <c r="L497" s="1322"/>
      <c r="M497" s="1322"/>
      <c r="N497" s="1322"/>
      <c r="O497" s="1326"/>
      <c r="P497" s="1322"/>
      <c r="Q497" s="1323"/>
      <c r="R497" s="1324"/>
      <c r="S497" s="1325"/>
      <c r="T497" s="1353"/>
      <c r="U497" s="1463"/>
      <c r="V497" s="1464"/>
      <c r="W497" s="1482"/>
      <c r="X497" s="1307"/>
    </row>
    <row r="498" spans="1:24" s="1308" customFormat="1" ht="15" customHeight="1" x14ac:dyDescent="0.25">
      <c r="A498" s="730"/>
      <c r="B498" s="1286">
        <f t="shared" si="26"/>
        <v>395</v>
      </c>
      <c r="C498" s="1775"/>
      <c r="D498" s="1779"/>
      <c r="E498" s="1779" t="s">
        <v>1281</v>
      </c>
      <c r="F498" s="1448" t="s">
        <v>1424</v>
      </c>
      <c r="G498" s="1302"/>
      <c r="H498" s="1322"/>
      <c r="I498" s="1322"/>
      <c r="J498" s="1322"/>
      <c r="K498" s="1322"/>
      <c r="L498" s="1322"/>
      <c r="M498" s="1322"/>
      <c r="N498" s="1322"/>
      <c r="O498" s="1326"/>
      <c r="P498" s="1322"/>
      <c r="Q498" s="1323"/>
      <c r="R498" s="1324"/>
      <c r="S498" s="1325"/>
      <c r="T498" s="1353"/>
      <c r="U498" s="1463"/>
      <c r="V498" s="1464"/>
      <c r="W498" s="1482"/>
      <c r="X498" s="1307"/>
    </row>
    <row r="499" spans="1:24" s="1308" customFormat="1" ht="15" customHeight="1" x14ac:dyDescent="0.25">
      <c r="A499" s="730"/>
      <c r="B499" s="1287">
        <f t="shared" si="26"/>
        <v>396</v>
      </c>
      <c r="C499" s="1776"/>
      <c r="D499" s="1794"/>
      <c r="E499" s="1794"/>
      <c r="F499" s="1449" t="s">
        <v>1285</v>
      </c>
      <c r="G499" s="1327"/>
      <c r="H499" s="1303"/>
      <c r="I499" s="1303"/>
      <c r="J499" s="1303"/>
      <c r="K499" s="1303"/>
      <c r="L499" s="1303"/>
      <c r="M499" s="1303"/>
      <c r="N499" s="1303"/>
      <c r="O499" s="1328"/>
      <c r="P499" s="1303"/>
      <c r="Q499" s="1304"/>
      <c r="R499" s="1305"/>
      <c r="S499" s="1306"/>
      <c r="T499" s="1351"/>
      <c r="U499" s="1466"/>
      <c r="V499" s="1467"/>
      <c r="W499" s="1483"/>
      <c r="X499" s="1307"/>
    </row>
    <row r="500" spans="1:24" s="1308" customFormat="1" ht="15" customHeight="1" x14ac:dyDescent="0.25">
      <c r="A500" s="730"/>
      <c r="B500" s="1285">
        <f t="shared" si="26"/>
        <v>397</v>
      </c>
      <c r="C500" s="1774" t="s">
        <v>1270</v>
      </c>
      <c r="D500" s="1780" t="s">
        <v>1278</v>
      </c>
      <c r="E500" s="1780" t="s">
        <v>1280</v>
      </c>
      <c r="F500" s="1450" t="s">
        <v>1424</v>
      </c>
      <c r="G500" s="1316"/>
      <c r="H500" s="1317"/>
      <c r="I500" s="1317"/>
      <c r="J500" s="1317"/>
      <c r="K500" s="1317"/>
      <c r="L500" s="1317"/>
      <c r="M500" s="1317"/>
      <c r="N500" s="1317"/>
      <c r="O500" s="1321"/>
      <c r="P500" s="1317"/>
      <c r="Q500" s="1318"/>
      <c r="R500" s="1319"/>
      <c r="S500" s="1320"/>
      <c r="T500" s="1349"/>
      <c r="U500" s="1460"/>
      <c r="V500" s="1461"/>
      <c r="W500" s="1481"/>
      <c r="X500" s="1307"/>
    </row>
    <row r="501" spans="1:24" s="1308" customFormat="1" ht="15" customHeight="1" x14ac:dyDescent="0.25">
      <c r="A501" s="730"/>
      <c r="B501" s="1286">
        <f t="shared" si="26"/>
        <v>398</v>
      </c>
      <c r="C501" s="1775"/>
      <c r="D501" s="1779"/>
      <c r="E501" s="1779"/>
      <c r="F501" s="1448" t="s">
        <v>1285</v>
      </c>
      <c r="G501" s="1302"/>
      <c r="H501" s="1322"/>
      <c r="I501" s="1322"/>
      <c r="J501" s="1322"/>
      <c r="K501" s="1322"/>
      <c r="L501" s="1322"/>
      <c r="M501" s="1322"/>
      <c r="N501" s="1322"/>
      <c r="O501" s="1326"/>
      <c r="P501" s="1322"/>
      <c r="Q501" s="1323"/>
      <c r="R501" s="1324"/>
      <c r="S501" s="1325"/>
      <c r="T501" s="1353"/>
      <c r="U501" s="1463"/>
      <c r="V501" s="1464"/>
      <c r="W501" s="1482"/>
      <c r="X501" s="1307"/>
    </row>
    <row r="502" spans="1:24" s="1308" customFormat="1" ht="15" customHeight="1" x14ac:dyDescent="0.25">
      <c r="A502" s="730"/>
      <c r="B502" s="1286">
        <f t="shared" si="26"/>
        <v>399</v>
      </c>
      <c r="C502" s="1775"/>
      <c r="D502" s="1779"/>
      <c r="E502" s="1779" t="s">
        <v>1623</v>
      </c>
      <c r="F502" s="1448" t="s">
        <v>1424</v>
      </c>
      <c r="G502" s="1302"/>
      <c r="H502" s="1322"/>
      <c r="I502" s="1322"/>
      <c r="J502" s="1322"/>
      <c r="K502" s="1322"/>
      <c r="L502" s="1322"/>
      <c r="M502" s="1322"/>
      <c r="N502" s="1322"/>
      <c r="O502" s="1326"/>
      <c r="P502" s="1322"/>
      <c r="Q502" s="1323"/>
      <c r="R502" s="1324"/>
      <c r="S502" s="1325"/>
      <c r="T502" s="1353"/>
      <c r="U502" s="1463"/>
      <c r="V502" s="1464"/>
      <c r="W502" s="1482"/>
      <c r="X502" s="1307"/>
    </row>
    <row r="503" spans="1:24" s="1308" customFormat="1" ht="15" customHeight="1" x14ac:dyDescent="0.25">
      <c r="A503" s="730"/>
      <c r="B503" s="1286">
        <f t="shared" si="26"/>
        <v>400</v>
      </c>
      <c r="C503" s="1775"/>
      <c r="D503" s="1779"/>
      <c r="E503" s="1779"/>
      <c r="F503" s="1448" t="s">
        <v>1285</v>
      </c>
      <c r="G503" s="1302"/>
      <c r="H503" s="1322"/>
      <c r="I503" s="1322"/>
      <c r="J503" s="1322"/>
      <c r="K503" s="1322"/>
      <c r="L503" s="1322"/>
      <c r="M503" s="1322"/>
      <c r="N503" s="1322"/>
      <c r="O503" s="1326"/>
      <c r="P503" s="1322"/>
      <c r="Q503" s="1323"/>
      <c r="R503" s="1324"/>
      <c r="S503" s="1325"/>
      <c r="T503" s="1353"/>
      <c r="U503" s="1463"/>
      <c r="V503" s="1464"/>
      <c r="W503" s="1482"/>
      <c r="X503" s="1307"/>
    </row>
    <row r="504" spans="1:24" s="1308" customFormat="1" ht="15" customHeight="1" x14ac:dyDescent="0.25">
      <c r="A504" s="730"/>
      <c r="B504" s="1286">
        <f t="shared" si="26"/>
        <v>401</v>
      </c>
      <c r="C504" s="1775"/>
      <c r="D504" s="1779"/>
      <c r="E504" s="1779" t="s">
        <v>1281</v>
      </c>
      <c r="F504" s="1448" t="s">
        <v>1424</v>
      </c>
      <c r="G504" s="1302"/>
      <c r="H504" s="1322"/>
      <c r="I504" s="1322"/>
      <c r="J504" s="1322"/>
      <c r="K504" s="1322"/>
      <c r="L504" s="1322"/>
      <c r="M504" s="1322"/>
      <c r="N504" s="1322"/>
      <c r="O504" s="1326"/>
      <c r="P504" s="1322"/>
      <c r="Q504" s="1323"/>
      <c r="R504" s="1324"/>
      <c r="S504" s="1325"/>
      <c r="T504" s="1353"/>
      <c r="U504" s="1463"/>
      <c r="V504" s="1464"/>
      <c r="W504" s="1482"/>
      <c r="X504" s="1307"/>
    </row>
    <row r="505" spans="1:24" s="1308" customFormat="1" ht="15" customHeight="1" x14ac:dyDescent="0.25">
      <c r="A505" s="730"/>
      <c r="B505" s="1286">
        <f t="shared" si="26"/>
        <v>402</v>
      </c>
      <c r="C505" s="1775"/>
      <c r="D505" s="1779"/>
      <c r="E505" s="1779"/>
      <c r="F505" s="1448" t="s">
        <v>1285</v>
      </c>
      <c r="G505" s="1302"/>
      <c r="H505" s="1322"/>
      <c r="I505" s="1322"/>
      <c r="J505" s="1322"/>
      <c r="K505" s="1322"/>
      <c r="L505" s="1322"/>
      <c r="M505" s="1322"/>
      <c r="N505" s="1322"/>
      <c r="O505" s="1326"/>
      <c r="P505" s="1322"/>
      <c r="Q505" s="1323"/>
      <c r="R505" s="1324"/>
      <c r="S505" s="1325"/>
      <c r="T505" s="1353"/>
      <c r="U505" s="1463"/>
      <c r="V505" s="1464"/>
      <c r="W505" s="1482"/>
      <c r="X505" s="1307"/>
    </row>
    <row r="506" spans="1:24" s="1308" customFormat="1" ht="15" customHeight="1" x14ac:dyDescent="0.25">
      <c r="A506" s="730"/>
      <c r="B506" s="1286">
        <f t="shared" si="26"/>
        <v>403</v>
      </c>
      <c r="C506" s="1775"/>
      <c r="D506" s="1779" t="s">
        <v>1624</v>
      </c>
      <c r="E506" s="1779" t="s">
        <v>1280</v>
      </c>
      <c r="F506" s="1448" t="s">
        <v>1424</v>
      </c>
      <c r="G506" s="1302"/>
      <c r="H506" s="1322"/>
      <c r="I506" s="1322"/>
      <c r="J506" s="1322"/>
      <c r="K506" s="1322"/>
      <c r="L506" s="1322"/>
      <c r="M506" s="1322"/>
      <c r="N506" s="1322"/>
      <c r="O506" s="1326"/>
      <c r="P506" s="1322"/>
      <c r="Q506" s="1323"/>
      <c r="R506" s="1324"/>
      <c r="S506" s="1325"/>
      <c r="T506" s="1353"/>
      <c r="U506" s="1463"/>
      <c r="V506" s="1464"/>
      <c r="W506" s="1482"/>
      <c r="X506" s="1307"/>
    </row>
    <row r="507" spans="1:24" s="1308" customFormat="1" ht="15" customHeight="1" x14ac:dyDescent="0.25">
      <c r="A507" s="730"/>
      <c r="B507" s="1286">
        <f t="shared" si="26"/>
        <v>404</v>
      </c>
      <c r="C507" s="1775"/>
      <c r="D507" s="1779"/>
      <c r="E507" s="1779"/>
      <c r="F507" s="1448" t="s">
        <v>1285</v>
      </c>
      <c r="G507" s="1302"/>
      <c r="H507" s="1322"/>
      <c r="I507" s="1322"/>
      <c r="J507" s="1322"/>
      <c r="K507" s="1322"/>
      <c r="L507" s="1322"/>
      <c r="M507" s="1322"/>
      <c r="N507" s="1322"/>
      <c r="O507" s="1326"/>
      <c r="P507" s="1322"/>
      <c r="Q507" s="1323"/>
      <c r="R507" s="1324"/>
      <c r="S507" s="1325"/>
      <c r="T507" s="1353"/>
      <c r="U507" s="1463"/>
      <c r="V507" s="1464"/>
      <c r="W507" s="1482"/>
      <c r="X507" s="1307"/>
    </row>
    <row r="508" spans="1:24" s="1308" customFormat="1" ht="15" customHeight="1" x14ac:dyDescent="0.25">
      <c r="A508" s="730"/>
      <c r="B508" s="1286">
        <f t="shared" si="26"/>
        <v>405</v>
      </c>
      <c r="C508" s="1775"/>
      <c r="D508" s="1779"/>
      <c r="E508" s="1779" t="s">
        <v>1623</v>
      </c>
      <c r="F508" s="1448" t="s">
        <v>1424</v>
      </c>
      <c r="G508" s="1302"/>
      <c r="H508" s="1322"/>
      <c r="I508" s="1322"/>
      <c r="J508" s="1322"/>
      <c r="K508" s="1322"/>
      <c r="L508" s="1322"/>
      <c r="M508" s="1322"/>
      <c r="N508" s="1322"/>
      <c r="O508" s="1326"/>
      <c r="P508" s="1322"/>
      <c r="Q508" s="1323"/>
      <c r="R508" s="1324"/>
      <c r="S508" s="1325"/>
      <c r="T508" s="1353"/>
      <c r="U508" s="1463"/>
      <c r="V508" s="1464"/>
      <c r="W508" s="1482"/>
      <c r="X508" s="1307"/>
    </row>
    <row r="509" spans="1:24" s="1308" customFormat="1" ht="15" customHeight="1" x14ac:dyDescent="0.25">
      <c r="A509" s="730"/>
      <c r="B509" s="1286">
        <f t="shared" si="26"/>
        <v>406</v>
      </c>
      <c r="C509" s="1775"/>
      <c r="D509" s="1779"/>
      <c r="E509" s="1779"/>
      <c r="F509" s="1448" t="s">
        <v>1285</v>
      </c>
      <c r="G509" s="1302"/>
      <c r="H509" s="1322"/>
      <c r="I509" s="1322"/>
      <c r="J509" s="1322"/>
      <c r="K509" s="1322"/>
      <c r="L509" s="1322"/>
      <c r="M509" s="1322"/>
      <c r="N509" s="1322"/>
      <c r="O509" s="1326"/>
      <c r="P509" s="1322"/>
      <c r="Q509" s="1323"/>
      <c r="R509" s="1324"/>
      <c r="S509" s="1325"/>
      <c r="T509" s="1353"/>
      <c r="U509" s="1463"/>
      <c r="V509" s="1464"/>
      <c r="W509" s="1482"/>
      <c r="X509" s="1307"/>
    </row>
    <row r="510" spans="1:24" s="1308" customFormat="1" ht="15" customHeight="1" x14ac:dyDescent="0.25">
      <c r="A510" s="730"/>
      <c r="B510" s="1286">
        <f t="shared" si="26"/>
        <v>407</v>
      </c>
      <c r="C510" s="1775"/>
      <c r="D510" s="1779"/>
      <c r="E510" s="1779" t="s">
        <v>1281</v>
      </c>
      <c r="F510" s="1448" t="s">
        <v>1424</v>
      </c>
      <c r="G510" s="1302"/>
      <c r="H510" s="1322"/>
      <c r="I510" s="1322"/>
      <c r="J510" s="1322"/>
      <c r="K510" s="1322"/>
      <c r="L510" s="1322"/>
      <c r="M510" s="1322"/>
      <c r="N510" s="1322"/>
      <c r="O510" s="1326"/>
      <c r="P510" s="1322"/>
      <c r="Q510" s="1323"/>
      <c r="R510" s="1324"/>
      <c r="S510" s="1325"/>
      <c r="T510" s="1353"/>
      <c r="U510" s="1463"/>
      <c r="V510" s="1464"/>
      <c r="W510" s="1482"/>
      <c r="X510" s="1307"/>
    </row>
    <row r="511" spans="1:24" s="1308" customFormat="1" ht="15" customHeight="1" x14ac:dyDescent="0.25">
      <c r="A511" s="730"/>
      <c r="B511" s="1286">
        <f t="shared" si="26"/>
        <v>408</v>
      </c>
      <c r="C511" s="1775"/>
      <c r="D511" s="1779"/>
      <c r="E511" s="1779"/>
      <c r="F511" s="1448" t="s">
        <v>1285</v>
      </c>
      <c r="G511" s="1302"/>
      <c r="H511" s="1322"/>
      <c r="I511" s="1322"/>
      <c r="J511" s="1322"/>
      <c r="K511" s="1322"/>
      <c r="L511" s="1322"/>
      <c r="M511" s="1322"/>
      <c r="N511" s="1322"/>
      <c r="O511" s="1326"/>
      <c r="P511" s="1322"/>
      <c r="Q511" s="1323"/>
      <c r="R511" s="1324"/>
      <c r="S511" s="1325"/>
      <c r="T511" s="1353"/>
      <c r="U511" s="1463"/>
      <c r="V511" s="1464"/>
      <c r="W511" s="1482"/>
      <c r="X511" s="1307"/>
    </row>
    <row r="512" spans="1:24" s="1308" customFormat="1" ht="15" customHeight="1" x14ac:dyDescent="0.25">
      <c r="A512" s="730"/>
      <c r="B512" s="1286">
        <f t="shared" si="26"/>
        <v>409</v>
      </c>
      <c r="C512" s="1775"/>
      <c r="D512" s="1779" t="s">
        <v>1286</v>
      </c>
      <c r="E512" s="1779" t="s">
        <v>1280</v>
      </c>
      <c r="F512" s="1448" t="s">
        <v>1424</v>
      </c>
      <c r="G512" s="1302"/>
      <c r="H512" s="1322"/>
      <c r="I512" s="1322"/>
      <c r="J512" s="1322"/>
      <c r="K512" s="1322"/>
      <c r="L512" s="1322"/>
      <c r="M512" s="1322"/>
      <c r="N512" s="1322"/>
      <c r="O512" s="1326"/>
      <c r="P512" s="1322"/>
      <c r="Q512" s="1323"/>
      <c r="R512" s="1324"/>
      <c r="S512" s="1325"/>
      <c r="T512" s="1353"/>
      <c r="U512" s="1463"/>
      <c r="V512" s="1464"/>
      <c r="W512" s="1482"/>
      <c r="X512" s="1307"/>
    </row>
    <row r="513" spans="1:24" s="1308" customFormat="1" ht="15" customHeight="1" x14ac:dyDescent="0.25">
      <c r="A513" s="730"/>
      <c r="B513" s="1286">
        <f t="shared" si="26"/>
        <v>410</v>
      </c>
      <c r="C513" s="1775"/>
      <c r="D513" s="1779"/>
      <c r="E513" s="1779"/>
      <c r="F513" s="1448" t="s">
        <v>1285</v>
      </c>
      <c r="G513" s="1302"/>
      <c r="H513" s="1322"/>
      <c r="I513" s="1322"/>
      <c r="J513" s="1322"/>
      <c r="K513" s="1322"/>
      <c r="L513" s="1322"/>
      <c r="M513" s="1322"/>
      <c r="N513" s="1322"/>
      <c r="O513" s="1326"/>
      <c r="P513" s="1322"/>
      <c r="Q513" s="1323"/>
      <c r="R513" s="1324"/>
      <c r="S513" s="1325"/>
      <c r="T513" s="1353"/>
      <c r="U513" s="1463"/>
      <c r="V513" s="1464"/>
      <c r="W513" s="1482"/>
      <c r="X513" s="1307"/>
    </row>
    <row r="514" spans="1:24" s="1308" customFormat="1" ht="15" customHeight="1" x14ac:dyDescent="0.25">
      <c r="A514" s="730"/>
      <c r="B514" s="1286">
        <f t="shared" si="26"/>
        <v>411</v>
      </c>
      <c r="C514" s="1775"/>
      <c r="D514" s="1779"/>
      <c r="E514" s="1779" t="s">
        <v>1623</v>
      </c>
      <c r="F514" s="1448" t="s">
        <v>1424</v>
      </c>
      <c r="G514" s="1302"/>
      <c r="H514" s="1322"/>
      <c r="I514" s="1322"/>
      <c r="J514" s="1322"/>
      <c r="K514" s="1322"/>
      <c r="L514" s="1322"/>
      <c r="M514" s="1322"/>
      <c r="N514" s="1322"/>
      <c r="O514" s="1326"/>
      <c r="P514" s="1322"/>
      <c r="Q514" s="1323"/>
      <c r="R514" s="1324"/>
      <c r="S514" s="1325"/>
      <c r="T514" s="1353"/>
      <c r="U514" s="1463"/>
      <c r="V514" s="1464"/>
      <c r="W514" s="1482"/>
      <c r="X514" s="1307"/>
    </row>
    <row r="515" spans="1:24" s="1308" customFormat="1" ht="15" customHeight="1" x14ac:dyDescent="0.25">
      <c r="A515" s="730"/>
      <c r="B515" s="1286">
        <f t="shared" si="26"/>
        <v>412</v>
      </c>
      <c r="C515" s="1775"/>
      <c r="D515" s="1779"/>
      <c r="E515" s="1779"/>
      <c r="F515" s="1448" t="s">
        <v>1285</v>
      </c>
      <c r="G515" s="1302"/>
      <c r="H515" s="1322"/>
      <c r="I515" s="1322"/>
      <c r="J515" s="1322"/>
      <c r="K515" s="1322"/>
      <c r="L515" s="1322"/>
      <c r="M515" s="1322"/>
      <c r="N515" s="1322"/>
      <c r="O515" s="1326"/>
      <c r="P515" s="1322"/>
      <c r="Q515" s="1323"/>
      <c r="R515" s="1324"/>
      <c r="S515" s="1325"/>
      <c r="T515" s="1353"/>
      <c r="U515" s="1463"/>
      <c r="V515" s="1464"/>
      <c r="W515" s="1482"/>
      <c r="X515" s="1307"/>
    </row>
    <row r="516" spans="1:24" s="1308" customFormat="1" ht="15" customHeight="1" x14ac:dyDescent="0.25">
      <c r="A516" s="730"/>
      <c r="B516" s="1286">
        <f t="shared" si="26"/>
        <v>413</v>
      </c>
      <c r="C516" s="1775"/>
      <c r="D516" s="1779"/>
      <c r="E516" s="1779" t="s">
        <v>1281</v>
      </c>
      <c r="F516" s="1448" t="s">
        <v>1424</v>
      </c>
      <c r="G516" s="1302"/>
      <c r="H516" s="1322"/>
      <c r="I516" s="1322"/>
      <c r="J516" s="1322"/>
      <c r="K516" s="1322"/>
      <c r="L516" s="1322"/>
      <c r="M516" s="1322"/>
      <c r="N516" s="1322"/>
      <c r="O516" s="1326"/>
      <c r="P516" s="1322"/>
      <c r="Q516" s="1323"/>
      <c r="R516" s="1324"/>
      <c r="S516" s="1325"/>
      <c r="T516" s="1353"/>
      <c r="U516" s="1463"/>
      <c r="V516" s="1464"/>
      <c r="W516" s="1482"/>
      <c r="X516" s="1307"/>
    </row>
    <row r="517" spans="1:24" s="1308" customFormat="1" ht="15" customHeight="1" x14ac:dyDescent="0.25">
      <c r="A517" s="730"/>
      <c r="B517" s="1286">
        <f t="shared" si="26"/>
        <v>414</v>
      </c>
      <c r="C517" s="1775"/>
      <c r="D517" s="1779"/>
      <c r="E517" s="1779"/>
      <c r="F517" s="1448" t="s">
        <v>1285</v>
      </c>
      <c r="G517" s="1302"/>
      <c r="H517" s="1322"/>
      <c r="I517" s="1322"/>
      <c r="J517" s="1322"/>
      <c r="K517" s="1322"/>
      <c r="L517" s="1322"/>
      <c r="M517" s="1322"/>
      <c r="N517" s="1322"/>
      <c r="O517" s="1326"/>
      <c r="P517" s="1322"/>
      <c r="Q517" s="1323"/>
      <c r="R517" s="1324"/>
      <c r="S517" s="1325"/>
      <c r="T517" s="1353"/>
      <c r="U517" s="1463"/>
      <c r="V517" s="1464"/>
      <c r="W517" s="1482"/>
      <c r="X517" s="1307"/>
    </row>
    <row r="518" spans="1:24" s="1308" customFormat="1" ht="15" customHeight="1" x14ac:dyDescent="0.25">
      <c r="A518" s="730"/>
      <c r="B518" s="1286">
        <f t="shared" si="26"/>
        <v>415</v>
      </c>
      <c r="C518" s="1775"/>
      <c r="D518" s="1779" t="s">
        <v>1287</v>
      </c>
      <c r="E518" s="1779" t="s">
        <v>1280</v>
      </c>
      <c r="F518" s="1448" t="s">
        <v>1424</v>
      </c>
      <c r="G518" s="1302"/>
      <c r="H518" s="1322"/>
      <c r="I518" s="1322"/>
      <c r="J518" s="1322"/>
      <c r="K518" s="1322"/>
      <c r="L518" s="1322"/>
      <c r="M518" s="1322"/>
      <c r="N518" s="1322"/>
      <c r="O518" s="1326"/>
      <c r="P518" s="1322"/>
      <c r="Q518" s="1323"/>
      <c r="R518" s="1324"/>
      <c r="S518" s="1325"/>
      <c r="T518" s="1353"/>
      <c r="U518" s="1463"/>
      <c r="V518" s="1464"/>
      <c r="W518" s="1482"/>
      <c r="X518" s="1307"/>
    </row>
    <row r="519" spans="1:24" s="1308" customFormat="1" ht="15" customHeight="1" x14ac:dyDescent="0.25">
      <c r="A519" s="730"/>
      <c r="B519" s="1286">
        <f t="shared" si="26"/>
        <v>416</v>
      </c>
      <c r="C519" s="1775"/>
      <c r="D519" s="1779"/>
      <c r="E519" s="1779"/>
      <c r="F519" s="1448" t="s">
        <v>1285</v>
      </c>
      <c r="G519" s="1302"/>
      <c r="H519" s="1322"/>
      <c r="I519" s="1322"/>
      <c r="J519" s="1322"/>
      <c r="K519" s="1322"/>
      <c r="L519" s="1322"/>
      <c r="M519" s="1322"/>
      <c r="N519" s="1322"/>
      <c r="O519" s="1326"/>
      <c r="P519" s="1322"/>
      <c r="Q519" s="1323"/>
      <c r="R519" s="1324"/>
      <c r="S519" s="1325"/>
      <c r="T519" s="1353"/>
      <c r="U519" s="1463"/>
      <c r="V519" s="1464"/>
      <c r="W519" s="1482"/>
      <c r="X519" s="1307"/>
    </row>
    <row r="520" spans="1:24" s="1308" customFormat="1" ht="15" customHeight="1" x14ac:dyDescent="0.25">
      <c r="A520" s="730"/>
      <c r="B520" s="1286">
        <f t="shared" si="26"/>
        <v>417</v>
      </c>
      <c r="C520" s="1775"/>
      <c r="D520" s="1779"/>
      <c r="E520" s="1779" t="s">
        <v>1623</v>
      </c>
      <c r="F520" s="1448" t="s">
        <v>1424</v>
      </c>
      <c r="G520" s="1302"/>
      <c r="H520" s="1322"/>
      <c r="I520" s="1322"/>
      <c r="J520" s="1322"/>
      <c r="K520" s="1322"/>
      <c r="L520" s="1322"/>
      <c r="M520" s="1322"/>
      <c r="N520" s="1322"/>
      <c r="O520" s="1326"/>
      <c r="P520" s="1322"/>
      <c r="Q520" s="1323"/>
      <c r="R520" s="1324"/>
      <c r="S520" s="1325"/>
      <c r="T520" s="1353"/>
      <c r="U520" s="1463"/>
      <c r="V520" s="1464"/>
      <c r="W520" s="1482"/>
      <c r="X520" s="1307"/>
    </row>
    <row r="521" spans="1:24" s="1308" customFormat="1" ht="15" customHeight="1" x14ac:dyDescent="0.25">
      <c r="A521" s="730"/>
      <c r="B521" s="1286">
        <f t="shared" si="26"/>
        <v>418</v>
      </c>
      <c r="C521" s="1775"/>
      <c r="D521" s="1779"/>
      <c r="E521" s="1779"/>
      <c r="F521" s="1448" t="s">
        <v>1285</v>
      </c>
      <c r="G521" s="1302"/>
      <c r="H521" s="1322"/>
      <c r="I521" s="1322"/>
      <c r="J521" s="1322"/>
      <c r="K521" s="1322"/>
      <c r="L521" s="1322"/>
      <c r="M521" s="1322"/>
      <c r="N521" s="1322"/>
      <c r="O521" s="1326"/>
      <c r="P521" s="1322"/>
      <c r="Q521" s="1323"/>
      <c r="R521" s="1324"/>
      <c r="S521" s="1325"/>
      <c r="T521" s="1353"/>
      <c r="U521" s="1463"/>
      <c r="V521" s="1464"/>
      <c r="W521" s="1482"/>
      <c r="X521" s="1307"/>
    </row>
    <row r="522" spans="1:24" s="1308" customFormat="1" ht="15" customHeight="1" x14ac:dyDescent="0.25">
      <c r="A522" s="730"/>
      <c r="B522" s="1286">
        <f t="shared" si="26"/>
        <v>419</v>
      </c>
      <c r="C522" s="1775"/>
      <c r="D522" s="1779"/>
      <c r="E522" s="1779" t="s">
        <v>1281</v>
      </c>
      <c r="F522" s="1448" t="s">
        <v>1424</v>
      </c>
      <c r="G522" s="1302"/>
      <c r="H522" s="1322"/>
      <c r="I522" s="1322"/>
      <c r="J522" s="1322"/>
      <c r="K522" s="1322"/>
      <c r="L522" s="1322"/>
      <c r="M522" s="1322"/>
      <c r="N522" s="1322"/>
      <c r="O522" s="1326"/>
      <c r="P522" s="1322"/>
      <c r="Q522" s="1323"/>
      <c r="R522" s="1324"/>
      <c r="S522" s="1325"/>
      <c r="T522" s="1353"/>
      <c r="U522" s="1463"/>
      <c r="V522" s="1464"/>
      <c r="W522" s="1482"/>
      <c r="X522" s="1307"/>
    </row>
    <row r="523" spans="1:24" s="1308" customFormat="1" ht="15" customHeight="1" x14ac:dyDescent="0.25">
      <c r="A523" s="730"/>
      <c r="B523" s="1286">
        <f t="shared" si="26"/>
        <v>420</v>
      </c>
      <c r="C523" s="1775"/>
      <c r="D523" s="1779"/>
      <c r="E523" s="1779"/>
      <c r="F523" s="1448" t="s">
        <v>1285</v>
      </c>
      <c r="G523" s="1302"/>
      <c r="H523" s="1322"/>
      <c r="I523" s="1322"/>
      <c r="J523" s="1322"/>
      <c r="K523" s="1322"/>
      <c r="L523" s="1322"/>
      <c r="M523" s="1322"/>
      <c r="N523" s="1322"/>
      <c r="O523" s="1326"/>
      <c r="P523" s="1322"/>
      <c r="Q523" s="1323"/>
      <c r="R523" s="1324"/>
      <c r="S523" s="1325"/>
      <c r="T523" s="1353"/>
      <c r="U523" s="1463"/>
      <c r="V523" s="1464"/>
      <c r="W523" s="1482"/>
      <c r="X523" s="1307"/>
    </row>
    <row r="524" spans="1:24" s="1308" customFormat="1" ht="15" customHeight="1" x14ac:dyDescent="0.25">
      <c r="A524" s="730"/>
      <c r="B524" s="1286">
        <f t="shared" si="26"/>
        <v>421</v>
      </c>
      <c r="C524" s="1775"/>
      <c r="D524" s="1779" t="s">
        <v>1288</v>
      </c>
      <c r="E524" s="1779" t="s">
        <v>1280</v>
      </c>
      <c r="F524" s="1448" t="s">
        <v>1424</v>
      </c>
      <c r="G524" s="1302"/>
      <c r="H524" s="1322"/>
      <c r="I524" s="1322"/>
      <c r="J524" s="1322"/>
      <c r="K524" s="1322"/>
      <c r="L524" s="1322"/>
      <c r="M524" s="1322"/>
      <c r="N524" s="1322"/>
      <c r="O524" s="1326"/>
      <c r="P524" s="1322"/>
      <c r="Q524" s="1323"/>
      <c r="R524" s="1324"/>
      <c r="S524" s="1325"/>
      <c r="T524" s="1353"/>
      <c r="U524" s="1463"/>
      <c r="V524" s="1464"/>
      <c r="W524" s="1482"/>
      <c r="X524" s="1307"/>
    </row>
    <row r="525" spans="1:24" s="1308" customFormat="1" ht="15" customHeight="1" x14ac:dyDescent="0.25">
      <c r="A525" s="730"/>
      <c r="B525" s="1286">
        <f t="shared" si="26"/>
        <v>422</v>
      </c>
      <c r="C525" s="1775"/>
      <c r="D525" s="1779"/>
      <c r="E525" s="1779"/>
      <c r="F525" s="1448" t="s">
        <v>1285</v>
      </c>
      <c r="G525" s="1302"/>
      <c r="H525" s="1322"/>
      <c r="I525" s="1322"/>
      <c r="J525" s="1322"/>
      <c r="K525" s="1322"/>
      <c r="L525" s="1322"/>
      <c r="M525" s="1322"/>
      <c r="N525" s="1322"/>
      <c r="O525" s="1326"/>
      <c r="P525" s="1322"/>
      <c r="Q525" s="1323"/>
      <c r="R525" s="1324"/>
      <c r="S525" s="1325"/>
      <c r="T525" s="1353"/>
      <c r="U525" s="1463"/>
      <c r="V525" s="1464"/>
      <c r="W525" s="1482"/>
      <c r="X525" s="1307"/>
    </row>
    <row r="526" spans="1:24" s="1308" customFormat="1" ht="15" customHeight="1" x14ac:dyDescent="0.25">
      <c r="A526" s="730"/>
      <c r="B526" s="1286">
        <f t="shared" si="26"/>
        <v>423</v>
      </c>
      <c r="C526" s="1775"/>
      <c r="D526" s="1779"/>
      <c r="E526" s="1779" t="s">
        <v>1623</v>
      </c>
      <c r="F526" s="1448" t="s">
        <v>1424</v>
      </c>
      <c r="G526" s="1302"/>
      <c r="H526" s="1322"/>
      <c r="I526" s="1322"/>
      <c r="J526" s="1322"/>
      <c r="K526" s="1322"/>
      <c r="L526" s="1322"/>
      <c r="M526" s="1322"/>
      <c r="N526" s="1322"/>
      <c r="O526" s="1326"/>
      <c r="P526" s="1322"/>
      <c r="Q526" s="1323"/>
      <c r="R526" s="1324"/>
      <c r="S526" s="1325"/>
      <c r="T526" s="1353"/>
      <c r="U526" s="1463"/>
      <c r="V526" s="1464"/>
      <c r="W526" s="1482"/>
      <c r="X526" s="1307"/>
    </row>
    <row r="527" spans="1:24" s="1308" customFormat="1" ht="15" customHeight="1" x14ac:dyDescent="0.25">
      <c r="A527" s="730"/>
      <c r="B527" s="1286">
        <f t="shared" si="26"/>
        <v>424</v>
      </c>
      <c r="C527" s="1775"/>
      <c r="D527" s="1779"/>
      <c r="E527" s="1779"/>
      <c r="F527" s="1448" t="s">
        <v>1285</v>
      </c>
      <c r="G527" s="1302"/>
      <c r="H527" s="1322"/>
      <c r="I527" s="1322"/>
      <c r="J527" s="1322"/>
      <c r="K527" s="1322"/>
      <c r="L527" s="1322"/>
      <c r="M527" s="1322"/>
      <c r="N527" s="1322"/>
      <c r="O527" s="1326"/>
      <c r="P527" s="1322"/>
      <c r="Q527" s="1323"/>
      <c r="R527" s="1324"/>
      <c r="S527" s="1325"/>
      <c r="T527" s="1353"/>
      <c r="U527" s="1463"/>
      <c r="V527" s="1464"/>
      <c r="W527" s="1482"/>
      <c r="X527" s="1307"/>
    </row>
    <row r="528" spans="1:24" s="1308" customFormat="1" ht="15" customHeight="1" x14ac:dyDescent="0.25">
      <c r="A528" s="730"/>
      <c r="B528" s="1286">
        <f t="shared" si="26"/>
        <v>425</v>
      </c>
      <c r="C528" s="1775"/>
      <c r="D528" s="1779"/>
      <c r="E528" s="1779" t="s">
        <v>1281</v>
      </c>
      <c r="F528" s="1448" t="s">
        <v>1424</v>
      </c>
      <c r="G528" s="1302"/>
      <c r="H528" s="1322"/>
      <c r="I528" s="1322"/>
      <c r="J528" s="1322"/>
      <c r="K528" s="1322"/>
      <c r="L528" s="1322"/>
      <c r="M528" s="1322"/>
      <c r="N528" s="1322"/>
      <c r="O528" s="1326"/>
      <c r="P528" s="1322"/>
      <c r="Q528" s="1323"/>
      <c r="R528" s="1324"/>
      <c r="S528" s="1325"/>
      <c r="T528" s="1353"/>
      <c r="U528" s="1463"/>
      <c r="V528" s="1464"/>
      <c r="W528" s="1482"/>
      <c r="X528" s="1307"/>
    </row>
    <row r="529" spans="1:24" s="1308" customFormat="1" ht="15" customHeight="1" x14ac:dyDescent="0.25">
      <c r="A529" s="730"/>
      <c r="B529" s="1286">
        <f t="shared" si="26"/>
        <v>426</v>
      </c>
      <c r="C529" s="1775"/>
      <c r="D529" s="1779"/>
      <c r="E529" s="1779"/>
      <c r="F529" s="1448" t="s">
        <v>1285</v>
      </c>
      <c r="G529" s="1302"/>
      <c r="H529" s="1322"/>
      <c r="I529" s="1322"/>
      <c r="J529" s="1322"/>
      <c r="K529" s="1322"/>
      <c r="L529" s="1322"/>
      <c r="M529" s="1322"/>
      <c r="N529" s="1322"/>
      <c r="O529" s="1326"/>
      <c r="P529" s="1322"/>
      <c r="Q529" s="1323"/>
      <c r="R529" s="1324"/>
      <c r="S529" s="1325"/>
      <c r="T529" s="1353"/>
      <c r="U529" s="1463"/>
      <c r="V529" s="1464"/>
      <c r="W529" s="1482"/>
      <c r="X529" s="1307"/>
    </row>
    <row r="530" spans="1:24" s="1308" customFormat="1" ht="15" customHeight="1" x14ac:dyDescent="0.25">
      <c r="A530" s="730"/>
      <c r="B530" s="1286">
        <f t="shared" si="26"/>
        <v>427</v>
      </c>
      <c r="C530" s="1775"/>
      <c r="D530" s="1779" t="s">
        <v>1279</v>
      </c>
      <c r="E530" s="1779" t="s">
        <v>1280</v>
      </c>
      <c r="F530" s="1448" t="s">
        <v>1424</v>
      </c>
      <c r="G530" s="1302"/>
      <c r="H530" s="1322"/>
      <c r="I530" s="1322"/>
      <c r="J530" s="1322"/>
      <c r="K530" s="1322"/>
      <c r="L530" s="1322"/>
      <c r="M530" s="1322"/>
      <c r="N530" s="1322"/>
      <c r="O530" s="1326"/>
      <c r="P530" s="1322"/>
      <c r="Q530" s="1323"/>
      <c r="R530" s="1324"/>
      <c r="S530" s="1325"/>
      <c r="T530" s="1353"/>
      <c r="U530" s="1463"/>
      <c r="V530" s="1464"/>
      <c r="W530" s="1482"/>
      <c r="X530" s="1307"/>
    </row>
    <row r="531" spans="1:24" s="1308" customFormat="1" ht="15" customHeight="1" x14ac:dyDescent="0.25">
      <c r="A531" s="730"/>
      <c r="B531" s="1286">
        <f t="shared" si="26"/>
        <v>428</v>
      </c>
      <c r="C531" s="1775"/>
      <c r="D531" s="1779"/>
      <c r="E531" s="1779"/>
      <c r="F531" s="1448" t="s">
        <v>1285</v>
      </c>
      <c r="G531" s="1302"/>
      <c r="H531" s="1322"/>
      <c r="I531" s="1322"/>
      <c r="J531" s="1322"/>
      <c r="K531" s="1322"/>
      <c r="L531" s="1322"/>
      <c r="M531" s="1322"/>
      <c r="N531" s="1322"/>
      <c r="O531" s="1326"/>
      <c r="P531" s="1322"/>
      <c r="Q531" s="1323"/>
      <c r="R531" s="1324"/>
      <c r="S531" s="1325"/>
      <c r="T531" s="1353"/>
      <c r="U531" s="1463"/>
      <c r="V531" s="1464"/>
      <c r="W531" s="1482"/>
      <c r="X531" s="1307"/>
    </row>
    <row r="532" spans="1:24" s="1308" customFormat="1" ht="15" customHeight="1" x14ac:dyDescent="0.25">
      <c r="A532" s="730"/>
      <c r="B532" s="1286">
        <f t="shared" si="26"/>
        <v>429</v>
      </c>
      <c r="C532" s="1775"/>
      <c r="D532" s="1779"/>
      <c r="E532" s="1779" t="s">
        <v>1623</v>
      </c>
      <c r="F532" s="1448" t="s">
        <v>1424</v>
      </c>
      <c r="G532" s="1302"/>
      <c r="H532" s="1322"/>
      <c r="I532" s="1322"/>
      <c r="J532" s="1322"/>
      <c r="K532" s="1322"/>
      <c r="L532" s="1322"/>
      <c r="M532" s="1322"/>
      <c r="N532" s="1322"/>
      <c r="O532" s="1326"/>
      <c r="P532" s="1322"/>
      <c r="Q532" s="1323"/>
      <c r="R532" s="1324"/>
      <c r="S532" s="1325"/>
      <c r="T532" s="1353"/>
      <c r="U532" s="1463"/>
      <c r="V532" s="1464"/>
      <c r="W532" s="1482"/>
      <c r="X532" s="1307"/>
    </row>
    <row r="533" spans="1:24" s="1308" customFormat="1" ht="15" customHeight="1" x14ac:dyDescent="0.25">
      <c r="A533" s="730"/>
      <c r="B533" s="1286">
        <f t="shared" si="26"/>
        <v>430</v>
      </c>
      <c r="C533" s="1775"/>
      <c r="D533" s="1779"/>
      <c r="E533" s="1779"/>
      <c r="F533" s="1448" t="s">
        <v>1285</v>
      </c>
      <c r="G533" s="1302"/>
      <c r="H533" s="1322"/>
      <c r="I533" s="1322"/>
      <c r="J533" s="1322"/>
      <c r="K533" s="1322"/>
      <c r="L533" s="1322"/>
      <c r="M533" s="1322"/>
      <c r="N533" s="1322"/>
      <c r="O533" s="1326"/>
      <c r="P533" s="1322"/>
      <c r="Q533" s="1323"/>
      <c r="R533" s="1324"/>
      <c r="S533" s="1325"/>
      <c r="T533" s="1353"/>
      <c r="U533" s="1463"/>
      <c r="V533" s="1464"/>
      <c r="W533" s="1482"/>
      <c r="X533" s="1307"/>
    </row>
    <row r="534" spans="1:24" s="1308" customFormat="1" ht="15" customHeight="1" x14ac:dyDescent="0.25">
      <c r="A534" s="730"/>
      <c r="B534" s="1286">
        <f t="shared" si="26"/>
        <v>431</v>
      </c>
      <c r="C534" s="1775"/>
      <c r="D534" s="1779"/>
      <c r="E534" s="1779" t="s">
        <v>1281</v>
      </c>
      <c r="F534" s="1448" t="s">
        <v>1424</v>
      </c>
      <c r="G534" s="1302"/>
      <c r="H534" s="1322"/>
      <c r="I534" s="1322"/>
      <c r="J534" s="1322"/>
      <c r="K534" s="1322"/>
      <c r="L534" s="1322"/>
      <c r="M534" s="1322"/>
      <c r="N534" s="1322"/>
      <c r="O534" s="1326"/>
      <c r="P534" s="1322"/>
      <c r="Q534" s="1323"/>
      <c r="R534" s="1324"/>
      <c r="S534" s="1325"/>
      <c r="T534" s="1353"/>
      <c r="U534" s="1463"/>
      <c r="V534" s="1464"/>
      <c r="W534" s="1482"/>
      <c r="X534" s="1307"/>
    </row>
    <row r="535" spans="1:24" s="1308" customFormat="1" ht="15" customHeight="1" x14ac:dyDescent="0.25">
      <c r="A535" s="730"/>
      <c r="B535" s="1287">
        <f t="shared" si="26"/>
        <v>432</v>
      </c>
      <c r="C535" s="1776"/>
      <c r="D535" s="1794"/>
      <c r="E535" s="1794"/>
      <c r="F535" s="1449" t="s">
        <v>1285</v>
      </c>
      <c r="G535" s="1327"/>
      <c r="H535" s="1303"/>
      <c r="I535" s="1303"/>
      <c r="J535" s="1303"/>
      <c r="K535" s="1303"/>
      <c r="L535" s="1303"/>
      <c r="M535" s="1303"/>
      <c r="N535" s="1303"/>
      <c r="O535" s="1328"/>
      <c r="P535" s="1303"/>
      <c r="Q535" s="1304"/>
      <c r="R535" s="1305"/>
      <c r="S535" s="1306"/>
      <c r="T535" s="1351"/>
      <c r="U535" s="1466"/>
      <c r="V535" s="1467"/>
      <c r="W535" s="1483"/>
      <c r="X535" s="1307"/>
    </row>
    <row r="536" spans="1:24" s="735" customFormat="1" ht="45" customHeight="1" x14ac:dyDescent="0.25">
      <c r="A536" s="733" t="s">
        <v>1291</v>
      </c>
      <c r="B536" s="722"/>
      <c r="C536" s="734"/>
      <c r="D536" s="734"/>
      <c r="E536" s="734"/>
      <c r="F536" s="734"/>
      <c r="X536" s="422"/>
    </row>
    <row r="537" spans="1:24" s="1300" customFormat="1" ht="15" customHeight="1" x14ac:dyDescent="0.25">
      <c r="A537" s="726"/>
      <c r="B537" s="1297"/>
      <c r="C537" s="1298"/>
      <c r="D537" s="1443" t="s">
        <v>1292</v>
      </c>
      <c r="E537" s="1443" t="s">
        <v>1284</v>
      </c>
      <c r="F537" s="1443"/>
      <c r="G537" s="1676"/>
      <c r="H537" s="1677"/>
      <c r="I537" s="1677"/>
      <c r="J537" s="1677"/>
      <c r="K537" s="1677"/>
      <c r="L537" s="1677"/>
      <c r="M537" s="1677"/>
      <c r="N537" s="1677"/>
      <c r="O537" s="1677"/>
      <c r="P537" s="1677"/>
      <c r="Q537" s="1677"/>
      <c r="R537" s="1677"/>
      <c r="S537" s="1677"/>
      <c r="T537" s="1677"/>
      <c r="U537" s="1677"/>
      <c r="V537" s="1677"/>
      <c r="W537" s="1778"/>
      <c r="X537" s="1299"/>
    </row>
    <row r="538" spans="1:24" s="1308" customFormat="1" ht="15" customHeight="1" x14ac:dyDescent="0.25">
      <c r="A538" s="730"/>
      <c r="B538" s="1285">
        <v>1</v>
      </c>
      <c r="C538" s="1808" t="s">
        <v>1259</v>
      </c>
      <c r="D538" s="1763" t="s">
        <v>1293</v>
      </c>
      <c r="E538" s="1450" t="s">
        <v>1424</v>
      </c>
      <c r="F538" s="1289"/>
      <c r="G538" s="1316"/>
      <c r="H538" s="1317"/>
      <c r="I538" s="1317"/>
      <c r="J538" s="1317"/>
      <c r="K538" s="1317"/>
      <c r="L538" s="1317"/>
      <c r="M538" s="1317"/>
      <c r="N538" s="1317"/>
      <c r="O538" s="1321"/>
      <c r="P538" s="1317"/>
      <c r="Q538" s="1318"/>
      <c r="R538" s="1319"/>
      <c r="S538" s="1320"/>
      <c r="T538" s="1349"/>
      <c r="U538" s="1460"/>
      <c r="V538" s="1461"/>
      <c r="W538" s="1481"/>
      <c r="X538" s="1307"/>
    </row>
    <row r="539" spans="1:24" s="1308" customFormat="1" ht="15" customHeight="1" x14ac:dyDescent="0.25">
      <c r="A539" s="730"/>
      <c r="B539" s="1286">
        <f t="shared" ref="B539:B561" si="27">B538+1</f>
        <v>2</v>
      </c>
      <c r="C539" s="1804"/>
      <c r="D539" s="1758"/>
      <c r="E539" s="1448" t="s">
        <v>1285</v>
      </c>
      <c r="F539" s="1290"/>
      <c r="G539" s="1302"/>
      <c r="H539" s="1322"/>
      <c r="I539" s="1322"/>
      <c r="J539" s="1322"/>
      <c r="K539" s="1322"/>
      <c r="L539" s="1322"/>
      <c r="M539" s="1322"/>
      <c r="N539" s="1322"/>
      <c r="O539" s="1326"/>
      <c r="P539" s="1322"/>
      <c r="Q539" s="1323"/>
      <c r="R539" s="1324"/>
      <c r="S539" s="1325"/>
      <c r="T539" s="1353"/>
      <c r="U539" s="1463"/>
      <c r="V539" s="1464"/>
      <c r="W539" s="1482"/>
      <c r="X539" s="1307"/>
    </row>
    <row r="540" spans="1:24" s="1308" customFormat="1" ht="15" customHeight="1" x14ac:dyDescent="0.25">
      <c r="A540" s="730"/>
      <c r="B540" s="1286">
        <f t="shared" si="27"/>
        <v>3</v>
      </c>
      <c r="C540" s="1804" t="s">
        <v>1260</v>
      </c>
      <c r="D540" s="1758"/>
      <c r="E540" s="1448" t="s">
        <v>1424</v>
      </c>
      <c r="F540" s="1290"/>
      <c r="G540" s="1302"/>
      <c r="H540" s="1322"/>
      <c r="I540" s="1322"/>
      <c r="J540" s="1322"/>
      <c r="K540" s="1322"/>
      <c r="L540" s="1322"/>
      <c r="M540" s="1322"/>
      <c r="N540" s="1322"/>
      <c r="O540" s="1326"/>
      <c r="P540" s="1322"/>
      <c r="Q540" s="1323"/>
      <c r="R540" s="1324"/>
      <c r="S540" s="1325"/>
      <c r="T540" s="1353"/>
      <c r="U540" s="1463"/>
      <c r="V540" s="1464"/>
      <c r="W540" s="1482"/>
      <c r="X540" s="1307"/>
    </row>
    <row r="541" spans="1:24" s="1308" customFormat="1" ht="15" customHeight="1" x14ac:dyDescent="0.25">
      <c r="A541" s="730"/>
      <c r="B541" s="1286">
        <f t="shared" si="27"/>
        <v>4</v>
      </c>
      <c r="C541" s="1804"/>
      <c r="D541" s="1758"/>
      <c r="E541" s="1448" t="s">
        <v>1285</v>
      </c>
      <c r="F541" s="1290"/>
      <c r="G541" s="1302"/>
      <c r="H541" s="1322"/>
      <c r="I541" s="1322"/>
      <c r="J541" s="1322"/>
      <c r="K541" s="1322"/>
      <c r="L541" s="1322"/>
      <c r="M541" s="1322"/>
      <c r="N541" s="1322"/>
      <c r="O541" s="1326"/>
      <c r="P541" s="1322"/>
      <c r="Q541" s="1323"/>
      <c r="R541" s="1324"/>
      <c r="S541" s="1325"/>
      <c r="T541" s="1353"/>
      <c r="U541" s="1463"/>
      <c r="V541" s="1464"/>
      <c r="W541" s="1482"/>
      <c r="X541" s="1307"/>
    </row>
    <row r="542" spans="1:24" s="1308" customFormat="1" ht="15" customHeight="1" x14ac:dyDescent="0.25">
      <c r="A542" s="730"/>
      <c r="B542" s="1286">
        <f t="shared" si="27"/>
        <v>5</v>
      </c>
      <c r="C542" s="1804" t="s">
        <v>1261</v>
      </c>
      <c r="D542" s="1758"/>
      <c r="E542" s="1448" t="s">
        <v>1424</v>
      </c>
      <c r="F542" s="1290"/>
      <c r="G542" s="1302"/>
      <c r="H542" s="1322"/>
      <c r="I542" s="1322"/>
      <c r="J542" s="1322"/>
      <c r="K542" s="1322"/>
      <c r="L542" s="1322"/>
      <c r="M542" s="1322"/>
      <c r="N542" s="1322"/>
      <c r="O542" s="1326"/>
      <c r="P542" s="1322"/>
      <c r="Q542" s="1323"/>
      <c r="R542" s="1324"/>
      <c r="S542" s="1325"/>
      <c r="T542" s="1353"/>
      <c r="U542" s="1463"/>
      <c r="V542" s="1464"/>
      <c r="W542" s="1482"/>
      <c r="X542" s="1307"/>
    </row>
    <row r="543" spans="1:24" s="1308" customFormat="1" ht="15" customHeight="1" x14ac:dyDescent="0.25">
      <c r="A543" s="730"/>
      <c r="B543" s="1286">
        <f t="shared" si="27"/>
        <v>6</v>
      </c>
      <c r="C543" s="1804"/>
      <c r="D543" s="1758"/>
      <c r="E543" s="1448" t="s">
        <v>1285</v>
      </c>
      <c r="F543" s="1290"/>
      <c r="G543" s="1302"/>
      <c r="H543" s="1322"/>
      <c r="I543" s="1322"/>
      <c r="J543" s="1322"/>
      <c r="K543" s="1322"/>
      <c r="L543" s="1322"/>
      <c r="M543" s="1322"/>
      <c r="N543" s="1322"/>
      <c r="O543" s="1326"/>
      <c r="P543" s="1322"/>
      <c r="Q543" s="1323"/>
      <c r="R543" s="1324"/>
      <c r="S543" s="1325"/>
      <c r="T543" s="1353"/>
      <c r="U543" s="1463"/>
      <c r="V543" s="1464"/>
      <c r="W543" s="1482"/>
      <c r="X543" s="1307"/>
    </row>
    <row r="544" spans="1:24" s="1308" customFormat="1" ht="15" customHeight="1" x14ac:dyDescent="0.25">
      <c r="A544" s="730"/>
      <c r="B544" s="1286">
        <f t="shared" si="27"/>
        <v>7</v>
      </c>
      <c r="C544" s="1804" t="s">
        <v>1262</v>
      </c>
      <c r="D544" s="1758"/>
      <c r="E544" s="1448" t="s">
        <v>1424</v>
      </c>
      <c r="F544" s="1290"/>
      <c r="G544" s="1302"/>
      <c r="H544" s="1322"/>
      <c r="I544" s="1322"/>
      <c r="J544" s="1322"/>
      <c r="K544" s="1322"/>
      <c r="L544" s="1322"/>
      <c r="M544" s="1322"/>
      <c r="N544" s="1322"/>
      <c r="O544" s="1326"/>
      <c r="P544" s="1322"/>
      <c r="Q544" s="1323"/>
      <c r="R544" s="1324"/>
      <c r="S544" s="1325"/>
      <c r="T544" s="1353"/>
      <c r="U544" s="1463"/>
      <c r="V544" s="1464"/>
      <c r="W544" s="1482"/>
      <c r="X544" s="1307"/>
    </row>
    <row r="545" spans="1:24" s="1308" customFormat="1" ht="15" customHeight="1" x14ac:dyDescent="0.25">
      <c r="A545" s="730"/>
      <c r="B545" s="1286">
        <f t="shared" si="27"/>
        <v>8</v>
      </c>
      <c r="C545" s="1804"/>
      <c r="D545" s="1758"/>
      <c r="E545" s="1448" t="s">
        <v>1285</v>
      </c>
      <c r="F545" s="1290"/>
      <c r="G545" s="1302"/>
      <c r="H545" s="1322"/>
      <c r="I545" s="1322"/>
      <c r="J545" s="1322"/>
      <c r="K545" s="1322"/>
      <c r="L545" s="1322"/>
      <c r="M545" s="1322"/>
      <c r="N545" s="1322"/>
      <c r="O545" s="1326"/>
      <c r="P545" s="1322"/>
      <c r="Q545" s="1323"/>
      <c r="R545" s="1324"/>
      <c r="S545" s="1325"/>
      <c r="T545" s="1353"/>
      <c r="U545" s="1463"/>
      <c r="V545" s="1464"/>
      <c r="W545" s="1482"/>
      <c r="X545" s="1307"/>
    </row>
    <row r="546" spans="1:24" s="1308" customFormat="1" ht="15" customHeight="1" x14ac:dyDescent="0.25">
      <c r="A546" s="730"/>
      <c r="B546" s="1286">
        <f t="shared" si="27"/>
        <v>9</v>
      </c>
      <c r="C546" s="1804" t="s">
        <v>1263</v>
      </c>
      <c r="D546" s="1758"/>
      <c r="E546" s="1448" t="s">
        <v>1424</v>
      </c>
      <c r="F546" s="1290"/>
      <c r="G546" s="1302"/>
      <c r="H546" s="1322"/>
      <c r="I546" s="1322"/>
      <c r="J546" s="1322"/>
      <c r="K546" s="1322"/>
      <c r="L546" s="1322"/>
      <c r="M546" s="1322"/>
      <c r="N546" s="1322"/>
      <c r="O546" s="1326"/>
      <c r="P546" s="1322"/>
      <c r="Q546" s="1323"/>
      <c r="R546" s="1324"/>
      <c r="S546" s="1325"/>
      <c r="T546" s="1353"/>
      <c r="U546" s="1463"/>
      <c r="V546" s="1464"/>
      <c r="W546" s="1482"/>
      <c r="X546" s="1307"/>
    </row>
    <row r="547" spans="1:24" s="1308" customFormat="1" ht="15" customHeight="1" x14ac:dyDescent="0.25">
      <c r="A547" s="730"/>
      <c r="B547" s="1286">
        <f t="shared" si="27"/>
        <v>10</v>
      </c>
      <c r="C547" s="1804"/>
      <c r="D547" s="1758"/>
      <c r="E547" s="1448" t="s">
        <v>1285</v>
      </c>
      <c r="F547" s="1290"/>
      <c r="G547" s="1302"/>
      <c r="H547" s="1322"/>
      <c r="I547" s="1322"/>
      <c r="J547" s="1322"/>
      <c r="K547" s="1322"/>
      <c r="L547" s="1322"/>
      <c r="M547" s="1322"/>
      <c r="N547" s="1322"/>
      <c r="O547" s="1326"/>
      <c r="P547" s="1322"/>
      <c r="Q547" s="1323"/>
      <c r="R547" s="1324"/>
      <c r="S547" s="1325"/>
      <c r="T547" s="1353"/>
      <c r="U547" s="1463"/>
      <c r="V547" s="1464"/>
      <c r="W547" s="1482"/>
      <c r="X547" s="1307"/>
    </row>
    <row r="548" spans="1:24" s="1308" customFormat="1" ht="15" customHeight="1" x14ac:dyDescent="0.25">
      <c r="A548" s="730"/>
      <c r="B548" s="1286">
        <f t="shared" si="27"/>
        <v>11</v>
      </c>
      <c r="C548" s="1804" t="s">
        <v>1264</v>
      </c>
      <c r="D548" s="1758"/>
      <c r="E548" s="1448" t="s">
        <v>1424</v>
      </c>
      <c r="F548" s="1290"/>
      <c r="G548" s="1302"/>
      <c r="H548" s="1322"/>
      <c r="I548" s="1322"/>
      <c r="J548" s="1322"/>
      <c r="K548" s="1322"/>
      <c r="L548" s="1322"/>
      <c r="M548" s="1322"/>
      <c r="N548" s="1322"/>
      <c r="O548" s="1326"/>
      <c r="P548" s="1322"/>
      <c r="Q548" s="1323"/>
      <c r="R548" s="1324"/>
      <c r="S548" s="1325"/>
      <c r="T548" s="1353"/>
      <c r="U548" s="1463"/>
      <c r="V548" s="1464"/>
      <c r="W548" s="1482"/>
      <c r="X548" s="1307"/>
    </row>
    <row r="549" spans="1:24" s="1308" customFormat="1" ht="15" customHeight="1" x14ac:dyDescent="0.25">
      <c r="A549" s="730"/>
      <c r="B549" s="1286">
        <f t="shared" si="27"/>
        <v>12</v>
      </c>
      <c r="C549" s="1804"/>
      <c r="D549" s="1758"/>
      <c r="E549" s="1448" t="s">
        <v>1285</v>
      </c>
      <c r="F549" s="1290"/>
      <c r="G549" s="1302"/>
      <c r="H549" s="1322"/>
      <c r="I549" s="1322"/>
      <c r="J549" s="1322"/>
      <c r="K549" s="1322"/>
      <c r="L549" s="1322"/>
      <c r="M549" s="1322"/>
      <c r="N549" s="1322"/>
      <c r="O549" s="1326"/>
      <c r="P549" s="1322"/>
      <c r="Q549" s="1323"/>
      <c r="R549" s="1324"/>
      <c r="S549" s="1325"/>
      <c r="T549" s="1353"/>
      <c r="U549" s="1463"/>
      <c r="V549" s="1464"/>
      <c r="W549" s="1482"/>
      <c r="X549" s="1307"/>
    </row>
    <row r="550" spans="1:24" s="1308" customFormat="1" ht="15" customHeight="1" x14ac:dyDescent="0.25">
      <c r="A550" s="730"/>
      <c r="B550" s="1286">
        <f t="shared" si="27"/>
        <v>13</v>
      </c>
      <c r="C550" s="1804" t="s">
        <v>1265</v>
      </c>
      <c r="D550" s="1758"/>
      <c r="E550" s="1448" t="s">
        <v>1424</v>
      </c>
      <c r="F550" s="1290"/>
      <c r="G550" s="1302"/>
      <c r="H550" s="1322"/>
      <c r="I550" s="1322"/>
      <c r="J550" s="1322"/>
      <c r="K550" s="1322"/>
      <c r="L550" s="1322"/>
      <c r="M550" s="1322"/>
      <c r="N550" s="1322"/>
      <c r="O550" s="1326"/>
      <c r="P550" s="1322"/>
      <c r="Q550" s="1323"/>
      <c r="R550" s="1324"/>
      <c r="S550" s="1325"/>
      <c r="T550" s="1353"/>
      <c r="U550" s="1463"/>
      <c r="V550" s="1464"/>
      <c r="W550" s="1482"/>
      <c r="X550" s="1307"/>
    </row>
    <row r="551" spans="1:24" s="1308" customFormat="1" ht="15" customHeight="1" x14ac:dyDescent="0.25">
      <c r="A551" s="730"/>
      <c r="B551" s="1286">
        <f t="shared" si="27"/>
        <v>14</v>
      </c>
      <c r="C551" s="1804"/>
      <c r="D551" s="1758"/>
      <c r="E551" s="1448" t="s">
        <v>1285</v>
      </c>
      <c r="F551" s="1290"/>
      <c r="G551" s="1302"/>
      <c r="H551" s="1322"/>
      <c r="I551" s="1322"/>
      <c r="J551" s="1322"/>
      <c r="K551" s="1322"/>
      <c r="L551" s="1322"/>
      <c r="M551" s="1322"/>
      <c r="N551" s="1322"/>
      <c r="O551" s="1326"/>
      <c r="P551" s="1322"/>
      <c r="Q551" s="1323"/>
      <c r="R551" s="1324"/>
      <c r="S551" s="1325"/>
      <c r="T551" s="1353"/>
      <c r="U551" s="1463"/>
      <c r="V551" s="1464"/>
      <c r="W551" s="1482"/>
      <c r="X551" s="1307"/>
    </row>
    <row r="552" spans="1:24" s="1308" customFormat="1" ht="15" customHeight="1" x14ac:dyDescent="0.25">
      <c r="A552" s="730"/>
      <c r="B552" s="1286">
        <f t="shared" si="27"/>
        <v>15</v>
      </c>
      <c r="C552" s="1804" t="s">
        <v>1266</v>
      </c>
      <c r="D552" s="1758"/>
      <c r="E552" s="1448" t="s">
        <v>1424</v>
      </c>
      <c r="F552" s="1290"/>
      <c r="G552" s="1302"/>
      <c r="H552" s="1322"/>
      <c r="I552" s="1322"/>
      <c r="J552" s="1322"/>
      <c r="K552" s="1322"/>
      <c r="L552" s="1322"/>
      <c r="M552" s="1322"/>
      <c r="N552" s="1322"/>
      <c r="O552" s="1326"/>
      <c r="P552" s="1322"/>
      <c r="Q552" s="1323"/>
      <c r="R552" s="1324"/>
      <c r="S552" s="1325"/>
      <c r="T552" s="1353"/>
      <c r="U552" s="1463"/>
      <c r="V552" s="1464"/>
      <c r="W552" s="1482"/>
      <c r="X552" s="1307"/>
    </row>
    <row r="553" spans="1:24" s="1308" customFormat="1" ht="15" customHeight="1" x14ac:dyDescent="0.25">
      <c r="A553" s="730"/>
      <c r="B553" s="1286">
        <f t="shared" si="27"/>
        <v>16</v>
      </c>
      <c r="C553" s="1804"/>
      <c r="D553" s="1758"/>
      <c r="E553" s="1448" t="s">
        <v>1285</v>
      </c>
      <c r="F553" s="1290"/>
      <c r="G553" s="1302"/>
      <c r="H553" s="1322"/>
      <c r="I553" s="1322"/>
      <c r="J553" s="1322"/>
      <c r="K553" s="1322"/>
      <c r="L553" s="1322"/>
      <c r="M553" s="1322"/>
      <c r="N553" s="1322"/>
      <c r="O553" s="1326"/>
      <c r="P553" s="1322"/>
      <c r="Q553" s="1323"/>
      <c r="R553" s="1324"/>
      <c r="S553" s="1325"/>
      <c r="T553" s="1353"/>
      <c r="U553" s="1463"/>
      <c r="V553" s="1464"/>
      <c r="W553" s="1482"/>
      <c r="X553" s="1307"/>
    </row>
    <row r="554" spans="1:24" s="1308" customFormat="1" ht="15" customHeight="1" x14ac:dyDescent="0.25">
      <c r="A554" s="730"/>
      <c r="B554" s="1286">
        <f t="shared" si="27"/>
        <v>17</v>
      </c>
      <c r="C554" s="1804" t="s">
        <v>1267</v>
      </c>
      <c r="D554" s="1758"/>
      <c r="E554" s="1448" t="s">
        <v>1424</v>
      </c>
      <c r="F554" s="1290"/>
      <c r="G554" s="1302"/>
      <c r="H554" s="1322"/>
      <c r="I554" s="1322"/>
      <c r="J554" s="1322"/>
      <c r="K554" s="1322"/>
      <c r="L554" s="1322"/>
      <c r="M554" s="1322"/>
      <c r="N554" s="1322"/>
      <c r="O554" s="1326"/>
      <c r="P554" s="1322"/>
      <c r="Q554" s="1323"/>
      <c r="R554" s="1324"/>
      <c r="S554" s="1325"/>
      <c r="T554" s="1353"/>
      <c r="U554" s="1463"/>
      <c r="V554" s="1464"/>
      <c r="W554" s="1482"/>
      <c r="X554" s="1307"/>
    </row>
    <row r="555" spans="1:24" s="1308" customFormat="1" ht="15" customHeight="1" x14ac:dyDescent="0.25">
      <c r="A555" s="730"/>
      <c r="B555" s="1286">
        <f t="shared" si="27"/>
        <v>18</v>
      </c>
      <c r="C555" s="1804"/>
      <c r="D555" s="1758"/>
      <c r="E555" s="1448" t="s">
        <v>1285</v>
      </c>
      <c r="F555" s="1290"/>
      <c r="G555" s="1302"/>
      <c r="H555" s="1322"/>
      <c r="I555" s="1322"/>
      <c r="J555" s="1322"/>
      <c r="K555" s="1322"/>
      <c r="L555" s="1322"/>
      <c r="M555" s="1322"/>
      <c r="N555" s="1322"/>
      <c r="O555" s="1326"/>
      <c r="P555" s="1322"/>
      <c r="Q555" s="1323"/>
      <c r="R555" s="1324"/>
      <c r="S555" s="1325"/>
      <c r="T555" s="1353"/>
      <c r="U555" s="1463"/>
      <c r="V555" s="1464"/>
      <c r="W555" s="1482"/>
      <c r="X555" s="1307"/>
    </row>
    <row r="556" spans="1:24" s="1308" customFormat="1" ht="15" customHeight="1" x14ac:dyDescent="0.25">
      <c r="A556" s="730"/>
      <c r="B556" s="1286">
        <f t="shared" si="27"/>
        <v>19</v>
      </c>
      <c r="C556" s="1804" t="s">
        <v>1268</v>
      </c>
      <c r="D556" s="1758"/>
      <c r="E556" s="1448" t="s">
        <v>1424</v>
      </c>
      <c r="F556" s="1290"/>
      <c r="G556" s="1302"/>
      <c r="H556" s="1322"/>
      <c r="I556" s="1322"/>
      <c r="J556" s="1322"/>
      <c r="K556" s="1322"/>
      <c r="L556" s="1322"/>
      <c r="M556" s="1322"/>
      <c r="N556" s="1322"/>
      <c r="O556" s="1326"/>
      <c r="P556" s="1322"/>
      <c r="Q556" s="1323"/>
      <c r="R556" s="1324"/>
      <c r="S556" s="1325"/>
      <c r="T556" s="1353"/>
      <c r="U556" s="1463"/>
      <c r="V556" s="1464"/>
      <c r="W556" s="1482"/>
      <c r="X556" s="1307"/>
    </row>
    <row r="557" spans="1:24" s="1308" customFormat="1" ht="15" customHeight="1" x14ac:dyDescent="0.25">
      <c r="A557" s="730"/>
      <c r="B557" s="1286">
        <f t="shared" si="27"/>
        <v>20</v>
      </c>
      <c r="C557" s="1804"/>
      <c r="D557" s="1758"/>
      <c r="E557" s="1448" t="s">
        <v>1285</v>
      </c>
      <c r="F557" s="1290"/>
      <c r="G557" s="1302"/>
      <c r="H557" s="1322"/>
      <c r="I557" s="1322"/>
      <c r="J557" s="1322"/>
      <c r="K557" s="1322"/>
      <c r="L557" s="1322"/>
      <c r="M557" s="1322"/>
      <c r="N557" s="1322"/>
      <c r="O557" s="1326"/>
      <c r="P557" s="1322"/>
      <c r="Q557" s="1323"/>
      <c r="R557" s="1324"/>
      <c r="S557" s="1325"/>
      <c r="T557" s="1353"/>
      <c r="U557" s="1463"/>
      <c r="V557" s="1464"/>
      <c r="W557" s="1482"/>
      <c r="X557" s="1307"/>
    </row>
    <row r="558" spans="1:24" s="1308" customFormat="1" ht="15" customHeight="1" x14ac:dyDescent="0.25">
      <c r="A558" s="730"/>
      <c r="B558" s="1286">
        <f t="shared" si="27"/>
        <v>21</v>
      </c>
      <c r="C558" s="1804" t="s">
        <v>1269</v>
      </c>
      <c r="D558" s="1758"/>
      <c r="E558" s="1448" t="s">
        <v>1424</v>
      </c>
      <c r="F558" s="1290"/>
      <c r="G558" s="1302"/>
      <c r="H558" s="1322"/>
      <c r="I558" s="1322"/>
      <c r="J558" s="1322"/>
      <c r="K558" s="1322"/>
      <c r="L558" s="1322"/>
      <c r="M558" s="1322"/>
      <c r="N558" s="1322"/>
      <c r="O558" s="1326"/>
      <c r="P558" s="1322"/>
      <c r="Q558" s="1323"/>
      <c r="R558" s="1324"/>
      <c r="S558" s="1325"/>
      <c r="T558" s="1353"/>
      <c r="U558" s="1463"/>
      <c r="V558" s="1464"/>
      <c r="W558" s="1482"/>
      <c r="X558" s="1307"/>
    </row>
    <row r="559" spans="1:24" s="1308" customFormat="1" ht="15" customHeight="1" x14ac:dyDescent="0.25">
      <c r="A559" s="730"/>
      <c r="B559" s="1286">
        <f t="shared" si="27"/>
        <v>22</v>
      </c>
      <c r="C559" s="1804"/>
      <c r="D559" s="1758"/>
      <c r="E559" s="1448" t="s">
        <v>1285</v>
      </c>
      <c r="F559" s="1290"/>
      <c r="G559" s="1302"/>
      <c r="H559" s="1322"/>
      <c r="I559" s="1322"/>
      <c r="J559" s="1322"/>
      <c r="K559" s="1322"/>
      <c r="L559" s="1322"/>
      <c r="M559" s="1322"/>
      <c r="N559" s="1322"/>
      <c r="O559" s="1326"/>
      <c r="P559" s="1322"/>
      <c r="Q559" s="1323"/>
      <c r="R559" s="1324"/>
      <c r="S559" s="1325"/>
      <c r="T559" s="1353"/>
      <c r="U559" s="1463"/>
      <c r="V559" s="1464"/>
      <c r="W559" s="1482"/>
      <c r="X559" s="1307"/>
    </row>
    <row r="560" spans="1:24" s="1308" customFormat="1" ht="15" customHeight="1" x14ac:dyDescent="0.25">
      <c r="A560" s="730"/>
      <c r="B560" s="1286">
        <f t="shared" si="27"/>
        <v>23</v>
      </c>
      <c r="C560" s="1804" t="s">
        <v>1270</v>
      </c>
      <c r="D560" s="1758"/>
      <c r="E560" s="1448" t="s">
        <v>1424</v>
      </c>
      <c r="F560" s="1290"/>
      <c r="G560" s="1302"/>
      <c r="H560" s="1322"/>
      <c r="I560" s="1322"/>
      <c r="J560" s="1322"/>
      <c r="K560" s="1322"/>
      <c r="L560" s="1322"/>
      <c r="M560" s="1322"/>
      <c r="N560" s="1322"/>
      <c r="O560" s="1326"/>
      <c r="P560" s="1322"/>
      <c r="Q560" s="1323"/>
      <c r="R560" s="1324"/>
      <c r="S560" s="1325"/>
      <c r="T560" s="1353"/>
      <c r="U560" s="1463"/>
      <c r="V560" s="1464"/>
      <c r="W560" s="1482"/>
      <c r="X560" s="1307"/>
    </row>
    <row r="561" spans="1:24" s="1308" customFormat="1" ht="15" customHeight="1" x14ac:dyDescent="0.25">
      <c r="A561" s="730"/>
      <c r="B561" s="1287">
        <f t="shared" si="27"/>
        <v>24</v>
      </c>
      <c r="C561" s="1807"/>
      <c r="D561" s="1760"/>
      <c r="E561" s="1449" t="s">
        <v>1285</v>
      </c>
      <c r="F561" s="1291"/>
      <c r="G561" s="1327"/>
      <c r="H561" s="1303"/>
      <c r="I561" s="1303"/>
      <c r="J561" s="1303"/>
      <c r="K561" s="1303"/>
      <c r="L561" s="1303"/>
      <c r="M561" s="1303"/>
      <c r="N561" s="1303"/>
      <c r="O561" s="1328"/>
      <c r="P561" s="1303"/>
      <c r="Q561" s="1304"/>
      <c r="R561" s="1305"/>
      <c r="S561" s="1306"/>
      <c r="T561" s="1351"/>
      <c r="U561" s="1466"/>
      <c r="V561" s="1467"/>
      <c r="W561" s="1483"/>
      <c r="X561" s="1307"/>
    </row>
    <row r="562" spans="1:24" s="423" customFormat="1" ht="15" customHeight="1" x14ac:dyDescent="0.25">
      <c r="A562" s="1189"/>
      <c r="B562" s="1442"/>
      <c r="C562" s="1005"/>
      <c r="D562" s="1005"/>
      <c r="E562" s="1190"/>
      <c r="F562" s="1191"/>
      <c r="G562" s="1192"/>
      <c r="H562" s="455"/>
      <c r="I562" s="455"/>
      <c r="J562" s="455"/>
      <c r="K562" s="455"/>
      <c r="L562" s="455"/>
      <c r="M562" s="455"/>
      <c r="N562" s="455"/>
      <c r="O562" s="1192"/>
      <c r="P562" s="455"/>
      <c r="Q562" s="1193"/>
      <c r="R562" s="1194"/>
      <c r="S562" s="1195"/>
      <c r="T562" s="455"/>
      <c r="U562" s="1193"/>
      <c r="V562" s="1194"/>
      <c r="W562" s="1195"/>
      <c r="X562" s="456"/>
    </row>
    <row r="563" spans="1:24" ht="30" customHeight="1" x14ac:dyDescent="0.3">
      <c r="A563" s="728" t="s">
        <v>1294</v>
      </c>
      <c r="B563" s="731"/>
      <c r="C563" s="732"/>
      <c r="D563" s="732"/>
      <c r="E563" s="732"/>
      <c r="F563" s="732"/>
      <c r="G563" s="716"/>
      <c r="H563" s="716"/>
      <c r="I563" s="716"/>
      <c r="J563" s="716"/>
      <c r="P563" s="1767"/>
      <c r="Q563" s="1767"/>
      <c r="T563" s="1767"/>
      <c r="U563" s="1767"/>
      <c r="X563" s="727"/>
    </row>
    <row r="564" spans="1:24" ht="30" customHeight="1" x14ac:dyDescent="0.3">
      <c r="A564" s="728" t="s">
        <v>1426</v>
      </c>
      <c r="B564" s="731"/>
      <c r="C564" s="732"/>
      <c r="D564" s="732"/>
      <c r="E564" s="732"/>
      <c r="F564" s="732"/>
      <c r="G564" s="716"/>
      <c r="H564" s="716"/>
      <c r="I564" s="716"/>
      <c r="J564" s="716"/>
      <c r="P564" s="1767"/>
      <c r="Q564" s="1767"/>
      <c r="T564" s="1767"/>
      <c r="U564" s="1767"/>
      <c r="X564" s="727"/>
    </row>
    <row r="565" spans="1:24" s="735" customFormat="1" ht="45" customHeight="1" x14ac:dyDescent="0.25">
      <c r="A565" s="733" t="s">
        <v>1427</v>
      </c>
      <c r="B565" s="722"/>
      <c r="C565" s="734"/>
      <c r="D565" s="734"/>
      <c r="E565" s="734"/>
      <c r="F565" s="732"/>
      <c r="X565" s="422"/>
    </row>
    <row r="566" spans="1:24" s="1300" customFormat="1" ht="15" customHeight="1" x14ac:dyDescent="0.25">
      <c r="A566" s="726"/>
      <c r="B566" s="1297"/>
      <c r="C566" s="1298"/>
      <c r="D566" s="1443" t="s">
        <v>1295</v>
      </c>
      <c r="E566" s="1443" t="s">
        <v>1296</v>
      </c>
      <c r="F566" s="1443"/>
      <c r="G566" s="1676"/>
      <c r="H566" s="1677"/>
      <c r="I566" s="1677"/>
      <c r="J566" s="1677"/>
      <c r="K566" s="1677"/>
      <c r="L566" s="1677"/>
      <c r="M566" s="1677"/>
      <c r="N566" s="1677"/>
      <c r="O566" s="1677"/>
      <c r="P566" s="1677"/>
      <c r="Q566" s="1677"/>
      <c r="R566" s="1677"/>
      <c r="S566" s="1677"/>
      <c r="T566" s="1677"/>
      <c r="U566" s="1677"/>
      <c r="V566" s="1677"/>
      <c r="W566" s="1778"/>
      <c r="X566" s="1299"/>
    </row>
    <row r="567" spans="1:24" s="1308" customFormat="1" ht="15" customHeight="1" x14ac:dyDescent="0.25">
      <c r="A567" s="730"/>
      <c r="B567" s="1285">
        <v>1</v>
      </c>
      <c r="C567" s="1774" t="s">
        <v>1274</v>
      </c>
      <c r="D567" s="1763" t="s">
        <v>1666</v>
      </c>
      <c r="E567" s="1450" t="s">
        <v>1625</v>
      </c>
      <c r="F567" s="1289"/>
      <c r="G567" s="1316"/>
      <c r="H567" s="1317"/>
      <c r="I567" s="1317"/>
      <c r="J567" s="1317"/>
      <c r="K567" s="1317"/>
      <c r="L567" s="1317"/>
      <c r="M567" s="1317"/>
      <c r="N567" s="1317"/>
      <c r="O567" s="1321"/>
      <c r="P567" s="1317"/>
      <c r="Q567" s="1318"/>
      <c r="R567" s="1319"/>
      <c r="S567" s="1320"/>
      <c r="T567" s="1349"/>
      <c r="U567" s="1460"/>
      <c r="V567" s="1461"/>
      <c r="W567" s="1481"/>
      <c r="X567" s="1307"/>
    </row>
    <row r="568" spans="1:24" s="1308" customFormat="1" ht="15" customHeight="1" x14ac:dyDescent="0.25">
      <c r="A568" s="730"/>
      <c r="B568" s="1286">
        <f t="shared" ref="B568:B655" si="28">B567+1</f>
        <v>2</v>
      </c>
      <c r="C568" s="1775"/>
      <c r="D568" s="1758"/>
      <c r="E568" s="1448" t="s">
        <v>1299</v>
      </c>
      <c r="F568" s="1290"/>
      <c r="G568" s="1302"/>
      <c r="H568" s="1322"/>
      <c r="I568" s="1322"/>
      <c r="J568" s="1322"/>
      <c r="K568" s="1322"/>
      <c r="L568" s="1322"/>
      <c r="M568" s="1322"/>
      <c r="N568" s="1322"/>
      <c r="O568" s="1326"/>
      <c r="P568" s="1322"/>
      <c r="Q568" s="1323"/>
      <c r="R568" s="1324"/>
      <c r="S568" s="1325"/>
      <c r="T568" s="1353"/>
      <c r="U568" s="1463"/>
      <c r="V568" s="1464"/>
      <c r="W568" s="1482"/>
      <c r="X568" s="1307"/>
    </row>
    <row r="569" spans="1:24" s="1308" customFormat="1" ht="15" customHeight="1" x14ac:dyDescent="0.25">
      <c r="A569" s="730"/>
      <c r="B569" s="1286">
        <f t="shared" si="28"/>
        <v>3</v>
      </c>
      <c r="C569" s="1775"/>
      <c r="D569" s="1758"/>
      <c r="E569" s="1448" t="s">
        <v>1297</v>
      </c>
      <c r="F569" s="1290"/>
      <c r="G569" s="1302"/>
      <c r="H569" s="1322"/>
      <c r="I569" s="1322"/>
      <c r="J569" s="1322"/>
      <c r="K569" s="1322"/>
      <c r="L569" s="1322"/>
      <c r="M569" s="1322"/>
      <c r="N569" s="1322"/>
      <c r="O569" s="1326"/>
      <c r="P569" s="1322"/>
      <c r="Q569" s="1323"/>
      <c r="R569" s="1324"/>
      <c r="S569" s="1325"/>
      <c r="T569" s="1353"/>
      <c r="U569" s="1463"/>
      <c r="V569" s="1464"/>
      <c r="W569" s="1482"/>
      <c r="X569" s="1307"/>
    </row>
    <row r="570" spans="1:24" s="1308" customFormat="1" ht="15" customHeight="1" x14ac:dyDescent="0.25">
      <c r="A570" s="730"/>
      <c r="B570" s="1286">
        <f t="shared" si="28"/>
        <v>4</v>
      </c>
      <c r="C570" s="1775"/>
      <c r="D570" s="1758"/>
      <c r="E570" s="1448" t="s">
        <v>1298</v>
      </c>
      <c r="F570" s="1290"/>
      <c r="G570" s="1302"/>
      <c r="H570" s="1322"/>
      <c r="I570" s="1322"/>
      <c r="J570" s="1322"/>
      <c r="K570" s="1322"/>
      <c r="L570" s="1322"/>
      <c r="M570" s="1322"/>
      <c r="N570" s="1322"/>
      <c r="O570" s="1326"/>
      <c r="P570" s="1322"/>
      <c r="Q570" s="1323"/>
      <c r="R570" s="1324"/>
      <c r="S570" s="1325"/>
      <c r="T570" s="1353"/>
      <c r="U570" s="1463"/>
      <c r="V570" s="1464"/>
      <c r="W570" s="1482"/>
      <c r="X570" s="1307"/>
    </row>
    <row r="571" spans="1:24" s="1308" customFormat="1" ht="15" customHeight="1" x14ac:dyDescent="0.25">
      <c r="A571" s="730"/>
      <c r="B571" s="1286">
        <f t="shared" si="28"/>
        <v>5</v>
      </c>
      <c r="C571" s="1775"/>
      <c r="D571" s="1758" t="s">
        <v>1667</v>
      </c>
      <c r="E571" s="1448" t="s">
        <v>1625</v>
      </c>
      <c r="F571" s="1290"/>
      <c r="G571" s="1302"/>
      <c r="H571" s="1322"/>
      <c r="I571" s="1322"/>
      <c r="J571" s="1322"/>
      <c r="K571" s="1322"/>
      <c r="L571" s="1322"/>
      <c r="M571" s="1322"/>
      <c r="N571" s="1322"/>
      <c r="O571" s="1326"/>
      <c r="P571" s="1322"/>
      <c r="Q571" s="1323"/>
      <c r="R571" s="1324"/>
      <c r="S571" s="1325"/>
      <c r="T571" s="1353"/>
      <c r="U571" s="1463"/>
      <c r="V571" s="1464"/>
      <c r="W571" s="1482"/>
      <c r="X571" s="1307"/>
    </row>
    <row r="572" spans="1:24" s="1308" customFormat="1" ht="15" customHeight="1" x14ac:dyDescent="0.25">
      <c r="A572" s="730"/>
      <c r="B572" s="1286">
        <f t="shared" si="28"/>
        <v>6</v>
      </c>
      <c r="C572" s="1775"/>
      <c r="D572" s="1758"/>
      <c r="E572" s="1448" t="s">
        <v>1299</v>
      </c>
      <c r="F572" s="1290"/>
      <c r="G572" s="1302"/>
      <c r="H572" s="1322"/>
      <c r="I572" s="1322"/>
      <c r="J572" s="1322"/>
      <c r="K572" s="1322"/>
      <c r="L572" s="1322"/>
      <c r="M572" s="1322"/>
      <c r="N572" s="1322"/>
      <c r="O572" s="1326"/>
      <c r="P572" s="1322"/>
      <c r="Q572" s="1323"/>
      <c r="R572" s="1324"/>
      <c r="S572" s="1325"/>
      <c r="T572" s="1353"/>
      <c r="U572" s="1463"/>
      <c r="V572" s="1464"/>
      <c r="W572" s="1482"/>
      <c r="X572" s="1307"/>
    </row>
    <row r="573" spans="1:24" s="1308" customFormat="1" ht="15" customHeight="1" x14ac:dyDescent="0.25">
      <c r="A573" s="730"/>
      <c r="B573" s="1286">
        <f t="shared" si="28"/>
        <v>7</v>
      </c>
      <c r="C573" s="1775"/>
      <c r="D573" s="1758"/>
      <c r="E573" s="1448" t="s">
        <v>1297</v>
      </c>
      <c r="F573" s="1290"/>
      <c r="G573" s="1302"/>
      <c r="H573" s="1322"/>
      <c r="I573" s="1322"/>
      <c r="J573" s="1322"/>
      <c r="K573" s="1322"/>
      <c r="L573" s="1322"/>
      <c r="M573" s="1322"/>
      <c r="N573" s="1322"/>
      <c r="O573" s="1326"/>
      <c r="P573" s="1322"/>
      <c r="Q573" s="1323"/>
      <c r="R573" s="1324"/>
      <c r="S573" s="1325"/>
      <c r="T573" s="1353"/>
      <c r="U573" s="1463"/>
      <c r="V573" s="1464"/>
      <c r="W573" s="1482"/>
      <c r="X573" s="1307"/>
    </row>
    <row r="574" spans="1:24" s="1308" customFormat="1" ht="15" customHeight="1" x14ac:dyDescent="0.25">
      <c r="A574" s="730"/>
      <c r="B574" s="1286">
        <f t="shared" si="28"/>
        <v>8</v>
      </c>
      <c r="C574" s="1775"/>
      <c r="D574" s="1758"/>
      <c r="E574" s="1448" t="s">
        <v>1298</v>
      </c>
      <c r="F574" s="1290"/>
      <c r="G574" s="1302"/>
      <c r="H574" s="1322"/>
      <c r="I574" s="1322"/>
      <c r="J574" s="1322"/>
      <c r="K574" s="1322"/>
      <c r="L574" s="1322"/>
      <c r="M574" s="1322"/>
      <c r="N574" s="1322"/>
      <c r="O574" s="1326"/>
      <c r="P574" s="1322"/>
      <c r="Q574" s="1323"/>
      <c r="R574" s="1324"/>
      <c r="S574" s="1325"/>
      <c r="T574" s="1353"/>
      <c r="U574" s="1463"/>
      <c r="V574" s="1464"/>
      <c r="W574" s="1482"/>
      <c r="X574" s="1307"/>
    </row>
    <row r="575" spans="1:24" s="1308" customFormat="1" ht="15" customHeight="1" x14ac:dyDescent="0.25">
      <c r="A575" s="730"/>
      <c r="B575" s="1286">
        <f t="shared" si="28"/>
        <v>9</v>
      </c>
      <c r="C575" s="1775"/>
      <c r="D575" s="1758" t="s">
        <v>1668</v>
      </c>
      <c r="E575" s="1448" t="s">
        <v>1625</v>
      </c>
      <c r="F575" s="1290"/>
      <c r="G575" s="1302"/>
      <c r="H575" s="1322"/>
      <c r="I575" s="1322"/>
      <c r="J575" s="1322"/>
      <c r="K575" s="1322"/>
      <c r="L575" s="1322"/>
      <c r="M575" s="1322"/>
      <c r="N575" s="1322"/>
      <c r="O575" s="1326"/>
      <c r="P575" s="1322"/>
      <c r="Q575" s="1323"/>
      <c r="R575" s="1324"/>
      <c r="S575" s="1325"/>
      <c r="T575" s="1353"/>
      <c r="U575" s="1463"/>
      <c r="V575" s="1464"/>
      <c r="W575" s="1482"/>
      <c r="X575" s="1307"/>
    </row>
    <row r="576" spans="1:24" s="1308" customFormat="1" ht="15" customHeight="1" x14ac:dyDescent="0.25">
      <c r="A576" s="730"/>
      <c r="B576" s="1286">
        <f t="shared" si="28"/>
        <v>10</v>
      </c>
      <c r="C576" s="1775"/>
      <c r="D576" s="1758"/>
      <c r="E576" s="1448" t="s">
        <v>1299</v>
      </c>
      <c r="F576" s="1290"/>
      <c r="G576" s="1302"/>
      <c r="H576" s="1322"/>
      <c r="I576" s="1322"/>
      <c r="J576" s="1322"/>
      <c r="K576" s="1322"/>
      <c r="L576" s="1322"/>
      <c r="M576" s="1322"/>
      <c r="N576" s="1322"/>
      <c r="O576" s="1326"/>
      <c r="P576" s="1322"/>
      <c r="Q576" s="1323"/>
      <c r="R576" s="1324"/>
      <c r="S576" s="1325"/>
      <c r="T576" s="1353"/>
      <c r="U576" s="1463"/>
      <c r="V576" s="1464"/>
      <c r="W576" s="1482"/>
      <c r="X576" s="1307"/>
    </row>
    <row r="577" spans="1:24" s="1308" customFormat="1" ht="15" customHeight="1" x14ac:dyDescent="0.25">
      <c r="A577" s="730"/>
      <c r="B577" s="1286">
        <f t="shared" si="28"/>
        <v>11</v>
      </c>
      <c r="C577" s="1775"/>
      <c r="D577" s="1758"/>
      <c r="E577" s="1448" t="s">
        <v>1297</v>
      </c>
      <c r="F577" s="1290"/>
      <c r="G577" s="1302"/>
      <c r="H577" s="1322"/>
      <c r="I577" s="1322"/>
      <c r="J577" s="1322"/>
      <c r="K577" s="1322"/>
      <c r="L577" s="1322"/>
      <c r="M577" s="1322"/>
      <c r="N577" s="1322"/>
      <c r="O577" s="1326"/>
      <c r="P577" s="1322"/>
      <c r="Q577" s="1323"/>
      <c r="R577" s="1324"/>
      <c r="S577" s="1325"/>
      <c r="T577" s="1353"/>
      <c r="U577" s="1463"/>
      <c r="V577" s="1464"/>
      <c r="W577" s="1482"/>
      <c r="X577" s="1307"/>
    </row>
    <row r="578" spans="1:24" s="1308" customFormat="1" ht="15" customHeight="1" x14ac:dyDescent="0.25">
      <c r="A578" s="730"/>
      <c r="B578" s="1286">
        <f t="shared" si="28"/>
        <v>12</v>
      </c>
      <c r="C578" s="1775"/>
      <c r="D578" s="1758"/>
      <c r="E578" s="1448" t="s">
        <v>1298</v>
      </c>
      <c r="F578" s="1290"/>
      <c r="G578" s="1302"/>
      <c r="H578" s="1322"/>
      <c r="I578" s="1322"/>
      <c r="J578" s="1322"/>
      <c r="K578" s="1322"/>
      <c r="L578" s="1322"/>
      <c r="M578" s="1322"/>
      <c r="N578" s="1322"/>
      <c r="O578" s="1326"/>
      <c r="P578" s="1322"/>
      <c r="Q578" s="1323"/>
      <c r="R578" s="1324"/>
      <c r="S578" s="1325"/>
      <c r="T578" s="1353"/>
      <c r="U578" s="1463"/>
      <c r="V578" s="1464"/>
      <c r="W578" s="1482"/>
      <c r="X578" s="1307"/>
    </row>
    <row r="579" spans="1:24" s="1308" customFormat="1" ht="15" customHeight="1" x14ac:dyDescent="0.25">
      <c r="A579" s="730"/>
      <c r="B579" s="1286">
        <f t="shared" si="28"/>
        <v>13</v>
      </c>
      <c r="C579" s="1775"/>
      <c r="D579" s="1758" t="s">
        <v>1669</v>
      </c>
      <c r="E579" s="1448" t="s">
        <v>1625</v>
      </c>
      <c r="F579" s="1290"/>
      <c r="G579" s="1302"/>
      <c r="H579" s="1322"/>
      <c r="I579" s="1322"/>
      <c r="J579" s="1322"/>
      <c r="K579" s="1322"/>
      <c r="L579" s="1322"/>
      <c r="M579" s="1322"/>
      <c r="N579" s="1322"/>
      <c r="O579" s="1326"/>
      <c r="P579" s="1322"/>
      <c r="Q579" s="1323"/>
      <c r="R579" s="1324"/>
      <c r="S579" s="1325"/>
      <c r="T579" s="1353"/>
      <c r="U579" s="1463"/>
      <c r="V579" s="1464"/>
      <c r="W579" s="1482"/>
      <c r="X579" s="1307"/>
    </row>
    <row r="580" spans="1:24" s="1308" customFormat="1" ht="15" customHeight="1" x14ac:dyDescent="0.25">
      <c r="A580" s="730"/>
      <c r="B580" s="1286">
        <f t="shared" si="28"/>
        <v>14</v>
      </c>
      <c r="C580" s="1775"/>
      <c r="D580" s="1758"/>
      <c r="E580" s="1448" t="s">
        <v>1299</v>
      </c>
      <c r="F580" s="1290"/>
      <c r="G580" s="1302"/>
      <c r="H580" s="1322"/>
      <c r="I580" s="1322"/>
      <c r="J580" s="1322"/>
      <c r="K580" s="1322"/>
      <c r="L580" s="1322"/>
      <c r="M580" s="1322"/>
      <c r="N580" s="1322"/>
      <c r="O580" s="1326"/>
      <c r="P580" s="1322"/>
      <c r="Q580" s="1323"/>
      <c r="R580" s="1324"/>
      <c r="S580" s="1325"/>
      <c r="T580" s="1353"/>
      <c r="U580" s="1463"/>
      <c r="V580" s="1464"/>
      <c r="W580" s="1482"/>
      <c r="X580" s="1307"/>
    </row>
    <row r="581" spans="1:24" s="1308" customFormat="1" ht="15" customHeight="1" x14ac:dyDescent="0.25">
      <c r="A581" s="730"/>
      <c r="B581" s="1286">
        <f t="shared" si="28"/>
        <v>15</v>
      </c>
      <c r="C581" s="1775"/>
      <c r="D581" s="1758"/>
      <c r="E581" s="1448" t="s">
        <v>1297</v>
      </c>
      <c r="F581" s="1290"/>
      <c r="G581" s="1302"/>
      <c r="H581" s="1322"/>
      <c r="I581" s="1322"/>
      <c r="J581" s="1322"/>
      <c r="K581" s="1322"/>
      <c r="L581" s="1322"/>
      <c r="M581" s="1322"/>
      <c r="N581" s="1322"/>
      <c r="O581" s="1326"/>
      <c r="P581" s="1322"/>
      <c r="Q581" s="1323"/>
      <c r="R581" s="1324"/>
      <c r="S581" s="1325"/>
      <c r="T581" s="1353"/>
      <c r="U581" s="1463"/>
      <c r="V581" s="1464"/>
      <c r="W581" s="1482"/>
      <c r="X581" s="1307"/>
    </row>
    <row r="582" spans="1:24" s="1308" customFormat="1" ht="15" customHeight="1" x14ac:dyDescent="0.25">
      <c r="A582" s="730"/>
      <c r="B582" s="1286">
        <f t="shared" si="28"/>
        <v>16</v>
      </c>
      <c r="C582" s="1775"/>
      <c r="D582" s="1758"/>
      <c r="E582" s="1448" t="s">
        <v>1298</v>
      </c>
      <c r="F582" s="1290"/>
      <c r="G582" s="1302"/>
      <c r="H582" s="1322"/>
      <c r="I582" s="1322"/>
      <c r="J582" s="1322"/>
      <c r="K582" s="1322"/>
      <c r="L582" s="1322"/>
      <c r="M582" s="1322"/>
      <c r="N582" s="1322"/>
      <c r="O582" s="1326"/>
      <c r="P582" s="1322"/>
      <c r="Q582" s="1323"/>
      <c r="R582" s="1324"/>
      <c r="S582" s="1325"/>
      <c r="T582" s="1353"/>
      <c r="U582" s="1463"/>
      <c r="V582" s="1464"/>
      <c r="W582" s="1482"/>
      <c r="X582" s="1307"/>
    </row>
    <row r="583" spans="1:24" s="1308" customFormat="1" ht="15" customHeight="1" x14ac:dyDescent="0.25">
      <c r="A583" s="730"/>
      <c r="B583" s="1286">
        <f t="shared" si="28"/>
        <v>17</v>
      </c>
      <c r="C583" s="1775"/>
      <c r="D583" s="1758" t="s">
        <v>1670</v>
      </c>
      <c r="E583" s="1448" t="s">
        <v>1625</v>
      </c>
      <c r="F583" s="1290"/>
      <c r="G583" s="1302"/>
      <c r="H583" s="1322"/>
      <c r="I583" s="1322"/>
      <c r="J583" s="1322"/>
      <c r="K583" s="1322"/>
      <c r="L583" s="1322"/>
      <c r="M583" s="1322"/>
      <c r="N583" s="1322"/>
      <c r="O583" s="1326"/>
      <c r="P583" s="1322"/>
      <c r="Q583" s="1323"/>
      <c r="R583" s="1324"/>
      <c r="S583" s="1325"/>
      <c r="T583" s="1353"/>
      <c r="U583" s="1463"/>
      <c r="V583" s="1464"/>
      <c r="W583" s="1482"/>
      <c r="X583" s="1307"/>
    </row>
    <row r="584" spans="1:24" s="1308" customFormat="1" ht="15" customHeight="1" x14ac:dyDescent="0.25">
      <c r="A584" s="730"/>
      <c r="B584" s="1286">
        <f t="shared" si="28"/>
        <v>18</v>
      </c>
      <c r="C584" s="1775"/>
      <c r="D584" s="1758"/>
      <c r="E584" s="1448" t="s">
        <v>1299</v>
      </c>
      <c r="F584" s="1290"/>
      <c r="G584" s="1302"/>
      <c r="H584" s="1322"/>
      <c r="I584" s="1322"/>
      <c r="J584" s="1322"/>
      <c r="K584" s="1322"/>
      <c r="L584" s="1322"/>
      <c r="M584" s="1322"/>
      <c r="N584" s="1322"/>
      <c r="O584" s="1326"/>
      <c r="P584" s="1322"/>
      <c r="Q584" s="1323"/>
      <c r="R584" s="1324"/>
      <c r="S584" s="1325"/>
      <c r="T584" s="1353"/>
      <c r="U584" s="1463"/>
      <c r="V584" s="1464"/>
      <c r="W584" s="1482"/>
      <c r="X584" s="1307"/>
    </row>
    <row r="585" spans="1:24" s="1308" customFormat="1" ht="15" customHeight="1" x14ac:dyDescent="0.25">
      <c r="A585" s="730"/>
      <c r="B585" s="1286">
        <f t="shared" si="28"/>
        <v>19</v>
      </c>
      <c r="C585" s="1775"/>
      <c r="D585" s="1758"/>
      <c r="E585" s="1448" t="s">
        <v>1297</v>
      </c>
      <c r="F585" s="1290"/>
      <c r="G585" s="1302"/>
      <c r="H585" s="1322"/>
      <c r="I585" s="1322"/>
      <c r="J585" s="1322"/>
      <c r="K585" s="1322"/>
      <c r="L585" s="1322"/>
      <c r="M585" s="1322"/>
      <c r="N585" s="1322"/>
      <c r="O585" s="1326"/>
      <c r="P585" s="1322"/>
      <c r="Q585" s="1323"/>
      <c r="R585" s="1324"/>
      <c r="S585" s="1325"/>
      <c r="T585" s="1353"/>
      <c r="U585" s="1463"/>
      <c r="V585" s="1464"/>
      <c r="W585" s="1482"/>
      <c r="X585" s="1307"/>
    </row>
    <row r="586" spans="1:24" s="1308" customFormat="1" ht="15" customHeight="1" x14ac:dyDescent="0.25">
      <c r="A586" s="730"/>
      <c r="B586" s="1286">
        <f t="shared" si="28"/>
        <v>20</v>
      </c>
      <c r="C586" s="1775"/>
      <c r="D586" s="1758"/>
      <c r="E586" s="1448" t="s">
        <v>1298</v>
      </c>
      <c r="F586" s="1290"/>
      <c r="G586" s="1302"/>
      <c r="H586" s="1322"/>
      <c r="I586" s="1322"/>
      <c r="J586" s="1322"/>
      <c r="K586" s="1322"/>
      <c r="L586" s="1322"/>
      <c r="M586" s="1322"/>
      <c r="N586" s="1322"/>
      <c r="O586" s="1326"/>
      <c r="P586" s="1322"/>
      <c r="Q586" s="1323"/>
      <c r="R586" s="1324"/>
      <c r="S586" s="1325"/>
      <c r="T586" s="1353"/>
      <c r="U586" s="1463"/>
      <c r="V586" s="1464"/>
      <c r="W586" s="1482"/>
      <c r="X586" s="1307"/>
    </row>
    <row r="587" spans="1:24" s="1308" customFormat="1" ht="15" customHeight="1" x14ac:dyDescent="0.25">
      <c r="A587" s="730"/>
      <c r="B587" s="1286">
        <f t="shared" si="28"/>
        <v>21</v>
      </c>
      <c r="C587" s="1775"/>
      <c r="D587" s="1759" t="s">
        <v>1671</v>
      </c>
      <c r="E587" s="1448" t="s">
        <v>1625</v>
      </c>
      <c r="F587" s="1290"/>
      <c r="G587" s="1302"/>
      <c r="H587" s="1322"/>
      <c r="I587" s="1322"/>
      <c r="J587" s="1322"/>
      <c r="K587" s="1322"/>
      <c r="L587" s="1322"/>
      <c r="M587" s="1322"/>
      <c r="N587" s="1322"/>
      <c r="O587" s="1326"/>
      <c r="P587" s="1322"/>
      <c r="Q587" s="1323"/>
      <c r="R587" s="1324"/>
      <c r="S587" s="1325"/>
      <c r="T587" s="1353"/>
      <c r="U587" s="1463"/>
      <c r="V587" s="1464"/>
      <c r="W587" s="1482"/>
      <c r="X587" s="1307"/>
    </row>
    <row r="588" spans="1:24" s="1308" customFormat="1" ht="15" customHeight="1" x14ac:dyDescent="0.25">
      <c r="A588" s="730"/>
      <c r="B588" s="1286">
        <f t="shared" si="28"/>
        <v>22</v>
      </c>
      <c r="C588" s="1775"/>
      <c r="D588" s="1762"/>
      <c r="E588" s="1448" t="s">
        <v>1299</v>
      </c>
      <c r="F588" s="1290"/>
      <c r="G588" s="1302"/>
      <c r="H588" s="1322"/>
      <c r="I588" s="1322"/>
      <c r="J588" s="1322"/>
      <c r="K588" s="1322"/>
      <c r="L588" s="1322"/>
      <c r="M588" s="1322"/>
      <c r="N588" s="1322"/>
      <c r="O588" s="1326"/>
      <c r="P588" s="1322"/>
      <c r="Q588" s="1323"/>
      <c r="R588" s="1324"/>
      <c r="S588" s="1325"/>
      <c r="T588" s="1353"/>
      <c r="U588" s="1463"/>
      <c r="V588" s="1464"/>
      <c r="W588" s="1482"/>
      <c r="X588" s="1307"/>
    </row>
    <row r="589" spans="1:24" s="1308" customFormat="1" ht="15" customHeight="1" x14ac:dyDescent="0.25">
      <c r="A589" s="730"/>
      <c r="B589" s="1286">
        <f t="shared" si="28"/>
        <v>23</v>
      </c>
      <c r="C589" s="1775"/>
      <c r="D589" s="1762"/>
      <c r="E589" s="1448" t="s">
        <v>1297</v>
      </c>
      <c r="F589" s="1290"/>
      <c r="G589" s="1302"/>
      <c r="H589" s="1322"/>
      <c r="I589" s="1322"/>
      <c r="J589" s="1322"/>
      <c r="K589" s="1322"/>
      <c r="L589" s="1322"/>
      <c r="M589" s="1322"/>
      <c r="N589" s="1322"/>
      <c r="O589" s="1326"/>
      <c r="P589" s="1322"/>
      <c r="Q589" s="1323"/>
      <c r="R589" s="1324"/>
      <c r="S589" s="1325"/>
      <c r="T589" s="1353"/>
      <c r="U589" s="1463"/>
      <c r="V589" s="1464"/>
      <c r="W589" s="1482"/>
      <c r="X589" s="1307"/>
    </row>
    <row r="590" spans="1:24" s="1308" customFormat="1" ht="15" customHeight="1" x14ac:dyDescent="0.25">
      <c r="A590" s="730"/>
      <c r="B590" s="1286">
        <f t="shared" si="28"/>
        <v>24</v>
      </c>
      <c r="C590" s="1775"/>
      <c r="D590" s="1777"/>
      <c r="E590" s="1448" t="s">
        <v>1298</v>
      </c>
      <c r="F590" s="1290"/>
      <c r="G590" s="1302"/>
      <c r="H590" s="1322"/>
      <c r="I590" s="1322"/>
      <c r="J590" s="1322"/>
      <c r="K590" s="1322"/>
      <c r="L590" s="1322"/>
      <c r="M590" s="1322"/>
      <c r="N590" s="1322"/>
      <c r="O590" s="1326"/>
      <c r="P590" s="1322"/>
      <c r="Q590" s="1323"/>
      <c r="R590" s="1324"/>
      <c r="S590" s="1325"/>
      <c r="T590" s="1353"/>
      <c r="U590" s="1463"/>
      <c r="V590" s="1464"/>
      <c r="W590" s="1482"/>
      <c r="X590" s="1307"/>
    </row>
    <row r="591" spans="1:24" s="1308" customFormat="1" ht="15" customHeight="1" x14ac:dyDescent="0.25">
      <c r="A591" s="730"/>
      <c r="B591" s="1286">
        <f t="shared" si="28"/>
        <v>25</v>
      </c>
      <c r="C591" s="1775"/>
      <c r="D591" s="1758" t="s">
        <v>1672</v>
      </c>
      <c r="E591" s="1448" t="s">
        <v>1625</v>
      </c>
      <c r="F591" s="1290"/>
      <c r="G591" s="1302"/>
      <c r="H591" s="1322"/>
      <c r="I591" s="1322"/>
      <c r="J591" s="1322"/>
      <c r="K591" s="1322"/>
      <c r="L591" s="1322"/>
      <c r="M591" s="1322"/>
      <c r="N591" s="1322"/>
      <c r="O591" s="1326"/>
      <c r="P591" s="1322"/>
      <c r="Q591" s="1323"/>
      <c r="R591" s="1324"/>
      <c r="S591" s="1325"/>
      <c r="T591" s="1353"/>
      <c r="U591" s="1463"/>
      <c r="V591" s="1464"/>
      <c r="W591" s="1482"/>
      <c r="X591" s="1307"/>
    </row>
    <row r="592" spans="1:24" s="1308" customFormat="1" ht="15" customHeight="1" x14ac:dyDescent="0.25">
      <c r="A592" s="730"/>
      <c r="B592" s="1286">
        <f t="shared" si="28"/>
        <v>26</v>
      </c>
      <c r="C592" s="1775"/>
      <c r="D592" s="1758"/>
      <c r="E592" s="1448" t="s">
        <v>1299</v>
      </c>
      <c r="F592" s="1290"/>
      <c r="G592" s="1302"/>
      <c r="H592" s="1322"/>
      <c r="I592" s="1322"/>
      <c r="J592" s="1322"/>
      <c r="K592" s="1322"/>
      <c r="L592" s="1322"/>
      <c r="M592" s="1322"/>
      <c r="N592" s="1322"/>
      <c r="O592" s="1326"/>
      <c r="P592" s="1322"/>
      <c r="Q592" s="1323"/>
      <c r="R592" s="1324"/>
      <c r="S592" s="1325"/>
      <c r="T592" s="1353"/>
      <c r="U592" s="1463"/>
      <c r="V592" s="1464"/>
      <c r="W592" s="1482"/>
      <c r="X592" s="1307"/>
    </row>
    <row r="593" spans="1:24" s="1308" customFormat="1" ht="15" customHeight="1" x14ac:dyDescent="0.25">
      <c r="A593" s="730"/>
      <c r="B593" s="1286">
        <f t="shared" si="28"/>
        <v>27</v>
      </c>
      <c r="C593" s="1775"/>
      <c r="D593" s="1758"/>
      <c r="E593" s="1448" t="s">
        <v>1297</v>
      </c>
      <c r="F593" s="1290"/>
      <c r="G593" s="1302"/>
      <c r="H593" s="1322"/>
      <c r="I593" s="1322"/>
      <c r="J593" s="1322"/>
      <c r="K593" s="1322"/>
      <c r="L593" s="1322"/>
      <c r="M593" s="1322"/>
      <c r="N593" s="1322"/>
      <c r="O593" s="1326"/>
      <c r="P593" s="1322"/>
      <c r="Q593" s="1323"/>
      <c r="R593" s="1324"/>
      <c r="S593" s="1325"/>
      <c r="T593" s="1353"/>
      <c r="U593" s="1463"/>
      <c r="V593" s="1464"/>
      <c r="W593" s="1482"/>
      <c r="X593" s="1307"/>
    </row>
    <row r="594" spans="1:24" s="1308" customFormat="1" ht="15" customHeight="1" x14ac:dyDescent="0.25">
      <c r="A594" s="730"/>
      <c r="B594" s="1287">
        <f t="shared" si="28"/>
        <v>28</v>
      </c>
      <c r="C594" s="1776"/>
      <c r="D594" s="1760"/>
      <c r="E594" s="1449" t="s">
        <v>1298</v>
      </c>
      <c r="F594" s="1291"/>
      <c r="G594" s="1327"/>
      <c r="H594" s="1303"/>
      <c r="I594" s="1303"/>
      <c r="J594" s="1303"/>
      <c r="K594" s="1303"/>
      <c r="L594" s="1303"/>
      <c r="M594" s="1303"/>
      <c r="N594" s="1303"/>
      <c r="O594" s="1328"/>
      <c r="P594" s="1303"/>
      <c r="Q594" s="1304"/>
      <c r="R594" s="1305"/>
      <c r="S594" s="1306"/>
      <c r="T594" s="1351"/>
      <c r="U594" s="1466"/>
      <c r="V594" s="1467"/>
      <c r="W594" s="1483"/>
      <c r="X594" s="1307"/>
    </row>
    <row r="595" spans="1:24" s="1308" customFormat="1" ht="15" customHeight="1" x14ac:dyDescent="0.25">
      <c r="A595" s="730"/>
      <c r="B595" s="1285">
        <f t="shared" si="28"/>
        <v>29</v>
      </c>
      <c r="C595" s="1774" t="s">
        <v>1275</v>
      </c>
      <c r="D595" s="1763" t="s">
        <v>1666</v>
      </c>
      <c r="E595" s="1450" t="s">
        <v>1625</v>
      </c>
      <c r="F595" s="1289"/>
      <c r="G595" s="1316"/>
      <c r="H595" s="1317"/>
      <c r="I595" s="1317"/>
      <c r="J595" s="1317"/>
      <c r="K595" s="1317"/>
      <c r="L595" s="1317"/>
      <c r="M595" s="1317"/>
      <c r="N595" s="1317"/>
      <c r="O595" s="1321"/>
      <c r="P595" s="1317"/>
      <c r="Q595" s="1318"/>
      <c r="R595" s="1319"/>
      <c r="S595" s="1320"/>
      <c r="T595" s="1349"/>
      <c r="U595" s="1460"/>
      <c r="V595" s="1461"/>
      <c r="W595" s="1481"/>
      <c r="X595" s="1307"/>
    </row>
    <row r="596" spans="1:24" s="1308" customFormat="1" ht="15" customHeight="1" x14ac:dyDescent="0.25">
      <c r="A596" s="730"/>
      <c r="B596" s="1286">
        <f t="shared" si="28"/>
        <v>30</v>
      </c>
      <c r="C596" s="1775"/>
      <c r="D596" s="1758"/>
      <c r="E596" s="1448" t="s">
        <v>1299</v>
      </c>
      <c r="F596" s="1290"/>
      <c r="G596" s="1302"/>
      <c r="H596" s="1322"/>
      <c r="I596" s="1322"/>
      <c r="J596" s="1322"/>
      <c r="K596" s="1322"/>
      <c r="L596" s="1322"/>
      <c r="M596" s="1322"/>
      <c r="N596" s="1322"/>
      <c r="O596" s="1326"/>
      <c r="P596" s="1322"/>
      <c r="Q596" s="1323"/>
      <c r="R596" s="1324"/>
      <c r="S596" s="1325"/>
      <c r="T596" s="1353"/>
      <c r="U596" s="1463"/>
      <c r="V596" s="1464"/>
      <c r="W596" s="1482"/>
      <c r="X596" s="1307"/>
    </row>
    <row r="597" spans="1:24" s="1308" customFormat="1" ht="15" customHeight="1" x14ac:dyDescent="0.25">
      <c r="A597" s="730"/>
      <c r="B597" s="1286">
        <f t="shared" si="28"/>
        <v>31</v>
      </c>
      <c r="C597" s="1775"/>
      <c r="D597" s="1758"/>
      <c r="E597" s="1448" t="s">
        <v>1297</v>
      </c>
      <c r="F597" s="1290"/>
      <c r="G597" s="1302"/>
      <c r="H597" s="1322"/>
      <c r="I597" s="1322"/>
      <c r="J597" s="1322"/>
      <c r="K597" s="1322"/>
      <c r="L597" s="1322"/>
      <c r="M597" s="1322"/>
      <c r="N597" s="1322"/>
      <c r="O597" s="1326"/>
      <c r="P597" s="1322"/>
      <c r="Q597" s="1323"/>
      <c r="R597" s="1324"/>
      <c r="S597" s="1325"/>
      <c r="T597" s="1353"/>
      <c r="U597" s="1463"/>
      <c r="V597" s="1464"/>
      <c r="W597" s="1482"/>
      <c r="X597" s="1307"/>
    </row>
    <row r="598" spans="1:24" s="1308" customFormat="1" ht="15" customHeight="1" x14ac:dyDescent="0.25">
      <c r="A598" s="730"/>
      <c r="B598" s="1286">
        <f t="shared" si="28"/>
        <v>32</v>
      </c>
      <c r="C598" s="1775"/>
      <c r="D598" s="1758"/>
      <c r="E598" s="1448" t="s">
        <v>1298</v>
      </c>
      <c r="F598" s="1290"/>
      <c r="G598" s="1302"/>
      <c r="H598" s="1322"/>
      <c r="I598" s="1322"/>
      <c r="J598" s="1322"/>
      <c r="K598" s="1322"/>
      <c r="L598" s="1322"/>
      <c r="M598" s="1322"/>
      <c r="N598" s="1322"/>
      <c r="O598" s="1326"/>
      <c r="P598" s="1322"/>
      <c r="Q598" s="1323"/>
      <c r="R598" s="1324"/>
      <c r="S598" s="1325"/>
      <c r="T598" s="1353"/>
      <c r="U598" s="1463"/>
      <c r="V598" s="1464"/>
      <c r="W598" s="1482"/>
      <c r="X598" s="1307"/>
    </row>
    <row r="599" spans="1:24" s="1308" customFormat="1" ht="15" customHeight="1" x14ac:dyDescent="0.25">
      <c r="A599" s="730"/>
      <c r="B599" s="1286">
        <f t="shared" si="28"/>
        <v>33</v>
      </c>
      <c r="C599" s="1775"/>
      <c r="D599" s="1758" t="s">
        <v>1667</v>
      </c>
      <c r="E599" s="1448" t="s">
        <v>1625</v>
      </c>
      <c r="F599" s="1290"/>
      <c r="G599" s="1302"/>
      <c r="H599" s="1322"/>
      <c r="I599" s="1322"/>
      <c r="J599" s="1322"/>
      <c r="K599" s="1322"/>
      <c r="L599" s="1322"/>
      <c r="M599" s="1322"/>
      <c r="N599" s="1322"/>
      <c r="O599" s="1326"/>
      <c r="P599" s="1322"/>
      <c r="Q599" s="1323"/>
      <c r="R599" s="1324"/>
      <c r="S599" s="1325"/>
      <c r="T599" s="1353"/>
      <c r="U599" s="1463"/>
      <c r="V599" s="1464"/>
      <c r="W599" s="1482"/>
      <c r="X599" s="1307"/>
    </row>
    <row r="600" spans="1:24" s="1308" customFormat="1" ht="15" customHeight="1" x14ac:dyDescent="0.25">
      <c r="A600" s="730"/>
      <c r="B600" s="1286">
        <f t="shared" si="28"/>
        <v>34</v>
      </c>
      <c r="C600" s="1775"/>
      <c r="D600" s="1758"/>
      <c r="E600" s="1448" t="s">
        <v>1299</v>
      </c>
      <c r="F600" s="1290"/>
      <c r="G600" s="1302"/>
      <c r="H600" s="1322"/>
      <c r="I600" s="1322"/>
      <c r="J600" s="1322"/>
      <c r="K600" s="1322"/>
      <c r="L600" s="1322"/>
      <c r="M600" s="1322"/>
      <c r="N600" s="1322"/>
      <c r="O600" s="1326"/>
      <c r="P600" s="1322"/>
      <c r="Q600" s="1323"/>
      <c r="R600" s="1324"/>
      <c r="S600" s="1325"/>
      <c r="T600" s="1353"/>
      <c r="U600" s="1463"/>
      <c r="V600" s="1464"/>
      <c r="W600" s="1482"/>
      <c r="X600" s="1307"/>
    </row>
    <row r="601" spans="1:24" s="1308" customFormat="1" ht="15" customHeight="1" x14ac:dyDescent="0.25">
      <c r="A601" s="730"/>
      <c r="B601" s="1286">
        <f t="shared" si="28"/>
        <v>35</v>
      </c>
      <c r="C601" s="1775"/>
      <c r="D601" s="1758"/>
      <c r="E601" s="1448" t="s">
        <v>1297</v>
      </c>
      <c r="F601" s="1290"/>
      <c r="G601" s="1302"/>
      <c r="H601" s="1322"/>
      <c r="I601" s="1322"/>
      <c r="J601" s="1322"/>
      <c r="K601" s="1322"/>
      <c r="L601" s="1322"/>
      <c r="M601" s="1322"/>
      <c r="N601" s="1322"/>
      <c r="O601" s="1326"/>
      <c r="P601" s="1322"/>
      <c r="Q601" s="1323"/>
      <c r="R601" s="1324"/>
      <c r="S601" s="1325"/>
      <c r="T601" s="1353"/>
      <c r="U601" s="1463"/>
      <c r="V601" s="1464"/>
      <c r="W601" s="1482"/>
      <c r="X601" s="1307"/>
    </row>
    <row r="602" spans="1:24" s="1308" customFormat="1" ht="15" customHeight="1" x14ac:dyDescent="0.25">
      <c r="A602" s="730"/>
      <c r="B602" s="1286">
        <f t="shared" si="28"/>
        <v>36</v>
      </c>
      <c r="C602" s="1775"/>
      <c r="D602" s="1758"/>
      <c r="E602" s="1448" t="s">
        <v>1298</v>
      </c>
      <c r="F602" s="1290"/>
      <c r="G602" s="1302"/>
      <c r="H602" s="1322"/>
      <c r="I602" s="1322"/>
      <c r="J602" s="1322"/>
      <c r="K602" s="1322"/>
      <c r="L602" s="1322"/>
      <c r="M602" s="1322"/>
      <c r="N602" s="1322"/>
      <c r="O602" s="1326"/>
      <c r="P602" s="1322"/>
      <c r="Q602" s="1323"/>
      <c r="R602" s="1324"/>
      <c r="S602" s="1325"/>
      <c r="T602" s="1353"/>
      <c r="U602" s="1463"/>
      <c r="V602" s="1464"/>
      <c r="W602" s="1482"/>
      <c r="X602" s="1307"/>
    </row>
    <row r="603" spans="1:24" s="1308" customFormat="1" ht="15" customHeight="1" x14ac:dyDescent="0.25">
      <c r="A603" s="730"/>
      <c r="B603" s="1286">
        <f t="shared" si="28"/>
        <v>37</v>
      </c>
      <c r="C603" s="1775"/>
      <c r="D603" s="1758" t="s">
        <v>1668</v>
      </c>
      <c r="E603" s="1448" t="s">
        <v>1625</v>
      </c>
      <c r="F603" s="1290"/>
      <c r="G603" s="1302"/>
      <c r="H603" s="1322"/>
      <c r="I603" s="1322"/>
      <c r="J603" s="1322"/>
      <c r="K603" s="1322"/>
      <c r="L603" s="1322"/>
      <c r="M603" s="1322"/>
      <c r="N603" s="1322"/>
      <c r="O603" s="1326"/>
      <c r="P603" s="1322"/>
      <c r="Q603" s="1323"/>
      <c r="R603" s="1324"/>
      <c r="S603" s="1325"/>
      <c r="T603" s="1353"/>
      <c r="U603" s="1463"/>
      <c r="V603" s="1464"/>
      <c r="W603" s="1482"/>
      <c r="X603" s="1307"/>
    </row>
    <row r="604" spans="1:24" s="1308" customFormat="1" ht="15" customHeight="1" x14ac:dyDescent="0.25">
      <c r="A604" s="730"/>
      <c r="B604" s="1286">
        <f t="shared" si="28"/>
        <v>38</v>
      </c>
      <c r="C604" s="1775"/>
      <c r="D604" s="1758"/>
      <c r="E604" s="1448" t="s">
        <v>1299</v>
      </c>
      <c r="F604" s="1290"/>
      <c r="G604" s="1302"/>
      <c r="H604" s="1322"/>
      <c r="I604" s="1322"/>
      <c r="J604" s="1322"/>
      <c r="K604" s="1322"/>
      <c r="L604" s="1322"/>
      <c r="M604" s="1322"/>
      <c r="N604" s="1322"/>
      <c r="O604" s="1326"/>
      <c r="P604" s="1322"/>
      <c r="Q604" s="1323"/>
      <c r="R604" s="1324"/>
      <c r="S604" s="1325"/>
      <c r="T604" s="1353"/>
      <c r="U604" s="1463"/>
      <c r="V604" s="1464"/>
      <c r="W604" s="1482"/>
      <c r="X604" s="1307"/>
    </row>
    <row r="605" spans="1:24" s="1308" customFormat="1" ht="15" customHeight="1" x14ac:dyDescent="0.25">
      <c r="A605" s="730"/>
      <c r="B605" s="1286">
        <f t="shared" si="28"/>
        <v>39</v>
      </c>
      <c r="C605" s="1775"/>
      <c r="D605" s="1758"/>
      <c r="E605" s="1448" t="s">
        <v>1297</v>
      </c>
      <c r="F605" s="1290"/>
      <c r="G605" s="1302"/>
      <c r="H605" s="1322"/>
      <c r="I605" s="1322"/>
      <c r="J605" s="1322"/>
      <c r="K605" s="1322"/>
      <c r="L605" s="1322"/>
      <c r="M605" s="1322"/>
      <c r="N605" s="1322"/>
      <c r="O605" s="1326"/>
      <c r="P605" s="1322"/>
      <c r="Q605" s="1323"/>
      <c r="R605" s="1324"/>
      <c r="S605" s="1325"/>
      <c r="T605" s="1353"/>
      <c r="U605" s="1463"/>
      <c r="V605" s="1464"/>
      <c r="W605" s="1482"/>
      <c r="X605" s="1307"/>
    </row>
    <row r="606" spans="1:24" s="1308" customFormat="1" ht="15" customHeight="1" x14ac:dyDescent="0.25">
      <c r="A606" s="730"/>
      <c r="B606" s="1286">
        <f t="shared" si="28"/>
        <v>40</v>
      </c>
      <c r="C606" s="1775"/>
      <c r="D606" s="1758"/>
      <c r="E606" s="1448" t="s">
        <v>1298</v>
      </c>
      <c r="F606" s="1290"/>
      <c r="G606" s="1302"/>
      <c r="H606" s="1322"/>
      <c r="I606" s="1322"/>
      <c r="J606" s="1322"/>
      <c r="K606" s="1322"/>
      <c r="L606" s="1322"/>
      <c r="M606" s="1322"/>
      <c r="N606" s="1322"/>
      <c r="O606" s="1326"/>
      <c r="P606" s="1322"/>
      <c r="Q606" s="1323"/>
      <c r="R606" s="1324"/>
      <c r="S606" s="1325"/>
      <c r="T606" s="1353"/>
      <c r="U606" s="1463"/>
      <c r="V606" s="1464"/>
      <c r="W606" s="1482"/>
      <c r="X606" s="1307"/>
    </row>
    <row r="607" spans="1:24" s="1308" customFormat="1" ht="15" customHeight="1" x14ac:dyDescent="0.25">
      <c r="A607" s="730"/>
      <c r="B607" s="1286">
        <f t="shared" si="28"/>
        <v>41</v>
      </c>
      <c r="C607" s="1775"/>
      <c r="D607" s="1758" t="s">
        <v>1669</v>
      </c>
      <c r="E607" s="1448" t="s">
        <v>1625</v>
      </c>
      <c r="F607" s="1290"/>
      <c r="G607" s="1302"/>
      <c r="H607" s="1322"/>
      <c r="I607" s="1322"/>
      <c r="J607" s="1322"/>
      <c r="K607" s="1322"/>
      <c r="L607" s="1322"/>
      <c r="M607" s="1322"/>
      <c r="N607" s="1322"/>
      <c r="O607" s="1326"/>
      <c r="P607" s="1322"/>
      <c r="Q607" s="1323"/>
      <c r="R607" s="1324"/>
      <c r="S607" s="1325"/>
      <c r="T607" s="1353"/>
      <c r="U607" s="1463"/>
      <c r="V607" s="1464"/>
      <c r="W607" s="1482"/>
      <c r="X607" s="1307"/>
    </row>
    <row r="608" spans="1:24" s="1308" customFormat="1" ht="15" customHeight="1" x14ac:dyDescent="0.25">
      <c r="A608" s="730"/>
      <c r="B608" s="1286">
        <f t="shared" si="28"/>
        <v>42</v>
      </c>
      <c r="C608" s="1775"/>
      <c r="D608" s="1758"/>
      <c r="E608" s="1448" t="s">
        <v>1299</v>
      </c>
      <c r="F608" s="1290"/>
      <c r="G608" s="1302"/>
      <c r="H608" s="1322"/>
      <c r="I608" s="1322"/>
      <c r="J608" s="1322"/>
      <c r="K608" s="1322"/>
      <c r="L608" s="1322"/>
      <c r="M608" s="1322"/>
      <c r="N608" s="1322"/>
      <c r="O608" s="1326"/>
      <c r="P608" s="1322"/>
      <c r="Q608" s="1323"/>
      <c r="R608" s="1324"/>
      <c r="S608" s="1325"/>
      <c r="T608" s="1353"/>
      <c r="U608" s="1463"/>
      <c r="V608" s="1464"/>
      <c r="W608" s="1482"/>
      <c r="X608" s="1307"/>
    </row>
    <row r="609" spans="1:24" s="1308" customFormat="1" ht="15" customHeight="1" x14ac:dyDescent="0.25">
      <c r="A609" s="730"/>
      <c r="B609" s="1286">
        <f t="shared" si="28"/>
        <v>43</v>
      </c>
      <c r="C609" s="1775"/>
      <c r="D609" s="1758"/>
      <c r="E609" s="1448" t="s">
        <v>1297</v>
      </c>
      <c r="F609" s="1290"/>
      <c r="G609" s="1302"/>
      <c r="H609" s="1322"/>
      <c r="I609" s="1322"/>
      <c r="J609" s="1322"/>
      <c r="K609" s="1322"/>
      <c r="L609" s="1322"/>
      <c r="M609" s="1322"/>
      <c r="N609" s="1322"/>
      <c r="O609" s="1326"/>
      <c r="P609" s="1322"/>
      <c r="Q609" s="1323"/>
      <c r="R609" s="1324"/>
      <c r="S609" s="1325"/>
      <c r="T609" s="1353"/>
      <c r="U609" s="1463"/>
      <c r="V609" s="1464"/>
      <c r="W609" s="1482"/>
      <c r="X609" s="1307"/>
    </row>
    <row r="610" spans="1:24" s="1308" customFormat="1" ht="15" customHeight="1" x14ac:dyDescent="0.25">
      <c r="A610" s="730"/>
      <c r="B610" s="1286">
        <f t="shared" si="28"/>
        <v>44</v>
      </c>
      <c r="C610" s="1775"/>
      <c r="D610" s="1758"/>
      <c r="E610" s="1448" t="s">
        <v>1298</v>
      </c>
      <c r="F610" s="1290"/>
      <c r="G610" s="1302"/>
      <c r="H610" s="1322"/>
      <c r="I610" s="1322"/>
      <c r="J610" s="1322"/>
      <c r="K610" s="1322"/>
      <c r="L610" s="1322"/>
      <c r="M610" s="1322"/>
      <c r="N610" s="1322"/>
      <c r="O610" s="1326"/>
      <c r="P610" s="1322"/>
      <c r="Q610" s="1323"/>
      <c r="R610" s="1324"/>
      <c r="S610" s="1325"/>
      <c r="T610" s="1353"/>
      <c r="U610" s="1463"/>
      <c r="V610" s="1464"/>
      <c r="W610" s="1482"/>
      <c r="X610" s="1307"/>
    </row>
    <row r="611" spans="1:24" s="1308" customFormat="1" ht="15" customHeight="1" x14ac:dyDescent="0.25">
      <c r="A611" s="730"/>
      <c r="B611" s="1286">
        <f t="shared" si="28"/>
        <v>45</v>
      </c>
      <c r="C611" s="1775"/>
      <c r="D611" s="1758" t="s">
        <v>1670</v>
      </c>
      <c r="E611" s="1448" t="s">
        <v>1625</v>
      </c>
      <c r="F611" s="1290"/>
      <c r="G611" s="1302"/>
      <c r="H611" s="1322"/>
      <c r="I611" s="1322"/>
      <c r="J611" s="1322"/>
      <c r="K611" s="1322"/>
      <c r="L611" s="1322"/>
      <c r="M611" s="1322"/>
      <c r="N611" s="1322"/>
      <c r="O611" s="1326"/>
      <c r="P611" s="1322"/>
      <c r="Q611" s="1323"/>
      <c r="R611" s="1324"/>
      <c r="S611" s="1325"/>
      <c r="T611" s="1353"/>
      <c r="U611" s="1463"/>
      <c r="V611" s="1464"/>
      <c r="W611" s="1482"/>
      <c r="X611" s="1307"/>
    </row>
    <row r="612" spans="1:24" s="1308" customFormat="1" ht="15" customHeight="1" x14ac:dyDescent="0.25">
      <c r="A612" s="730"/>
      <c r="B612" s="1286">
        <f t="shared" si="28"/>
        <v>46</v>
      </c>
      <c r="C612" s="1775"/>
      <c r="D612" s="1758"/>
      <c r="E612" s="1448" t="s">
        <v>1299</v>
      </c>
      <c r="F612" s="1290"/>
      <c r="G612" s="1302"/>
      <c r="H612" s="1322"/>
      <c r="I612" s="1322"/>
      <c r="J612" s="1322"/>
      <c r="K612" s="1322"/>
      <c r="L612" s="1322"/>
      <c r="M612" s="1322"/>
      <c r="N612" s="1322"/>
      <c r="O612" s="1326"/>
      <c r="P612" s="1322"/>
      <c r="Q612" s="1323"/>
      <c r="R612" s="1324"/>
      <c r="S612" s="1325"/>
      <c r="T612" s="1353"/>
      <c r="U612" s="1463"/>
      <c r="V612" s="1464"/>
      <c r="W612" s="1482"/>
      <c r="X612" s="1307"/>
    </row>
    <row r="613" spans="1:24" s="1308" customFormat="1" ht="15" customHeight="1" x14ac:dyDescent="0.25">
      <c r="A613" s="730"/>
      <c r="B613" s="1286">
        <f t="shared" si="28"/>
        <v>47</v>
      </c>
      <c r="C613" s="1775"/>
      <c r="D613" s="1758"/>
      <c r="E613" s="1448" t="s">
        <v>1297</v>
      </c>
      <c r="F613" s="1290"/>
      <c r="G613" s="1302"/>
      <c r="H613" s="1322"/>
      <c r="I613" s="1322"/>
      <c r="J613" s="1322"/>
      <c r="K613" s="1322"/>
      <c r="L613" s="1322"/>
      <c r="M613" s="1322"/>
      <c r="N613" s="1322"/>
      <c r="O613" s="1326"/>
      <c r="P613" s="1322"/>
      <c r="Q613" s="1323"/>
      <c r="R613" s="1324"/>
      <c r="S613" s="1325"/>
      <c r="T613" s="1353"/>
      <c r="U613" s="1463"/>
      <c r="V613" s="1464"/>
      <c r="W613" s="1482"/>
      <c r="X613" s="1307"/>
    </row>
    <row r="614" spans="1:24" s="1308" customFormat="1" ht="15" customHeight="1" x14ac:dyDescent="0.25">
      <c r="A614" s="730"/>
      <c r="B614" s="1286">
        <f t="shared" si="28"/>
        <v>48</v>
      </c>
      <c r="C614" s="1775"/>
      <c r="D614" s="1758"/>
      <c r="E614" s="1448" t="s">
        <v>1298</v>
      </c>
      <c r="F614" s="1290"/>
      <c r="G614" s="1302"/>
      <c r="H614" s="1322"/>
      <c r="I614" s="1322"/>
      <c r="J614" s="1322"/>
      <c r="K614" s="1322"/>
      <c r="L614" s="1322"/>
      <c r="M614" s="1322"/>
      <c r="N614" s="1322"/>
      <c r="O614" s="1326"/>
      <c r="P614" s="1322"/>
      <c r="Q614" s="1323"/>
      <c r="R614" s="1324"/>
      <c r="S614" s="1325"/>
      <c r="T614" s="1353"/>
      <c r="U614" s="1463"/>
      <c r="V614" s="1464"/>
      <c r="W614" s="1482"/>
      <c r="X614" s="1307"/>
    </row>
    <row r="615" spans="1:24" s="1308" customFormat="1" ht="15" customHeight="1" x14ac:dyDescent="0.25">
      <c r="A615" s="730"/>
      <c r="B615" s="1286">
        <f t="shared" si="28"/>
        <v>49</v>
      </c>
      <c r="C615" s="1775"/>
      <c r="D615" s="1759" t="s">
        <v>1671</v>
      </c>
      <c r="E615" s="1448" t="s">
        <v>1625</v>
      </c>
      <c r="F615" s="1290"/>
      <c r="G615" s="1302"/>
      <c r="H615" s="1322"/>
      <c r="I615" s="1322"/>
      <c r="J615" s="1322"/>
      <c r="K615" s="1322"/>
      <c r="L615" s="1322"/>
      <c r="M615" s="1322"/>
      <c r="N615" s="1322"/>
      <c r="O615" s="1326"/>
      <c r="P615" s="1322"/>
      <c r="Q615" s="1323"/>
      <c r="R615" s="1324"/>
      <c r="S615" s="1325"/>
      <c r="T615" s="1353"/>
      <c r="U615" s="1463"/>
      <c r="V615" s="1464"/>
      <c r="W615" s="1482"/>
      <c r="X615" s="1307"/>
    </row>
    <row r="616" spans="1:24" s="1308" customFormat="1" ht="15" customHeight="1" x14ac:dyDescent="0.25">
      <c r="A616" s="730"/>
      <c r="B616" s="1286">
        <f t="shared" si="28"/>
        <v>50</v>
      </c>
      <c r="C616" s="1775"/>
      <c r="D616" s="1762"/>
      <c r="E616" s="1448" t="s">
        <v>1299</v>
      </c>
      <c r="F616" s="1290"/>
      <c r="G616" s="1302"/>
      <c r="H616" s="1322"/>
      <c r="I616" s="1322"/>
      <c r="J616" s="1322"/>
      <c r="K616" s="1322"/>
      <c r="L616" s="1322"/>
      <c r="M616" s="1322"/>
      <c r="N616" s="1322"/>
      <c r="O616" s="1326"/>
      <c r="P616" s="1322"/>
      <c r="Q616" s="1323"/>
      <c r="R616" s="1324"/>
      <c r="S616" s="1325"/>
      <c r="T616" s="1353"/>
      <c r="U616" s="1463"/>
      <c r="V616" s="1464"/>
      <c r="W616" s="1482"/>
      <c r="X616" s="1307"/>
    </row>
    <row r="617" spans="1:24" s="1308" customFormat="1" ht="15" customHeight="1" x14ac:dyDescent="0.25">
      <c r="A617" s="730"/>
      <c r="B617" s="1286">
        <f t="shared" si="28"/>
        <v>51</v>
      </c>
      <c r="C617" s="1775"/>
      <c r="D617" s="1762"/>
      <c r="E617" s="1448" t="s">
        <v>1297</v>
      </c>
      <c r="F617" s="1290"/>
      <c r="G617" s="1302"/>
      <c r="H617" s="1322"/>
      <c r="I617" s="1322"/>
      <c r="J617" s="1322"/>
      <c r="K617" s="1322"/>
      <c r="L617" s="1322"/>
      <c r="M617" s="1322"/>
      <c r="N617" s="1322"/>
      <c r="O617" s="1326"/>
      <c r="P617" s="1322"/>
      <c r="Q617" s="1323"/>
      <c r="R617" s="1324"/>
      <c r="S617" s="1325"/>
      <c r="T617" s="1353"/>
      <c r="U617" s="1463"/>
      <c r="V617" s="1464"/>
      <c r="W617" s="1482"/>
      <c r="X617" s="1307"/>
    </row>
    <row r="618" spans="1:24" s="1308" customFormat="1" ht="15" customHeight="1" x14ac:dyDescent="0.25">
      <c r="A618" s="730"/>
      <c r="B618" s="1286">
        <f t="shared" si="28"/>
        <v>52</v>
      </c>
      <c r="C618" s="1775"/>
      <c r="D618" s="1777"/>
      <c r="E618" s="1448" t="s">
        <v>1298</v>
      </c>
      <c r="F618" s="1290"/>
      <c r="G618" s="1302"/>
      <c r="H618" s="1322"/>
      <c r="I618" s="1322"/>
      <c r="J618" s="1322"/>
      <c r="K618" s="1322"/>
      <c r="L618" s="1322"/>
      <c r="M618" s="1322"/>
      <c r="N618" s="1322"/>
      <c r="O618" s="1326"/>
      <c r="P618" s="1322"/>
      <c r="Q618" s="1323"/>
      <c r="R618" s="1324"/>
      <c r="S618" s="1325"/>
      <c r="T618" s="1353"/>
      <c r="U618" s="1463"/>
      <c r="V618" s="1464"/>
      <c r="W618" s="1482"/>
      <c r="X618" s="1307"/>
    </row>
    <row r="619" spans="1:24" s="1308" customFormat="1" ht="15" customHeight="1" x14ac:dyDescent="0.25">
      <c r="A619" s="730"/>
      <c r="B619" s="1286">
        <f t="shared" si="28"/>
        <v>53</v>
      </c>
      <c r="C619" s="1775"/>
      <c r="D619" s="1758" t="s">
        <v>1672</v>
      </c>
      <c r="E619" s="1448" t="s">
        <v>1625</v>
      </c>
      <c r="F619" s="1290"/>
      <c r="G619" s="1302"/>
      <c r="H619" s="1322"/>
      <c r="I619" s="1322"/>
      <c r="J619" s="1322"/>
      <c r="K619" s="1322"/>
      <c r="L619" s="1322"/>
      <c r="M619" s="1322"/>
      <c r="N619" s="1322"/>
      <c r="O619" s="1326"/>
      <c r="P619" s="1322"/>
      <c r="Q619" s="1323"/>
      <c r="R619" s="1324"/>
      <c r="S619" s="1325"/>
      <c r="T619" s="1353"/>
      <c r="U619" s="1463"/>
      <c r="V619" s="1464"/>
      <c r="W619" s="1482"/>
      <c r="X619" s="1307"/>
    </row>
    <row r="620" spans="1:24" s="1308" customFormat="1" ht="15" customHeight="1" x14ac:dyDescent="0.25">
      <c r="A620" s="730"/>
      <c r="B620" s="1286">
        <f t="shared" si="28"/>
        <v>54</v>
      </c>
      <c r="C620" s="1775"/>
      <c r="D620" s="1758"/>
      <c r="E620" s="1448" t="s">
        <v>1299</v>
      </c>
      <c r="F620" s="1290"/>
      <c r="G620" s="1302"/>
      <c r="H620" s="1322"/>
      <c r="I620" s="1322"/>
      <c r="J620" s="1322"/>
      <c r="K620" s="1322"/>
      <c r="L620" s="1322"/>
      <c r="M620" s="1322"/>
      <c r="N620" s="1322"/>
      <c r="O620" s="1326"/>
      <c r="P620" s="1322"/>
      <c r="Q620" s="1323"/>
      <c r="R620" s="1324"/>
      <c r="S620" s="1325"/>
      <c r="T620" s="1353"/>
      <c r="U620" s="1463"/>
      <c r="V620" s="1464"/>
      <c r="W620" s="1482"/>
      <c r="X620" s="1307"/>
    </row>
    <row r="621" spans="1:24" s="1308" customFormat="1" ht="15" customHeight="1" x14ac:dyDescent="0.25">
      <c r="A621" s="730"/>
      <c r="B621" s="1286">
        <f t="shared" si="28"/>
        <v>55</v>
      </c>
      <c r="C621" s="1775"/>
      <c r="D621" s="1758"/>
      <c r="E621" s="1448" t="s">
        <v>1297</v>
      </c>
      <c r="F621" s="1290"/>
      <c r="G621" s="1302"/>
      <c r="H621" s="1322"/>
      <c r="I621" s="1322"/>
      <c r="J621" s="1322"/>
      <c r="K621" s="1322"/>
      <c r="L621" s="1322"/>
      <c r="M621" s="1322"/>
      <c r="N621" s="1322"/>
      <c r="O621" s="1326"/>
      <c r="P621" s="1322"/>
      <c r="Q621" s="1323"/>
      <c r="R621" s="1324"/>
      <c r="S621" s="1325"/>
      <c r="T621" s="1353"/>
      <c r="U621" s="1463"/>
      <c r="V621" s="1464"/>
      <c r="W621" s="1482"/>
      <c r="X621" s="1307"/>
    </row>
    <row r="622" spans="1:24" s="1308" customFormat="1" ht="15" customHeight="1" x14ac:dyDescent="0.25">
      <c r="A622" s="730"/>
      <c r="B622" s="1287">
        <f t="shared" si="28"/>
        <v>56</v>
      </c>
      <c r="C622" s="1776"/>
      <c r="D622" s="1760"/>
      <c r="E622" s="1449" t="s">
        <v>1298</v>
      </c>
      <c r="F622" s="1291"/>
      <c r="G622" s="1327"/>
      <c r="H622" s="1303"/>
      <c r="I622" s="1303"/>
      <c r="J622" s="1303"/>
      <c r="K622" s="1303"/>
      <c r="L622" s="1303"/>
      <c r="M622" s="1303"/>
      <c r="N622" s="1303"/>
      <c r="O622" s="1328"/>
      <c r="P622" s="1303"/>
      <c r="Q622" s="1304"/>
      <c r="R622" s="1305"/>
      <c r="S622" s="1306"/>
      <c r="T622" s="1351"/>
      <c r="U622" s="1466"/>
      <c r="V622" s="1467"/>
      <c r="W622" s="1483"/>
      <c r="X622" s="1307"/>
    </row>
    <row r="623" spans="1:24" s="1308" customFormat="1" ht="15" customHeight="1" x14ac:dyDescent="0.25">
      <c r="A623" s="730"/>
      <c r="B623" s="1285">
        <f t="shared" si="28"/>
        <v>57</v>
      </c>
      <c r="C623" s="1774" t="s">
        <v>1300</v>
      </c>
      <c r="D623" s="1763" t="s">
        <v>1666</v>
      </c>
      <c r="E623" s="1450" t="s">
        <v>1625</v>
      </c>
      <c r="F623" s="1289"/>
      <c r="G623" s="1316"/>
      <c r="H623" s="1317"/>
      <c r="I623" s="1317"/>
      <c r="J623" s="1317"/>
      <c r="K623" s="1317"/>
      <c r="L623" s="1317"/>
      <c r="M623" s="1317"/>
      <c r="N623" s="1317"/>
      <c r="O623" s="1321"/>
      <c r="P623" s="1317"/>
      <c r="Q623" s="1318"/>
      <c r="R623" s="1319"/>
      <c r="S623" s="1320"/>
      <c r="T623" s="1349"/>
      <c r="U623" s="1460"/>
      <c r="V623" s="1461"/>
      <c r="W623" s="1481"/>
      <c r="X623" s="1307"/>
    </row>
    <row r="624" spans="1:24" s="1308" customFormat="1" ht="15" customHeight="1" x14ac:dyDescent="0.25">
      <c r="A624" s="730"/>
      <c r="B624" s="1286">
        <f t="shared" si="28"/>
        <v>58</v>
      </c>
      <c r="C624" s="1775"/>
      <c r="D624" s="1758"/>
      <c r="E624" s="1448" t="s">
        <v>1299</v>
      </c>
      <c r="F624" s="1290"/>
      <c r="G624" s="1302"/>
      <c r="H624" s="1322"/>
      <c r="I624" s="1322"/>
      <c r="J624" s="1322"/>
      <c r="K624" s="1322"/>
      <c r="L624" s="1322"/>
      <c r="M624" s="1322"/>
      <c r="N624" s="1322"/>
      <c r="O624" s="1326"/>
      <c r="P624" s="1322"/>
      <c r="Q624" s="1323"/>
      <c r="R624" s="1324"/>
      <c r="S624" s="1325"/>
      <c r="T624" s="1353"/>
      <c r="U624" s="1463"/>
      <c r="V624" s="1464"/>
      <c r="W624" s="1482"/>
      <c r="X624" s="1307"/>
    </row>
    <row r="625" spans="1:24" s="1308" customFormat="1" ht="15" customHeight="1" x14ac:dyDescent="0.25">
      <c r="A625" s="730"/>
      <c r="B625" s="1286">
        <f t="shared" si="28"/>
        <v>59</v>
      </c>
      <c r="C625" s="1775"/>
      <c r="D625" s="1758"/>
      <c r="E625" s="1448" t="s">
        <v>1297</v>
      </c>
      <c r="F625" s="1290"/>
      <c r="G625" s="1302"/>
      <c r="H625" s="1322"/>
      <c r="I625" s="1322"/>
      <c r="J625" s="1322"/>
      <c r="K625" s="1322"/>
      <c r="L625" s="1322"/>
      <c r="M625" s="1322"/>
      <c r="N625" s="1322"/>
      <c r="O625" s="1326"/>
      <c r="P625" s="1322"/>
      <c r="Q625" s="1323"/>
      <c r="R625" s="1324"/>
      <c r="S625" s="1325"/>
      <c r="T625" s="1353"/>
      <c r="U625" s="1463"/>
      <c r="V625" s="1464"/>
      <c r="W625" s="1482"/>
      <c r="X625" s="1307"/>
    </row>
    <row r="626" spans="1:24" s="1308" customFormat="1" ht="15" customHeight="1" x14ac:dyDescent="0.25">
      <c r="A626" s="730"/>
      <c r="B626" s="1286">
        <f t="shared" si="28"/>
        <v>60</v>
      </c>
      <c r="C626" s="1775"/>
      <c r="D626" s="1758"/>
      <c r="E626" s="1448" t="s">
        <v>1298</v>
      </c>
      <c r="F626" s="1290"/>
      <c r="G626" s="1302"/>
      <c r="H626" s="1322"/>
      <c r="I626" s="1322"/>
      <c r="J626" s="1322"/>
      <c r="K626" s="1322"/>
      <c r="L626" s="1322"/>
      <c r="M626" s="1322"/>
      <c r="N626" s="1322"/>
      <c r="O626" s="1326"/>
      <c r="P626" s="1322"/>
      <c r="Q626" s="1323"/>
      <c r="R626" s="1324"/>
      <c r="S626" s="1325"/>
      <c r="T626" s="1353"/>
      <c r="U626" s="1463"/>
      <c r="V626" s="1464"/>
      <c r="W626" s="1482"/>
      <c r="X626" s="1307"/>
    </row>
    <row r="627" spans="1:24" s="1308" customFormat="1" ht="15" customHeight="1" x14ac:dyDescent="0.25">
      <c r="A627" s="730"/>
      <c r="B627" s="1286">
        <f t="shared" si="28"/>
        <v>61</v>
      </c>
      <c r="C627" s="1775"/>
      <c r="D627" s="1758" t="s">
        <v>1667</v>
      </c>
      <c r="E627" s="1448" t="s">
        <v>1625</v>
      </c>
      <c r="F627" s="1290"/>
      <c r="G627" s="1302"/>
      <c r="H627" s="1322"/>
      <c r="I627" s="1322"/>
      <c r="J627" s="1322"/>
      <c r="K627" s="1322"/>
      <c r="L627" s="1322"/>
      <c r="M627" s="1322"/>
      <c r="N627" s="1322"/>
      <c r="O627" s="1326"/>
      <c r="P627" s="1322"/>
      <c r="Q627" s="1323"/>
      <c r="R627" s="1324"/>
      <c r="S627" s="1325"/>
      <c r="T627" s="1353"/>
      <c r="U627" s="1463"/>
      <c r="V627" s="1464"/>
      <c r="W627" s="1482"/>
      <c r="X627" s="1307"/>
    </row>
    <row r="628" spans="1:24" s="1308" customFormat="1" ht="15" customHeight="1" x14ac:dyDescent="0.25">
      <c r="A628" s="730"/>
      <c r="B628" s="1286">
        <f t="shared" si="28"/>
        <v>62</v>
      </c>
      <c r="C628" s="1775"/>
      <c r="D628" s="1758"/>
      <c r="E628" s="1448" t="s">
        <v>1299</v>
      </c>
      <c r="F628" s="1290"/>
      <c r="G628" s="1302"/>
      <c r="H628" s="1322"/>
      <c r="I628" s="1322"/>
      <c r="J628" s="1322"/>
      <c r="K628" s="1322"/>
      <c r="L628" s="1322"/>
      <c r="M628" s="1322"/>
      <c r="N628" s="1322"/>
      <c r="O628" s="1326"/>
      <c r="P628" s="1322"/>
      <c r="Q628" s="1323"/>
      <c r="R628" s="1324"/>
      <c r="S628" s="1325"/>
      <c r="T628" s="1353"/>
      <c r="U628" s="1463"/>
      <c r="V628" s="1464"/>
      <c r="W628" s="1482"/>
      <c r="X628" s="1307"/>
    </row>
    <row r="629" spans="1:24" s="1308" customFormat="1" ht="15" customHeight="1" x14ac:dyDescent="0.25">
      <c r="A629" s="730"/>
      <c r="B629" s="1286">
        <f t="shared" si="28"/>
        <v>63</v>
      </c>
      <c r="C629" s="1775"/>
      <c r="D629" s="1758"/>
      <c r="E629" s="1448" t="s">
        <v>1297</v>
      </c>
      <c r="F629" s="1290"/>
      <c r="G629" s="1302"/>
      <c r="H629" s="1322"/>
      <c r="I629" s="1322"/>
      <c r="J629" s="1322"/>
      <c r="K629" s="1322"/>
      <c r="L629" s="1322"/>
      <c r="M629" s="1322"/>
      <c r="N629" s="1322"/>
      <c r="O629" s="1326"/>
      <c r="P629" s="1322"/>
      <c r="Q629" s="1323"/>
      <c r="R629" s="1324"/>
      <c r="S629" s="1325"/>
      <c r="T629" s="1353"/>
      <c r="U629" s="1463"/>
      <c r="V629" s="1464"/>
      <c r="W629" s="1482"/>
      <c r="X629" s="1307"/>
    </row>
    <row r="630" spans="1:24" s="1308" customFormat="1" ht="15" customHeight="1" x14ac:dyDescent="0.25">
      <c r="A630" s="730"/>
      <c r="B630" s="1286">
        <f t="shared" si="28"/>
        <v>64</v>
      </c>
      <c r="C630" s="1775"/>
      <c r="D630" s="1758"/>
      <c r="E630" s="1448" t="s">
        <v>1298</v>
      </c>
      <c r="F630" s="1290"/>
      <c r="G630" s="1302"/>
      <c r="H630" s="1322"/>
      <c r="I630" s="1322"/>
      <c r="J630" s="1322"/>
      <c r="K630" s="1322"/>
      <c r="L630" s="1322"/>
      <c r="M630" s="1322"/>
      <c r="N630" s="1322"/>
      <c r="O630" s="1326"/>
      <c r="P630" s="1322"/>
      <c r="Q630" s="1323"/>
      <c r="R630" s="1324"/>
      <c r="S630" s="1325"/>
      <c r="T630" s="1353"/>
      <c r="U630" s="1463"/>
      <c r="V630" s="1464"/>
      <c r="W630" s="1482"/>
      <c r="X630" s="1307"/>
    </row>
    <row r="631" spans="1:24" s="1308" customFormat="1" ht="15" customHeight="1" x14ac:dyDescent="0.25">
      <c r="A631" s="730"/>
      <c r="B631" s="1286">
        <f t="shared" si="28"/>
        <v>65</v>
      </c>
      <c r="C631" s="1775"/>
      <c r="D631" s="1758" t="s">
        <v>1668</v>
      </c>
      <c r="E631" s="1448" t="s">
        <v>1625</v>
      </c>
      <c r="F631" s="1290"/>
      <c r="G631" s="1302"/>
      <c r="H631" s="1322"/>
      <c r="I631" s="1322"/>
      <c r="J631" s="1322"/>
      <c r="K631" s="1322"/>
      <c r="L631" s="1322"/>
      <c r="M631" s="1322"/>
      <c r="N631" s="1322"/>
      <c r="O631" s="1326"/>
      <c r="P631" s="1322"/>
      <c r="Q631" s="1323"/>
      <c r="R631" s="1324"/>
      <c r="S631" s="1325"/>
      <c r="T631" s="1353"/>
      <c r="U631" s="1463"/>
      <c r="V631" s="1464"/>
      <c r="W631" s="1482"/>
      <c r="X631" s="1307"/>
    </row>
    <row r="632" spans="1:24" s="1308" customFormat="1" ht="15" customHeight="1" x14ac:dyDescent="0.25">
      <c r="A632" s="730"/>
      <c r="B632" s="1286">
        <f t="shared" si="28"/>
        <v>66</v>
      </c>
      <c r="C632" s="1775"/>
      <c r="D632" s="1758"/>
      <c r="E632" s="1448" t="s">
        <v>1299</v>
      </c>
      <c r="F632" s="1290"/>
      <c r="G632" s="1302"/>
      <c r="H632" s="1322"/>
      <c r="I632" s="1322"/>
      <c r="J632" s="1322"/>
      <c r="K632" s="1322"/>
      <c r="L632" s="1322"/>
      <c r="M632" s="1322"/>
      <c r="N632" s="1322"/>
      <c r="O632" s="1326"/>
      <c r="P632" s="1322"/>
      <c r="Q632" s="1323"/>
      <c r="R632" s="1324"/>
      <c r="S632" s="1325"/>
      <c r="T632" s="1353"/>
      <c r="U632" s="1463"/>
      <c r="V632" s="1464"/>
      <c r="W632" s="1482"/>
      <c r="X632" s="1307"/>
    </row>
    <row r="633" spans="1:24" s="1308" customFormat="1" ht="15" customHeight="1" x14ac:dyDescent="0.25">
      <c r="A633" s="730"/>
      <c r="B633" s="1286">
        <f t="shared" si="28"/>
        <v>67</v>
      </c>
      <c r="C633" s="1775"/>
      <c r="D633" s="1758"/>
      <c r="E633" s="1448" t="s">
        <v>1297</v>
      </c>
      <c r="F633" s="1290"/>
      <c r="G633" s="1302"/>
      <c r="H633" s="1322"/>
      <c r="I633" s="1322"/>
      <c r="J633" s="1322"/>
      <c r="K633" s="1322"/>
      <c r="L633" s="1322"/>
      <c r="M633" s="1322"/>
      <c r="N633" s="1322"/>
      <c r="O633" s="1326"/>
      <c r="P633" s="1322"/>
      <c r="Q633" s="1323"/>
      <c r="R633" s="1324"/>
      <c r="S633" s="1325"/>
      <c r="T633" s="1353"/>
      <c r="U633" s="1463"/>
      <c r="V633" s="1464"/>
      <c r="W633" s="1482"/>
      <c r="X633" s="1307"/>
    </row>
    <row r="634" spans="1:24" s="1308" customFormat="1" ht="15" customHeight="1" x14ac:dyDescent="0.25">
      <c r="A634" s="730"/>
      <c r="B634" s="1286">
        <f t="shared" si="28"/>
        <v>68</v>
      </c>
      <c r="C634" s="1775"/>
      <c r="D634" s="1758"/>
      <c r="E634" s="1448" t="s">
        <v>1298</v>
      </c>
      <c r="F634" s="1290"/>
      <c r="G634" s="1302"/>
      <c r="H634" s="1322"/>
      <c r="I634" s="1322"/>
      <c r="J634" s="1322"/>
      <c r="K634" s="1322"/>
      <c r="L634" s="1322"/>
      <c r="M634" s="1322"/>
      <c r="N634" s="1322"/>
      <c r="O634" s="1326"/>
      <c r="P634" s="1322"/>
      <c r="Q634" s="1323"/>
      <c r="R634" s="1324"/>
      <c r="S634" s="1325"/>
      <c r="T634" s="1353"/>
      <c r="U634" s="1463"/>
      <c r="V634" s="1464"/>
      <c r="W634" s="1482"/>
      <c r="X634" s="1307"/>
    </row>
    <row r="635" spans="1:24" s="1308" customFormat="1" ht="15" customHeight="1" x14ac:dyDescent="0.25">
      <c r="A635" s="730"/>
      <c r="B635" s="1286">
        <f t="shared" si="28"/>
        <v>69</v>
      </c>
      <c r="C635" s="1775"/>
      <c r="D635" s="1758" t="s">
        <v>1669</v>
      </c>
      <c r="E635" s="1448" t="s">
        <v>1625</v>
      </c>
      <c r="F635" s="1290"/>
      <c r="G635" s="1302"/>
      <c r="H635" s="1322"/>
      <c r="I635" s="1322"/>
      <c r="J635" s="1322"/>
      <c r="K635" s="1322"/>
      <c r="L635" s="1322"/>
      <c r="M635" s="1322"/>
      <c r="N635" s="1322"/>
      <c r="O635" s="1326"/>
      <c r="P635" s="1322"/>
      <c r="Q635" s="1323"/>
      <c r="R635" s="1324"/>
      <c r="S635" s="1325"/>
      <c r="T635" s="1353"/>
      <c r="U635" s="1463"/>
      <c r="V635" s="1464"/>
      <c r="W635" s="1482"/>
      <c r="X635" s="1307"/>
    </row>
    <row r="636" spans="1:24" s="1308" customFormat="1" ht="15" customHeight="1" x14ac:dyDescent="0.25">
      <c r="A636" s="730"/>
      <c r="B636" s="1286">
        <f t="shared" si="28"/>
        <v>70</v>
      </c>
      <c r="C636" s="1775"/>
      <c r="D636" s="1758"/>
      <c r="E636" s="1448" t="s">
        <v>1299</v>
      </c>
      <c r="F636" s="1290"/>
      <c r="G636" s="1302"/>
      <c r="H636" s="1322"/>
      <c r="I636" s="1322"/>
      <c r="J636" s="1322"/>
      <c r="K636" s="1322"/>
      <c r="L636" s="1322"/>
      <c r="M636" s="1322"/>
      <c r="N636" s="1322"/>
      <c r="O636" s="1326"/>
      <c r="P636" s="1322"/>
      <c r="Q636" s="1323"/>
      <c r="R636" s="1324"/>
      <c r="S636" s="1325"/>
      <c r="T636" s="1353"/>
      <c r="U636" s="1463"/>
      <c r="V636" s="1464"/>
      <c r="W636" s="1482"/>
      <c r="X636" s="1307"/>
    </row>
    <row r="637" spans="1:24" s="1308" customFormat="1" ht="15" customHeight="1" x14ac:dyDescent="0.25">
      <c r="A637" s="730"/>
      <c r="B637" s="1286">
        <f t="shared" si="28"/>
        <v>71</v>
      </c>
      <c r="C637" s="1775"/>
      <c r="D637" s="1758"/>
      <c r="E637" s="1448" t="s">
        <v>1297</v>
      </c>
      <c r="F637" s="1290"/>
      <c r="G637" s="1302"/>
      <c r="H637" s="1322"/>
      <c r="I637" s="1322"/>
      <c r="J637" s="1322"/>
      <c r="K637" s="1322"/>
      <c r="L637" s="1322"/>
      <c r="M637" s="1322"/>
      <c r="N637" s="1322"/>
      <c r="O637" s="1326"/>
      <c r="P637" s="1322"/>
      <c r="Q637" s="1323"/>
      <c r="R637" s="1324"/>
      <c r="S637" s="1325"/>
      <c r="T637" s="1353"/>
      <c r="U637" s="1463"/>
      <c r="V637" s="1464"/>
      <c r="W637" s="1482"/>
      <c r="X637" s="1307"/>
    </row>
    <row r="638" spans="1:24" s="1308" customFormat="1" ht="15" customHeight="1" x14ac:dyDescent="0.25">
      <c r="A638" s="730"/>
      <c r="B638" s="1286">
        <f t="shared" si="28"/>
        <v>72</v>
      </c>
      <c r="C638" s="1775"/>
      <c r="D638" s="1758"/>
      <c r="E638" s="1448" t="s">
        <v>1298</v>
      </c>
      <c r="F638" s="1290"/>
      <c r="G638" s="1302"/>
      <c r="H638" s="1322"/>
      <c r="I638" s="1322"/>
      <c r="J638" s="1322"/>
      <c r="K638" s="1322"/>
      <c r="L638" s="1322"/>
      <c r="M638" s="1322"/>
      <c r="N638" s="1322"/>
      <c r="O638" s="1326"/>
      <c r="P638" s="1322"/>
      <c r="Q638" s="1323"/>
      <c r="R638" s="1324"/>
      <c r="S638" s="1325"/>
      <c r="T638" s="1353"/>
      <c r="U638" s="1463"/>
      <c r="V638" s="1464"/>
      <c r="W638" s="1482"/>
      <c r="X638" s="1307"/>
    </row>
    <row r="639" spans="1:24" s="1308" customFormat="1" ht="15" customHeight="1" x14ac:dyDescent="0.25">
      <c r="A639" s="730"/>
      <c r="B639" s="1286">
        <f t="shared" si="28"/>
        <v>73</v>
      </c>
      <c r="C639" s="1775"/>
      <c r="D639" s="1758" t="s">
        <v>1670</v>
      </c>
      <c r="E639" s="1448" t="s">
        <v>1625</v>
      </c>
      <c r="F639" s="1290"/>
      <c r="G639" s="1302"/>
      <c r="H639" s="1322"/>
      <c r="I639" s="1322"/>
      <c r="J639" s="1322"/>
      <c r="K639" s="1322"/>
      <c r="L639" s="1322"/>
      <c r="M639" s="1322"/>
      <c r="N639" s="1322"/>
      <c r="O639" s="1326"/>
      <c r="P639" s="1322"/>
      <c r="Q639" s="1323"/>
      <c r="R639" s="1324"/>
      <c r="S639" s="1325"/>
      <c r="T639" s="1353"/>
      <c r="U639" s="1463"/>
      <c r="V639" s="1464"/>
      <c r="W639" s="1482"/>
      <c r="X639" s="1307"/>
    </row>
    <row r="640" spans="1:24" s="1308" customFormat="1" ht="15" customHeight="1" x14ac:dyDescent="0.25">
      <c r="A640" s="730"/>
      <c r="B640" s="1286">
        <f t="shared" si="28"/>
        <v>74</v>
      </c>
      <c r="C640" s="1775"/>
      <c r="D640" s="1758"/>
      <c r="E640" s="1448" t="s">
        <v>1299</v>
      </c>
      <c r="F640" s="1290"/>
      <c r="G640" s="1302"/>
      <c r="H640" s="1322"/>
      <c r="I640" s="1322"/>
      <c r="J640" s="1322"/>
      <c r="K640" s="1322"/>
      <c r="L640" s="1322"/>
      <c r="M640" s="1322"/>
      <c r="N640" s="1322"/>
      <c r="O640" s="1326"/>
      <c r="P640" s="1322"/>
      <c r="Q640" s="1323"/>
      <c r="R640" s="1324"/>
      <c r="S640" s="1325"/>
      <c r="T640" s="1353"/>
      <c r="U640" s="1463"/>
      <c r="V640" s="1464"/>
      <c r="W640" s="1482"/>
      <c r="X640" s="1307"/>
    </row>
    <row r="641" spans="1:24" s="1308" customFormat="1" ht="15" customHeight="1" x14ac:dyDescent="0.25">
      <c r="A641" s="730"/>
      <c r="B641" s="1286">
        <f t="shared" si="28"/>
        <v>75</v>
      </c>
      <c r="C641" s="1775"/>
      <c r="D641" s="1758"/>
      <c r="E641" s="1448" t="s">
        <v>1297</v>
      </c>
      <c r="F641" s="1290"/>
      <c r="G641" s="1302"/>
      <c r="H641" s="1322"/>
      <c r="I641" s="1322"/>
      <c r="J641" s="1322"/>
      <c r="K641" s="1322"/>
      <c r="L641" s="1322"/>
      <c r="M641" s="1322"/>
      <c r="N641" s="1322"/>
      <c r="O641" s="1326"/>
      <c r="P641" s="1322"/>
      <c r="Q641" s="1323"/>
      <c r="R641" s="1324"/>
      <c r="S641" s="1325"/>
      <c r="T641" s="1353"/>
      <c r="U641" s="1463"/>
      <c r="V641" s="1464"/>
      <c r="W641" s="1482"/>
      <c r="X641" s="1307"/>
    </row>
    <row r="642" spans="1:24" s="1308" customFormat="1" ht="15" customHeight="1" x14ac:dyDescent="0.25">
      <c r="A642" s="730"/>
      <c r="B642" s="1286">
        <f t="shared" si="28"/>
        <v>76</v>
      </c>
      <c r="C642" s="1775"/>
      <c r="D642" s="1758"/>
      <c r="E642" s="1448" t="s">
        <v>1298</v>
      </c>
      <c r="F642" s="1290"/>
      <c r="G642" s="1302"/>
      <c r="H642" s="1322"/>
      <c r="I642" s="1322"/>
      <c r="J642" s="1322"/>
      <c r="K642" s="1322"/>
      <c r="L642" s="1322"/>
      <c r="M642" s="1322"/>
      <c r="N642" s="1322"/>
      <c r="O642" s="1326"/>
      <c r="P642" s="1322"/>
      <c r="Q642" s="1323"/>
      <c r="R642" s="1324"/>
      <c r="S642" s="1325"/>
      <c r="T642" s="1353"/>
      <c r="U642" s="1463"/>
      <c r="V642" s="1464"/>
      <c r="W642" s="1482"/>
      <c r="X642" s="1307"/>
    </row>
    <row r="643" spans="1:24" s="1308" customFormat="1" ht="15" customHeight="1" x14ac:dyDescent="0.25">
      <c r="A643" s="730"/>
      <c r="B643" s="1286">
        <f t="shared" si="28"/>
        <v>77</v>
      </c>
      <c r="C643" s="1775"/>
      <c r="D643" s="1759" t="s">
        <v>1671</v>
      </c>
      <c r="E643" s="1448" t="s">
        <v>1625</v>
      </c>
      <c r="F643" s="1290"/>
      <c r="G643" s="1302"/>
      <c r="H643" s="1322"/>
      <c r="I643" s="1322"/>
      <c r="J643" s="1322"/>
      <c r="K643" s="1322"/>
      <c r="L643" s="1322"/>
      <c r="M643" s="1322"/>
      <c r="N643" s="1322"/>
      <c r="O643" s="1326"/>
      <c r="P643" s="1322"/>
      <c r="Q643" s="1323"/>
      <c r="R643" s="1324"/>
      <c r="S643" s="1325"/>
      <c r="T643" s="1353"/>
      <c r="U643" s="1463"/>
      <c r="V643" s="1464"/>
      <c r="W643" s="1482"/>
      <c r="X643" s="1307"/>
    </row>
    <row r="644" spans="1:24" s="1308" customFormat="1" ht="15" customHeight="1" x14ac:dyDescent="0.25">
      <c r="A644" s="730"/>
      <c r="B644" s="1286">
        <f t="shared" si="28"/>
        <v>78</v>
      </c>
      <c r="C644" s="1775"/>
      <c r="D644" s="1762"/>
      <c r="E644" s="1448" t="s">
        <v>1299</v>
      </c>
      <c r="F644" s="1290"/>
      <c r="G644" s="1302"/>
      <c r="H644" s="1322"/>
      <c r="I644" s="1322"/>
      <c r="J644" s="1322"/>
      <c r="K644" s="1322"/>
      <c r="L644" s="1322"/>
      <c r="M644" s="1322"/>
      <c r="N644" s="1322"/>
      <c r="O644" s="1326"/>
      <c r="P644" s="1322"/>
      <c r="Q644" s="1323"/>
      <c r="R644" s="1324"/>
      <c r="S644" s="1325"/>
      <c r="T644" s="1353"/>
      <c r="U644" s="1463"/>
      <c r="V644" s="1464"/>
      <c r="W644" s="1482"/>
      <c r="X644" s="1307"/>
    </row>
    <row r="645" spans="1:24" s="1308" customFormat="1" ht="15" customHeight="1" x14ac:dyDescent="0.25">
      <c r="A645" s="730"/>
      <c r="B645" s="1286">
        <f t="shared" si="28"/>
        <v>79</v>
      </c>
      <c r="C645" s="1775"/>
      <c r="D645" s="1762"/>
      <c r="E645" s="1448" t="s">
        <v>1297</v>
      </c>
      <c r="F645" s="1290"/>
      <c r="G645" s="1302"/>
      <c r="H645" s="1322"/>
      <c r="I645" s="1322"/>
      <c r="J645" s="1322"/>
      <c r="K645" s="1322"/>
      <c r="L645" s="1322"/>
      <c r="M645" s="1322"/>
      <c r="N645" s="1322"/>
      <c r="O645" s="1326"/>
      <c r="P645" s="1322"/>
      <c r="Q645" s="1323"/>
      <c r="R645" s="1324"/>
      <c r="S645" s="1325"/>
      <c r="T645" s="1353"/>
      <c r="U645" s="1463"/>
      <c r="V645" s="1464"/>
      <c r="W645" s="1482"/>
      <c r="X645" s="1307"/>
    </row>
    <row r="646" spans="1:24" s="1308" customFormat="1" ht="15" customHeight="1" x14ac:dyDescent="0.25">
      <c r="A646" s="730"/>
      <c r="B646" s="1286">
        <f t="shared" si="28"/>
        <v>80</v>
      </c>
      <c r="C646" s="1775"/>
      <c r="D646" s="1777"/>
      <c r="E646" s="1448" t="s">
        <v>1298</v>
      </c>
      <c r="F646" s="1290"/>
      <c r="G646" s="1302"/>
      <c r="H646" s="1322"/>
      <c r="I646" s="1322"/>
      <c r="J646" s="1322"/>
      <c r="K646" s="1322"/>
      <c r="L646" s="1322"/>
      <c r="M646" s="1322"/>
      <c r="N646" s="1322"/>
      <c r="O646" s="1326"/>
      <c r="P646" s="1322"/>
      <c r="Q646" s="1323"/>
      <c r="R646" s="1324"/>
      <c r="S646" s="1325"/>
      <c r="T646" s="1353"/>
      <c r="U646" s="1463"/>
      <c r="V646" s="1464"/>
      <c r="W646" s="1482"/>
      <c r="X646" s="1307"/>
    </row>
    <row r="647" spans="1:24" s="1308" customFormat="1" ht="15" customHeight="1" x14ac:dyDescent="0.25">
      <c r="A647" s="730"/>
      <c r="B647" s="1286">
        <f t="shared" si="28"/>
        <v>81</v>
      </c>
      <c r="C647" s="1775"/>
      <c r="D647" s="1758" t="s">
        <v>1672</v>
      </c>
      <c r="E647" s="1448" t="s">
        <v>1625</v>
      </c>
      <c r="F647" s="1290"/>
      <c r="G647" s="1302"/>
      <c r="H647" s="1322"/>
      <c r="I647" s="1322"/>
      <c r="J647" s="1322"/>
      <c r="K647" s="1322"/>
      <c r="L647" s="1322"/>
      <c r="M647" s="1322"/>
      <c r="N647" s="1322"/>
      <c r="O647" s="1326"/>
      <c r="P647" s="1322"/>
      <c r="Q647" s="1323"/>
      <c r="R647" s="1324"/>
      <c r="S647" s="1325"/>
      <c r="T647" s="1353"/>
      <c r="U647" s="1463"/>
      <c r="V647" s="1464"/>
      <c r="W647" s="1482"/>
      <c r="X647" s="1307"/>
    </row>
    <row r="648" spans="1:24" s="1308" customFormat="1" ht="15" customHeight="1" x14ac:dyDescent="0.25">
      <c r="A648" s="730"/>
      <c r="B648" s="1286">
        <f t="shared" si="28"/>
        <v>82</v>
      </c>
      <c r="C648" s="1775"/>
      <c r="D648" s="1758"/>
      <c r="E648" s="1448" t="s">
        <v>1299</v>
      </c>
      <c r="F648" s="1290"/>
      <c r="G648" s="1302"/>
      <c r="H648" s="1322"/>
      <c r="I648" s="1322"/>
      <c r="J648" s="1322"/>
      <c r="K648" s="1322"/>
      <c r="L648" s="1322"/>
      <c r="M648" s="1322"/>
      <c r="N648" s="1322"/>
      <c r="O648" s="1326"/>
      <c r="P648" s="1322"/>
      <c r="Q648" s="1323"/>
      <c r="R648" s="1324"/>
      <c r="S648" s="1325"/>
      <c r="T648" s="1353"/>
      <c r="U648" s="1463"/>
      <c r="V648" s="1464"/>
      <c r="W648" s="1482"/>
      <c r="X648" s="1307"/>
    </row>
    <row r="649" spans="1:24" s="1308" customFormat="1" ht="15" customHeight="1" x14ac:dyDescent="0.25">
      <c r="A649" s="730"/>
      <c r="B649" s="1286">
        <f t="shared" si="28"/>
        <v>83</v>
      </c>
      <c r="C649" s="1775"/>
      <c r="D649" s="1758"/>
      <c r="E649" s="1448" t="s">
        <v>1297</v>
      </c>
      <c r="F649" s="1290"/>
      <c r="G649" s="1302"/>
      <c r="H649" s="1322"/>
      <c r="I649" s="1322"/>
      <c r="J649" s="1322"/>
      <c r="K649" s="1322"/>
      <c r="L649" s="1322"/>
      <c r="M649" s="1322"/>
      <c r="N649" s="1322"/>
      <c r="O649" s="1326"/>
      <c r="P649" s="1322"/>
      <c r="Q649" s="1323"/>
      <c r="R649" s="1324"/>
      <c r="S649" s="1325"/>
      <c r="T649" s="1353"/>
      <c r="U649" s="1463"/>
      <c r="V649" s="1464"/>
      <c r="W649" s="1482"/>
      <c r="X649" s="1307"/>
    </row>
    <row r="650" spans="1:24" s="1308" customFormat="1" ht="15" customHeight="1" x14ac:dyDescent="0.25">
      <c r="A650" s="730"/>
      <c r="B650" s="1287">
        <f t="shared" si="28"/>
        <v>84</v>
      </c>
      <c r="C650" s="1776"/>
      <c r="D650" s="1760"/>
      <c r="E650" s="1449" t="s">
        <v>1298</v>
      </c>
      <c r="F650" s="1291"/>
      <c r="G650" s="1327"/>
      <c r="H650" s="1303"/>
      <c r="I650" s="1303"/>
      <c r="J650" s="1303"/>
      <c r="K650" s="1303"/>
      <c r="L650" s="1303"/>
      <c r="M650" s="1303"/>
      <c r="N650" s="1303"/>
      <c r="O650" s="1328"/>
      <c r="P650" s="1303"/>
      <c r="Q650" s="1304"/>
      <c r="R650" s="1305"/>
      <c r="S650" s="1306"/>
      <c r="T650" s="1351"/>
      <c r="U650" s="1466"/>
      <c r="V650" s="1467"/>
      <c r="W650" s="1483"/>
      <c r="X650" s="1307"/>
    </row>
    <row r="651" spans="1:24" s="1308" customFormat="1" ht="15" customHeight="1" x14ac:dyDescent="0.25">
      <c r="A651" s="730"/>
      <c r="B651" s="1285">
        <f t="shared" si="28"/>
        <v>85</v>
      </c>
      <c r="C651" s="1774" t="s">
        <v>1301</v>
      </c>
      <c r="D651" s="1763" t="s">
        <v>1666</v>
      </c>
      <c r="E651" s="1450" t="s">
        <v>1625</v>
      </c>
      <c r="F651" s="1289"/>
      <c r="G651" s="1316"/>
      <c r="H651" s="1317"/>
      <c r="I651" s="1317"/>
      <c r="J651" s="1317"/>
      <c r="K651" s="1317"/>
      <c r="L651" s="1317"/>
      <c r="M651" s="1317"/>
      <c r="N651" s="1317"/>
      <c r="O651" s="1321"/>
      <c r="P651" s="1317"/>
      <c r="Q651" s="1318"/>
      <c r="R651" s="1319"/>
      <c r="S651" s="1320"/>
      <c r="T651" s="1349"/>
      <c r="U651" s="1460"/>
      <c r="V651" s="1461"/>
      <c r="W651" s="1481"/>
      <c r="X651" s="1307"/>
    </row>
    <row r="652" spans="1:24" s="1308" customFormat="1" ht="15" customHeight="1" x14ac:dyDescent="0.25">
      <c r="A652" s="730"/>
      <c r="B652" s="1286">
        <f t="shared" si="28"/>
        <v>86</v>
      </c>
      <c r="C652" s="1775"/>
      <c r="D652" s="1758"/>
      <c r="E652" s="1448" t="s">
        <v>1299</v>
      </c>
      <c r="F652" s="1290"/>
      <c r="G652" s="1302"/>
      <c r="H652" s="1322"/>
      <c r="I652" s="1322"/>
      <c r="J652" s="1322"/>
      <c r="K652" s="1322"/>
      <c r="L652" s="1322"/>
      <c r="M652" s="1322"/>
      <c r="N652" s="1322"/>
      <c r="O652" s="1326"/>
      <c r="P652" s="1322"/>
      <c r="Q652" s="1323"/>
      <c r="R652" s="1324"/>
      <c r="S652" s="1325"/>
      <c r="T652" s="1353"/>
      <c r="U652" s="1463"/>
      <c r="V652" s="1464"/>
      <c r="W652" s="1482"/>
      <c r="X652" s="1307"/>
    </row>
    <row r="653" spans="1:24" s="1308" customFormat="1" ht="15" customHeight="1" x14ac:dyDescent="0.25">
      <c r="A653" s="730"/>
      <c r="B653" s="1286">
        <f t="shared" si="28"/>
        <v>87</v>
      </c>
      <c r="C653" s="1775"/>
      <c r="D653" s="1758"/>
      <c r="E653" s="1448" t="s">
        <v>1297</v>
      </c>
      <c r="F653" s="1290"/>
      <c r="G653" s="1302"/>
      <c r="H653" s="1322"/>
      <c r="I653" s="1322"/>
      <c r="J653" s="1322"/>
      <c r="K653" s="1322"/>
      <c r="L653" s="1322"/>
      <c r="M653" s="1322"/>
      <c r="N653" s="1322"/>
      <c r="O653" s="1326"/>
      <c r="P653" s="1322"/>
      <c r="Q653" s="1323"/>
      <c r="R653" s="1324"/>
      <c r="S653" s="1325"/>
      <c r="T653" s="1353"/>
      <c r="U653" s="1463"/>
      <c r="V653" s="1464"/>
      <c r="W653" s="1482"/>
      <c r="X653" s="1307"/>
    </row>
    <row r="654" spans="1:24" s="1308" customFormat="1" ht="15" customHeight="1" x14ac:dyDescent="0.25">
      <c r="A654" s="730"/>
      <c r="B654" s="1286">
        <f t="shared" si="28"/>
        <v>88</v>
      </c>
      <c r="C654" s="1775"/>
      <c r="D654" s="1758"/>
      <c r="E654" s="1448" t="s">
        <v>1298</v>
      </c>
      <c r="F654" s="1290"/>
      <c r="G654" s="1302"/>
      <c r="H654" s="1322"/>
      <c r="I654" s="1322"/>
      <c r="J654" s="1322"/>
      <c r="K654" s="1322"/>
      <c r="L654" s="1322"/>
      <c r="M654" s="1322"/>
      <c r="N654" s="1322"/>
      <c r="O654" s="1326"/>
      <c r="P654" s="1322"/>
      <c r="Q654" s="1323"/>
      <c r="R654" s="1324"/>
      <c r="S654" s="1325"/>
      <c r="T654" s="1353"/>
      <c r="U654" s="1463"/>
      <c r="V654" s="1464"/>
      <c r="W654" s="1482"/>
      <c r="X654" s="1307"/>
    </row>
    <row r="655" spans="1:24" s="1308" customFormat="1" ht="15" customHeight="1" x14ac:dyDescent="0.25">
      <c r="A655" s="730"/>
      <c r="B655" s="1286">
        <f t="shared" si="28"/>
        <v>89</v>
      </c>
      <c r="C655" s="1775"/>
      <c r="D655" s="1758" t="s">
        <v>1667</v>
      </c>
      <c r="E655" s="1448" t="s">
        <v>1625</v>
      </c>
      <c r="F655" s="1290"/>
      <c r="G655" s="1302"/>
      <c r="H655" s="1322"/>
      <c r="I655" s="1322"/>
      <c r="J655" s="1322"/>
      <c r="K655" s="1322"/>
      <c r="L655" s="1322"/>
      <c r="M655" s="1322"/>
      <c r="N655" s="1322"/>
      <c r="O655" s="1326"/>
      <c r="P655" s="1322"/>
      <c r="Q655" s="1323"/>
      <c r="R655" s="1324"/>
      <c r="S655" s="1325"/>
      <c r="T655" s="1353"/>
      <c r="U655" s="1463"/>
      <c r="V655" s="1464"/>
      <c r="W655" s="1482"/>
      <c r="X655" s="1307"/>
    </row>
    <row r="656" spans="1:24" s="1308" customFormat="1" ht="15" customHeight="1" x14ac:dyDescent="0.25">
      <c r="A656" s="730"/>
      <c r="B656" s="1286">
        <f t="shared" ref="B656:B719" si="29">B655+1</f>
        <v>90</v>
      </c>
      <c r="C656" s="1775"/>
      <c r="D656" s="1758"/>
      <c r="E656" s="1448" t="s">
        <v>1299</v>
      </c>
      <c r="F656" s="1290"/>
      <c r="G656" s="1302"/>
      <c r="H656" s="1322"/>
      <c r="I656" s="1322"/>
      <c r="J656" s="1322"/>
      <c r="K656" s="1322"/>
      <c r="L656" s="1322"/>
      <c r="M656" s="1322"/>
      <c r="N656" s="1322"/>
      <c r="O656" s="1326"/>
      <c r="P656" s="1322"/>
      <c r="Q656" s="1323"/>
      <c r="R656" s="1324"/>
      <c r="S656" s="1325"/>
      <c r="T656" s="1353"/>
      <c r="U656" s="1463"/>
      <c r="V656" s="1464"/>
      <c r="W656" s="1482"/>
      <c r="X656" s="1307"/>
    </row>
    <row r="657" spans="1:24" s="1308" customFormat="1" ht="15" customHeight="1" x14ac:dyDescent="0.25">
      <c r="A657" s="730"/>
      <c r="B657" s="1286">
        <f t="shared" si="29"/>
        <v>91</v>
      </c>
      <c r="C657" s="1775"/>
      <c r="D657" s="1758"/>
      <c r="E657" s="1448" t="s">
        <v>1297</v>
      </c>
      <c r="F657" s="1290"/>
      <c r="G657" s="1302"/>
      <c r="H657" s="1322"/>
      <c r="I657" s="1322"/>
      <c r="J657" s="1322"/>
      <c r="K657" s="1322"/>
      <c r="L657" s="1322"/>
      <c r="M657" s="1322"/>
      <c r="N657" s="1322"/>
      <c r="O657" s="1326"/>
      <c r="P657" s="1322"/>
      <c r="Q657" s="1323"/>
      <c r="R657" s="1324"/>
      <c r="S657" s="1325"/>
      <c r="T657" s="1353"/>
      <c r="U657" s="1463"/>
      <c r="V657" s="1464"/>
      <c r="W657" s="1482"/>
      <c r="X657" s="1307"/>
    </row>
    <row r="658" spans="1:24" s="1308" customFormat="1" ht="15" customHeight="1" x14ac:dyDescent="0.25">
      <c r="A658" s="730"/>
      <c r="B658" s="1286">
        <f t="shared" si="29"/>
        <v>92</v>
      </c>
      <c r="C658" s="1775"/>
      <c r="D658" s="1758"/>
      <c r="E658" s="1448" t="s">
        <v>1298</v>
      </c>
      <c r="F658" s="1290"/>
      <c r="G658" s="1302"/>
      <c r="H658" s="1322"/>
      <c r="I658" s="1322"/>
      <c r="J658" s="1322"/>
      <c r="K658" s="1322"/>
      <c r="L658" s="1322"/>
      <c r="M658" s="1322"/>
      <c r="N658" s="1322"/>
      <c r="O658" s="1326"/>
      <c r="P658" s="1322"/>
      <c r="Q658" s="1323"/>
      <c r="R658" s="1324"/>
      <c r="S658" s="1325"/>
      <c r="T658" s="1353"/>
      <c r="U658" s="1463"/>
      <c r="V658" s="1464"/>
      <c r="W658" s="1482"/>
      <c r="X658" s="1307"/>
    </row>
    <row r="659" spans="1:24" s="1308" customFormat="1" ht="15" customHeight="1" x14ac:dyDescent="0.25">
      <c r="A659" s="730"/>
      <c r="B659" s="1286">
        <f t="shared" si="29"/>
        <v>93</v>
      </c>
      <c r="C659" s="1775"/>
      <c r="D659" s="1758" t="s">
        <v>1668</v>
      </c>
      <c r="E659" s="1448" t="s">
        <v>1625</v>
      </c>
      <c r="F659" s="1290"/>
      <c r="G659" s="1302"/>
      <c r="H659" s="1322"/>
      <c r="I659" s="1322"/>
      <c r="J659" s="1322"/>
      <c r="K659" s="1322"/>
      <c r="L659" s="1322"/>
      <c r="M659" s="1322"/>
      <c r="N659" s="1322"/>
      <c r="O659" s="1326"/>
      <c r="P659" s="1322"/>
      <c r="Q659" s="1323"/>
      <c r="R659" s="1324"/>
      <c r="S659" s="1325"/>
      <c r="T659" s="1353"/>
      <c r="U659" s="1463"/>
      <c r="V659" s="1464"/>
      <c r="W659" s="1482"/>
      <c r="X659" s="1307"/>
    </row>
    <row r="660" spans="1:24" s="1308" customFormat="1" ht="15" customHeight="1" x14ac:dyDescent="0.25">
      <c r="A660" s="730"/>
      <c r="B660" s="1286">
        <f t="shared" si="29"/>
        <v>94</v>
      </c>
      <c r="C660" s="1775"/>
      <c r="D660" s="1758"/>
      <c r="E660" s="1448" t="s">
        <v>1299</v>
      </c>
      <c r="F660" s="1290"/>
      <c r="G660" s="1302"/>
      <c r="H660" s="1322"/>
      <c r="I660" s="1322"/>
      <c r="J660" s="1322"/>
      <c r="K660" s="1322"/>
      <c r="L660" s="1322"/>
      <c r="M660" s="1322"/>
      <c r="N660" s="1322"/>
      <c r="O660" s="1326"/>
      <c r="P660" s="1322"/>
      <c r="Q660" s="1323"/>
      <c r="R660" s="1324"/>
      <c r="S660" s="1325"/>
      <c r="T660" s="1353"/>
      <c r="U660" s="1463"/>
      <c r="V660" s="1464"/>
      <c r="W660" s="1482"/>
      <c r="X660" s="1307"/>
    </row>
    <row r="661" spans="1:24" s="1308" customFormat="1" ht="15" customHeight="1" x14ac:dyDescent="0.25">
      <c r="A661" s="730"/>
      <c r="B661" s="1286">
        <f t="shared" si="29"/>
        <v>95</v>
      </c>
      <c r="C661" s="1775"/>
      <c r="D661" s="1758"/>
      <c r="E661" s="1448" t="s">
        <v>1297</v>
      </c>
      <c r="F661" s="1290"/>
      <c r="G661" s="1302"/>
      <c r="H661" s="1322"/>
      <c r="I661" s="1322"/>
      <c r="J661" s="1322"/>
      <c r="K661" s="1322"/>
      <c r="L661" s="1322"/>
      <c r="M661" s="1322"/>
      <c r="N661" s="1322"/>
      <c r="O661" s="1326"/>
      <c r="P661" s="1322"/>
      <c r="Q661" s="1323"/>
      <c r="R661" s="1324"/>
      <c r="S661" s="1325"/>
      <c r="T661" s="1353"/>
      <c r="U661" s="1463"/>
      <c r="V661" s="1464"/>
      <c r="W661" s="1482"/>
      <c r="X661" s="1307"/>
    </row>
    <row r="662" spans="1:24" s="1308" customFormat="1" ht="15" customHeight="1" x14ac:dyDescent="0.25">
      <c r="A662" s="730"/>
      <c r="B662" s="1286">
        <f t="shared" si="29"/>
        <v>96</v>
      </c>
      <c r="C662" s="1775"/>
      <c r="D662" s="1758"/>
      <c r="E662" s="1448" t="s">
        <v>1298</v>
      </c>
      <c r="F662" s="1290"/>
      <c r="G662" s="1302"/>
      <c r="H662" s="1322"/>
      <c r="I662" s="1322"/>
      <c r="J662" s="1322"/>
      <c r="K662" s="1322"/>
      <c r="L662" s="1322"/>
      <c r="M662" s="1322"/>
      <c r="N662" s="1322"/>
      <c r="O662" s="1326"/>
      <c r="P662" s="1322"/>
      <c r="Q662" s="1323"/>
      <c r="R662" s="1324"/>
      <c r="S662" s="1325"/>
      <c r="T662" s="1353"/>
      <c r="U662" s="1463"/>
      <c r="V662" s="1464"/>
      <c r="W662" s="1482"/>
      <c r="X662" s="1307"/>
    </row>
    <row r="663" spans="1:24" s="1308" customFormat="1" ht="15" customHeight="1" x14ac:dyDescent="0.25">
      <c r="A663" s="730"/>
      <c r="B663" s="1286">
        <f t="shared" si="29"/>
        <v>97</v>
      </c>
      <c r="C663" s="1775"/>
      <c r="D663" s="1758" t="s">
        <v>1669</v>
      </c>
      <c r="E663" s="1448" t="s">
        <v>1625</v>
      </c>
      <c r="F663" s="1290"/>
      <c r="G663" s="1302"/>
      <c r="H663" s="1322"/>
      <c r="I663" s="1322"/>
      <c r="J663" s="1322"/>
      <c r="K663" s="1322"/>
      <c r="L663" s="1322"/>
      <c r="M663" s="1322"/>
      <c r="N663" s="1322"/>
      <c r="O663" s="1326"/>
      <c r="P663" s="1322"/>
      <c r="Q663" s="1323"/>
      <c r="R663" s="1324"/>
      <c r="S663" s="1325"/>
      <c r="T663" s="1353"/>
      <c r="U663" s="1463"/>
      <c r="V663" s="1464"/>
      <c r="W663" s="1482"/>
      <c r="X663" s="1307"/>
    </row>
    <row r="664" spans="1:24" s="1308" customFormat="1" ht="15" customHeight="1" x14ac:dyDescent="0.25">
      <c r="A664" s="730"/>
      <c r="B664" s="1286">
        <f t="shared" si="29"/>
        <v>98</v>
      </c>
      <c r="C664" s="1775"/>
      <c r="D664" s="1758"/>
      <c r="E664" s="1448" t="s">
        <v>1299</v>
      </c>
      <c r="F664" s="1290"/>
      <c r="G664" s="1302"/>
      <c r="H664" s="1322"/>
      <c r="I664" s="1322"/>
      <c r="J664" s="1322"/>
      <c r="K664" s="1322"/>
      <c r="L664" s="1322"/>
      <c r="M664" s="1322"/>
      <c r="N664" s="1322"/>
      <c r="O664" s="1326"/>
      <c r="P664" s="1322"/>
      <c r="Q664" s="1323"/>
      <c r="R664" s="1324"/>
      <c r="S664" s="1325"/>
      <c r="T664" s="1353"/>
      <c r="U664" s="1463"/>
      <c r="V664" s="1464"/>
      <c r="W664" s="1482"/>
      <c r="X664" s="1307"/>
    </row>
    <row r="665" spans="1:24" s="1308" customFormat="1" ht="15" customHeight="1" x14ac:dyDescent="0.25">
      <c r="A665" s="730"/>
      <c r="B665" s="1286">
        <f t="shared" si="29"/>
        <v>99</v>
      </c>
      <c r="C665" s="1775"/>
      <c r="D665" s="1758"/>
      <c r="E665" s="1448" t="s">
        <v>1297</v>
      </c>
      <c r="F665" s="1290"/>
      <c r="G665" s="1302"/>
      <c r="H665" s="1322"/>
      <c r="I665" s="1322"/>
      <c r="J665" s="1322"/>
      <c r="K665" s="1322"/>
      <c r="L665" s="1322"/>
      <c r="M665" s="1322"/>
      <c r="N665" s="1322"/>
      <c r="O665" s="1326"/>
      <c r="P665" s="1322"/>
      <c r="Q665" s="1323"/>
      <c r="R665" s="1324"/>
      <c r="S665" s="1325"/>
      <c r="T665" s="1353"/>
      <c r="U665" s="1463"/>
      <c r="V665" s="1464"/>
      <c r="W665" s="1482"/>
      <c r="X665" s="1307"/>
    </row>
    <row r="666" spans="1:24" s="1308" customFormat="1" ht="15" customHeight="1" x14ac:dyDescent="0.25">
      <c r="A666" s="730"/>
      <c r="B666" s="1286">
        <f t="shared" si="29"/>
        <v>100</v>
      </c>
      <c r="C666" s="1775"/>
      <c r="D666" s="1758"/>
      <c r="E666" s="1448" t="s">
        <v>1298</v>
      </c>
      <c r="F666" s="1290"/>
      <c r="G666" s="1302"/>
      <c r="H666" s="1322"/>
      <c r="I666" s="1322"/>
      <c r="J666" s="1322"/>
      <c r="K666" s="1322"/>
      <c r="L666" s="1322"/>
      <c r="M666" s="1322"/>
      <c r="N666" s="1322"/>
      <c r="O666" s="1326"/>
      <c r="P666" s="1322"/>
      <c r="Q666" s="1323"/>
      <c r="R666" s="1324"/>
      <c r="S666" s="1325"/>
      <c r="T666" s="1353"/>
      <c r="U666" s="1463"/>
      <c r="V666" s="1464"/>
      <c r="W666" s="1482"/>
      <c r="X666" s="1307"/>
    </row>
    <row r="667" spans="1:24" s="1308" customFormat="1" ht="15" customHeight="1" x14ac:dyDescent="0.25">
      <c r="A667" s="730"/>
      <c r="B667" s="1286">
        <f t="shared" si="29"/>
        <v>101</v>
      </c>
      <c r="C667" s="1775"/>
      <c r="D667" s="1758" t="s">
        <v>1670</v>
      </c>
      <c r="E667" s="1448" t="s">
        <v>1625</v>
      </c>
      <c r="F667" s="1290"/>
      <c r="G667" s="1302"/>
      <c r="H667" s="1322"/>
      <c r="I667" s="1322"/>
      <c r="J667" s="1322"/>
      <c r="K667" s="1322"/>
      <c r="L667" s="1322"/>
      <c r="M667" s="1322"/>
      <c r="N667" s="1322"/>
      <c r="O667" s="1326"/>
      <c r="P667" s="1322"/>
      <c r="Q667" s="1323"/>
      <c r="R667" s="1324"/>
      <c r="S667" s="1325"/>
      <c r="T667" s="1353"/>
      <c r="U667" s="1463"/>
      <c r="V667" s="1464"/>
      <c r="W667" s="1482"/>
      <c r="X667" s="1307"/>
    </row>
    <row r="668" spans="1:24" s="1308" customFormat="1" ht="15" customHeight="1" x14ac:dyDescent="0.25">
      <c r="A668" s="730"/>
      <c r="B668" s="1286">
        <f t="shared" si="29"/>
        <v>102</v>
      </c>
      <c r="C668" s="1775"/>
      <c r="D668" s="1758"/>
      <c r="E668" s="1448" t="s">
        <v>1299</v>
      </c>
      <c r="F668" s="1290"/>
      <c r="G668" s="1302"/>
      <c r="H668" s="1322"/>
      <c r="I668" s="1322"/>
      <c r="J668" s="1322"/>
      <c r="K668" s="1322"/>
      <c r="L668" s="1322"/>
      <c r="M668" s="1322"/>
      <c r="N668" s="1322"/>
      <c r="O668" s="1326"/>
      <c r="P668" s="1322"/>
      <c r="Q668" s="1323"/>
      <c r="R668" s="1324"/>
      <c r="S668" s="1325"/>
      <c r="T668" s="1353"/>
      <c r="U668" s="1463"/>
      <c r="V668" s="1464"/>
      <c r="W668" s="1482"/>
      <c r="X668" s="1307"/>
    </row>
    <row r="669" spans="1:24" s="1308" customFormat="1" ht="15" customHeight="1" x14ac:dyDescent="0.25">
      <c r="A669" s="730"/>
      <c r="B669" s="1286">
        <f t="shared" si="29"/>
        <v>103</v>
      </c>
      <c r="C669" s="1775"/>
      <c r="D669" s="1758"/>
      <c r="E669" s="1448" t="s">
        <v>1297</v>
      </c>
      <c r="F669" s="1290"/>
      <c r="G669" s="1302"/>
      <c r="H669" s="1322"/>
      <c r="I669" s="1322"/>
      <c r="J669" s="1322"/>
      <c r="K669" s="1322"/>
      <c r="L669" s="1322"/>
      <c r="M669" s="1322"/>
      <c r="N669" s="1322"/>
      <c r="O669" s="1326"/>
      <c r="P669" s="1322"/>
      <c r="Q669" s="1323"/>
      <c r="R669" s="1324"/>
      <c r="S669" s="1325"/>
      <c r="T669" s="1353"/>
      <c r="U669" s="1463"/>
      <c r="V669" s="1464"/>
      <c r="W669" s="1482"/>
      <c r="X669" s="1307"/>
    </row>
    <row r="670" spans="1:24" s="1308" customFormat="1" ht="15" customHeight="1" x14ac:dyDescent="0.25">
      <c r="A670" s="730"/>
      <c r="B670" s="1286">
        <f t="shared" si="29"/>
        <v>104</v>
      </c>
      <c r="C670" s="1775"/>
      <c r="D670" s="1758"/>
      <c r="E670" s="1448" t="s">
        <v>1298</v>
      </c>
      <c r="F670" s="1290"/>
      <c r="G670" s="1302"/>
      <c r="H670" s="1322"/>
      <c r="I670" s="1322"/>
      <c r="J670" s="1322"/>
      <c r="K670" s="1322"/>
      <c r="L670" s="1322"/>
      <c r="M670" s="1322"/>
      <c r="N670" s="1322"/>
      <c r="O670" s="1326"/>
      <c r="P670" s="1322"/>
      <c r="Q670" s="1323"/>
      <c r="R670" s="1324"/>
      <c r="S670" s="1325"/>
      <c r="T670" s="1353"/>
      <c r="U670" s="1463"/>
      <c r="V670" s="1464"/>
      <c r="W670" s="1482"/>
      <c r="X670" s="1307"/>
    </row>
    <row r="671" spans="1:24" s="1308" customFormat="1" ht="15" customHeight="1" x14ac:dyDescent="0.25">
      <c r="A671" s="730"/>
      <c r="B671" s="1286">
        <f t="shared" si="29"/>
        <v>105</v>
      </c>
      <c r="C671" s="1775"/>
      <c r="D671" s="1759" t="s">
        <v>1671</v>
      </c>
      <c r="E671" s="1448" t="s">
        <v>1625</v>
      </c>
      <c r="F671" s="1290"/>
      <c r="G671" s="1302"/>
      <c r="H671" s="1322"/>
      <c r="I671" s="1322"/>
      <c r="J671" s="1322"/>
      <c r="K671" s="1322"/>
      <c r="L671" s="1322"/>
      <c r="M671" s="1322"/>
      <c r="N671" s="1322"/>
      <c r="O671" s="1326"/>
      <c r="P671" s="1322"/>
      <c r="Q671" s="1323"/>
      <c r="R671" s="1324"/>
      <c r="S671" s="1325"/>
      <c r="T671" s="1353"/>
      <c r="U671" s="1463"/>
      <c r="V671" s="1464"/>
      <c r="W671" s="1482"/>
      <c r="X671" s="1307"/>
    </row>
    <row r="672" spans="1:24" s="1308" customFormat="1" ht="15" customHeight="1" x14ac:dyDescent="0.25">
      <c r="A672" s="730"/>
      <c r="B672" s="1286">
        <f t="shared" si="29"/>
        <v>106</v>
      </c>
      <c r="C672" s="1775"/>
      <c r="D672" s="1762"/>
      <c r="E672" s="1448" t="s">
        <v>1299</v>
      </c>
      <c r="F672" s="1290"/>
      <c r="G672" s="1302"/>
      <c r="H672" s="1322"/>
      <c r="I672" s="1322"/>
      <c r="J672" s="1322"/>
      <c r="K672" s="1322"/>
      <c r="L672" s="1322"/>
      <c r="M672" s="1322"/>
      <c r="N672" s="1322"/>
      <c r="O672" s="1326"/>
      <c r="P672" s="1322"/>
      <c r="Q672" s="1323"/>
      <c r="R672" s="1324"/>
      <c r="S672" s="1325"/>
      <c r="T672" s="1353"/>
      <c r="U672" s="1463"/>
      <c r="V672" s="1464"/>
      <c r="W672" s="1482"/>
      <c r="X672" s="1307"/>
    </row>
    <row r="673" spans="1:24" s="1308" customFormat="1" ht="15" customHeight="1" x14ac:dyDescent="0.25">
      <c r="A673" s="730"/>
      <c r="B673" s="1286">
        <f t="shared" si="29"/>
        <v>107</v>
      </c>
      <c r="C673" s="1775"/>
      <c r="D673" s="1762"/>
      <c r="E673" s="1448" t="s">
        <v>1297</v>
      </c>
      <c r="F673" s="1290"/>
      <c r="G673" s="1302"/>
      <c r="H673" s="1322"/>
      <c r="I673" s="1322"/>
      <c r="J673" s="1322"/>
      <c r="K673" s="1322"/>
      <c r="L673" s="1322"/>
      <c r="M673" s="1322"/>
      <c r="N673" s="1322"/>
      <c r="O673" s="1326"/>
      <c r="P673" s="1322"/>
      <c r="Q673" s="1323"/>
      <c r="R673" s="1324"/>
      <c r="S673" s="1325"/>
      <c r="T673" s="1353"/>
      <c r="U673" s="1463"/>
      <c r="V673" s="1464"/>
      <c r="W673" s="1482"/>
      <c r="X673" s="1307"/>
    </row>
    <row r="674" spans="1:24" s="1308" customFormat="1" ht="15" customHeight="1" x14ac:dyDescent="0.25">
      <c r="A674" s="730"/>
      <c r="B674" s="1286">
        <f t="shared" si="29"/>
        <v>108</v>
      </c>
      <c r="C674" s="1775"/>
      <c r="D674" s="1777"/>
      <c r="E674" s="1448" t="s">
        <v>1298</v>
      </c>
      <c r="F674" s="1290"/>
      <c r="G674" s="1302"/>
      <c r="H674" s="1322"/>
      <c r="I674" s="1322"/>
      <c r="J674" s="1322"/>
      <c r="K674" s="1322"/>
      <c r="L674" s="1322"/>
      <c r="M674" s="1322"/>
      <c r="N674" s="1322"/>
      <c r="O674" s="1326"/>
      <c r="P674" s="1322"/>
      <c r="Q674" s="1323"/>
      <c r="R674" s="1324"/>
      <c r="S674" s="1325"/>
      <c r="T674" s="1353"/>
      <c r="U674" s="1463"/>
      <c r="V674" s="1464"/>
      <c r="W674" s="1482"/>
      <c r="X674" s="1307"/>
    </row>
    <row r="675" spans="1:24" s="1308" customFormat="1" ht="15" customHeight="1" x14ac:dyDescent="0.25">
      <c r="A675" s="730"/>
      <c r="B675" s="1286">
        <f t="shared" si="29"/>
        <v>109</v>
      </c>
      <c r="C675" s="1775"/>
      <c r="D675" s="1758" t="s">
        <v>1672</v>
      </c>
      <c r="E675" s="1448" t="s">
        <v>1625</v>
      </c>
      <c r="F675" s="1290"/>
      <c r="G675" s="1302"/>
      <c r="H675" s="1322"/>
      <c r="I675" s="1322"/>
      <c r="J675" s="1322"/>
      <c r="K675" s="1322"/>
      <c r="L675" s="1322"/>
      <c r="M675" s="1322"/>
      <c r="N675" s="1322"/>
      <c r="O675" s="1326"/>
      <c r="P675" s="1322"/>
      <c r="Q675" s="1323"/>
      <c r="R675" s="1324"/>
      <c r="S675" s="1325"/>
      <c r="T675" s="1353"/>
      <c r="U675" s="1463"/>
      <c r="V675" s="1464"/>
      <c r="W675" s="1482"/>
      <c r="X675" s="1307"/>
    </row>
    <row r="676" spans="1:24" s="1308" customFormat="1" ht="15" customHeight="1" x14ac:dyDescent="0.25">
      <c r="A676" s="730"/>
      <c r="B676" s="1286">
        <f t="shared" si="29"/>
        <v>110</v>
      </c>
      <c r="C676" s="1775"/>
      <c r="D676" s="1758"/>
      <c r="E676" s="1448" t="s">
        <v>1299</v>
      </c>
      <c r="F676" s="1290"/>
      <c r="G676" s="1302"/>
      <c r="H676" s="1322"/>
      <c r="I676" s="1322"/>
      <c r="J676" s="1322"/>
      <c r="K676" s="1322"/>
      <c r="L676" s="1322"/>
      <c r="M676" s="1322"/>
      <c r="N676" s="1322"/>
      <c r="O676" s="1326"/>
      <c r="P676" s="1322"/>
      <c r="Q676" s="1323"/>
      <c r="R676" s="1324"/>
      <c r="S676" s="1325"/>
      <c r="T676" s="1353"/>
      <c r="U676" s="1463"/>
      <c r="V676" s="1464"/>
      <c r="W676" s="1482"/>
      <c r="X676" s="1307"/>
    </row>
    <row r="677" spans="1:24" s="1308" customFormat="1" ht="15" customHeight="1" x14ac:dyDescent="0.25">
      <c r="A677" s="730"/>
      <c r="B677" s="1286">
        <f t="shared" si="29"/>
        <v>111</v>
      </c>
      <c r="C677" s="1775"/>
      <c r="D677" s="1758"/>
      <c r="E677" s="1448" t="s">
        <v>1297</v>
      </c>
      <c r="F677" s="1290"/>
      <c r="G677" s="1302"/>
      <c r="H677" s="1322"/>
      <c r="I677" s="1322"/>
      <c r="J677" s="1322"/>
      <c r="K677" s="1322"/>
      <c r="L677" s="1322"/>
      <c r="M677" s="1322"/>
      <c r="N677" s="1322"/>
      <c r="O677" s="1326"/>
      <c r="P677" s="1322"/>
      <c r="Q677" s="1323"/>
      <c r="R677" s="1324"/>
      <c r="S677" s="1325"/>
      <c r="T677" s="1353"/>
      <c r="U677" s="1463"/>
      <c r="V677" s="1464"/>
      <c r="W677" s="1482"/>
      <c r="X677" s="1307"/>
    </row>
    <row r="678" spans="1:24" s="1308" customFormat="1" ht="15" customHeight="1" x14ac:dyDescent="0.25">
      <c r="A678" s="730"/>
      <c r="B678" s="1287">
        <f t="shared" si="29"/>
        <v>112</v>
      </c>
      <c r="C678" s="1776"/>
      <c r="D678" s="1760"/>
      <c r="E678" s="1449" t="s">
        <v>1298</v>
      </c>
      <c r="F678" s="1291"/>
      <c r="G678" s="1327"/>
      <c r="H678" s="1303"/>
      <c r="I678" s="1303"/>
      <c r="J678" s="1303"/>
      <c r="K678" s="1303"/>
      <c r="L678" s="1303"/>
      <c r="M678" s="1303"/>
      <c r="N678" s="1303"/>
      <c r="O678" s="1328"/>
      <c r="P678" s="1303"/>
      <c r="Q678" s="1304"/>
      <c r="R678" s="1305"/>
      <c r="S678" s="1306"/>
      <c r="T678" s="1351"/>
      <c r="U678" s="1466"/>
      <c r="V678" s="1467"/>
      <c r="W678" s="1483"/>
      <c r="X678" s="1307"/>
    </row>
    <row r="679" spans="1:24" s="1308" customFormat="1" ht="15" customHeight="1" x14ac:dyDescent="0.25">
      <c r="A679" s="730"/>
      <c r="B679" s="1285">
        <f t="shared" si="29"/>
        <v>113</v>
      </c>
      <c r="C679" s="1774" t="s">
        <v>1302</v>
      </c>
      <c r="D679" s="1763" t="s">
        <v>1666</v>
      </c>
      <c r="E679" s="1450" t="s">
        <v>1625</v>
      </c>
      <c r="F679" s="1289"/>
      <c r="G679" s="1316"/>
      <c r="H679" s="1317"/>
      <c r="I679" s="1317"/>
      <c r="J679" s="1317"/>
      <c r="K679" s="1317"/>
      <c r="L679" s="1317"/>
      <c r="M679" s="1317"/>
      <c r="N679" s="1317"/>
      <c r="O679" s="1321"/>
      <c r="P679" s="1317"/>
      <c r="Q679" s="1318"/>
      <c r="R679" s="1319"/>
      <c r="S679" s="1320"/>
      <c r="T679" s="1349"/>
      <c r="U679" s="1460"/>
      <c r="V679" s="1461"/>
      <c r="W679" s="1481"/>
      <c r="X679" s="1307"/>
    </row>
    <row r="680" spans="1:24" s="1308" customFormat="1" ht="15" customHeight="1" x14ac:dyDescent="0.25">
      <c r="A680" s="730"/>
      <c r="B680" s="1286">
        <f t="shared" si="29"/>
        <v>114</v>
      </c>
      <c r="C680" s="1775"/>
      <c r="D680" s="1758"/>
      <c r="E680" s="1448" t="s">
        <v>1299</v>
      </c>
      <c r="F680" s="1290"/>
      <c r="G680" s="1302"/>
      <c r="H680" s="1322"/>
      <c r="I680" s="1322"/>
      <c r="J680" s="1322"/>
      <c r="K680" s="1322"/>
      <c r="L680" s="1322"/>
      <c r="M680" s="1322"/>
      <c r="N680" s="1322"/>
      <c r="O680" s="1326"/>
      <c r="P680" s="1322"/>
      <c r="Q680" s="1323"/>
      <c r="R680" s="1324"/>
      <c r="S680" s="1325"/>
      <c r="T680" s="1353"/>
      <c r="U680" s="1463"/>
      <c r="V680" s="1464"/>
      <c r="W680" s="1482"/>
      <c r="X680" s="1307"/>
    </row>
    <row r="681" spans="1:24" s="1308" customFormat="1" ht="15" customHeight="1" x14ac:dyDescent="0.25">
      <c r="A681" s="730"/>
      <c r="B681" s="1286">
        <f t="shared" si="29"/>
        <v>115</v>
      </c>
      <c r="C681" s="1775"/>
      <c r="D681" s="1758"/>
      <c r="E681" s="1448" t="s">
        <v>1297</v>
      </c>
      <c r="F681" s="1290"/>
      <c r="G681" s="1302"/>
      <c r="H681" s="1322"/>
      <c r="I681" s="1322"/>
      <c r="J681" s="1322"/>
      <c r="K681" s="1322"/>
      <c r="L681" s="1322"/>
      <c r="M681" s="1322"/>
      <c r="N681" s="1322"/>
      <c r="O681" s="1326"/>
      <c r="P681" s="1322"/>
      <c r="Q681" s="1323"/>
      <c r="R681" s="1324"/>
      <c r="S681" s="1325"/>
      <c r="T681" s="1353"/>
      <c r="U681" s="1463"/>
      <c r="V681" s="1464"/>
      <c r="W681" s="1482"/>
      <c r="X681" s="1307"/>
    </row>
    <row r="682" spans="1:24" s="1308" customFormat="1" ht="15" customHeight="1" x14ac:dyDescent="0.25">
      <c r="A682" s="730"/>
      <c r="B682" s="1286">
        <f t="shared" si="29"/>
        <v>116</v>
      </c>
      <c r="C682" s="1775"/>
      <c r="D682" s="1758"/>
      <c r="E682" s="1448" t="s">
        <v>1298</v>
      </c>
      <c r="F682" s="1290"/>
      <c r="G682" s="1302"/>
      <c r="H682" s="1322"/>
      <c r="I682" s="1322"/>
      <c r="J682" s="1322"/>
      <c r="K682" s="1322"/>
      <c r="L682" s="1322"/>
      <c r="M682" s="1322"/>
      <c r="N682" s="1322"/>
      <c r="O682" s="1326"/>
      <c r="P682" s="1322"/>
      <c r="Q682" s="1323"/>
      <c r="R682" s="1324"/>
      <c r="S682" s="1325"/>
      <c r="T682" s="1353"/>
      <c r="U682" s="1463"/>
      <c r="V682" s="1464"/>
      <c r="W682" s="1482"/>
      <c r="X682" s="1307"/>
    </row>
    <row r="683" spans="1:24" s="1308" customFormat="1" ht="15" customHeight="1" x14ac:dyDescent="0.25">
      <c r="A683" s="730"/>
      <c r="B683" s="1286">
        <f t="shared" si="29"/>
        <v>117</v>
      </c>
      <c r="C683" s="1775"/>
      <c r="D683" s="1758" t="s">
        <v>1667</v>
      </c>
      <c r="E683" s="1448" t="s">
        <v>1625</v>
      </c>
      <c r="F683" s="1290"/>
      <c r="G683" s="1302"/>
      <c r="H683" s="1322"/>
      <c r="I683" s="1322"/>
      <c r="J683" s="1322"/>
      <c r="K683" s="1322"/>
      <c r="L683" s="1322"/>
      <c r="M683" s="1322"/>
      <c r="N683" s="1322"/>
      <c r="O683" s="1326"/>
      <c r="P683" s="1322"/>
      <c r="Q683" s="1323"/>
      <c r="R683" s="1324"/>
      <c r="S683" s="1325"/>
      <c r="T683" s="1353"/>
      <c r="U683" s="1463"/>
      <c r="V683" s="1464"/>
      <c r="W683" s="1482"/>
      <c r="X683" s="1307"/>
    </row>
    <row r="684" spans="1:24" s="1308" customFormat="1" ht="15" customHeight="1" x14ac:dyDescent="0.25">
      <c r="A684" s="730"/>
      <c r="B684" s="1286">
        <f t="shared" si="29"/>
        <v>118</v>
      </c>
      <c r="C684" s="1775"/>
      <c r="D684" s="1758"/>
      <c r="E684" s="1448" t="s">
        <v>1299</v>
      </c>
      <c r="F684" s="1290"/>
      <c r="G684" s="1302"/>
      <c r="H684" s="1322"/>
      <c r="I684" s="1322"/>
      <c r="J684" s="1322"/>
      <c r="K684" s="1322"/>
      <c r="L684" s="1322"/>
      <c r="M684" s="1322"/>
      <c r="N684" s="1322"/>
      <c r="O684" s="1326"/>
      <c r="P684" s="1322"/>
      <c r="Q684" s="1323"/>
      <c r="R684" s="1324"/>
      <c r="S684" s="1325"/>
      <c r="T684" s="1353"/>
      <c r="U684" s="1463"/>
      <c r="V684" s="1464"/>
      <c r="W684" s="1482"/>
      <c r="X684" s="1307"/>
    </row>
    <row r="685" spans="1:24" s="1308" customFormat="1" ht="15" customHeight="1" x14ac:dyDescent="0.25">
      <c r="A685" s="730"/>
      <c r="B685" s="1286">
        <f t="shared" si="29"/>
        <v>119</v>
      </c>
      <c r="C685" s="1775"/>
      <c r="D685" s="1758"/>
      <c r="E685" s="1448" t="s">
        <v>1297</v>
      </c>
      <c r="F685" s="1290"/>
      <c r="G685" s="1302"/>
      <c r="H685" s="1322"/>
      <c r="I685" s="1322"/>
      <c r="J685" s="1322"/>
      <c r="K685" s="1322"/>
      <c r="L685" s="1322"/>
      <c r="M685" s="1322"/>
      <c r="N685" s="1322"/>
      <c r="O685" s="1326"/>
      <c r="P685" s="1322"/>
      <c r="Q685" s="1323"/>
      <c r="R685" s="1324"/>
      <c r="S685" s="1325"/>
      <c r="T685" s="1353"/>
      <c r="U685" s="1463"/>
      <c r="V685" s="1464"/>
      <c r="W685" s="1482"/>
      <c r="X685" s="1307"/>
    </row>
    <row r="686" spans="1:24" s="1308" customFormat="1" ht="15" customHeight="1" x14ac:dyDescent="0.25">
      <c r="A686" s="730"/>
      <c r="B686" s="1286">
        <f t="shared" si="29"/>
        <v>120</v>
      </c>
      <c r="C686" s="1775"/>
      <c r="D686" s="1758"/>
      <c r="E686" s="1448" t="s">
        <v>1298</v>
      </c>
      <c r="F686" s="1290"/>
      <c r="G686" s="1302"/>
      <c r="H686" s="1322"/>
      <c r="I686" s="1322"/>
      <c r="J686" s="1322"/>
      <c r="K686" s="1322"/>
      <c r="L686" s="1322"/>
      <c r="M686" s="1322"/>
      <c r="N686" s="1322"/>
      <c r="O686" s="1326"/>
      <c r="P686" s="1322"/>
      <c r="Q686" s="1323"/>
      <c r="R686" s="1324"/>
      <c r="S686" s="1325"/>
      <c r="T686" s="1353"/>
      <c r="U686" s="1463"/>
      <c r="V686" s="1464"/>
      <c r="W686" s="1482"/>
      <c r="X686" s="1307"/>
    </row>
    <row r="687" spans="1:24" s="1308" customFormat="1" ht="15" customHeight="1" x14ac:dyDescent="0.25">
      <c r="A687" s="730"/>
      <c r="B687" s="1286">
        <f t="shared" si="29"/>
        <v>121</v>
      </c>
      <c r="C687" s="1775"/>
      <c r="D687" s="1758" t="s">
        <v>1668</v>
      </c>
      <c r="E687" s="1448" t="s">
        <v>1625</v>
      </c>
      <c r="F687" s="1290"/>
      <c r="G687" s="1302"/>
      <c r="H687" s="1322"/>
      <c r="I687" s="1322"/>
      <c r="J687" s="1322"/>
      <c r="K687" s="1322"/>
      <c r="L687" s="1322"/>
      <c r="M687" s="1322"/>
      <c r="N687" s="1322"/>
      <c r="O687" s="1326"/>
      <c r="P687" s="1322"/>
      <c r="Q687" s="1323"/>
      <c r="R687" s="1324"/>
      <c r="S687" s="1325"/>
      <c r="T687" s="1353"/>
      <c r="U687" s="1463"/>
      <c r="V687" s="1464"/>
      <c r="W687" s="1482"/>
      <c r="X687" s="1307"/>
    </row>
    <row r="688" spans="1:24" s="1308" customFormat="1" ht="15" customHeight="1" x14ac:dyDescent="0.25">
      <c r="A688" s="730"/>
      <c r="B688" s="1286">
        <f t="shared" si="29"/>
        <v>122</v>
      </c>
      <c r="C688" s="1775"/>
      <c r="D688" s="1758"/>
      <c r="E688" s="1448" t="s">
        <v>1299</v>
      </c>
      <c r="F688" s="1290"/>
      <c r="G688" s="1302"/>
      <c r="H688" s="1322"/>
      <c r="I688" s="1322"/>
      <c r="J688" s="1322"/>
      <c r="K688" s="1322"/>
      <c r="L688" s="1322"/>
      <c r="M688" s="1322"/>
      <c r="N688" s="1322"/>
      <c r="O688" s="1326"/>
      <c r="P688" s="1322"/>
      <c r="Q688" s="1323"/>
      <c r="R688" s="1324"/>
      <c r="S688" s="1325"/>
      <c r="T688" s="1353"/>
      <c r="U688" s="1463"/>
      <c r="V688" s="1464"/>
      <c r="W688" s="1482"/>
      <c r="X688" s="1307"/>
    </row>
    <row r="689" spans="1:24" s="1308" customFormat="1" ht="15" customHeight="1" x14ac:dyDescent="0.25">
      <c r="A689" s="730"/>
      <c r="B689" s="1286">
        <f t="shared" si="29"/>
        <v>123</v>
      </c>
      <c r="C689" s="1775"/>
      <c r="D689" s="1758"/>
      <c r="E689" s="1448" t="s">
        <v>1297</v>
      </c>
      <c r="F689" s="1290"/>
      <c r="G689" s="1302"/>
      <c r="H689" s="1322"/>
      <c r="I689" s="1322"/>
      <c r="J689" s="1322"/>
      <c r="K689" s="1322"/>
      <c r="L689" s="1322"/>
      <c r="M689" s="1322"/>
      <c r="N689" s="1322"/>
      <c r="O689" s="1326"/>
      <c r="P689" s="1322"/>
      <c r="Q689" s="1323"/>
      <c r="R689" s="1324"/>
      <c r="S689" s="1325"/>
      <c r="T689" s="1353"/>
      <c r="U689" s="1463"/>
      <c r="V689" s="1464"/>
      <c r="W689" s="1482"/>
      <c r="X689" s="1307"/>
    </row>
    <row r="690" spans="1:24" s="1308" customFormat="1" ht="15" customHeight="1" x14ac:dyDescent="0.25">
      <c r="A690" s="730"/>
      <c r="B690" s="1286">
        <f t="shared" si="29"/>
        <v>124</v>
      </c>
      <c r="C690" s="1775"/>
      <c r="D690" s="1758"/>
      <c r="E690" s="1448" t="s">
        <v>1298</v>
      </c>
      <c r="F690" s="1290"/>
      <c r="G690" s="1302"/>
      <c r="H690" s="1322"/>
      <c r="I690" s="1322"/>
      <c r="J690" s="1322"/>
      <c r="K690" s="1322"/>
      <c r="L690" s="1322"/>
      <c r="M690" s="1322"/>
      <c r="N690" s="1322"/>
      <c r="O690" s="1326"/>
      <c r="P690" s="1322"/>
      <c r="Q690" s="1323"/>
      <c r="R690" s="1324"/>
      <c r="S690" s="1325"/>
      <c r="T690" s="1353"/>
      <c r="U690" s="1463"/>
      <c r="V690" s="1464"/>
      <c r="W690" s="1482"/>
      <c r="X690" s="1307"/>
    </row>
    <row r="691" spans="1:24" s="1308" customFormat="1" ht="15" customHeight="1" x14ac:dyDescent="0.25">
      <c r="A691" s="730"/>
      <c r="B691" s="1286">
        <f t="shared" si="29"/>
        <v>125</v>
      </c>
      <c r="C691" s="1775"/>
      <c r="D691" s="1758" t="s">
        <v>1669</v>
      </c>
      <c r="E691" s="1448" t="s">
        <v>1625</v>
      </c>
      <c r="F691" s="1290"/>
      <c r="G691" s="1302"/>
      <c r="H691" s="1322"/>
      <c r="I691" s="1322"/>
      <c r="J691" s="1322"/>
      <c r="K691" s="1322"/>
      <c r="L691" s="1322"/>
      <c r="M691" s="1322"/>
      <c r="N691" s="1322"/>
      <c r="O691" s="1326"/>
      <c r="P691" s="1322"/>
      <c r="Q691" s="1323"/>
      <c r="R691" s="1324"/>
      <c r="S691" s="1325"/>
      <c r="T691" s="1353"/>
      <c r="U691" s="1463"/>
      <c r="V691" s="1464"/>
      <c r="W691" s="1482"/>
      <c r="X691" s="1307"/>
    </row>
    <row r="692" spans="1:24" s="1308" customFormat="1" ht="15" customHeight="1" x14ac:dyDescent="0.25">
      <c r="A692" s="730"/>
      <c r="B692" s="1286">
        <f t="shared" si="29"/>
        <v>126</v>
      </c>
      <c r="C692" s="1775"/>
      <c r="D692" s="1758"/>
      <c r="E692" s="1448" t="s">
        <v>1299</v>
      </c>
      <c r="F692" s="1290"/>
      <c r="G692" s="1302"/>
      <c r="H692" s="1322"/>
      <c r="I692" s="1322"/>
      <c r="J692" s="1322"/>
      <c r="K692" s="1322"/>
      <c r="L692" s="1322"/>
      <c r="M692" s="1322"/>
      <c r="N692" s="1322"/>
      <c r="O692" s="1326"/>
      <c r="P692" s="1322"/>
      <c r="Q692" s="1323"/>
      <c r="R692" s="1324"/>
      <c r="S692" s="1325"/>
      <c r="T692" s="1353"/>
      <c r="U692" s="1463"/>
      <c r="V692" s="1464"/>
      <c r="W692" s="1482"/>
      <c r="X692" s="1307"/>
    </row>
    <row r="693" spans="1:24" s="1308" customFormat="1" ht="15" customHeight="1" x14ac:dyDescent="0.25">
      <c r="A693" s="730"/>
      <c r="B693" s="1286">
        <f t="shared" si="29"/>
        <v>127</v>
      </c>
      <c r="C693" s="1775"/>
      <c r="D693" s="1758"/>
      <c r="E693" s="1448" t="s">
        <v>1297</v>
      </c>
      <c r="F693" s="1290"/>
      <c r="G693" s="1302"/>
      <c r="H693" s="1322"/>
      <c r="I693" s="1322"/>
      <c r="J693" s="1322"/>
      <c r="K693" s="1322"/>
      <c r="L693" s="1322"/>
      <c r="M693" s="1322"/>
      <c r="N693" s="1322"/>
      <c r="O693" s="1326"/>
      <c r="P693" s="1322"/>
      <c r="Q693" s="1323"/>
      <c r="R693" s="1324"/>
      <c r="S693" s="1325"/>
      <c r="T693" s="1353"/>
      <c r="U693" s="1463"/>
      <c r="V693" s="1464"/>
      <c r="W693" s="1482"/>
      <c r="X693" s="1307"/>
    </row>
    <row r="694" spans="1:24" s="1308" customFormat="1" ht="15" customHeight="1" x14ac:dyDescent="0.25">
      <c r="A694" s="730"/>
      <c r="B694" s="1286">
        <f t="shared" si="29"/>
        <v>128</v>
      </c>
      <c r="C694" s="1775"/>
      <c r="D694" s="1758"/>
      <c r="E694" s="1448" t="s">
        <v>1298</v>
      </c>
      <c r="F694" s="1290"/>
      <c r="G694" s="1302"/>
      <c r="H694" s="1322"/>
      <c r="I694" s="1322"/>
      <c r="J694" s="1322"/>
      <c r="K694" s="1322"/>
      <c r="L694" s="1322"/>
      <c r="M694" s="1322"/>
      <c r="N694" s="1322"/>
      <c r="O694" s="1326"/>
      <c r="P694" s="1322"/>
      <c r="Q694" s="1323"/>
      <c r="R694" s="1324"/>
      <c r="S694" s="1325"/>
      <c r="T694" s="1353"/>
      <c r="U694" s="1463"/>
      <c r="V694" s="1464"/>
      <c r="W694" s="1482"/>
      <c r="X694" s="1307"/>
    </row>
    <row r="695" spans="1:24" s="1308" customFormat="1" ht="15" customHeight="1" x14ac:dyDescent="0.25">
      <c r="A695" s="730"/>
      <c r="B695" s="1286">
        <f t="shared" si="29"/>
        <v>129</v>
      </c>
      <c r="C695" s="1775"/>
      <c r="D695" s="1758" t="s">
        <v>1670</v>
      </c>
      <c r="E695" s="1448" t="s">
        <v>1625</v>
      </c>
      <c r="F695" s="1290"/>
      <c r="G695" s="1302"/>
      <c r="H695" s="1322"/>
      <c r="I695" s="1322"/>
      <c r="J695" s="1322"/>
      <c r="K695" s="1322"/>
      <c r="L695" s="1322"/>
      <c r="M695" s="1322"/>
      <c r="N695" s="1322"/>
      <c r="O695" s="1326"/>
      <c r="P695" s="1322"/>
      <c r="Q695" s="1323"/>
      <c r="R695" s="1324"/>
      <c r="S695" s="1325"/>
      <c r="T695" s="1353"/>
      <c r="U695" s="1463"/>
      <c r="V695" s="1464"/>
      <c r="W695" s="1482"/>
      <c r="X695" s="1307"/>
    </row>
    <row r="696" spans="1:24" s="1308" customFormat="1" ht="15" customHeight="1" x14ac:dyDescent="0.25">
      <c r="A696" s="730"/>
      <c r="B696" s="1286">
        <f t="shared" si="29"/>
        <v>130</v>
      </c>
      <c r="C696" s="1775"/>
      <c r="D696" s="1758"/>
      <c r="E696" s="1448" t="s">
        <v>1299</v>
      </c>
      <c r="F696" s="1290"/>
      <c r="G696" s="1302"/>
      <c r="H696" s="1322"/>
      <c r="I696" s="1322"/>
      <c r="J696" s="1322"/>
      <c r="K696" s="1322"/>
      <c r="L696" s="1322"/>
      <c r="M696" s="1322"/>
      <c r="N696" s="1322"/>
      <c r="O696" s="1326"/>
      <c r="P696" s="1322"/>
      <c r="Q696" s="1323"/>
      <c r="R696" s="1324"/>
      <c r="S696" s="1325"/>
      <c r="T696" s="1353"/>
      <c r="U696" s="1463"/>
      <c r="V696" s="1464"/>
      <c r="W696" s="1482"/>
      <c r="X696" s="1307"/>
    </row>
    <row r="697" spans="1:24" s="1308" customFormat="1" ht="15" customHeight="1" x14ac:dyDescent="0.25">
      <c r="A697" s="730"/>
      <c r="B697" s="1286">
        <f t="shared" si="29"/>
        <v>131</v>
      </c>
      <c r="C697" s="1775"/>
      <c r="D697" s="1758"/>
      <c r="E697" s="1448" t="s">
        <v>1297</v>
      </c>
      <c r="F697" s="1290"/>
      <c r="G697" s="1302"/>
      <c r="H697" s="1322"/>
      <c r="I697" s="1322"/>
      <c r="J697" s="1322"/>
      <c r="K697" s="1322"/>
      <c r="L697" s="1322"/>
      <c r="M697" s="1322"/>
      <c r="N697" s="1322"/>
      <c r="O697" s="1326"/>
      <c r="P697" s="1322"/>
      <c r="Q697" s="1323"/>
      <c r="R697" s="1324"/>
      <c r="S697" s="1325"/>
      <c r="T697" s="1353"/>
      <c r="U697" s="1463"/>
      <c r="V697" s="1464"/>
      <c r="W697" s="1482"/>
      <c r="X697" s="1307"/>
    </row>
    <row r="698" spans="1:24" s="1308" customFormat="1" ht="15" customHeight="1" x14ac:dyDescent="0.25">
      <c r="A698" s="730"/>
      <c r="B698" s="1286">
        <f t="shared" si="29"/>
        <v>132</v>
      </c>
      <c r="C698" s="1775"/>
      <c r="D698" s="1758"/>
      <c r="E698" s="1448" t="s">
        <v>1298</v>
      </c>
      <c r="F698" s="1290"/>
      <c r="G698" s="1302"/>
      <c r="H698" s="1322"/>
      <c r="I698" s="1322"/>
      <c r="J698" s="1322"/>
      <c r="K698" s="1322"/>
      <c r="L698" s="1322"/>
      <c r="M698" s="1322"/>
      <c r="N698" s="1322"/>
      <c r="O698" s="1326"/>
      <c r="P698" s="1322"/>
      <c r="Q698" s="1323"/>
      <c r="R698" s="1324"/>
      <c r="S698" s="1325"/>
      <c r="T698" s="1353"/>
      <c r="U698" s="1463"/>
      <c r="V698" s="1464"/>
      <c r="W698" s="1482"/>
      <c r="X698" s="1307"/>
    </row>
    <row r="699" spans="1:24" s="1308" customFormat="1" ht="15" customHeight="1" x14ac:dyDescent="0.25">
      <c r="A699" s="730"/>
      <c r="B699" s="1286">
        <f t="shared" si="29"/>
        <v>133</v>
      </c>
      <c r="C699" s="1775"/>
      <c r="D699" s="1759" t="s">
        <v>1671</v>
      </c>
      <c r="E699" s="1448" t="s">
        <v>1625</v>
      </c>
      <c r="F699" s="1290"/>
      <c r="G699" s="1302"/>
      <c r="H699" s="1322"/>
      <c r="I699" s="1322"/>
      <c r="J699" s="1322"/>
      <c r="K699" s="1322"/>
      <c r="L699" s="1322"/>
      <c r="M699" s="1322"/>
      <c r="N699" s="1322"/>
      <c r="O699" s="1326"/>
      <c r="P699" s="1322"/>
      <c r="Q699" s="1323"/>
      <c r="R699" s="1324"/>
      <c r="S699" s="1325"/>
      <c r="T699" s="1353"/>
      <c r="U699" s="1463"/>
      <c r="V699" s="1464"/>
      <c r="W699" s="1482"/>
      <c r="X699" s="1307"/>
    </row>
    <row r="700" spans="1:24" s="1308" customFormat="1" ht="15" customHeight="1" x14ac:dyDescent="0.25">
      <c r="A700" s="730"/>
      <c r="B700" s="1286">
        <f t="shared" si="29"/>
        <v>134</v>
      </c>
      <c r="C700" s="1775"/>
      <c r="D700" s="1762"/>
      <c r="E700" s="1448" t="s">
        <v>1299</v>
      </c>
      <c r="F700" s="1290"/>
      <c r="G700" s="1302"/>
      <c r="H700" s="1322"/>
      <c r="I700" s="1322"/>
      <c r="J700" s="1322"/>
      <c r="K700" s="1322"/>
      <c r="L700" s="1322"/>
      <c r="M700" s="1322"/>
      <c r="N700" s="1322"/>
      <c r="O700" s="1326"/>
      <c r="P700" s="1322"/>
      <c r="Q700" s="1323"/>
      <c r="R700" s="1324"/>
      <c r="S700" s="1325"/>
      <c r="T700" s="1353"/>
      <c r="U700" s="1463"/>
      <c r="V700" s="1464"/>
      <c r="W700" s="1482"/>
      <c r="X700" s="1307"/>
    </row>
    <row r="701" spans="1:24" s="1308" customFormat="1" ht="15" customHeight="1" x14ac:dyDescent="0.25">
      <c r="A701" s="730"/>
      <c r="B701" s="1286">
        <f t="shared" si="29"/>
        <v>135</v>
      </c>
      <c r="C701" s="1775"/>
      <c r="D701" s="1762"/>
      <c r="E701" s="1448" t="s">
        <v>1297</v>
      </c>
      <c r="F701" s="1290"/>
      <c r="G701" s="1302"/>
      <c r="H701" s="1322"/>
      <c r="I701" s="1322"/>
      <c r="J701" s="1322"/>
      <c r="K701" s="1322"/>
      <c r="L701" s="1322"/>
      <c r="M701" s="1322"/>
      <c r="N701" s="1322"/>
      <c r="O701" s="1326"/>
      <c r="P701" s="1322"/>
      <c r="Q701" s="1323"/>
      <c r="R701" s="1324"/>
      <c r="S701" s="1325"/>
      <c r="T701" s="1353"/>
      <c r="U701" s="1463"/>
      <c r="V701" s="1464"/>
      <c r="W701" s="1482"/>
      <c r="X701" s="1307"/>
    </row>
    <row r="702" spans="1:24" s="1308" customFormat="1" ht="15" customHeight="1" x14ac:dyDescent="0.25">
      <c r="A702" s="730"/>
      <c r="B702" s="1286">
        <f t="shared" si="29"/>
        <v>136</v>
      </c>
      <c r="C702" s="1775"/>
      <c r="D702" s="1777"/>
      <c r="E702" s="1448" t="s">
        <v>1298</v>
      </c>
      <c r="F702" s="1290"/>
      <c r="G702" s="1302"/>
      <c r="H702" s="1322"/>
      <c r="I702" s="1322"/>
      <c r="J702" s="1322"/>
      <c r="K702" s="1322"/>
      <c r="L702" s="1322"/>
      <c r="M702" s="1322"/>
      <c r="N702" s="1322"/>
      <c r="O702" s="1326"/>
      <c r="P702" s="1322"/>
      <c r="Q702" s="1323"/>
      <c r="R702" s="1324"/>
      <c r="S702" s="1325"/>
      <c r="T702" s="1353"/>
      <c r="U702" s="1463"/>
      <c r="V702" s="1464"/>
      <c r="W702" s="1482"/>
      <c r="X702" s="1307"/>
    </row>
    <row r="703" spans="1:24" s="1308" customFormat="1" ht="15" customHeight="1" x14ac:dyDescent="0.25">
      <c r="A703" s="730"/>
      <c r="B703" s="1286">
        <f t="shared" si="29"/>
        <v>137</v>
      </c>
      <c r="C703" s="1775"/>
      <c r="D703" s="1758" t="s">
        <v>1672</v>
      </c>
      <c r="E703" s="1448" t="s">
        <v>1625</v>
      </c>
      <c r="F703" s="1290"/>
      <c r="G703" s="1302"/>
      <c r="H703" s="1322"/>
      <c r="I703" s="1322"/>
      <c r="J703" s="1322"/>
      <c r="K703" s="1322"/>
      <c r="L703" s="1322"/>
      <c r="M703" s="1322"/>
      <c r="N703" s="1322"/>
      <c r="O703" s="1326"/>
      <c r="P703" s="1322"/>
      <c r="Q703" s="1323"/>
      <c r="R703" s="1324"/>
      <c r="S703" s="1325"/>
      <c r="T703" s="1353"/>
      <c r="U703" s="1463"/>
      <c r="V703" s="1464"/>
      <c r="W703" s="1482"/>
      <c r="X703" s="1307"/>
    </row>
    <row r="704" spans="1:24" s="1308" customFormat="1" ht="15" customHeight="1" x14ac:dyDescent="0.25">
      <c r="A704" s="730"/>
      <c r="B704" s="1286">
        <f t="shared" si="29"/>
        <v>138</v>
      </c>
      <c r="C704" s="1775"/>
      <c r="D704" s="1758"/>
      <c r="E704" s="1448" t="s">
        <v>1299</v>
      </c>
      <c r="F704" s="1290"/>
      <c r="G704" s="1302"/>
      <c r="H704" s="1322"/>
      <c r="I704" s="1322"/>
      <c r="J704" s="1322"/>
      <c r="K704" s="1322"/>
      <c r="L704" s="1322"/>
      <c r="M704" s="1322"/>
      <c r="N704" s="1322"/>
      <c r="O704" s="1326"/>
      <c r="P704" s="1322"/>
      <c r="Q704" s="1323"/>
      <c r="R704" s="1324"/>
      <c r="S704" s="1325"/>
      <c r="T704" s="1353"/>
      <c r="U704" s="1463"/>
      <c r="V704" s="1464"/>
      <c r="W704" s="1482"/>
      <c r="X704" s="1307"/>
    </row>
    <row r="705" spans="1:24" s="1308" customFormat="1" ht="15" customHeight="1" x14ac:dyDescent="0.25">
      <c r="A705" s="730"/>
      <c r="B705" s="1286">
        <f t="shared" si="29"/>
        <v>139</v>
      </c>
      <c r="C705" s="1775"/>
      <c r="D705" s="1758"/>
      <c r="E705" s="1448" t="s">
        <v>1297</v>
      </c>
      <c r="F705" s="1290"/>
      <c r="G705" s="1302"/>
      <c r="H705" s="1322"/>
      <c r="I705" s="1322"/>
      <c r="J705" s="1322"/>
      <c r="K705" s="1322"/>
      <c r="L705" s="1322"/>
      <c r="M705" s="1322"/>
      <c r="N705" s="1322"/>
      <c r="O705" s="1326"/>
      <c r="P705" s="1322"/>
      <c r="Q705" s="1323"/>
      <c r="R705" s="1324"/>
      <c r="S705" s="1325"/>
      <c r="T705" s="1353"/>
      <c r="U705" s="1463"/>
      <c r="V705" s="1464"/>
      <c r="W705" s="1482"/>
      <c r="X705" s="1307"/>
    </row>
    <row r="706" spans="1:24" s="1308" customFormat="1" ht="15" customHeight="1" x14ac:dyDescent="0.25">
      <c r="A706" s="730"/>
      <c r="B706" s="1287">
        <f t="shared" si="29"/>
        <v>140</v>
      </c>
      <c r="C706" s="1776"/>
      <c r="D706" s="1760"/>
      <c r="E706" s="1449" t="s">
        <v>1298</v>
      </c>
      <c r="F706" s="1291"/>
      <c r="G706" s="1327"/>
      <c r="H706" s="1303"/>
      <c r="I706" s="1303"/>
      <c r="J706" s="1303"/>
      <c r="K706" s="1303"/>
      <c r="L706" s="1303"/>
      <c r="M706" s="1303"/>
      <c r="N706" s="1303"/>
      <c r="O706" s="1328"/>
      <c r="P706" s="1303"/>
      <c r="Q706" s="1304"/>
      <c r="R706" s="1305"/>
      <c r="S706" s="1306"/>
      <c r="T706" s="1351"/>
      <c r="U706" s="1466"/>
      <c r="V706" s="1467"/>
      <c r="W706" s="1483"/>
      <c r="X706" s="1307"/>
    </row>
    <row r="707" spans="1:24" s="1308" customFormat="1" ht="15" customHeight="1" x14ac:dyDescent="0.25">
      <c r="A707" s="730"/>
      <c r="B707" s="1285">
        <f t="shared" si="29"/>
        <v>141</v>
      </c>
      <c r="C707" s="1774" t="s">
        <v>1243</v>
      </c>
      <c r="D707" s="1763" t="s">
        <v>1666</v>
      </c>
      <c r="E707" s="1450" t="s">
        <v>1625</v>
      </c>
      <c r="F707" s="1289"/>
      <c r="G707" s="1316"/>
      <c r="H707" s="1317"/>
      <c r="I707" s="1317"/>
      <c r="J707" s="1317"/>
      <c r="K707" s="1317"/>
      <c r="L707" s="1317"/>
      <c r="M707" s="1317"/>
      <c r="N707" s="1317"/>
      <c r="O707" s="1321"/>
      <c r="P707" s="1317"/>
      <c r="Q707" s="1318"/>
      <c r="R707" s="1319"/>
      <c r="S707" s="1320"/>
      <c r="T707" s="1349"/>
      <c r="U707" s="1460"/>
      <c r="V707" s="1461"/>
      <c r="W707" s="1481"/>
      <c r="X707" s="1307"/>
    </row>
    <row r="708" spans="1:24" s="1308" customFormat="1" ht="15" customHeight="1" x14ac:dyDescent="0.25">
      <c r="A708" s="730"/>
      <c r="B708" s="1286">
        <f t="shared" si="29"/>
        <v>142</v>
      </c>
      <c r="C708" s="1775"/>
      <c r="D708" s="1758"/>
      <c r="E708" s="1448" t="s">
        <v>1299</v>
      </c>
      <c r="F708" s="1290"/>
      <c r="G708" s="1302"/>
      <c r="H708" s="1322"/>
      <c r="I708" s="1322"/>
      <c r="J708" s="1322"/>
      <c r="K708" s="1322"/>
      <c r="L708" s="1322"/>
      <c r="M708" s="1322"/>
      <c r="N708" s="1322"/>
      <c r="O708" s="1326"/>
      <c r="P708" s="1322"/>
      <c r="Q708" s="1323"/>
      <c r="R708" s="1324"/>
      <c r="S708" s="1325"/>
      <c r="T708" s="1353"/>
      <c r="U708" s="1463"/>
      <c r="V708" s="1464"/>
      <c r="W708" s="1482"/>
      <c r="X708" s="1307"/>
    </row>
    <row r="709" spans="1:24" s="1308" customFormat="1" ht="15" customHeight="1" x14ac:dyDescent="0.25">
      <c r="A709" s="730"/>
      <c r="B709" s="1286">
        <f t="shared" si="29"/>
        <v>143</v>
      </c>
      <c r="C709" s="1775"/>
      <c r="D709" s="1758"/>
      <c r="E709" s="1448" t="s">
        <v>1297</v>
      </c>
      <c r="F709" s="1290"/>
      <c r="G709" s="1302"/>
      <c r="H709" s="1322"/>
      <c r="I709" s="1322"/>
      <c r="J709" s="1322"/>
      <c r="K709" s="1322"/>
      <c r="L709" s="1322"/>
      <c r="M709" s="1322"/>
      <c r="N709" s="1322"/>
      <c r="O709" s="1326"/>
      <c r="P709" s="1322"/>
      <c r="Q709" s="1323"/>
      <c r="R709" s="1324"/>
      <c r="S709" s="1325"/>
      <c r="T709" s="1353"/>
      <c r="U709" s="1463"/>
      <c r="V709" s="1464"/>
      <c r="W709" s="1482"/>
      <c r="X709" s="1307"/>
    </row>
    <row r="710" spans="1:24" s="1308" customFormat="1" ht="15" customHeight="1" x14ac:dyDescent="0.25">
      <c r="A710" s="730"/>
      <c r="B710" s="1286">
        <f t="shared" si="29"/>
        <v>144</v>
      </c>
      <c r="C710" s="1775"/>
      <c r="D710" s="1758"/>
      <c r="E710" s="1448" t="s">
        <v>1298</v>
      </c>
      <c r="F710" s="1290"/>
      <c r="G710" s="1302"/>
      <c r="H710" s="1322"/>
      <c r="I710" s="1322"/>
      <c r="J710" s="1322"/>
      <c r="K710" s="1322"/>
      <c r="L710" s="1322"/>
      <c r="M710" s="1322"/>
      <c r="N710" s="1322"/>
      <c r="O710" s="1326"/>
      <c r="P710" s="1322"/>
      <c r="Q710" s="1323"/>
      <c r="R710" s="1324"/>
      <c r="S710" s="1325"/>
      <c r="T710" s="1353"/>
      <c r="U710" s="1463"/>
      <c r="V710" s="1464"/>
      <c r="W710" s="1482"/>
      <c r="X710" s="1307"/>
    </row>
    <row r="711" spans="1:24" s="1308" customFormat="1" ht="15" customHeight="1" x14ac:dyDescent="0.25">
      <c r="A711" s="730"/>
      <c r="B711" s="1286">
        <f t="shared" si="29"/>
        <v>145</v>
      </c>
      <c r="C711" s="1775"/>
      <c r="D711" s="1758" t="s">
        <v>1667</v>
      </c>
      <c r="E711" s="1448" t="s">
        <v>1625</v>
      </c>
      <c r="F711" s="1290"/>
      <c r="G711" s="1302"/>
      <c r="H711" s="1322"/>
      <c r="I711" s="1322"/>
      <c r="J711" s="1322"/>
      <c r="K711" s="1322"/>
      <c r="L711" s="1322"/>
      <c r="M711" s="1322"/>
      <c r="N711" s="1322"/>
      <c r="O711" s="1326"/>
      <c r="P711" s="1322"/>
      <c r="Q711" s="1323"/>
      <c r="R711" s="1324"/>
      <c r="S711" s="1325"/>
      <c r="T711" s="1353"/>
      <c r="U711" s="1463"/>
      <c r="V711" s="1464"/>
      <c r="W711" s="1482"/>
      <c r="X711" s="1307"/>
    </row>
    <row r="712" spans="1:24" s="1308" customFormat="1" ht="15" customHeight="1" x14ac:dyDescent="0.25">
      <c r="A712" s="730"/>
      <c r="B712" s="1286">
        <f t="shared" si="29"/>
        <v>146</v>
      </c>
      <c r="C712" s="1775"/>
      <c r="D712" s="1758"/>
      <c r="E712" s="1448" t="s">
        <v>1299</v>
      </c>
      <c r="F712" s="1290"/>
      <c r="G712" s="1302"/>
      <c r="H712" s="1322"/>
      <c r="I712" s="1322"/>
      <c r="J712" s="1322"/>
      <c r="K712" s="1322"/>
      <c r="L712" s="1322"/>
      <c r="M712" s="1322"/>
      <c r="N712" s="1322"/>
      <c r="O712" s="1326"/>
      <c r="P712" s="1322"/>
      <c r="Q712" s="1323"/>
      <c r="R712" s="1324"/>
      <c r="S712" s="1325"/>
      <c r="T712" s="1353"/>
      <c r="U712" s="1463"/>
      <c r="V712" s="1464"/>
      <c r="W712" s="1482"/>
      <c r="X712" s="1307"/>
    </row>
    <row r="713" spans="1:24" s="1308" customFormat="1" ht="15" customHeight="1" x14ac:dyDescent="0.25">
      <c r="A713" s="730"/>
      <c r="B713" s="1286">
        <f t="shared" si="29"/>
        <v>147</v>
      </c>
      <c r="C713" s="1775"/>
      <c r="D713" s="1758"/>
      <c r="E713" s="1448" t="s">
        <v>1297</v>
      </c>
      <c r="F713" s="1290"/>
      <c r="G713" s="1302"/>
      <c r="H713" s="1322"/>
      <c r="I713" s="1322"/>
      <c r="J713" s="1322"/>
      <c r="K713" s="1322"/>
      <c r="L713" s="1322"/>
      <c r="M713" s="1322"/>
      <c r="N713" s="1322"/>
      <c r="O713" s="1326"/>
      <c r="P713" s="1322"/>
      <c r="Q713" s="1323"/>
      <c r="R713" s="1324"/>
      <c r="S713" s="1325"/>
      <c r="T713" s="1353"/>
      <c r="U713" s="1463"/>
      <c r="V713" s="1464"/>
      <c r="W713" s="1482"/>
      <c r="X713" s="1307"/>
    </row>
    <row r="714" spans="1:24" s="1308" customFormat="1" ht="15" customHeight="1" x14ac:dyDescent="0.25">
      <c r="A714" s="730"/>
      <c r="B714" s="1286">
        <f t="shared" si="29"/>
        <v>148</v>
      </c>
      <c r="C714" s="1775"/>
      <c r="D714" s="1758"/>
      <c r="E714" s="1448" t="s">
        <v>1298</v>
      </c>
      <c r="F714" s="1290"/>
      <c r="G714" s="1302"/>
      <c r="H714" s="1322"/>
      <c r="I714" s="1322"/>
      <c r="J714" s="1322"/>
      <c r="K714" s="1322"/>
      <c r="L714" s="1322"/>
      <c r="M714" s="1322"/>
      <c r="N714" s="1322"/>
      <c r="O714" s="1326"/>
      <c r="P714" s="1322"/>
      <c r="Q714" s="1323"/>
      <c r="R714" s="1324"/>
      <c r="S714" s="1325"/>
      <c r="T714" s="1353"/>
      <c r="U714" s="1463"/>
      <c r="V714" s="1464"/>
      <c r="W714" s="1482"/>
      <c r="X714" s="1307"/>
    </row>
    <row r="715" spans="1:24" s="1308" customFormat="1" ht="15" customHeight="1" x14ac:dyDescent="0.25">
      <c r="A715" s="730"/>
      <c r="B715" s="1286">
        <f t="shared" si="29"/>
        <v>149</v>
      </c>
      <c r="C715" s="1775"/>
      <c r="D715" s="1758" t="s">
        <v>1668</v>
      </c>
      <c r="E715" s="1448" t="s">
        <v>1625</v>
      </c>
      <c r="F715" s="1290"/>
      <c r="G715" s="1302"/>
      <c r="H715" s="1322"/>
      <c r="I715" s="1322"/>
      <c r="J715" s="1322"/>
      <c r="K715" s="1322"/>
      <c r="L715" s="1322"/>
      <c r="M715" s="1322"/>
      <c r="N715" s="1322"/>
      <c r="O715" s="1326"/>
      <c r="P715" s="1322"/>
      <c r="Q715" s="1323"/>
      <c r="R715" s="1324"/>
      <c r="S715" s="1325"/>
      <c r="T715" s="1353"/>
      <c r="U715" s="1463"/>
      <c r="V715" s="1464"/>
      <c r="W715" s="1482"/>
      <c r="X715" s="1307"/>
    </row>
    <row r="716" spans="1:24" s="1308" customFormat="1" ht="15" customHeight="1" x14ac:dyDescent="0.25">
      <c r="A716" s="730"/>
      <c r="B716" s="1286">
        <f t="shared" si="29"/>
        <v>150</v>
      </c>
      <c r="C716" s="1775"/>
      <c r="D716" s="1758"/>
      <c r="E716" s="1448" t="s">
        <v>1299</v>
      </c>
      <c r="F716" s="1290"/>
      <c r="G716" s="1302"/>
      <c r="H716" s="1322"/>
      <c r="I716" s="1322"/>
      <c r="J716" s="1322"/>
      <c r="K716" s="1322"/>
      <c r="L716" s="1322"/>
      <c r="M716" s="1322"/>
      <c r="N716" s="1322"/>
      <c r="O716" s="1326"/>
      <c r="P716" s="1322"/>
      <c r="Q716" s="1323"/>
      <c r="R716" s="1324"/>
      <c r="S716" s="1325"/>
      <c r="T716" s="1353"/>
      <c r="U716" s="1463"/>
      <c r="V716" s="1464"/>
      <c r="W716" s="1482"/>
      <c r="X716" s="1307"/>
    </row>
    <row r="717" spans="1:24" s="1308" customFormat="1" ht="15" customHeight="1" x14ac:dyDescent="0.25">
      <c r="A717" s="730"/>
      <c r="B717" s="1286">
        <f t="shared" si="29"/>
        <v>151</v>
      </c>
      <c r="C717" s="1775"/>
      <c r="D717" s="1758"/>
      <c r="E717" s="1448" t="s">
        <v>1297</v>
      </c>
      <c r="F717" s="1290"/>
      <c r="G717" s="1302"/>
      <c r="H717" s="1322"/>
      <c r="I717" s="1322"/>
      <c r="J717" s="1322"/>
      <c r="K717" s="1322"/>
      <c r="L717" s="1322"/>
      <c r="M717" s="1322"/>
      <c r="N717" s="1322"/>
      <c r="O717" s="1326"/>
      <c r="P717" s="1322"/>
      <c r="Q717" s="1323"/>
      <c r="R717" s="1324"/>
      <c r="S717" s="1325"/>
      <c r="T717" s="1353"/>
      <c r="U717" s="1463"/>
      <c r="V717" s="1464"/>
      <c r="W717" s="1482"/>
      <c r="X717" s="1307"/>
    </row>
    <row r="718" spans="1:24" s="1308" customFormat="1" ht="15" customHeight="1" x14ac:dyDescent="0.25">
      <c r="A718" s="730"/>
      <c r="B718" s="1286">
        <f t="shared" si="29"/>
        <v>152</v>
      </c>
      <c r="C718" s="1775"/>
      <c r="D718" s="1758"/>
      <c r="E718" s="1448" t="s">
        <v>1298</v>
      </c>
      <c r="F718" s="1290"/>
      <c r="G718" s="1302"/>
      <c r="H718" s="1322"/>
      <c r="I718" s="1322"/>
      <c r="J718" s="1322"/>
      <c r="K718" s="1322"/>
      <c r="L718" s="1322"/>
      <c r="M718" s="1322"/>
      <c r="N718" s="1322"/>
      <c r="O718" s="1326"/>
      <c r="P718" s="1322"/>
      <c r="Q718" s="1323"/>
      <c r="R718" s="1324"/>
      <c r="S718" s="1325"/>
      <c r="T718" s="1353"/>
      <c r="U718" s="1463"/>
      <c r="V718" s="1464"/>
      <c r="W718" s="1482"/>
      <c r="X718" s="1307"/>
    </row>
    <row r="719" spans="1:24" s="1308" customFormat="1" ht="15" customHeight="1" x14ac:dyDescent="0.25">
      <c r="A719" s="730"/>
      <c r="B719" s="1286">
        <f t="shared" si="29"/>
        <v>153</v>
      </c>
      <c r="C719" s="1775"/>
      <c r="D719" s="1758" t="s">
        <v>1669</v>
      </c>
      <c r="E719" s="1448" t="s">
        <v>1625</v>
      </c>
      <c r="F719" s="1290"/>
      <c r="G719" s="1302"/>
      <c r="H719" s="1322"/>
      <c r="I719" s="1322"/>
      <c r="J719" s="1322"/>
      <c r="K719" s="1322"/>
      <c r="L719" s="1322"/>
      <c r="M719" s="1322"/>
      <c r="N719" s="1322"/>
      <c r="O719" s="1326"/>
      <c r="P719" s="1322"/>
      <c r="Q719" s="1323"/>
      <c r="R719" s="1324"/>
      <c r="S719" s="1325"/>
      <c r="T719" s="1353"/>
      <c r="U719" s="1463"/>
      <c r="V719" s="1464"/>
      <c r="W719" s="1482"/>
      <c r="X719" s="1307"/>
    </row>
    <row r="720" spans="1:24" s="1308" customFormat="1" ht="15" customHeight="1" x14ac:dyDescent="0.25">
      <c r="A720" s="730"/>
      <c r="B720" s="1286">
        <f t="shared" ref="B720:B734" si="30">B719+1</f>
        <v>154</v>
      </c>
      <c r="C720" s="1775"/>
      <c r="D720" s="1758"/>
      <c r="E720" s="1448" t="s">
        <v>1299</v>
      </c>
      <c r="F720" s="1290"/>
      <c r="G720" s="1302"/>
      <c r="H720" s="1322"/>
      <c r="I720" s="1322"/>
      <c r="J720" s="1322"/>
      <c r="K720" s="1322"/>
      <c r="L720" s="1322"/>
      <c r="M720" s="1322"/>
      <c r="N720" s="1322"/>
      <c r="O720" s="1326"/>
      <c r="P720" s="1322"/>
      <c r="Q720" s="1323"/>
      <c r="R720" s="1324"/>
      <c r="S720" s="1325"/>
      <c r="T720" s="1353"/>
      <c r="U720" s="1463"/>
      <c r="V720" s="1464"/>
      <c r="W720" s="1482"/>
      <c r="X720" s="1307"/>
    </row>
    <row r="721" spans="1:24" s="1308" customFormat="1" ht="15" customHeight="1" x14ac:dyDescent="0.25">
      <c r="A721" s="730"/>
      <c r="B721" s="1286">
        <f t="shared" si="30"/>
        <v>155</v>
      </c>
      <c r="C721" s="1775"/>
      <c r="D721" s="1758"/>
      <c r="E721" s="1448" t="s">
        <v>1297</v>
      </c>
      <c r="F721" s="1290"/>
      <c r="G721" s="1302"/>
      <c r="H721" s="1322"/>
      <c r="I721" s="1322"/>
      <c r="J721" s="1322"/>
      <c r="K721" s="1322"/>
      <c r="L721" s="1322"/>
      <c r="M721" s="1322"/>
      <c r="N721" s="1322"/>
      <c r="O721" s="1326"/>
      <c r="P721" s="1322"/>
      <c r="Q721" s="1323"/>
      <c r="R721" s="1324"/>
      <c r="S721" s="1325"/>
      <c r="T721" s="1353"/>
      <c r="U721" s="1463"/>
      <c r="V721" s="1464"/>
      <c r="W721" s="1482"/>
      <c r="X721" s="1307"/>
    </row>
    <row r="722" spans="1:24" s="1308" customFormat="1" ht="15" customHeight="1" x14ac:dyDescent="0.25">
      <c r="A722" s="730"/>
      <c r="B722" s="1286">
        <f t="shared" si="30"/>
        <v>156</v>
      </c>
      <c r="C722" s="1775"/>
      <c r="D722" s="1758"/>
      <c r="E722" s="1448" t="s">
        <v>1298</v>
      </c>
      <c r="F722" s="1290"/>
      <c r="G722" s="1302"/>
      <c r="H722" s="1322"/>
      <c r="I722" s="1322"/>
      <c r="J722" s="1322"/>
      <c r="K722" s="1322"/>
      <c r="L722" s="1322"/>
      <c r="M722" s="1322"/>
      <c r="N722" s="1322"/>
      <c r="O722" s="1326"/>
      <c r="P722" s="1322"/>
      <c r="Q722" s="1323"/>
      <c r="R722" s="1324"/>
      <c r="S722" s="1325"/>
      <c r="T722" s="1353"/>
      <c r="U722" s="1463"/>
      <c r="V722" s="1464"/>
      <c r="W722" s="1482"/>
      <c r="X722" s="1307"/>
    </row>
    <row r="723" spans="1:24" s="1308" customFormat="1" ht="15" customHeight="1" x14ac:dyDescent="0.25">
      <c r="A723" s="730"/>
      <c r="B723" s="1286">
        <f t="shared" si="30"/>
        <v>157</v>
      </c>
      <c r="C723" s="1775"/>
      <c r="D723" s="1758" t="s">
        <v>1670</v>
      </c>
      <c r="E723" s="1448" t="s">
        <v>1625</v>
      </c>
      <c r="F723" s="1290"/>
      <c r="G723" s="1302"/>
      <c r="H723" s="1322"/>
      <c r="I723" s="1322"/>
      <c r="J723" s="1322"/>
      <c r="K723" s="1322"/>
      <c r="L723" s="1322"/>
      <c r="M723" s="1322"/>
      <c r="N723" s="1322"/>
      <c r="O723" s="1326"/>
      <c r="P723" s="1322"/>
      <c r="Q723" s="1323"/>
      <c r="R723" s="1324"/>
      <c r="S723" s="1325"/>
      <c r="T723" s="1353"/>
      <c r="U723" s="1463"/>
      <c r="V723" s="1464"/>
      <c r="W723" s="1482"/>
      <c r="X723" s="1307"/>
    </row>
    <row r="724" spans="1:24" s="1308" customFormat="1" ht="15" customHeight="1" x14ac:dyDescent="0.25">
      <c r="A724" s="730"/>
      <c r="B724" s="1286">
        <f t="shared" si="30"/>
        <v>158</v>
      </c>
      <c r="C724" s="1775"/>
      <c r="D724" s="1758"/>
      <c r="E724" s="1448" t="s">
        <v>1299</v>
      </c>
      <c r="F724" s="1290"/>
      <c r="G724" s="1302"/>
      <c r="H724" s="1322"/>
      <c r="I724" s="1322"/>
      <c r="J724" s="1322"/>
      <c r="K724" s="1322"/>
      <c r="L724" s="1322"/>
      <c r="M724" s="1322"/>
      <c r="N724" s="1322"/>
      <c r="O724" s="1326"/>
      <c r="P724" s="1322"/>
      <c r="Q724" s="1323"/>
      <c r="R724" s="1324"/>
      <c r="S724" s="1325"/>
      <c r="T724" s="1353"/>
      <c r="U724" s="1463"/>
      <c r="V724" s="1464"/>
      <c r="W724" s="1482"/>
      <c r="X724" s="1307"/>
    </row>
    <row r="725" spans="1:24" s="1308" customFormat="1" ht="15" customHeight="1" x14ac:dyDescent="0.25">
      <c r="A725" s="730"/>
      <c r="B725" s="1286">
        <f t="shared" si="30"/>
        <v>159</v>
      </c>
      <c r="C725" s="1775"/>
      <c r="D725" s="1758"/>
      <c r="E725" s="1448" t="s">
        <v>1297</v>
      </c>
      <c r="F725" s="1290"/>
      <c r="G725" s="1302"/>
      <c r="H725" s="1322"/>
      <c r="I725" s="1322"/>
      <c r="J725" s="1322"/>
      <c r="K725" s="1322"/>
      <c r="L725" s="1322"/>
      <c r="M725" s="1322"/>
      <c r="N725" s="1322"/>
      <c r="O725" s="1326"/>
      <c r="P725" s="1322"/>
      <c r="Q725" s="1323"/>
      <c r="R725" s="1324"/>
      <c r="S725" s="1325"/>
      <c r="T725" s="1353"/>
      <c r="U725" s="1463"/>
      <c r="V725" s="1464"/>
      <c r="W725" s="1482"/>
      <c r="X725" s="1307"/>
    </row>
    <row r="726" spans="1:24" s="1308" customFormat="1" ht="15" customHeight="1" x14ac:dyDescent="0.25">
      <c r="A726" s="730"/>
      <c r="B726" s="1286">
        <f t="shared" si="30"/>
        <v>160</v>
      </c>
      <c r="C726" s="1775"/>
      <c r="D726" s="1758"/>
      <c r="E726" s="1448" t="s">
        <v>1298</v>
      </c>
      <c r="F726" s="1290"/>
      <c r="G726" s="1302"/>
      <c r="H726" s="1322"/>
      <c r="I726" s="1322"/>
      <c r="J726" s="1322"/>
      <c r="K726" s="1322"/>
      <c r="L726" s="1322"/>
      <c r="M726" s="1322"/>
      <c r="N726" s="1322"/>
      <c r="O726" s="1326"/>
      <c r="P726" s="1322"/>
      <c r="Q726" s="1323"/>
      <c r="R726" s="1324"/>
      <c r="S726" s="1325"/>
      <c r="T726" s="1353"/>
      <c r="U726" s="1463"/>
      <c r="V726" s="1464"/>
      <c r="W726" s="1482"/>
      <c r="X726" s="1307"/>
    </row>
    <row r="727" spans="1:24" s="1308" customFormat="1" ht="15" customHeight="1" x14ac:dyDescent="0.25">
      <c r="A727" s="730"/>
      <c r="B727" s="1286">
        <f t="shared" si="30"/>
        <v>161</v>
      </c>
      <c r="C727" s="1775"/>
      <c r="D727" s="1759" t="s">
        <v>1671</v>
      </c>
      <c r="E727" s="1448" t="s">
        <v>1625</v>
      </c>
      <c r="F727" s="1290"/>
      <c r="G727" s="1302"/>
      <c r="H727" s="1322"/>
      <c r="I727" s="1322"/>
      <c r="J727" s="1322"/>
      <c r="K727" s="1322"/>
      <c r="L727" s="1322"/>
      <c r="M727" s="1322"/>
      <c r="N727" s="1322"/>
      <c r="O727" s="1326"/>
      <c r="P727" s="1322"/>
      <c r="Q727" s="1323"/>
      <c r="R727" s="1324"/>
      <c r="S727" s="1325"/>
      <c r="T727" s="1353"/>
      <c r="U727" s="1463"/>
      <c r="V727" s="1464"/>
      <c r="W727" s="1482"/>
      <c r="X727" s="1307"/>
    </row>
    <row r="728" spans="1:24" s="1308" customFormat="1" ht="15" customHeight="1" x14ac:dyDescent="0.25">
      <c r="A728" s="730"/>
      <c r="B728" s="1286">
        <f t="shared" si="30"/>
        <v>162</v>
      </c>
      <c r="C728" s="1775"/>
      <c r="D728" s="1762"/>
      <c r="E728" s="1448" t="s">
        <v>1299</v>
      </c>
      <c r="F728" s="1290"/>
      <c r="G728" s="1302"/>
      <c r="H728" s="1322"/>
      <c r="I728" s="1322"/>
      <c r="J728" s="1322"/>
      <c r="K728" s="1322"/>
      <c r="L728" s="1322"/>
      <c r="M728" s="1322"/>
      <c r="N728" s="1322"/>
      <c r="O728" s="1326"/>
      <c r="P728" s="1322"/>
      <c r="Q728" s="1323"/>
      <c r="R728" s="1324"/>
      <c r="S728" s="1325"/>
      <c r="T728" s="1353"/>
      <c r="U728" s="1463"/>
      <c r="V728" s="1464"/>
      <c r="W728" s="1482"/>
      <c r="X728" s="1307"/>
    </row>
    <row r="729" spans="1:24" s="1308" customFormat="1" ht="15" customHeight="1" x14ac:dyDescent="0.25">
      <c r="A729" s="730"/>
      <c r="B729" s="1286">
        <f t="shared" si="30"/>
        <v>163</v>
      </c>
      <c r="C729" s="1775"/>
      <c r="D729" s="1762"/>
      <c r="E729" s="1448" t="s">
        <v>1297</v>
      </c>
      <c r="F729" s="1290"/>
      <c r="G729" s="1302"/>
      <c r="H729" s="1322"/>
      <c r="I729" s="1322"/>
      <c r="J729" s="1322"/>
      <c r="K729" s="1322"/>
      <c r="L729" s="1322"/>
      <c r="M729" s="1322"/>
      <c r="N729" s="1322"/>
      <c r="O729" s="1326"/>
      <c r="P729" s="1322"/>
      <c r="Q729" s="1323"/>
      <c r="R729" s="1324"/>
      <c r="S729" s="1325"/>
      <c r="T729" s="1353"/>
      <c r="U729" s="1463"/>
      <c r="V729" s="1464"/>
      <c r="W729" s="1482"/>
      <c r="X729" s="1307"/>
    </row>
    <row r="730" spans="1:24" s="1308" customFormat="1" ht="15" customHeight="1" x14ac:dyDescent="0.25">
      <c r="A730" s="730"/>
      <c r="B730" s="1286">
        <f t="shared" si="30"/>
        <v>164</v>
      </c>
      <c r="C730" s="1775"/>
      <c r="D730" s="1777"/>
      <c r="E730" s="1448" t="s">
        <v>1298</v>
      </c>
      <c r="F730" s="1290"/>
      <c r="G730" s="1302"/>
      <c r="H730" s="1322"/>
      <c r="I730" s="1322"/>
      <c r="J730" s="1322"/>
      <c r="K730" s="1322"/>
      <c r="L730" s="1322"/>
      <c r="M730" s="1322"/>
      <c r="N730" s="1322"/>
      <c r="O730" s="1326"/>
      <c r="P730" s="1322"/>
      <c r="Q730" s="1323"/>
      <c r="R730" s="1324"/>
      <c r="S730" s="1325"/>
      <c r="T730" s="1353"/>
      <c r="U730" s="1463"/>
      <c r="V730" s="1464"/>
      <c r="W730" s="1482"/>
      <c r="X730" s="1307"/>
    </row>
    <row r="731" spans="1:24" s="1308" customFormat="1" ht="15" customHeight="1" x14ac:dyDescent="0.25">
      <c r="A731" s="730"/>
      <c r="B731" s="1286">
        <f t="shared" si="30"/>
        <v>165</v>
      </c>
      <c r="C731" s="1775"/>
      <c r="D731" s="1758" t="s">
        <v>1672</v>
      </c>
      <c r="E731" s="1448" t="s">
        <v>1625</v>
      </c>
      <c r="F731" s="1290"/>
      <c r="G731" s="1302"/>
      <c r="H731" s="1322"/>
      <c r="I731" s="1322"/>
      <c r="J731" s="1322"/>
      <c r="K731" s="1322"/>
      <c r="L731" s="1322"/>
      <c r="M731" s="1322"/>
      <c r="N731" s="1322"/>
      <c r="O731" s="1326"/>
      <c r="P731" s="1322"/>
      <c r="Q731" s="1323"/>
      <c r="R731" s="1324"/>
      <c r="S731" s="1325"/>
      <c r="T731" s="1353"/>
      <c r="U731" s="1463"/>
      <c r="V731" s="1464"/>
      <c r="W731" s="1482"/>
      <c r="X731" s="1307"/>
    </row>
    <row r="732" spans="1:24" s="1308" customFormat="1" ht="15" customHeight="1" x14ac:dyDescent="0.25">
      <c r="A732" s="730"/>
      <c r="B732" s="1286">
        <f t="shared" si="30"/>
        <v>166</v>
      </c>
      <c r="C732" s="1775"/>
      <c r="D732" s="1758"/>
      <c r="E732" s="1448" t="s">
        <v>1299</v>
      </c>
      <c r="F732" s="1290"/>
      <c r="G732" s="1302"/>
      <c r="H732" s="1322"/>
      <c r="I732" s="1322"/>
      <c r="J732" s="1322"/>
      <c r="K732" s="1322"/>
      <c r="L732" s="1322"/>
      <c r="M732" s="1322"/>
      <c r="N732" s="1322"/>
      <c r="O732" s="1326"/>
      <c r="P732" s="1322"/>
      <c r="Q732" s="1323"/>
      <c r="R732" s="1324"/>
      <c r="S732" s="1325"/>
      <c r="T732" s="1353"/>
      <c r="U732" s="1463"/>
      <c r="V732" s="1464"/>
      <c r="W732" s="1482"/>
      <c r="X732" s="1307"/>
    </row>
    <row r="733" spans="1:24" s="1308" customFormat="1" ht="15" customHeight="1" x14ac:dyDescent="0.25">
      <c r="A733" s="730"/>
      <c r="B733" s="1286">
        <f t="shared" si="30"/>
        <v>167</v>
      </c>
      <c r="C733" s="1775"/>
      <c r="D733" s="1758"/>
      <c r="E733" s="1448" t="s">
        <v>1297</v>
      </c>
      <c r="F733" s="1290"/>
      <c r="G733" s="1302"/>
      <c r="H733" s="1322"/>
      <c r="I733" s="1322"/>
      <c r="J733" s="1322"/>
      <c r="K733" s="1322"/>
      <c r="L733" s="1322"/>
      <c r="M733" s="1322"/>
      <c r="N733" s="1322"/>
      <c r="O733" s="1326"/>
      <c r="P733" s="1322"/>
      <c r="Q733" s="1323"/>
      <c r="R733" s="1324"/>
      <c r="S733" s="1325"/>
      <c r="T733" s="1353"/>
      <c r="U733" s="1463"/>
      <c r="V733" s="1464"/>
      <c r="W733" s="1482"/>
      <c r="X733" s="1307"/>
    </row>
    <row r="734" spans="1:24" s="1308" customFormat="1" ht="15" customHeight="1" x14ac:dyDescent="0.25">
      <c r="A734" s="730"/>
      <c r="B734" s="1287">
        <f t="shared" si="30"/>
        <v>168</v>
      </c>
      <c r="C734" s="1776"/>
      <c r="D734" s="1760"/>
      <c r="E734" s="1449" t="s">
        <v>1298</v>
      </c>
      <c r="F734" s="1291"/>
      <c r="G734" s="1327"/>
      <c r="H734" s="1303"/>
      <c r="I734" s="1303"/>
      <c r="J734" s="1303"/>
      <c r="K734" s="1303"/>
      <c r="L734" s="1303"/>
      <c r="M734" s="1303"/>
      <c r="N734" s="1303"/>
      <c r="O734" s="1328"/>
      <c r="P734" s="1303"/>
      <c r="Q734" s="1304"/>
      <c r="R734" s="1305"/>
      <c r="S734" s="1306"/>
      <c r="T734" s="1351"/>
      <c r="U734" s="1466"/>
      <c r="V734" s="1467"/>
      <c r="W734" s="1483"/>
      <c r="X734" s="1307"/>
    </row>
    <row r="735" spans="1:24" s="735" customFormat="1" ht="45" customHeight="1" x14ac:dyDescent="0.25">
      <c r="A735" s="733" t="s">
        <v>1428</v>
      </c>
      <c r="B735" s="722"/>
      <c r="C735" s="734"/>
      <c r="D735" s="734"/>
      <c r="E735" s="734"/>
      <c r="F735" s="732"/>
      <c r="X735" s="422"/>
    </row>
    <row r="736" spans="1:24" s="1300" customFormat="1" ht="15" customHeight="1" x14ac:dyDescent="0.25">
      <c r="A736" s="726"/>
      <c r="B736" s="1297"/>
      <c r="C736" s="1298"/>
      <c r="D736" s="1443" t="s">
        <v>1425</v>
      </c>
      <c r="E736" s="1443" t="s">
        <v>1296</v>
      </c>
      <c r="F736" s="1443"/>
      <c r="G736" s="1676"/>
      <c r="H736" s="1677"/>
      <c r="I736" s="1677"/>
      <c r="J736" s="1677"/>
      <c r="K736" s="1677"/>
      <c r="L736" s="1677"/>
      <c r="M736" s="1677"/>
      <c r="N736" s="1677"/>
      <c r="O736" s="1677"/>
      <c r="P736" s="1677"/>
      <c r="Q736" s="1677"/>
      <c r="R736" s="1677"/>
      <c r="S736" s="1677"/>
      <c r="T736" s="1677"/>
      <c r="U736" s="1677"/>
      <c r="V736" s="1677"/>
      <c r="W736" s="1778"/>
      <c r="X736" s="1299"/>
    </row>
    <row r="737" spans="1:24" s="1308" customFormat="1" ht="15" customHeight="1" x14ac:dyDescent="0.25">
      <c r="A737" s="730"/>
      <c r="B737" s="1285">
        <v>1</v>
      </c>
      <c r="C737" s="1774" t="s">
        <v>1274</v>
      </c>
      <c r="D737" s="1763" t="s">
        <v>1673</v>
      </c>
      <c r="E737" s="1450" t="s">
        <v>1625</v>
      </c>
      <c r="F737" s="1289"/>
      <c r="G737" s="1316"/>
      <c r="H737" s="1317"/>
      <c r="I737" s="1317"/>
      <c r="J737" s="1317"/>
      <c r="K737" s="1317"/>
      <c r="L737" s="1317"/>
      <c r="M737" s="1317"/>
      <c r="N737" s="1349"/>
      <c r="O737" s="1321"/>
      <c r="P737" s="1317"/>
      <c r="Q737" s="1318"/>
      <c r="R737" s="1319"/>
      <c r="S737" s="1320"/>
      <c r="T737" s="1349"/>
      <c r="U737" s="1460"/>
      <c r="V737" s="1461"/>
      <c r="W737" s="1481"/>
      <c r="X737" s="1307"/>
    </row>
    <row r="738" spans="1:24" s="1308" customFormat="1" ht="15" customHeight="1" x14ac:dyDescent="0.25">
      <c r="A738" s="730"/>
      <c r="B738" s="1286">
        <f t="shared" ref="B738:B801" si="31">B737+1</f>
        <v>2</v>
      </c>
      <c r="C738" s="1775"/>
      <c r="D738" s="1758"/>
      <c r="E738" s="1448" t="s">
        <v>1299</v>
      </c>
      <c r="F738" s="1290"/>
      <c r="G738" s="1302"/>
      <c r="H738" s="1322"/>
      <c r="I738" s="1322"/>
      <c r="J738" s="1322"/>
      <c r="K738" s="1322"/>
      <c r="L738" s="1322"/>
      <c r="M738" s="1322"/>
      <c r="N738" s="1353"/>
      <c r="O738" s="1326"/>
      <c r="P738" s="1322"/>
      <c r="Q738" s="1323"/>
      <c r="R738" s="1324"/>
      <c r="S738" s="1325"/>
      <c r="T738" s="1353"/>
      <c r="U738" s="1463"/>
      <c r="V738" s="1464"/>
      <c r="W738" s="1482"/>
      <c r="X738" s="1307"/>
    </row>
    <row r="739" spans="1:24" s="1308" customFormat="1" ht="15" customHeight="1" x14ac:dyDescent="0.25">
      <c r="A739" s="730"/>
      <c r="B739" s="1286">
        <f t="shared" si="31"/>
        <v>3</v>
      </c>
      <c r="C739" s="1775"/>
      <c r="D739" s="1758"/>
      <c r="E739" s="1448" t="s">
        <v>1297</v>
      </c>
      <c r="F739" s="1290"/>
      <c r="G739" s="1302"/>
      <c r="H739" s="1322"/>
      <c r="I739" s="1322"/>
      <c r="J739" s="1322"/>
      <c r="K739" s="1322"/>
      <c r="L739" s="1322"/>
      <c r="M739" s="1322"/>
      <c r="N739" s="1353"/>
      <c r="O739" s="1326"/>
      <c r="P739" s="1322"/>
      <c r="Q739" s="1323"/>
      <c r="R739" s="1324"/>
      <c r="S739" s="1325"/>
      <c r="T739" s="1353"/>
      <c r="U739" s="1463"/>
      <c r="V739" s="1464"/>
      <c r="W739" s="1482"/>
      <c r="X739" s="1307"/>
    </row>
    <row r="740" spans="1:24" s="1308" customFormat="1" ht="15" customHeight="1" x14ac:dyDescent="0.25">
      <c r="A740" s="730"/>
      <c r="B740" s="1286">
        <f t="shared" si="31"/>
        <v>4</v>
      </c>
      <c r="C740" s="1775"/>
      <c r="D740" s="1758"/>
      <c r="E740" s="1448" t="s">
        <v>1298</v>
      </c>
      <c r="F740" s="1290"/>
      <c r="G740" s="1302"/>
      <c r="H740" s="1322"/>
      <c r="I740" s="1322"/>
      <c r="J740" s="1322"/>
      <c r="K740" s="1322"/>
      <c r="L740" s="1322"/>
      <c r="M740" s="1322"/>
      <c r="N740" s="1353"/>
      <c r="O740" s="1326"/>
      <c r="P740" s="1322"/>
      <c r="Q740" s="1323"/>
      <c r="R740" s="1324"/>
      <c r="S740" s="1325"/>
      <c r="T740" s="1353"/>
      <c r="U740" s="1463"/>
      <c r="V740" s="1464"/>
      <c r="W740" s="1482"/>
      <c r="X740" s="1307"/>
    </row>
    <row r="741" spans="1:24" s="1308" customFormat="1" ht="15" customHeight="1" x14ac:dyDescent="0.25">
      <c r="A741" s="730"/>
      <c r="B741" s="1286">
        <f t="shared" si="31"/>
        <v>5</v>
      </c>
      <c r="C741" s="1775"/>
      <c r="D741" s="1758" t="s">
        <v>1676</v>
      </c>
      <c r="E741" s="1448" t="s">
        <v>1625</v>
      </c>
      <c r="F741" s="1290"/>
      <c r="G741" s="1302"/>
      <c r="H741" s="1322"/>
      <c r="I741" s="1322"/>
      <c r="J741" s="1322"/>
      <c r="K741" s="1322"/>
      <c r="L741" s="1322"/>
      <c r="M741" s="1322"/>
      <c r="N741" s="1353"/>
      <c r="O741" s="1326"/>
      <c r="P741" s="1322"/>
      <c r="Q741" s="1323"/>
      <c r="R741" s="1324"/>
      <c r="S741" s="1325"/>
      <c r="T741" s="1353"/>
      <c r="U741" s="1463"/>
      <c r="V741" s="1464"/>
      <c r="W741" s="1482"/>
      <c r="X741" s="1307"/>
    </row>
    <row r="742" spans="1:24" s="1308" customFormat="1" ht="15" customHeight="1" x14ac:dyDescent="0.25">
      <c r="A742" s="730"/>
      <c r="B742" s="1286">
        <f t="shared" si="31"/>
        <v>6</v>
      </c>
      <c r="C742" s="1775"/>
      <c r="D742" s="1758"/>
      <c r="E742" s="1448" t="s">
        <v>1299</v>
      </c>
      <c r="F742" s="1290"/>
      <c r="G742" s="1302"/>
      <c r="H742" s="1322"/>
      <c r="I742" s="1322"/>
      <c r="J742" s="1322"/>
      <c r="K742" s="1322"/>
      <c r="L742" s="1322"/>
      <c r="M742" s="1322"/>
      <c r="N742" s="1353"/>
      <c r="O742" s="1326"/>
      <c r="P742" s="1322"/>
      <c r="Q742" s="1323"/>
      <c r="R742" s="1324"/>
      <c r="S742" s="1325"/>
      <c r="T742" s="1353"/>
      <c r="U742" s="1463"/>
      <c r="V742" s="1464"/>
      <c r="W742" s="1482"/>
      <c r="X742" s="1307"/>
    </row>
    <row r="743" spans="1:24" s="1308" customFormat="1" ht="15" customHeight="1" x14ac:dyDescent="0.25">
      <c r="A743" s="730"/>
      <c r="B743" s="1286">
        <f t="shared" si="31"/>
        <v>7</v>
      </c>
      <c r="C743" s="1775"/>
      <c r="D743" s="1758"/>
      <c r="E743" s="1448" t="s">
        <v>1297</v>
      </c>
      <c r="F743" s="1290"/>
      <c r="G743" s="1302"/>
      <c r="H743" s="1322"/>
      <c r="I743" s="1322"/>
      <c r="J743" s="1322"/>
      <c r="K743" s="1322"/>
      <c r="L743" s="1322"/>
      <c r="M743" s="1322"/>
      <c r="N743" s="1353"/>
      <c r="O743" s="1326"/>
      <c r="P743" s="1322"/>
      <c r="Q743" s="1323"/>
      <c r="R743" s="1324"/>
      <c r="S743" s="1325"/>
      <c r="T743" s="1353"/>
      <c r="U743" s="1463"/>
      <c r="V743" s="1464"/>
      <c r="W743" s="1482"/>
      <c r="X743" s="1307"/>
    </row>
    <row r="744" spans="1:24" s="1308" customFormat="1" ht="15" customHeight="1" x14ac:dyDescent="0.25">
      <c r="A744" s="730"/>
      <c r="B744" s="1286">
        <f t="shared" si="31"/>
        <v>8</v>
      </c>
      <c r="C744" s="1775"/>
      <c r="D744" s="1758"/>
      <c r="E744" s="1448" t="s">
        <v>1298</v>
      </c>
      <c r="F744" s="1290"/>
      <c r="G744" s="1302"/>
      <c r="H744" s="1322"/>
      <c r="I744" s="1322"/>
      <c r="J744" s="1322"/>
      <c r="K744" s="1322"/>
      <c r="L744" s="1322"/>
      <c r="M744" s="1322"/>
      <c r="N744" s="1353"/>
      <c r="O744" s="1326"/>
      <c r="P744" s="1322"/>
      <c r="Q744" s="1323"/>
      <c r="R744" s="1324"/>
      <c r="S744" s="1325"/>
      <c r="T744" s="1353"/>
      <c r="U744" s="1463"/>
      <c r="V744" s="1464"/>
      <c r="W744" s="1482"/>
      <c r="X744" s="1307"/>
    </row>
    <row r="745" spans="1:24" s="1308" customFormat="1" ht="15" customHeight="1" x14ac:dyDescent="0.25">
      <c r="A745" s="730"/>
      <c r="B745" s="1286">
        <f t="shared" si="31"/>
        <v>9</v>
      </c>
      <c r="C745" s="1775"/>
      <c r="D745" s="1758" t="s">
        <v>1677</v>
      </c>
      <c r="E745" s="1448" t="s">
        <v>1625</v>
      </c>
      <c r="F745" s="1290"/>
      <c r="G745" s="1302"/>
      <c r="H745" s="1322"/>
      <c r="I745" s="1322"/>
      <c r="J745" s="1322"/>
      <c r="K745" s="1322"/>
      <c r="L745" s="1322"/>
      <c r="M745" s="1322"/>
      <c r="N745" s="1353"/>
      <c r="O745" s="1326"/>
      <c r="P745" s="1322"/>
      <c r="Q745" s="1323"/>
      <c r="R745" s="1324"/>
      <c r="S745" s="1325"/>
      <c r="T745" s="1353"/>
      <c r="U745" s="1463"/>
      <c r="V745" s="1464"/>
      <c r="W745" s="1482"/>
      <c r="X745" s="1307"/>
    </row>
    <row r="746" spans="1:24" s="1308" customFormat="1" ht="15" customHeight="1" x14ac:dyDescent="0.25">
      <c r="A746" s="730"/>
      <c r="B746" s="1286">
        <f t="shared" si="31"/>
        <v>10</v>
      </c>
      <c r="C746" s="1775"/>
      <c r="D746" s="1758"/>
      <c r="E746" s="1448" t="s">
        <v>1299</v>
      </c>
      <c r="F746" s="1290"/>
      <c r="G746" s="1302"/>
      <c r="H746" s="1322"/>
      <c r="I746" s="1322"/>
      <c r="J746" s="1322"/>
      <c r="K746" s="1322"/>
      <c r="L746" s="1322"/>
      <c r="M746" s="1322"/>
      <c r="N746" s="1353"/>
      <c r="O746" s="1326"/>
      <c r="P746" s="1322"/>
      <c r="Q746" s="1323"/>
      <c r="R746" s="1324"/>
      <c r="S746" s="1325"/>
      <c r="T746" s="1353"/>
      <c r="U746" s="1463"/>
      <c r="V746" s="1464"/>
      <c r="W746" s="1482"/>
      <c r="X746" s="1307"/>
    </row>
    <row r="747" spans="1:24" s="1308" customFormat="1" ht="15" customHeight="1" x14ac:dyDescent="0.25">
      <c r="A747" s="730"/>
      <c r="B747" s="1286">
        <f t="shared" si="31"/>
        <v>11</v>
      </c>
      <c r="C747" s="1775"/>
      <c r="D747" s="1758"/>
      <c r="E747" s="1448" t="s">
        <v>1297</v>
      </c>
      <c r="F747" s="1290"/>
      <c r="G747" s="1302"/>
      <c r="H747" s="1322"/>
      <c r="I747" s="1322"/>
      <c r="J747" s="1322"/>
      <c r="K747" s="1322"/>
      <c r="L747" s="1322"/>
      <c r="M747" s="1322"/>
      <c r="N747" s="1353"/>
      <c r="O747" s="1326"/>
      <c r="P747" s="1322"/>
      <c r="Q747" s="1323"/>
      <c r="R747" s="1324"/>
      <c r="S747" s="1325"/>
      <c r="T747" s="1353"/>
      <c r="U747" s="1463"/>
      <c r="V747" s="1464"/>
      <c r="W747" s="1482"/>
      <c r="X747" s="1307"/>
    </row>
    <row r="748" spans="1:24" s="1308" customFormat="1" ht="15" customHeight="1" x14ac:dyDescent="0.25">
      <c r="A748" s="730"/>
      <c r="B748" s="1286">
        <f t="shared" si="31"/>
        <v>12</v>
      </c>
      <c r="C748" s="1775"/>
      <c r="D748" s="1758"/>
      <c r="E748" s="1448" t="s">
        <v>1298</v>
      </c>
      <c r="F748" s="1290"/>
      <c r="G748" s="1302"/>
      <c r="H748" s="1322"/>
      <c r="I748" s="1322"/>
      <c r="J748" s="1322"/>
      <c r="K748" s="1322"/>
      <c r="L748" s="1322"/>
      <c r="M748" s="1322"/>
      <c r="N748" s="1353"/>
      <c r="O748" s="1326"/>
      <c r="P748" s="1322"/>
      <c r="Q748" s="1323"/>
      <c r="R748" s="1324"/>
      <c r="S748" s="1325"/>
      <c r="T748" s="1353"/>
      <c r="U748" s="1463"/>
      <c r="V748" s="1464"/>
      <c r="W748" s="1482"/>
      <c r="X748" s="1307"/>
    </row>
    <row r="749" spans="1:24" s="1308" customFormat="1" ht="15" customHeight="1" x14ac:dyDescent="0.25">
      <c r="A749" s="730"/>
      <c r="B749" s="1286">
        <f t="shared" si="31"/>
        <v>13</v>
      </c>
      <c r="C749" s="1775"/>
      <c r="D749" s="1758" t="s">
        <v>1674</v>
      </c>
      <c r="E749" s="1448" t="s">
        <v>1625</v>
      </c>
      <c r="F749" s="1290"/>
      <c r="G749" s="1302"/>
      <c r="H749" s="1322"/>
      <c r="I749" s="1322"/>
      <c r="J749" s="1322"/>
      <c r="K749" s="1322"/>
      <c r="L749" s="1322"/>
      <c r="M749" s="1322"/>
      <c r="N749" s="1353"/>
      <c r="O749" s="1326"/>
      <c r="P749" s="1322"/>
      <c r="Q749" s="1323"/>
      <c r="R749" s="1324"/>
      <c r="S749" s="1325"/>
      <c r="T749" s="1353"/>
      <c r="U749" s="1463"/>
      <c r="V749" s="1464"/>
      <c r="W749" s="1482"/>
      <c r="X749" s="1307"/>
    </row>
    <row r="750" spans="1:24" s="1308" customFormat="1" ht="15" customHeight="1" x14ac:dyDescent="0.25">
      <c r="A750" s="730"/>
      <c r="B750" s="1286">
        <f t="shared" si="31"/>
        <v>14</v>
      </c>
      <c r="C750" s="1775"/>
      <c r="D750" s="1758"/>
      <c r="E750" s="1448" t="s">
        <v>1299</v>
      </c>
      <c r="F750" s="1290"/>
      <c r="G750" s="1302"/>
      <c r="H750" s="1322"/>
      <c r="I750" s="1322"/>
      <c r="J750" s="1322"/>
      <c r="K750" s="1322"/>
      <c r="L750" s="1322"/>
      <c r="M750" s="1322"/>
      <c r="N750" s="1353"/>
      <c r="O750" s="1326"/>
      <c r="P750" s="1322"/>
      <c r="Q750" s="1323"/>
      <c r="R750" s="1324"/>
      <c r="S750" s="1325"/>
      <c r="T750" s="1353"/>
      <c r="U750" s="1463"/>
      <c r="V750" s="1464"/>
      <c r="W750" s="1482"/>
      <c r="X750" s="1307"/>
    </row>
    <row r="751" spans="1:24" s="1308" customFormat="1" ht="15" customHeight="1" x14ac:dyDescent="0.25">
      <c r="A751" s="730"/>
      <c r="B751" s="1286">
        <f t="shared" si="31"/>
        <v>15</v>
      </c>
      <c r="C751" s="1775"/>
      <c r="D751" s="1758"/>
      <c r="E751" s="1448" t="s">
        <v>1297</v>
      </c>
      <c r="F751" s="1290"/>
      <c r="G751" s="1302"/>
      <c r="H751" s="1322"/>
      <c r="I751" s="1322"/>
      <c r="J751" s="1322"/>
      <c r="K751" s="1322"/>
      <c r="L751" s="1322"/>
      <c r="M751" s="1322"/>
      <c r="N751" s="1353"/>
      <c r="O751" s="1326"/>
      <c r="P751" s="1322"/>
      <c r="Q751" s="1323"/>
      <c r="R751" s="1324"/>
      <c r="S751" s="1325"/>
      <c r="T751" s="1353"/>
      <c r="U751" s="1463"/>
      <c r="V751" s="1464"/>
      <c r="W751" s="1482"/>
      <c r="X751" s="1307"/>
    </row>
    <row r="752" spans="1:24" s="1308" customFormat="1" ht="15" customHeight="1" x14ac:dyDescent="0.25">
      <c r="A752" s="730"/>
      <c r="B752" s="1286">
        <f t="shared" si="31"/>
        <v>16</v>
      </c>
      <c r="C752" s="1775"/>
      <c r="D752" s="1758"/>
      <c r="E752" s="1448" t="s">
        <v>1298</v>
      </c>
      <c r="F752" s="1290"/>
      <c r="G752" s="1302"/>
      <c r="H752" s="1322"/>
      <c r="I752" s="1322"/>
      <c r="J752" s="1322"/>
      <c r="K752" s="1322"/>
      <c r="L752" s="1322"/>
      <c r="M752" s="1322"/>
      <c r="N752" s="1353"/>
      <c r="O752" s="1326"/>
      <c r="P752" s="1322"/>
      <c r="Q752" s="1323"/>
      <c r="R752" s="1324"/>
      <c r="S752" s="1325"/>
      <c r="T752" s="1353"/>
      <c r="U752" s="1463"/>
      <c r="V752" s="1464"/>
      <c r="W752" s="1482"/>
      <c r="X752" s="1307"/>
    </row>
    <row r="753" spans="1:24" s="1308" customFormat="1" ht="15" customHeight="1" x14ac:dyDescent="0.25">
      <c r="A753" s="730"/>
      <c r="B753" s="1286">
        <f t="shared" si="31"/>
        <v>17</v>
      </c>
      <c r="C753" s="1775"/>
      <c r="D753" s="1758" t="s">
        <v>1675</v>
      </c>
      <c r="E753" s="1448" t="s">
        <v>1625</v>
      </c>
      <c r="F753" s="1290"/>
      <c r="G753" s="1302"/>
      <c r="H753" s="1322"/>
      <c r="I753" s="1322"/>
      <c r="J753" s="1322"/>
      <c r="K753" s="1322"/>
      <c r="L753" s="1322"/>
      <c r="M753" s="1322"/>
      <c r="N753" s="1353"/>
      <c r="O753" s="1326"/>
      <c r="P753" s="1322"/>
      <c r="Q753" s="1323"/>
      <c r="R753" s="1324"/>
      <c r="S753" s="1325"/>
      <c r="T753" s="1353"/>
      <c r="U753" s="1463"/>
      <c r="V753" s="1464"/>
      <c r="W753" s="1482"/>
      <c r="X753" s="1307"/>
    </row>
    <row r="754" spans="1:24" s="1308" customFormat="1" ht="15" customHeight="1" x14ac:dyDescent="0.25">
      <c r="A754" s="730"/>
      <c r="B754" s="1286">
        <f t="shared" si="31"/>
        <v>18</v>
      </c>
      <c r="C754" s="1775"/>
      <c r="D754" s="1758"/>
      <c r="E754" s="1448" t="s">
        <v>1299</v>
      </c>
      <c r="F754" s="1290"/>
      <c r="G754" s="1302"/>
      <c r="H754" s="1322"/>
      <c r="I754" s="1322"/>
      <c r="J754" s="1322"/>
      <c r="K754" s="1322"/>
      <c r="L754" s="1322"/>
      <c r="M754" s="1322"/>
      <c r="N754" s="1353"/>
      <c r="O754" s="1326"/>
      <c r="P754" s="1322"/>
      <c r="Q754" s="1323"/>
      <c r="R754" s="1324"/>
      <c r="S754" s="1325"/>
      <c r="T754" s="1353"/>
      <c r="U754" s="1463"/>
      <c r="V754" s="1464"/>
      <c r="W754" s="1482"/>
      <c r="X754" s="1307"/>
    </row>
    <row r="755" spans="1:24" s="1308" customFormat="1" ht="15" customHeight="1" x14ac:dyDescent="0.25">
      <c r="A755" s="730"/>
      <c r="B755" s="1286">
        <f t="shared" si="31"/>
        <v>19</v>
      </c>
      <c r="C755" s="1775"/>
      <c r="D755" s="1758"/>
      <c r="E755" s="1448" t="s">
        <v>1297</v>
      </c>
      <c r="F755" s="1290"/>
      <c r="G755" s="1302"/>
      <c r="H755" s="1322"/>
      <c r="I755" s="1322"/>
      <c r="J755" s="1322"/>
      <c r="K755" s="1322"/>
      <c r="L755" s="1322"/>
      <c r="M755" s="1322"/>
      <c r="N755" s="1353"/>
      <c r="O755" s="1326"/>
      <c r="P755" s="1322"/>
      <c r="Q755" s="1323"/>
      <c r="R755" s="1324"/>
      <c r="S755" s="1325"/>
      <c r="T755" s="1353"/>
      <c r="U755" s="1463"/>
      <c r="V755" s="1464"/>
      <c r="W755" s="1482"/>
      <c r="X755" s="1307"/>
    </row>
    <row r="756" spans="1:24" s="1308" customFormat="1" ht="15" customHeight="1" x14ac:dyDescent="0.25">
      <c r="A756" s="730"/>
      <c r="B756" s="1287">
        <f t="shared" si="31"/>
        <v>20</v>
      </c>
      <c r="C756" s="1776"/>
      <c r="D756" s="1760"/>
      <c r="E756" s="1449" t="s">
        <v>1298</v>
      </c>
      <c r="F756" s="1291"/>
      <c r="G756" s="1327"/>
      <c r="H756" s="1303"/>
      <c r="I756" s="1303"/>
      <c r="J756" s="1303"/>
      <c r="K756" s="1303"/>
      <c r="L756" s="1303"/>
      <c r="M756" s="1303"/>
      <c r="N756" s="1351"/>
      <c r="O756" s="1328"/>
      <c r="P756" s="1303"/>
      <c r="Q756" s="1304"/>
      <c r="R756" s="1305"/>
      <c r="S756" s="1306"/>
      <c r="T756" s="1351"/>
      <c r="U756" s="1466"/>
      <c r="V756" s="1467"/>
      <c r="W756" s="1483"/>
      <c r="X756" s="1307"/>
    </row>
    <row r="757" spans="1:24" s="1308" customFormat="1" ht="15" customHeight="1" x14ac:dyDescent="0.25">
      <c r="A757" s="730"/>
      <c r="B757" s="1285">
        <f t="shared" si="31"/>
        <v>21</v>
      </c>
      <c r="C757" s="1774" t="s">
        <v>1275</v>
      </c>
      <c r="D757" s="1763" t="s">
        <v>1673</v>
      </c>
      <c r="E757" s="1450" t="s">
        <v>1625</v>
      </c>
      <c r="F757" s="1289"/>
      <c r="G757" s="1316"/>
      <c r="H757" s="1317"/>
      <c r="I757" s="1317"/>
      <c r="J757" s="1317"/>
      <c r="K757" s="1317"/>
      <c r="L757" s="1317"/>
      <c r="M757" s="1317"/>
      <c r="N757" s="1349"/>
      <c r="O757" s="1321"/>
      <c r="P757" s="1317"/>
      <c r="Q757" s="1318"/>
      <c r="R757" s="1319"/>
      <c r="S757" s="1320"/>
      <c r="T757" s="1349"/>
      <c r="U757" s="1460"/>
      <c r="V757" s="1461"/>
      <c r="W757" s="1481"/>
      <c r="X757" s="1307"/>
    </row>
    <row r="758" spans="1:24" s="1308" customFormat="1" ht="15" customHeight="1" x14ac:dyDescent="0.25">
      <c r="A758" s="730"/>
      <c r="B758" s="1286">
        <f t="shared" si="31"/>
        <v>22</v>
      </c>
      <c r="C758" s="1775"/>
      <c r="D758" s="1758"/>
      <c r="E758" s="1448" t="s">
        <v>1299</v>
      </c>
      <c r="F758" s="1290"/>
      <c r="G758" s="1302"/>
      <c r="H758" s="1322"/>
      <c r="I758" s="1322"/>
      <c r="J758" s="1322"/>
      <c r="K758" s="1322"/>
      <c r="L758" s="1322"/>
      <c r="M758" s="1322"/>
      <c r="N758" s="1353"/>
      <c r="O758" s="1326"/>
      <c r="P758" s="1322"/>
      <c r="Q758" s="1323"/>
      <c r="R758" s="1324"/>
      <c r="S758" s="1325"/>
      <c r="T758" s="1353"/>
      <c r="U758" s="1463"/>
      <c r="V758" s="1464"/>
      <c r="W758" s="1482"/>
      <c r="X758" s="1307"/>
    </row>
    <row r="759" spans="1:24" s="1308" customFormat="1" ht="15" customHeight="1" x14ac:dyDescent="0.25">
      <c r="A759" s="730"/>
      <c r="B759" s="1286">
        <f t="shared" si="31"/>
        <v>23</v>
      </c>
      <c r="C759" s="1775"/>
      <c r="D759" s="1758"/>
      <c r="E759" s="1448" t="s">
        <v>1297</v>
      </c>
      <c r="F759" s="1290"/>
      <c r="G759" s="1302"/>
      <c r="H759" s="1322"/>
      <c r="I759" s="1322"/>
      <c r="J759" s="1322"/>
      <c r="K759" s="1322"/>
      <c r="L759" s="1322"/>
      <c r="M759" s="1322"/>
      <c r="N759" s="1353"/>
      <c r="O759" s="1326"/>
      <c r="P759" s="1322"/>
      <c r="Q759" s="1323"/>
      <c r="R759" s="1324"/>
      <c r="S759" s="1325"/>
      <c r="T759" s="1353"/>
      <c r="U759" s="1463"/>
      <c r="V759" s="1464"/>
      <c r="W759" s="1482"/>
      <c r="X759" s="1307"/>
    </row>
    <row r="760" spans="1:24" s="1308" customFormat="1" ht="15" customHeight="1" x14ac:dyDescent="0.25">
      <c r="A760" s="730"/>
      <c r="B760" s="1286">
        <f t="shared" si="31"/>
        <v>24</v>
      </c>
      <c r="C760" s="1775"/>
      <c r="D760" s="1758"/>
      <c r="E760" s="1448" t="s">
        <v>1298</v>
      </c>
      <c r="F760" s="1290"/>
      <c r="G760" s="1302"/>
      <c r="H760" s="1322"/>
      <c r="I760" s="1322"/>
      <c r="J760" s="1322"/>
      <c r="K760" s="1322"/>
      <c r="L760" s="1322"/>
      <c r="M760" s="1322"/>
      <c r="N760" s="1353"/>
      <c r="O760" s="1326"/>
      <c r="P760" s="1322"/>
      <c r="Q760" s="1323"/>
      <c r="R760" s="1324"/>
      <c r="S760" s="1325"/>
      <c r="T760" s="1353"/>
      <c r="U760" s="1463"/>
      <c r="V760" s="1464"/>
      <c r="W760" s="1482"/>
      <c r="X760" s="1307"/>
    </row>
    <row r="761" spans="1:24" s="1308" customFormat="1" ht="15" customHeight="1" x14ac:dyDescent="0.25">
      <c r="A761" s="730"/>
      <c r="B761" s="1286">
        <f t="shared" si="31"/>
        <v>25</v>
      </c>
      <c r="C761" s="1775"/>
      <c r="D761" s="1758" t="s">
        <v>1676</v>
      </c>
      <c r="E761" s="1448" t="s">
        <v>1625</v>
      </c>
      <c r="F761" s="1290"/>
      <c r="G761" s="1302"/>
      <c r="H761" s="1322"/>
      <c r="I761" s="1322"/>
      <c r="J761" s="1322"/>
      <c r="K761" s="1322"/>
      <c r="L761" s="1322"/>
      <c r="M761" s="1322"/>
      <c r="N761" s="1353"/>
      <c r="O761" s="1326"/>
      <c r="P761" s="1322"/>
      <c r="Q761" s="1323"/>
      <c r="R761" s="1324"/>
      <c r="S761" s="1325"/>
      <c r="T761" s="1353"/>
      <c r="U761" s="1463"/>
      <c r="V761" s="1464"/>
      <c r="W761" s="1482"/>
      <c r="X761" s="1307"/>
    </row>
    <row r="762" spans="1:24" s="1308" customFormat="1" ht="15" customHeight="1" x14ac:dyDescent="0.25">
      <c r="A762" s="730"/>
      <c r="B762" s="1286">
        <f t="shared" si="31"/>
        <v>26</v>
      </c>
      <c r="C762" s="1775"/>
      <c r="D762" s="1758"/>
      <c r="E762" s="1448" t="s">
        <v>1299</v>
      </c>
      <c r="F762" s="1290"/>
      <c r="G762" s="1302"/>
      <c r="H762" s="1322"/>
      <c r="I762" s="1322"/>
      <c r="J762" s="1322"/>
      <c r="K762" s="1322"/>
      <c r="L762" s="1322"/>
      <c r="M762" s="1322"/>
      <c r="N762" s="1353"/>
      <c r="O762" s="1326"/>
      <c r="P762" s="1322"/>
      <c r="Q762" s="1323"/>
      <c r="R762" s="1324"/>
      <c r="S762" s="1325"/>
      <c r="T762" s="1353"/>
      <c r="U762" s="1463"/>
      <c r="V762" s="1464"/>
      <c r="W762" s="1482"/>
      <c r="X762" s="1307"/>
    </row>
    <row r="763" spans="1:24" s="1308" customFormat="1" ht="15" customHeight="1" x14ac:dyDescent="0.25">
      <c r="A763" s="730"/>
      <c r="B763" s="1286">
        <f t="shared" si="31"/>
        <v>27</v>
      </c>
      <c r="C763" s="1775"/>
      <c r="D763" s="1758"/>
      <c r="E763" s="1448" t="s">
        <v>1297</v>
      </c>
      <c r="F763" s="1290"/>
      <c r="G763" s="1302"/>
      <c r="H763" s="1322"/>
      <c r="I763" s="1322"/>
      <c r="J763" s="1322"/>
      <c r="K763" s="1322"/>
      <c r="L763" s="1322"/>
      <c r="M763" s="1322"/>
      <c r="N763" s="1353"/>
      <c r="O763" s="1326"/>
      <c r="P763" s="1322"/>
      <c r="Q763" s="1323"/>
      <c r="R763" s="1324"/>
      <c r="S763" s="1325"/>
      <c r="T763" s="1353"/>
      <c r="U763" s="1463"/>
      <c r="V763" s="1464"/>
      <c r="W763" s="1482"/>
      <c r="X763" s="1307"/>
    </row>
    <row r="764" spans="1:24" s="1308" customFormat="1" ht="15" customHeight="1" x14ac:dyDescent="0.25">
      <c r="A764" s="730"/>
      <c r="B764" s="1286">
        <f t="shared" si="31"/>
        <v>28</v>
      </c>
      <c r="C764" s="1775"/>
      <c r="D764" s="1758"/>
      <c r="E764" s="1448" t="s">
        <v>1298</v>
      </c>
      <c r="F764" s="1290"/>
      <c r="G764" s="1302"/>
      <c r="H764" s="1322"/>
      <c r="I764" s="1322"/>
      <c r="J764" s="1322"/>
      <c r="K764" s="1322"/>
      <c r="L764" s="1322"/>
      <c r="M764" s="1322"/>
      <c r="N764" s="1353"/>
      <c r="O764" s="1326"/>
      <c r="P764" s="1322"/>
      <c r="Q764" s="1323"/>
      <c r="R764" s="1324"/>
      <c r="S764" s="1325"/>
      <c r="T764" s="1353"/>
      <c r="U764" s="1463"/>
      <c r="V764" s="1464"/>
      <c r="W764" s="1482"/>
      <c r="X764" s="1307"/>
    </row>
    <row r="765" spans="1:24" s="1308" customFormat="1" ht="15" customHeight="1" x14ac:dyDescent="0.25">
      <c r="A765" s="730"/>
      <c r="B765" s="1286">
        <f t="shared" si="31"/>
        <v>29</v>
      </c>
      <c r="C765" s="1775"/>
      <c r="D765" s="1758" t="s">
        <v>1677</v>
      </c>
      <c r="E765" s="1448" t="s">
        <v>1625</v>
      </c>
      <c r="F765" s="1290"/>
      <c r="G765" s="1302"/>
      <c r="H765" s="1322"/>
      <c r="I765" s="1322"/>
      <c r="J765" s="1322"/>
      <c r="K765" s="1322"/>
      <c r="L765" s="1322"/>
      <c r="M765" s="1322"/>
      <c r="N765" s="1353"/>
      <c r="O765" s="1326"/>
      <c r="P765" s="1322"/>
      <c r="Q765" s="1323"/>
      <c r="R765" s="1324"/>
      <c r="S765" s="1325"/>
      <c r="T765" s="1353"/>
      <c r="U765" s="1463"/>
      <c r="V765" s="1464"/>
      <c r="W765" s="1482"/>
      <c r="X765" s="1307"/>
    </row>
    <row r="766" spans="1:24" s="1308" customFormat="1" ht="15" customHeight="1" x14ac:dyDescent="0.25">
      <c r="A766" s="730"/>
      <c r="B766" s="1286">
        <f t="shared" si="31"/>
        <v>30</v>
      </c>
      <c r="C766" s="1775"/>
      <c r="D766" s="1758"/>
      <c r="E766" s="1448" t="s">
        <v>1299</v>
      </c>
      <c r="F766" s="1290"/>
      <c r="G766" s="1302"/>
      <c r="H766" s="1322"/>
      <c r="I766" s="1322"/>
      <c r="J766" s="1322"/>
      <c r="K766" s="1322"/>
      <c r="L766" s="1322"/>
      <c r="M766" s="1322"/>
      <c r="N766" s="1353"/>
      <c r="O766" s="1326"/>
      <c r="P766" s="1322"/>
      <c r="Q766" s="1323"/>
      <c r="R766" s="1324"/>
      <c r="S766" s="1325"/>
      <c r="T766" s="1353"/>
      <c r="U766" s="1463"/>
      <c r="V766" s="1464"/>
      <c r="W766" s="1482"/>
      <c r="X766" s="1307"/>
    </row>
    <row r="767" spans="1:24" s="1308" customFormat="1" ht="15" customHeight="1" x14ac:dyDescent="0.25">
      <c r="A767" s="730"/>
      <c r="B767" s="1286">
        <f t="shared" si="31"/>
        <v>31</v>
      </c>
      <c r="C767" s="1775"/>
      <c r="D767" s="1758"/>
      <c r="E767" s="1448" t="s">
        <v>1297</v>
      </c>
      <c r="F767" s="1290"/>
      <c r="G767" s="1302"/>
      <c r="H767" s="1322"/>
      <c r="I767" s="1322"/>
      <c r="J767" s="1322"/>
      <c r="K767" s="1322"/>
      <c r="L767" s="1322"/>
      <c r="M767" s="1322"/>
      <c r="N767" s="1353"/>
      <c r="O767" s="1326"/>
      <c r="P767" s="1322"/>
      <c r="Q767" s="1323"/>
      <c r="R767" s="1324"/>
      <c r="S767" s="1325"/>
      <c r="T767" s="1353"/>
      <c r="U767" s="1463"/>
      <c r="V767" s="1464"/>
      <c r="W767" s="1482"/>
      <c r="X767" s="1307"/>
    </row>
    <row r="768" spans="1:24" s="1308" customFormat="1" ht="15" customHeight="1" x14ac:dyDescent="0.25">
      <c r="A768" s="730"/>
      <c r="B768" s="1286">
        <f t="shared" si="31"/>
        <v>32</v>
      </c>
      <c r="C768" s="1775"/>
      <c r="D768" s="1758"/>
      <c r="E768" s="1448" t="s">
        <v>1298</v>
      </c>
      <c r="F768" s="1290"/>
      <c r="G768" s="1302"/>
      <c r="H768" s="1322"/>
      <c r="I768" s="1322"/>
      <c r="J768" s="1322"/>
      <c r="K768" s="1322"/>
      <c r="L768" s="1322"/>
      <c r="M768" s="1322"/>
      <c r="N768" s="1353"/>
      <c r="O768" s="1326"/>
      <c r="P768" s="1322"/>
      <c r="Q768" s="1323"/>
      <c r="R768" s="1324"/>
      <c r="S768" s="1325"/>
      <c r="T768" s="1353"/>
      <c r="U768" s="1463"/>
      <c r="V768" s="1464"/>
      <c r="W768" s="1482"/>
      <c r="X768" s="1307"/>
    </row>
    <row r="769" spans="1:24" s="1308" customFormat="1" ht="15" customHeight="1" x14ac:dyDescent="0.25">
      <c r="A769" s="730"/>
      <c r="B769" s="1286">
        <f t="shared" si="31"/>
        <v>33</v>
      </c>
      <c r="C769" s="1775"/>
      <c r="D769" s="1758" t="s">
        <v>1674</v>
      </c>
      <c r="E769" s="1448" t="s">
        <v>1625</v>
      </c>
      <c r="F769" s="1290"/>
      <c r="G769" s="1302"/>
      <c r="H769" s="1322"/>
      <c r="I769" s="1322"/>
      <c r="J769" s="1322"/>
      <c r="K769" s="1322"/>
      <c r="L769" s="1322"/>
      <c r="M769" s="1322"/>
      <c r="N769" s="1353"/>
      <c r="O769" s="1326"/>
      <c r="P769" s="1322"/>
      <c r="Q769" s="1323"/>
      <c r="R769" s="1324"/>
      <c r="S769" s="1325"/>
      <c r="T769" s="1353"/>
      <c r="U769" s="1463"/>
      <c r="V769" s="1464"/>
      <c r="W769" s="1482"/>
      <c r="X769" s="1307"/>
    </row>
    <row r="770" spans="1:24" s="1308" customFormat="1" ht="15" customHeight="1" x14ac:dyDescent="0.25">
      <c r="A770" s="730"/>
      <c r="B770" s="1286">
        <f t="shared" si="31"/>
        <v>34</v>
      </c>
      <c r="C770" s="1775"/>
      <c r="D770" s="1758"/>
      <c r="E770" s="1448" t="s">
        <v>1299</v>
      </c>
      <c r="F770" s="1290"/>
      <c r="G770" s="1302"/>
      <c r="H770" s="1322"/>
      <c r="I770" s="1322"/>
      <c r="J770" s="1322"/>
      <c r="K770" s="1322"/>
      <c r="L770" s="1322"/>
      <c r="M770" s="1322"/>
      <c r="N770" s="1353"/>
      <c r="O770" s="1326"/>
      <c r="P770" s="1322"/>
      <c r="Q770" s="1323"/>
      <c r="R770" s="1324"/>
      <c r="S770" s="1325"/>
      <c r="T770" s="1353"/>
      <c r="U770" s="1463"/>
      <c r="V770" s="1464"/>
      <c r="W770" s="1482"/>
      <c r="X770" s="1307"/>
    </row>
    <row r="771" spans="1:24" s="1308" customFormat="1" ht="15" customHeight="1" x14ac:dyDescent="0.25">
      <c r="A771" s="730"/>
      <c r="B771" s="1286">
        <f t="shared" si="31"/>
        <v>35</v>
      </c>
      <c r="C771" s="1775"/>
      <c r="D771" s="1758"/>
      <c r="E771" s="1448" t="s">
        <v>1297</v>
      </c>
      <c r="F771" s="1290"/>
      <c r="G771" s="1302"/>
      <c r="H771" s="1322"/>
      <c r="I771" s="1322"/>
      <c r="J771" s="1322"/>
      <c r="K771" s="1322"/>
      <c r="L771" s="1322"/>
      <c r="M771" s="1322"/>
      <c r="N771" s="1353"/>
      <c r="O771" s="1326"/>
      <c r="P771" s="1322"/>
      <c r="Q771" s="1323"/>
      <c r="R771" s="1324"/>
      <c r="S771" s="1325"/>
      <c r="T771" s="1353"/>
      <c r="U771" s="1463"/>
      <c r="V771" s="1464"/>
      <c r="W771" s="1482"/>
      <c r="X771" s="1307"/>
    </row>
    <row r="772" spans="1:24" s="1308" customFormat="1" ht="15" customHeight="1" x14ac:dyDescent="0.25">
      <c r="A772" s="730"/>
      <c r="B772" s="1286">
        <f t="shared" si="31"/>
        <v>36</v>
      </c>
      <c r="C772" s="1775"/>
      <c r="D772" s="1758"/>
      <c r="E772" s="1448" t="s">
        <v>1298</v>
      </c>
      <c r="F772" s="1290"/>
      <c r="G772" s="1302"/>
      <c r="H772" s="1322"/>
      <c r="I772" s="1322"/>
      <c r="J772" s="1322"/>
      <c r="K772" s="1322"/>
      <c r="L772" s="1322"/>
      <c r="M772" s="1322"/>
      <c r="N772" s="1353"/>
      <c r="O772" s="1326"/>
      <c r="P772" s="1322"/>
      <c r="Q772" s="1323"/>
      <c r="R772" s="1324"/>
      <c r="S772" s="1325"/>
      <c r="T772" s="1353"/>
      <c r="U772" s="1463"/>
      <c r="V772" s="1464"/>
      <c r="W772" s="1482"/>
      <c r="X772" s="1307"/>
    </row>
    <row r="773" spans="1:24" s="1308" customFormat="1" ht="15" customHeight="1" x14ac:dyDescent="0.25">
      <c r="A773" s="730"/>
      <c r="B773" s="1286">
        <f t="shared" si="31"/>
        <v>37</v>
      </c>
      <c r="C773" s="1775"/>
      <c r="D773" s="1758" t="s">
        <v>1675</v>
      </c>
      <c r="E773" s="1448" t="s">
        <v>1625</v>
      </c>
      <c r="F773" s="1290"/>
      <c r="G773" s="1302"/>
      <c r="H773" s="1322"/>
      <c r="I773" s="1322"/>
      <c r="J773" s="1322"/>
      <c r="K773" s="1322"/>
      <c r="L773" s="1322"/>
      <c r="M773" s="1322"/>
      <c r="N773" s="1353"/>
      <c r="O773" s="1326"/>
      <c r="P773" s="1322"/>
      <c r="Q773" s="1323"/>
      <c r="R773" s="1324"/>
      <c r="S773" s="1325"/>
      <c r="T773" s="1353"/>
      <c r="U773" s="1463"/>
      <c r="V773" s="1464"/>
      <c r="W773" s="1482"/>
      <c r="X773" s="1307"/>
    </row>
    <row r="774" spans="1:24" s="1308" customFormat="1" ht="15" customHeight="1" x14ac:dyDescent="0.25">
      <c r="A774" s="730"/>
      <c r="B774" s="1286">
        <f t="shared" si="31"/>
        <v>38</v>
      </c>
      <c r="C774" s="1775"/>
      <c r="D774" s="1758"/>
      <c r="E774" s="1448" t="s">
        <v>1299</v>
      </c>
      <c r="F774" s="1290"/>
      <c r="G774" s="1302"/>
      <c r="H774" s="1322"/>
      <c r="I774" s="1322"/>
      <c r="J774" s="1322"/>
      <c r="K774" s="1322"/>
      <c r="L774" s="1322"/>
      <c r="M774" s="1322"/>
      <c r="N774" s="1353"/>
      <c r="O774" s="1326"/>
      <c r="P774" s="1322"/>
      <c r="Q774" s="1323"/>
      <c r="R774" s="1324"/>
      <c r="S774" s="1325"/>
      <c r="T774" s="1353"/>
      <c r="U774" s="1463"/>
      <c r="V774" s="1464"/>
      <c r="W774" s="1482"/>
      <c r="X774" s="1307"/>
    </row>
    <row r="775" spans="1:24" s="1308" customFormat="1" ht="15" customHeight="1" x14ac:dyDescent="0.25">
      <c r="A775" s="730"/>
      <c r="B775" s="1286">
        <f t="shared" si="31"/>
        <v>39</v>
      </c>
      <c r="C775" s="1775"/>
      <c r="D775" s="1758"/>
      <c r="E775" s="1448" t="s">
        <v>1297</v>
      </c>
      <c r="F775" s="1290"/>
      <c r="G775" s="1302"/>
      <c r="H775" s="1322"/>
      <c r="I775" s="1322"/>
      <c r="J775" s="1322"/>
      <c r="K775" s="1322"/>
      <c r="L775" s="1322"/>
      <c r="M775" s="1322"/>
      <c r="N775" s="1353"/>
      <c r="O775" s="1326"/>
      <c r="P775" s="1322"/>
      <c r="Q775" s="1323"/>
      <c r="R775" s="1324"/>
      <c r="S775" s="1325"/>
      <c r="T775" s="1353"/>
      <c r="U775" s="1463"/>
      <c r="V775" s="1464"/>
      <c r="W775" s="1482"/>
      <c r="X775" s="1307"/>
    </row>
    <row r="776" spans="1:24" s="1308" customFormat="1" ht="15" customHeight="1" x14ac:dyDescent="0.25">
      <c r="A776" s="730"/>
      <c r="B776" s="1287">
        <f t="shared" si="31"/>
        <v>40</v>
      </c>
      <c r="C776" s="1776"/>
      <c r="D776" s="1760"/>
      <c r="E776" s="1449" t="s">
        <v>1298</v>
      </c>
      <c r="F776" s="1291"/>
      <c r="G776" s="1327"/>
      <c r="H776" s="1303"/>
      <c r="I776" s="1303"/>
      <c r="J776" s="1303"/>
      <c r="K776" s="1303"/>
      <c r="L776" s="1303"/>
      <c r="M776" s="1303"/>
      <c r="N776" s="1351"/>
      <c r="O776" s="1328"/>
      <c r="P776" s="1303"/>
      <c r="Q776" s="1304"/>
      <c r="R776" s="1305"/>
      <c r="S776" s="1306"/>
      <c r="T776" s="1351"/>
      <c r="U776" s="1466"/>
      <c r="V776" s="1467"/>
      <c r="W776" s="1483"/>
      <c r="X776" s="1307"/>
    </row>
    <row r="777" spans="1:24" s="1308" customFormat="1" ht="15" customHeight="1" x14ac:dyDescent="0.25">
      <c r="A777" s="730"/>
      <c r="B777" s="1285">
        <f t="shared" si="31"/>
        <v>41</v>
      </c>
      <c r="C777" s="1774" t="s">
        <v>1300</v>
      </c>
      <c r="D777" s="1763" t="s">
        <v>1673</v>
      </c>
      <c r="E777" s="1450" t="s">
        <v>1625</v>
      </c>
      <c r="F777" s="1289"/>
      <c r="G777" s="1316"/>
      <c r="H777" s="1317"/>
      <c r="I777" s="1317"/>
      <c r="J777" s="1317"/>
      <c r="K777" s="1317"/>
      <c r="L777" s="1317"/>
      <c r="M777" s="1317"/>
      <c r="N777" s="1349"/>
      <c r="O777" s="1321"/>
      <c r="P777" s="1317"/>
      <c r="Q777" s="1318"/>
      <c r="R777" s="1319"/>
      <c r="S777" s="1320"/>
      <c r="T777" s="1349"/>
      <c r="U777" s="1460"/>
      <c r="V777" s="1461"/>
      <c r="W777" s="1481"/>
      <c r="X777" s="1307"/>
    </row>
    <row r="778" spans="1:24" s="1308" customFormat="1" ht="15" customHeight="1" x14ac:dyDescent="0.25">
      <c r="A778" s="730"/>
      <c r="B778" s="1286">
        <f t="shared" si="31"/>
        <v>42</v>
      </c>
      <c r="C778" s="1775"/>
      <c r="D778" s="1758"/>
      <c r="E778" s="1448" t="s">
        <v>1299</v>
      </c>
      <c r="F778" s="1290"/>
      <c r="G778" s="1302"/>
      <c r="H778" s="1322"/>
      <c r="I778" s="1322"/>
      <c r="J778" s="1322"/>
      <c r="K778" s="1322"/>
      <c r="L778" s="1322"/>
      <c r="M778" s="1322"/>
      <c r="N778" s="1353"/>
      <c r="O778" s="1326"/>
      <c r="P778" s="1322"/>
      <c r="Q778" s="1323"/>
      <c r="R778" s="1324"/>
      <c r="S778" s="1325"/>
      <c r="T778" s="1353"/>
      <c r="U778" s="1463"/>
      <c r="V778" s="1464"/>
      <c r="W778" s="1482"/>
      <c r="X778" s="1307"/>
    </row>
    <row r="779" spans="1:24" s="1308" customFormat="1" ht="15" customHeight="1" x14ac:dyDescent="0.25">
      <c r="A779" s="730"/>
      <c r="B779" s="1286">
        <f t="shared" si="31"/>
        <v>43</v>
      </c>
      <c r="C779" s="1775"/>
      <c r="D779" s="1758"/>
      <c r="E779" s="1448" t="s">
        <v>1297</v>
      </c>
      <c r="F779" s="1290"/>
      <c r="G779" s="1302"/>
      <c r="H779" s="1322"/>
      <c r="I779" s="1322"/>
      <c r="J779" s="1322"/>
      <c r="K779" s="1322"/>
      <c r="L779" s="1322"/>
      <c r="M779" s="1322"/>
      <c r="N779" s="1353"/>
      <c r="O779" s="1326"/>
      <c r="P779" s="1322"/>
      <c r="Q779" s="1323"/>
      <c r="R779" s="1324"/>
      <c r="S779" s="1325"/>
      <c r="T779" s="1353"/>
      <c r="U779" s="1463"/>
      <c r="V779" s="1464"/>
      <c r="W779" s="1482"/>
      <c r="X779" s="1307"/>
    </row>
    <row r="780" spans="1:24" s="1308" customFormat="1" ht="15" customHeight="1" x14ac:dyDescent="0.25">
      <c r="A780" s="730"/>
      <c r="B780" s="1286">
        <f t="shared" si="31"/>
        <v>44</v>
      </c>
      <c r="C780" s="1775"/>
      <c r="D780" s="1758"/>
      <c r="E780" s="1448" t="s">
        <v>1298</v>
      </c>
      <c r="F780" s="1290"/>
      <c r="G780" s="1302"/>
      <c r="H780" s="1322"/>
      <c r="I780" s="1322"/>
      <c r="J780" s="1322"/>
      <c r="K780" s="1322"/>
      <c r="L780" s="1322"/>
      <c r="M780" s="1322"/>
      <c r="N780" s="1353"/>
      <c r="O780" s="1326"/>
      <c r="P780" s="1322"/>
      <c r="Q780" s="1323"/>
      <c r="R780" s="1324"/>
      <c r="S780" s="1325"/>
      <c r="T780" s="1353"/>
      <c r="U780" s="1463"/>
      <c r="V780" s="1464"/>
      <c r="W780" s="1482"/>
      <c r="X780" s="1307"/>
    </row>
    <row r="781" spans="1:24" s="1308" customFormat="1" ht="15" customHeight="1" x14ac:dyDescent="0.25">
      <c r="A781" s="730"/>
      <c r="B781" s="1286">
        <f t="shared" si="31"/>
        <v>45</v>
      </c>
      <c r="C781" s="1775"/>
      <c r="D781" s="1758" t="s">
        <v>1676</v>
      </c>
      <c r="E781" s="1448" t="s">
        <v>1625</v>
      </c>
      <c r="F781" s="1290"/>
      <c r="G781" s="1302"/>
      <c r="H781" s="1322"/>
      <c r="I781" s="1322"/>
      <c r="J781" s="1322"/>
      <c r="K781" s="1322"/>
      <c r="L781" s="1322"/>
      <c r="M781" s="1322"/>
      <c r="N781" s="1353"/>
      <c r="O781" s="1326"/>
      <c r="P781" s="1322"/>
      <c r="Q781" s="1323"/>
      <c r="R781" s="1324"/>
      <c r="S781" s="1325"/>
      <c r="T781" s="1353"/>
      <c r="U781" s="1463"/>
      <c r="V781" s="1464"/>
      <c r="W781" s="1482"/>
      <c r="X781" s="1307"/>
    </row>
    <row r="782" spans="1:24" s="1308" customFormat="1" ht="15" customHeight="1" x14ac:dyDescent="0.25">
      <c r="A782" s="730"/>
      <c r="B782" s="1286">
        <f t="shared" si="31"/>
        <v>46</v>
      </c>
      <c r="C782" s="1775"/>
      <c r="D782" s="1758"/>
      <c r="E782" s="1448" t="s">
        <v>1299</v>
      </c>
      <c r="F782" s="1290"/>
      <c r="G782" s="1302"/>
      <c r="H782" s="1322"/>
      <c r="I782" s="1322"/>
      <c r="J782" s="1322"/>
      <c r="K782" s="1322"/>
      <c r="L782" s="1322"/>
      <c r="M782" s="1322"/>
      <c r="N782" s="1353"/>
      <c r="O782" s="1326"/>
      <c r="P782" s="1322"/>
      <c r="Q782" s="1323"/>
      <c r="R782" s="1324"/>
      <c r="S782" s="1325"/>
      <c r="T782" s="1353"/>
      <c r="U782" s="1463"/>
      <c r="V782" s="1464"/>
      <c r="W782" s="1482"/>
      <c r="X782" s="1307"/>
    </row>
    <row r="783" spans="1:24" s="1308" customFormat="1" ht="15" customHeight="1" x14ac:dyDescent="0.25">
      <c r="A783" s="730"/>
      <c r="B783" s="1286">
        <f t="shared" si="31"/>
        <v>47</v>
      </c>
      <c r="C783" s="1775"/>
      <c r="D783" s="1758"/>
      <c r="E783" s="1448" t="s">
        <v>1297</v>
      </c>
      <c r="F783" s="1290"/>
      <c r="G783" s="1302"/>
      <c r="H783" s="1322"/>
      <c r="I783" s="1322"/>
      <c r="J783" s="1322"/>
      <c r="K783" s="1322"/>
      <c r="L783" s="1322"/>
      <c r="M783" s="1322"/>
      <c r="N783" s="1353"/>
      <c r="O783" s="1326"/>
      <c r="P783" s="1322"/>
      <c r="Q783" s="1323"/>
      <c r="R783" s="1324"/>
      <c r="S783" s="1325"/>
      <c r="T783" s="1353"/>
      <c r="U783" s="1463"/>
      <c r="V783" s="1464"/>
      <c r="W783" s="1482"/>
      <c r="X783" s="1307"/>
    </row>
    <row r="784" spans="1:24" s="1308" customFormat="1" ht="15" customHeight="1" x14ac:dyDescent="0.25">
      <c r="A784" s="730"/>
      <c r="B784" s="1286">
        <f t="shared" si="31"/>
        <v>48</v>
      </c>
      <c r="C784" s="1775"/>
      <c r="D784" s="1758"/>
      <c r="E784" s="1448" t="s">
        <v>1298</v>
      </c>
      <c r="F784" s="1290"/>
      <c r="G784" s="1302"/>
      <c r="H784" s="1322"/>
      <c r="I784" s="1322"/>
      <c r="J784" s="1322"/>
      <c r="K784" s="1322"/>
      <c r="L784" s="1322"/>
      <c r="M784" s="1322"/>
      <c r="N784" s="1353"/>
      <c r="O784" s="1326"/>
      <c r="P784" s="1322"/>
      <c r="Q784" s="1323"/>
      <c r="R784" s="1324"/>
      <c r="S784" s="1325"/>
      <c r="T784" s="1353"/>
      <c r="U784" s="1463"/>
      <c r="V784" s="1464"/>
      <c r="W784" s="1482"/>
      <c r="X784" s="1307"/>
    </row>
    <row r="785" spans="1:24" s="1308" customFormat="1" ht="15" customHeight="1" x14ac:dyDescent="0.25">
      <c r="A785" s="730"/>
      <c r="B785" s="1286">
        <f t="shared" si="31"/>
        <v>49</v>
      </c>
      <c r="C785" s="1775"/>
      <c r="D785" s="1758" t="s">
        <v>1677</v>
      </c>
      <c r="E785" s="1448" t="s">
        <v>1625</v>
      </c>
      <c r="F785" s="1290"/>
      <c r="G785" s="1302"/>
      <c r="H785" s="1322"/>
      <c r="I785" s="1322"/>
      <c r="J785" s="1322"/>
      <c r="K785" s="1322"/>
      <c r="L785" s="1322"/>
      <c r="M785" s="1322"/>
      <c r="N785" s="1353"/>
      <c r="O785" s="1326"/>
      <c r="P785" s="1322"/>
      <c r="Q785" s="1323"/>
      <c r="R785" s="1324"/>
      <c r="S785" s="1325"/>
      <c r="T785" s="1353"/>
      <c r="U785" s="1463"/>
      <c r="V785" s="1464"/>
      <c r="W785" s="1482"/>
      <c r="X785" s="1307"/>
    </row>
    <row r="786" spans="1:24" s="1308" customFormat="1" ht="15" customHeight="1" x14ac:dyDescent="0.25">
      <c r="A786" s="730"/>
      <c r="B786" s="1286">
        <f t="shared" si="31"/>
        <v>50</v>
      </c>
      <c r="C786" s="1775"/>
      <c r="D786" s="1758"/>
      <c r="E786" s="1448" t="s">
        <v>1299</v>
      </c>
      <c r="F786" s="1290"/>
      <c r="G786" s="1302"/>
      <c r="H786" s="1322"/>
      <c r="I786" s="1322"/>
      <c r="J786" s="1322"/>
      <c r="K786" s="1322"/>
      <c r="L786" s="1322"/>
      <c r="M786" s="1322"/>
      <c r="N786" s="1353"/>
      <c r="O786" s="1326"/>
      <c r="P786" s="1322"/>
      <c r="Q786" s="1323"/>
      <c r="R786" s="1324"/>
      <c r="S786" s="1325"/>
      <c r="T786" s="1353"/>
      <c r="U786" s="1463"/>
      <c r="V786" s="1464"/>
      <c r="W786" s="1482"/>
      <c r="X786" s="1307"/>
    </row>
    <row r="787" spans="1:24" s="1308" customFormat="1" ht="15" customHeight="1" x14ac:dyDescent="0.25">
      <c r="A787" s="730"/>
      <c r="B787" s="1286">
        <f t="shared" si="31"/>
        <v>51</v>
      </c>
      <c r="C787" s="1775"/>
      <c r="D787" s="1758"/>
      <c r="E787" s="1448" t="s">
        <v>1297</v>
      </c>
      <c r="F787" s="1290"/>
      <c r="G787" s="1302"/>
      <c r="H787" s="1322"/>
      <c r="I787" s="1322"/>
      <c r="J787" s="1322"/>
      <c r="K787" s="1322"/>
      <c r="L787" s="1322"/>
      <c r="M787" s="1322"/>
      <c r="N787" s="1353"/>
      <c r="O787" s="1326"/>
      <c r="P787" s="1322"/>
      <c r="Q787" s="1323"/>
      <c r="R787" s="1324"/>
      <c r="S787" s="1325"/>
      <c r="T787" s="1353"/>
      <c r="U787" s="1463"/>
      <c r="V787" s="1464"/>
      <c r="W787" s="1482"/>
      <c r="X787" s="1307"/>
    </row>
    <row r="788" spans="1:24" s="1308" customFormat="1" ht="15" customHeight="1" x14ac:dyDescent="0.25">
      <c r="A788" s="730"/>
      <c r="B788" s="1286">
        <f t="shared" si="31"/>
        <v>52</v>
      </c>
      <c r="C788" s="1775"/>
      <c r="D788" s="1758"/>
      <c r="E788" s="1448" t="s">
        <v>1298</v>
      </c>
      <c r="F788" s="1290"/>
      <c r="G788" s="1302"/>
      <c r="H788" s="1322"/>
      <c r="I788" s="1322"/>
      <c r="J788" s="1322"/>
      <c r="K788" s="1322"/>
      <c r="L788" s="1322"/>
      <c r="M788" s="1322"/>
      <c r="N788" s="1353"/>
      <c r="O788" s="1326"/>
      <c r="P788" s="1322"/>
      <c r="Q788" s="1323"/>
      <c r="R788" s="1324"/>
      <c r="S788" s="1325"/>
      <c r="T788" s="1353"/>
      <c r="U788" s="1463"/>
      <c r="V788" s="1464"/>
      <c r="W788" s="1482"/>
      <c r="X788" s="1307"/>
    </row>
    <row r="789" spans="1:24" s="1308" customFormat="1" ht="15" customHeight="1" x14ac:dyDescent="0.25">
      <c r="A789" s="730"/>
      <c r="B789" s="1286">
        <f t="shared" si="31"/>
        <v>53</v>
      </c>
      <c r="C789" s="1775"/>
      <c r="D789" s="1758" t="s">
        <v>1674</v>
      </c>
      <c r="E789" s="1448" t="s">
        <v>1625</v>
      </c>
      <c r="F789" s="1290"/>
      <c r="G789" s="1302"/>
      <c r="H789" s="1322"/>
      <c r="I789" s="1322"/>
      <c r="J789" s="1322"/>
      <c r="K789" s="1322"/>
      <c r="L789" s="1322"/>
      <c r="M789" s="1322"/>
      <c r="N789" s="1353"/>
      <c r="O789" s="1326"/>
      <c r="P789" s="1322"/>
      <c r="Q789" s="1323"/>
      <c r="R789" s="1324"/>
      <c r="S789" s="1325"/>
      <c r="T789" s="1353"/>
      <c r="U789" s="1463"/>
      <c r="V789" s="1464"/>
      <c r="W789" s="1482"/>
      <c r="X789" s="1307"/>
    </row>
    <row r="790" spans="1:24" s="1308" customFormat="1" ht="15" customHeight="1" x14ac:dyDescent="0.25">
      <c r="A790" s="730"/>
      <c r="B790" s="1286">
        <f t="shared" si="31"/>
        <v>54</v>
      </c>
      <c r="C790" s="1775"/>
      <c r="D790" s="1758"/>
      <c r="E790" s="1448" t="s">
        <v>1299</v>
      </c>
      <c r="F790" s="1290"/>
      <c r="G790" s="1302"/>
      <c r="H790" s="1322"/>
      <c r="I790" s="1322"/>
      <c r="J790" s="1322"/>
      <c r="K790" s="1322"/>
      <c r="L790" s="1322"/>
      <c r="M790" s="1322"/>
      <c r="N790" s="1353"/>
      <c r="O790" s="1326"/>
      <c r="P790" s="1322"/>
      <c r="Q790" s="1323"/>
      <c r="R790" s="1324"/>
      <c r="S790" s="1325"/>
      <c r="T790" s="1353"/>
      <c r="U790" s="1463"/>
      <c r="V790" s="1464"/>
      <c r="W790" s="1482"/>
      <c r="X790" s="1307"/>
    </row>
    <row r="791" spans="1:24" s="1308" customFormat="1" ht="15" customHeight="1" x14ac:dyDescent="0.25">
      <c r="A791" s="730"/>
      <c r="B791" s="1286">
        <f t="shared" si="31"/>
        <v>55</v>
      </c>
      <c r="C791" s="1775"/>
      <c r="D791" s="1758"/>
      <c r="E791" s="1448" t="s">
        <v>1297</v>
      </c>
      <c r="F791" s="1290"/>
      <c r="G791" s="1302"/>
      <c r="H791" s="1322"/>
      <c r="I791" s="1322"/>
      <c r="J791" s="1322"/>
      <c r="K791" s="1322"/>
      <c r="L791" s="1322"/>
      <c r="M791" s="1322"/>
      <c r="N791" s="1353"/>
      <c r="O791" s="1326"/>
      <c r="P791" s="1322"/>
      <c r="Q791" s="1323"/>
      <c r="R791" s="1324"/>
      <c r="S791" s="1325"/>
      <c r="T791" s="1353"/>
      <c r="U791" s="1463"/>
      <c r="V791" s="1464"/>
      <c r="W791" s="1482"/>
      <c r="X791" s="1307"/>
    </row>
    <row r="792" spans="1:24" s="1308" customFormat="1" ht="15" customHeight="1" x14ac:dyDescent="0.25">
      <c r="A792" s="730"/>
      <c r="B792" s="1286">
        <f t="shared" si="31"/>
        <v>56</v>
      </c>
      <c r="C792" s="1775"/>
      <c r="D792" s="1758"/>
      <c r="E792" s="1448" t="s">
        <v>1298</v>
      </c>
      <c r="F792" s="1290"/>
      <c r="G792" s="1302"/>
      <c r="H792" s="1322"/>
      <c r="I792" s="1322"/>
      <c r="J792" s="1322"/>
      <c r="K792" s="1322"/>
      <c r="L792" s="1322"/>
      <c r="M792" s="1322"/>
      <c r="N792" s="1353"/>
      <c r="O792" s="1326"/>
      <c r="P792" s="1322"/>
      <c r="Q792" s="1323"/>
      <c r="R792" s="1324"/>
      <c r="S792" s="1325"/>
      <c r="T792" s="1353"/>
      <c r="U792" s="1463"/>
      <c r="V792" s="1464"/>
      <c r="W792" s="1482"/>
      <c r="X792" s="1307"/>
    </row>
    <row r="793" spans="1:24" s="1308" customFormat="1" ht="15" customHeight="1" x14ac:dyDescent="0.25">
      <c r="A793" s="730"/>
      <c r="B793" s="1286">
        <f t="shared" si="31"/>
        <v>57</v>
      </c>
      <c r="C793" s="1775"/>
      <c r="D793" s="1758" t="s">
        <v>1675</v>
      </c>
      <c r="E793" s="1448" t="s">
        <v>1625</v>
      </c>
      <c r="F793" s="1290"/>
      <c r="G793" s="1302"/>
      <c r="H793" s="1322"/>
      <c r="I793" s="1322"/>
      <c r="J793" s="1322"/>
      <c r="K793" s="1322"/>
      <c r="L793" s="1322"/>
      <c r="M793" s="1322"/>
      <c r="N793" s="1353"/>
      <c r="O793" s="1326"/>
      <c r="P793" s="1322"/>
      <c r="Q793" s="1323"/>
      <c r="R793" s="1324"/>
      <c r="S793" s="1325"/>
      <c r="T793" s="1353"/>
      <c r="U793" s="1463"/>
      <c r="V793" s="1464"/>
      <c r="W793" s="1482"/>
      <c r="X793" s="1307"/>
    </row>
    <row r="794" spans="1:24" s="1308" customFormat="1" ht="15" customHeight="1" x14ac:dyDescent="0.25">
      <c r="A794" s="730"/>
      <c r="B794" s="1286">
        <f t="shared" si="31"/>
        <v>58</v>
      </c>
      <c r="C794" s="1775"/>
      <c r="D794" s="1758"/>
      <c r="E794" s="1448" t="s">
        <v>1299</v>
      </c>
      <c r="F794" s="1290"/>
      <c r="G794" s="1302"/>
      <c r="H794" s="1322"/>
      <c r="I794" s="1322"/>
      <c r="J794" s="1322"/>
      <c r="K794" s="1322"/>
      <c r="L794" s="1322"/>
      <c r="M794" s="1322"/>
      <c r="N794" s="1353"/>
      <c r="O794" s="1326"/>
      <c r="P794" s="1322"/>
      <c r="Q794" s="1323"/>
      <c r="R794" s="1324"/>
      <c r="S794" s="1325"/>
      <c r="T794" s="1353"/>
      <c r="U794" s="1463"/>
      <c r="V794" s="1464"/>
      <c r="W794" s="1482"/>
      <c r="X794" s="1307"/>
    </row>
    <row r="795" spans="1:24" s="1308" customFormat="1" ht="15" customHeight="1" x14ac:dyDescent="0.25">
      <c r="A795" s="730"/>
      <c r="B795" s="1286">
        <f t="shared" si="31"/>
        <v>59</v>
      </c>
      <c r="C795" s="1775"/>
      <c r="D795" s="1758"/>
      <c r="E795" s="1448" t="s">
        <v>1297</v>
      </c>
      <c r="F795" s="1290"/>
      <c r="G795" s="1302"/>
      <c r="H795" s="1322"/>
      <c r="I795" s="1322"/>
      <c r="J795" s="1322"/>
      <c r="K795" s="1322"/>
      <c r="L795" s="1322"/>
      <c r="M795" s="1322"/>
      <c r="N795" s="1353"/>
      <c r="O795" s="1326"/>
      <c r="P795" s="1322"/>
      <c r="Q795" s="1323"/>
      <c r="R795" s="1324"/>
      <c r="S795" s="1325"/>
      <c r="T795" s="1353"/>
      <c r="U795" s="1463"/>
      <c r="V795" s="1464"/>
      <c r="W795" s="1482"/>
      <c r="X795" s="1307"/>
    </row>
    <row r="796" spans="1:24" s="1308" customFormat="1" ht="15" customHeight="1" x14ac:dyDescent="0.25">
      <c r="A796" s="730"/>
      <c r="B796" s="1287">
        <f t="shared" si="31"/>
        <v>60</v>
      </c>
      <c r="C796" s="1776"/>
      <c r="D796" s="1760"/>
      <c r="E796" s="1449" t="s">
        <v>1298</v>
      </c>
      <c r="F796" s="1291"/>
      <c r="G796" s="1327"/>
      <c r="H796" s="1303"/>
      <c r="I796" s="1303"/>
      <c r="J796" s="1303"/>
      <c r="K796" s="1303"/>
      <c r="L796" s="1303"/>
      <c r="M796" s="1303"/>
      <c r="N796" s="1351"/>
      <c r="O796" s="1328"/>
      <c r="P796" s="1303"/>
      <c r="Q796" s="1304"/>
      <c r="R796" s="1305"/>
      <c r="S796" s="1306"/>
      <c r="T796" s="1351"/>
      <c r="U796" s="1466"/>
      <c r="V796" s="1467"/>
      <c r="W796" s="1483"/>
      <c r="X796" s="1307"/>
    </row>
    <row r="797" spans="1:24" s="1308" customFormat="1" ht="15" customHeight="1" x14ac:dyDescent="0.25">
      <c r="A797" s="730"/>
      <c r="B797" s="1285">
        <f t="shared" si="31"/>
        <v>61</v>
      </c>
      <c r="C797" s="1774" t="s">
        <v>1301</v>
      </c>
      <c r="D797" s="1763" t="s">
        <v>1673</v>
      </c>
      <c r="E797" s="1450" t="s">
        <v>1625</v>
      </c>
      <c r="F797" s="1289"/>
      <c r="G797" s="1316"/>
      <c r="H797" s="1317"/>
      <c r="I797" s="1317"/>
      <c r="J797" s="1317"/>
      <c r="K797" s="1317"/>
      <c r="L797" s="1317"/>
      <c r="M797" s="1317"/>
      <c r="N797" s="1349"/>
      <c r="O797" s="1321"/>
      <c r="P797" s="1317"/>
      <c r="Q797" s="1318"/>
      <c r="R797" s="1319"/>
      <c r="S797" s="1320"/>
      <c r="T797" s="1349"/>
      <c r="U797" s="1460"/>
      <c r="V797" s="1461"/>
      <c r="W797" s="1481"/>
      <c r="X797" s="1307"/>
    </row>
    <row r="798" spans="1:24" s="1308" customFormat="1" ht="15" customHeight="1" x14ac:dyDescent="0.25">
      <c r="A798" s="730"/>
      <c r="B798" s="1286">
        <f t="shared" si="31"/>
        <v>62</v>
      </c>
      <c r="C798" s="1775"/>
      <c r="D798" s="1758"/>
      <c r="E798" s="1448" t="s">
        <v>1299</v>
      </c>
      <c r="F798" s="1290"/>
      <c r="G798" s="1302"/>
      <c r="H798" s="1322"/>
      <c r="I798" s="1322"/>
      <c r="J798" s="1322"/>
      <c r="K798" s="1322"/>
      <c r="L798" s="1322"/>
      <c r="M798" s="1322"/>
      <c r="N798" s="1353"/>
      <c r="O798" s="1326"/>
      <c r="P798" s="1322"/>
      <c r="Q798" s="1323"/>
      <c r="R798" s="1324"/>
      <c r="S798" s="1325"/>
      <c r="T798" s="1353"/>
      <c r="U798" s="1463"/>
      <c r="V798" s="1464"/>
      <c r="W798" s="1482"/>
      <c r="X798" s="1307"/>
    </row>
    <row r="799" spans="1:24" s="1308" customFormat="1" ht="15" customHeight="1" x14ac:dyDescent="0.25">
      <c r="A799" s="730"/>
      <c r="B799" s="1286">
        <f t="shared" si="31"/>
        <v>63</v>
      </c>
      <c r="C799" s="1775"/>
      <c r="D799" s="1758"/>
      <c r="E799" s="1448" t="s">
        <v>1297</v>
      </c>
      <c r="F799" s="1290"/>
      <c r="G799" s="1302"/>
      <c r="H799" s="1322"/>
      <c r="I799" s="1322"/>
      <c r="J799" s="1322"/>
      <c r="K799" s="1322"/>
      <c r="L799" s="1322"/>
      <c r="M799" s="1322"/>
      <c r="N799" s="1353"/>
      <c r="O799" s="1326"/>
      <c r="P799" s="1322"/>
      <c r="Q799" s="1323"/>
      <c r="R799" s="1324"/>
      <c r="S799" s="1325"/>
      <c r="T799" s="1353"/>
      <c r="U799" s="1463"/>
      <c r="V799" s="1464"/>
      <c r="W799" s="1482"/>
      <c r="X799" s="1307"/>
    </row>
    <row r="800" spans="1:24" s="1308" customFormat="1" ht="15" customHeight="1" x14ac:dyDescent="0.25">
      <c r="A800" s="730"/>
      <c r="B800" s="1286">
        <f t="shared" si="31"/>
        <v>64</v>
      </c>
      <c r="C800" s="1775"/>
      <c r="D800" s="1758"/>
      <c r="E800" s="1448" t="s">
        <v>1298</v>
      </c>
      <c r="F800" s="1290"/>
      <c r="G800" s="1302"/>
      <c r="H800" s="1322"/>
      <c r="I800" s="1322"/>
      <c r="J800" s="1322"/>
      <c r="K800" s="1322"/>
      <c r="L800" s="1322"/>
      <c r="M800" s="1322"/>
      <c r="N800" s="1353"/>
      <c r="O800" s="1326"/>
      <c r="P800" s="1322"/>
      <c r="Q800" s="1323"/>
      <c r="R800" s="1324"/>
      <c r="S800" s="1325"/>
      <c r="T800" s="1353"/>
      <c r="U800" s="1463"/>
      <c r="V800" s="1464"/>
      <c r="W800" s="1482"/>
      <c r="X800" s="1307"/>
    </row>
    <row r="801" spans="1:24" s="1308" customFormat="1" ht="15" customHeight="1" x14ac:dyDescent="0.25">
      <c r="A801" s="730"/>
      <c r="B801" s="1286">
        <f t="shared" si="31"/>
        <v>65</v>
      </c>
      <c r="C801" s="1775"/>
      <c r="D801" s="1758" t="s">
        <v>1676</v>
      </c>
      <c r="E801" s="1448" t="s">
        <v>1625</v>
      </c>
      <c r="F801" s="1290"/>
      <c r="G801" s="1302"/>
      <c r="H801" s="1322"/>
      <c r="I801" s="1322"/>
      <c r="J801" s="1322"/>
      <c r="K801" s="1322"/>
      <c r="L801" s="1322"/>
      <c r="M801" s="1322"/>
      <c r="N801" s="1353"/>
      <c r="O801" s="1326"/>
      <c r="P801" s="1322"/>
      <c r="Q801" s="1323"/>
      <c r="R801" s="1324"/>
      <c r="S801" s="1325"/>
      <c r="T801" s="1353"/>
      <c r="U801" s="1463"/>
      <c r="V801" s="1464"/>
      <c r="W801" s="1482"/>
      <c r="X801" s="1307"/>
    </row>
    <row r="802" spans="1:24" s="1308" customFormat="1" ht="15" customHeight="1" x14ac:dyDescent="0.25">
      <c r="A802" s="730"/>
      <c r="B802" s="1286">
        <f t="shared" ref="B802:B856" si="32">B801+1</f>
        <v>66</v>
      </c>
      <c r="C802" s="1775"/>
      <c r="D802" s="1758"/>
      <c r="E802" s="1448" t="s">
        <v>1299</v>
      </c>
      <c r="F802" s="1290"/>
      <c r="G802" s="1302"/>
      <c r="H802" s="1322"/>
      <c r="I802" s="1322"/>
      <c r="J802" s="1322"/>
      <c r="K802" s="1322"/>
      <c r="L802" s="1322"/>
      <c r="M802" s="1322"/>
      <c r="N802" s="1353"/>
      <c r="O802" s="1326"/>
      <c r="P802" s="1322"/>
      <c r="Q802" s="1323"/>
      <c r="R802" s="1324"/>
      <c r="S802" s="1325"/>
      <c r="T802" s="1353"/>
      <c r="U802" s="1463"/>
      <c r="V802" s="1464"/>
      <c r="W802" s="1482"/>
      <c r="X802" s="1307"/>
    </row>
    <row r="803" spans="1:24" s="1308" customFormat="1" ht="15" customHeight="1" x14ac:dyDescent="0.25">
      <c r="A803" s="730"/>
      <c r="B803" s="1286">
        <f t="shared" si="32"/>
        <v>67</v>
      </c>
      <c r="C803" s="1775"/>
      <c r="D803" s="1758"/>
      <c r="E803" s="1448" t="s">
        <v>1297</v>
      </c>
      <c r="F803" s="1290"/>
      <c r="G803" s="1302"/>
      <c r="H803" s="1322"/>
      <c r="I803" s="1322"/>
      <c r="J803" s="1322"/>
      <c r="K803" s="1322"/>
      <c r="L803" s="1322"/>
      <c r="M803" s="1322"/>
      <c r="N803" s="1353"/>
      <c r="O803" s="1326"/>
      <c r="P803" s="1322"/>
      <c r="Q803" s="1323"/>
      <c r="R803" s="1324"/>
      <c r="S803" s="1325"/>
      <c r="T803" s="1353"/>
      <c r="U803" s="1463"/>
      <c r="V803" s="1464"/>
      <c r="W803" s="1482"/>
      <c r="X803" s="1307"/>
    </row>
    <row r="804" spans="1:24" s="1308" customFormat="1" ht="15" customHeight="1" x14ac:dyDescent="0.25">
      <c r="A804" s="730"/>
      <c r="B804" s="1286">
        <f t="shared" si="32"/>
        <v>68</v>
      </c>
      <c r="C804" s="1775"/>
      <c r="D804" s="1758"/>
      <c r="E804" s="1448" t="s">
        <v>1298</v>
      </c>
      <c r="F804" s="1290"/>
      <c r="G804" s="1302"/>
      <c r="H804" s="1322"/>
      <c r="I804" s="1322"/>
      <c r="J804" s="1322"/>
      <c r="K804" s="1322"/>
      <c r="L804" s="1322"/>
      <c r="M804" s="1322"/>
      <c r="N804" s="1353"/>
      <c r="O804" s="1326"/>
      <c r="P804" s="1322"/>
      <c r="Q804" s="1323"/>
      <c r="R804" s="1324"/>
      <c r="S804" s="1325"/>
      <c r="T804" s="1353"/>
      <c r="U804" s="1463"/>
      <c r="V804" s="1464"/>
      <c r="W804" s="1482"/>
      <c r="X804" s="1307"/>
    </row>
    <row r="805" spans="1:24" s="1308" customFormat="1" ht="15" customHeight="1" x14ac:dyDescent="0.25">
      <c r="A805" s="730"/>
      <c r="B805" s="1286">
        <f t="shared" si="32"/>
        <v>69</v>
      </c>
      <c r="C805" s="1775"/>
      <c r="D805" s="1758" t="s">
        <v>1677</v>
      </c>
      <c r="E805" s="1448" t="s">
        <v>1625</v>
      </c>
      <c r="F805" s="1290"/>
      <c r="G805" s="1302"/>
      <c r="H805" s="1322"/>
      <c r="I805" s="1322"/>
      <c r="J805" s="1322"/>
      <c r="K805" s="1322"/>
      <c r="L805" s="1322"/>
      <c r="M805" s="1322"/>
      <c r="N805" s="1353"/>
      <c r="O805" s="1326"/>
      <c r="P805" s="1322"/>
      <c r="Q805" s="1323"/>
      <c r="R805" s="1324"/>
      <c r="S805" s="1325"/>
      <c r="T805" s="1353"/>
      <c r="U805" s="1463"/>
      <c r="V805" s="1464"/>
      <c r="W805" s="1482"/>
      <c r="X805" s="1307"/>
    </row>
    <row r="806" spans="1:24" s="1308" customFormat="1" ht="15" customHeight="1" x14ac:dyDescent="0.25">
      <c r="A806" s="730"/>
      <c r="B806" s="1286">
        <f t="shared" si="32"/>
        <v>70</v>
      </c>
      <c r="C806" s="1775"/>
      <c r="D806" s="1758"/>
      <c r="E806" s="1448" t="s">
        <v>1299</v>
      </c>
      <c r="F806" s="1290"/>
      <c r="G806" s="1302"/>
      <c r="H806" s="1322"/>
      <c r="I806" s="1322"/>
      <c r="J806" s="1322"/>
      <c r="K806" s="1322"/>
      <c r="L806" s="1322"/>
      <c r="M806" s="1322"/>
      <c r="N806" s="1353"/>
      <c r="O806" s="1326"/>
      <c r="P806" s="1322"/>
      <c r="Q806" s="1323"/>
      <c r="R806" s="1324"/>
      <c r="S806" s="1325"/>
      <c r="T806" s="1353"/>
      <c r="U806" s="1463"/>
      <c r="V806" s="1464"/>
      <c r="W806" s="1482"/>
      <c r="X806" s="1307"/>
    </row>
    <row r="807" spans="1:24" s="1308" customFormat="1" ht="15" customHeight="1" x14ac:dyDescent="0.25">
      <c r="A807" s="730"/>
      <c r="B807" s="1286">
        <f t="shared" si="32"/>
        <v>71</v>
      </c>
      <c r="C807" s="1775"/>
      <c r="D807" s="1758"/>
      <c r="E807" s="1448" t="s">
        <v>1297</v>
      </c>
      <c r="F807" s="1290"/>
      <c r="G807" s="1302"/>
      <c r="H807" s="1322"/>
      <c r="I807" s="1322"/>
      <c r="J807" s="1322"/>
      <c r="K807" s="1322"/>
      <c r="L807" s="1322"/>
      <c r="M807" s="1322"/>
      <c r="N807" s="1353"/>
      <c r="O807" s="1326"/>
      <c r="P807" s="1322"/>
      <c r="Q807" s="1323"/>
      <c r="R807" s="1324"/>
      <c r="S807" s="1325"/>
      <c r="T807" s="1353"/>
      <c r="U807" s="1463"/>
      <c r="V807" s="1464"/>
      <c r="W807" s="1482"/>
      <c r="X807" s="1307"/>
    </row>
    <row r="808" spans="1:24" s="1308" customFormat="1" ht="15" customHeight="1" x14ac:dyDescent="0.25">
      <c r="A808" s="730"/>
      <c r="B808" s="1286">
        <f t="shared" si="32"/>
        <v>72</v>
      </c>
      <c r="C808" s="1775"/>
      <c r="D808" s="1758"/>
      <c r="E808" s="1448" t="s">
        <v>1298</v>
      </c>
      <c r="F808" s="1290"/>
      <c r="G808" s="1302"/>
      <c r="H808" s="1322"/>
      <c r="I808" s="1322"/>
      <c r="J808" s="1322"/>
      <c r="K808" s="1322"/>
      <c r="L808" s="1322"/>
      <c r="M808" s="1322"/>
      <c r="N808" s="1353"/>
      <c r="O808" s="1326"/>
      <c r="P808" s="1322"/>
      <c r="Q808" s="1323"/>
      <c r="R808" s="1324"/>
      <c r="S808" s="1325"/>
      <c r="T808" s="1353"/>
      <c r="U808" s="1463"/>
      <c r="V808" s="1464"/>
      <c r="W808" s="1482"/>
      <c r="X808" s="1307"/>
    </row>
    <row r="809" spans="1:24" s="1308" customFormat="1" ht="15" customHeight="1" x14ac:dyDescent="0.25">
      <c r="A809" s="730"/>
      <c r="B809" s="1286">
        <f t="shared" si="32"/>
        <v>73</v>
      </c>
      <c r="C809" s="1775"/>
      <c r="D809" s="1758" t="s">
        <v>1674</v>
      </c>
      <c r="E809" s="1448" t="s">
        <v>1625</v>
      </c>
      <c r="F809" s="1290"/>
      <c r="G809" s="1302"/>
      <c r="H809" s="1322"/>
      <c r="I809" s="1322"/>
      <c r="J809" s="1322"/>
      <c r="K809" s="1322"/>
      <c r="L809" s="1322"/>
      <c r="M809" s="1322"/>
      <c r="N809" s="1353"/>
      <c r="O809" s="1326"/>
      <c r="P809" s="1322"/>
      <c r="Q809" s="1323"/>
      <c r="R809" s="1324"/>
      <c r="S809" s="1325"/>
      <c r="T809" s="1353"/>
      <c r="U809" s="1463"/>
      <c r="V809" s="1464"/>
      <c r="W809" s="1482"/>
      <c r="X809" s="1307"/>
    </row>
    <row r="810" spans="1:24" s="1308" customFormat="1" ht="15" customHeight="1" x14ac:dyDescent="0.25">
      <c r="A810" s="730"/>
      <c r="B810" s="1286">
        <f t="shared" si="32"/>
        <v>74</v>
      </c>
      <c r="C810" s="1775"/>
      <c r="D810" s="1758"/>
      <c r="E810" s="1448" t="s">
        <v>1299</v>
      </c>
      <c r="F810" s="1290"/>
      <c r="G810" s="1302"/>
      <c r="H810" s="1322"/>
      <c r="I810" s="1322"/>
      <c r="J810" s="1322"/>
      <c r="K810" s="1322"/>
      <c r="L810" s="1322"/>
      <c r="M810" s="1322"/>
      <c r="N810" s="1353"/>
      <c r="O810" s="1326"/>
      <c r="P810" s="1322"/>
      <c r="Q810" s="1323"/>
      <c r="R810" s="1324"/>
      <c r="S810" s="1325"/>
      <c r="T810" s="1353"/>
      <c r="U810" s="1463"/>
      <c r="V810" s="1464"/>
      <c r="W810" s="1482"/>
      <c r="X810" s="1307"/>
    </row>
    <row r="811" spans="1:24" s="1308" customFormat="1" ht="15" customHeight="1" x14ac:dyDescent="0.25">
      <c r="A811" s="730"/>
      <c r="B811" s="1286">
        <f t="shared" si="32"/>
        <v>75</v>
      </c>
      <c r="C811" s="1775"/>
      <c r="D811" s="1758"/>
      <c r="E811" s="1448" t="s">
        <v>1297</v>
      </c>
      <c r="F811" s="1290"/>
      <c r="G811" s="1302"/>
      <c r="H811" s="1322"/>
      <c r="I811" s="1322"/>
      <c r="J811" s="1322"/>
      <c r="K811" s="1322"/>
      <c r="L811" s="1322"/>
      <c r="M811" s="1322"/>
      <c r="N811" s="1353"/>
      <c r="O811" s="1326"/>
      <c r="P811" s="1322"/>
      <c r="Q811" s="1323"/>
      <c r="R811" s="1324"/>
      <c r="S811" s="1325"/>
      <c r="T811" s="1353"/>
      <c r="U811" s="1463"/>
      <c r="V811" s="1464"/>
      <c r="W811" s="1482"/>
      <c r="X811" s="1307"/>
    </row>
    <row r="812" spans="1:24" s="1308" customFormat="1" ht="15" customHeight="1" x14ac:dyDescent="0.25">
      <c r="A812" s="730"/>
      <c r="B812" s="1286">
        <f t="shared" si="32"/>
        <v>76</v>
      </c>
      <c r="C812" s="1775"/>
      <c r="D812" s="1758"/>
      <c r="E812" s="1448" t="s">
        <v>1298</v>
      </c>
      <c r="F812" s="1290"/>
      <c r="G812" s="1302"/>
      <c r="H812" s="1322"/>
      <c r="I812" s="1322"/>
      <c r="J812" s="1322"/>
      <c r="K812" s="1322"/>
      <c r="L812" s="1322"/>
      <c r="M812" s="1322"/>
      <c r="N812" s="1353"/>
      <c r="O812" s="1326"/>
      <c r="P812" s="1322"/>
      <c r="Q812" s="1323"/>
      <c r="R812" s="1324"/>
      <c r="S812" s="1325"/>
      <c r="T812" s="1353"/>
      <c r="U812" s="1463"/>
      <c r="V812" s="1464"/>
      <c r="W812" s="1482"/>
      <c r="X812" s="1307"/>
    </row>
    <row r="813" spans="1:24" s="1308" customFormat="1" ht="15" customHeight="1" x14ac:dyDescent="0.25">
      <c r="A813" s="730"/>
      <c r="B813" s="1286">
        <f t="shared" si="32"/>
        <v>77</v>
      </c>
      <c r="C813" s="1775"/>
      <c r="D813" s="1758" t="s">
        <v>1675</v>
      </c>
      <c r="E813" s="1448" t="s">
        <v>1625</v>
      </c>
      <c r="F813" s="1290"/>
      <c r="G813" s="1302"/>
      <c r="H813" s="1322"/>
      <c r="I813" s="1322"/>
      <c r="J813" s="1322"/>
      <c r="K813" s="1322"/>
      <c r="L813" s="1322"/>
      <c r="M813" s="1322"/>
      <c r="N813" s="1353"/>
      <c r="O813" s="1326"/>
      <c r="P813" s="1322"/>
      <c r="Q813" s="1323"/>
      <c r="R813" s="1324"/>
      <c r="S813" s="1325"/>
      <c r="T813" s="1353"/>
      <c r="U813" s="1463"/>
      <c r="V813" s="1464"/>
      <c r="W813" s="1482"/>
      <c r="X813" s="1307"/>
    </row>
    <row r="814" spans="1:24" s="1308" customFormat="1" ht="15" customHeight="1" x14ac:dyDescent="0.25">
      <c r="A814" s="730"/>
      <c r="B814" s="1286">
        <f t="shared" si="32"/>
        <v>78</v>
      </c>
      <c r="C814" s="1775"/>
      <c r="D814" s="1758"/>
      <c r="E814" s="1448" t="s">
        <v>1299</v>
      </c>
      <c r="F814" s="1290"/>
      <c r="G814" s="1302"/>
      <c r="H814" s="1322"/>
      <c r="I814" s="1322"/>
      <c r="J814" s="1322"/>
      <c r="K814" s="1322"/>
      <c r="L814" s="1322"/>
      <c r="M814" s="1322"/>
      <c r="N814" s="1353"/>
      <c r="O814" s="1326"/>
      <c r="P814" s="1322"/>
      <c r="Q814" s="1323"/>
      <c r="R814" s="1324"/>
      <c r="S814" s="1325"/>
      <c r="T814" s="1353"/>
      <c r="U814" s="1463"/>
      <c r="V814" s="1464"/>
      <c r="W814" s="1482"/>
      <c r="X814" s="1307"/>
    </row>
    <row r="815" spans="1:24" s="1308" customFormat="1" ht="15" customHeight="1" x14ac:dyDescent="0.25">
      <c r="A815" s="730"/>
      <c r="B815" s="1286">
        <f t="shared" si="32"/>
        <v>79</v>
      </c>
      <c r="C815" s="1775"/>
      <c r="D815" s="1758"/>
      <c r="E815" s="1448" t="s">
        <v>1297</v>
      </c>
      <c r="F815" s="1290"/>
      <c r="G815" s="1302"/>
      <c r="H815" s="1322"/>
      <c r="I815" s="1322"/>
      <c r="J815" s="1322"/>
      <c r="K815" s="1322"/>
      <c r="L815" s="1322"/>
      <c r="M815" s="1322"/>
      <c r="N815" s="1353"/>
      <c r="O815" s="1326"/>
      <c r="P815" s="1322"/>
      <c r="Q815" s="1323"/>
      <c r="R815" s="1324"/>
      <c r="S815" s="1325"/>
      <c r="T815" s="1353"/>
      <c r="U815" s="1463"/>
      <c r="V815" s="1464"/>
      <c r="W815" s="1482"/>
      <c r="X815" s="1307"/>
    </row>
    <row r="816" spans="1:24" s="1308" customFormat="1" ht="15" customHeight="1" x14ac:dyDescent="0.25">
      <c r="A816" s="730"/>
      <c r="B816" s="1287">
        <f t="shared" si="32"/>
        <v>80</v>
      </c>
      <c r="C816" s="1776"/>
      <c r="D816" s="1760"/>
      <c r="E816" s="1449" t="s">
        <v>1298</v>
      </c>
      <c r="F816" s="1291"/>
      <c r="G816" s="1327"/>
      <c r="H816" s="1303"/>
      <c r="I816" s="1303"/>
      <c r="J816" s="1303"/>
      <c r="K816" s="1303"/>
      <c r="L816" s="1303"/>
      <c r="M816" s="1303"/>
      <c r="N816" s="1351"/>
      <c r="O816" s="1328"/>
      <c r="P816" s="1303"/>
      <c r="Q816" s="1304"/>
      <c r="R816" s="1305"/>
      <c r="S816" s="1306"/>
      <c r="T816" s="1351"/>
      <c r="U816" s="1466"/>
      <c r="V816" s="1467"/>
      <c r="W816" s="1483"/>
      <c r="X816" s="1307"/>
    </row>
    <row r="817" spans="1:24" s="1308" customFormat="1" ht="15" customHeight="1" x14ac:dyDescent="0.25">
      <c r="A817" s="730"/>
      <c r="B817" s="1285">
        <f t="shared" si="32"/>
        <v>81</v>
      </c>
      <c r="C817" s="1774" t="s">
        <v>1302</v>
      </c>
      <c r="D817" s="1763" t="s">
        <v>1673</v>
      </c>
      <c r="E817" s="1450" t="s">
        <v>1625</v>
      </c>
      <c r="F817" s="1289"/>
      <c r="G817" s="1316"/>
      <c r="H817" s="1317"/>
      <c r="I817" s="1317"/>
      <c r="J817" s="1317"/>
      <c r="K817" s="1317"/>
      <c r="L817" s="1317"/>
      <c r="M817" s="1317"/>
      <c r="N817" s="1349"/>
      <c r="O817" s="1321"/>
      <c r="P817" s="1317"/>
      <c r="Q817" s="1318"/>
      <c r="R817" s="1319"/>
      <c r="S817" s="1320"/>
      <c r="T817" s="1349"/>
      <c r="U817" s="1460"/>
      <c r="V817" s="1461"/>
      <c r="W817" s="1481"/>
      <c r="X817" s="1307"/>
    </row>
    <row r="818" spans="1:24" s="1308" customFormat="1" ht="15" customHeight="1" x14ac:dyDescent="0.25">
      <c r="A818" s="730"/>
      <c r="B818" s="1286">
        <f t="shared" si="32"/>
        <v>82</v>
      </c>
      <c r="C818" s="1775"/>
      <c r="D818" s="1758"/>
      <c r="E818" s="1448" t="s">
        <v>1299</v>
      </c>
      <c r="F818" s="1290"/>
      <c r="G818" s="1302"/>
      <c r="H818" s="1322"/>
      <c r="I818" s="1322"/>
      <c r="J818" s="1322"/>
      <c r="K818" s="1322"/>
      <c r="L818" s="1322"/>
      <c r="M818" s="1322"/>
      <c r="N818" s="1353"/>
      <c r="O818" s="1326"/>
      <c r="P818" s="1322"/>
      <c r="Q818" s="1323"/>
      <c r="R818" s="1324"/>
      <c r="S818" s="1325"/>
      <c r="T818" s="1353"/>
      <c r="U818" s="1463"/>
      <c r="V818" s="1464"/>
      <c r="W818" s="1482"/>
      <c r="X818" s="1307"/>
    </row>
    <row r="819" spans="1:24" s="1308" customFormat="1" ht="15" customHeight="1" x14ac:dyDescent="0.25">
      <c r="A819" s="730"/>
      <c r="B819" s="1286">
        <f t="shared" si="32"/>
        <v>83</v>
      </c>
      <c r="C819" s="1775"/>
      <c r="D819" s="1758"/>
      <c r="E819" s="1448" t="s">
        <v>1297</v>
      </c>
      <c r="F819" s="1290"/>
      <c r="G819" s="1302"/>
      <c r="H819" s="1322"/>
      <c r="I819" s="1322"/>
      <c r="J819" s="1322"/>
      <c r="K819" s="1322"/>
      <c r="L819" s="1322"/>
      <c r="M819" s="1322"/>
      <c r="N819" s="1353"/>
      <c r="O819" s="1326"/>
      <c r="P819" s="1322"/>
      <c r="Q819" s="1323"/>
      <c r="R819" s="1324"/>
      <c r="S819" s="1325"/>
      <c r="T819" s="1353"/>
      <c r="U819" s="1463"/>
      <c r="V819" s="1464"/>
      <c r="W819" s="1482"/>
      <c r="X819" s="1307"/>
    </row>
    <row r="820" spans="1:24" s="1308" customFormat="1" ht="15" customHeight="1" x14ac:dyDescent="0.25">
      <c r="A820" s="730"/>
      <c r="B820" s="1286">
        <f t="shared" si="32"/>
        <v>84</v>
      </c>
      <c r="C820" s="1775"/>
      <c r="D820" s="1758"/>
      <c r="E820" s="1448" t="s">
        <v>1298</v>
      </c>
      <c r="F820" s="1290"/>
      <c r="G820" s="1302"/>
      <c r="H820" s="1322"/>
      <c r="I820" s="1322"/>
      <c r="J820" s="1322"/>
      <c r="K820" s="1322"/>
      <c r="L820" s="1322"/>
      <c r="M820" s="1322"/>
      <c r="N820" s="1353"/>
      <c r="O820" s="1326"/>
      <c r="P820" s="1322"/>
      <c r="Q820" s="1323"/>
      <c r="R820" s="1324"/>
      <c r="S820" s="1325"/>
      <c r="T820" s="1353"/>
      <c r="U820" s="1463"/>
      <c r="V820" s="1464"/>
      <c r="W820" s="1482"/>
      <c r="X820" s="1307"/>
    </row>
    <row r="821" spans="1:24" s="1308" customFormat="1" ht="15" customHeight="1" x14ac:dyDescent="0.25">
      <c r="A821" s="730"/>
      <c r="B821" s="1286">
        <f t="shared" si="32"/>
        <v>85</v>
      </c>
      <c r="C821" s="1775"/>
      <c r="D821" s="1758" t="s">
        <v>1676</v>
      </c>
      <c r="E821" s="1448" t="s">
        <v>1625</v>
      </c>
      <c r="F821" s="1290"/>
      <c r="G821" s="1302"/>
      <c r="H821" s="1322"/>
      <c r="I821" s="1322"/>
      <c r="J821" s="1322"/>
      <c r="K821" s="1322"/>
      <c r="L821" s="1322"/>
      <c r="M821" s="1322"/>
      <c r="N821" s="1353"/>
      <c r="O821" s="1326"/>
      <c r="P821" s="1322"/>
      <c r="Q821" s="1323"/>
      <c r="R821" s="1324"/>
      <c r="S821" s="1325"/>
      <c r="T821" s="1353"/>
      <c r="U821" s="1463"/>
      <c r="V821" s="1464"/>
      <c r="W821" s="1482"/>
      <c r="X821" s="1307"/>
    </row>
    <row r="822" spans="1:24" s="1308" customFormat="1" ht="15" customHeight="1" x14ac:dyDescent="0.25">
      <c r="A822" s="730"/>
      <c r="B822" s="1286">
        <f t="shared" si="32"/>
        <v>86</v>
      </c>
      <c r="C822" s="1775"/>
      <c r="D822" s="1758"/>
      <c r="E822" s="1448" t="s">
        <v>1299</v>
      </c>
      <c r="F822" s="1290"/>
      <c r="G822" s="1302"/>
      <c r="H822" s="1322"/>
      <c r="I822" s="1322"/>
      <c r="J822" s="1322"/>
      <c r="K822" s="1322"/>
      <c r="L822" s="1322"/>
      <c r="M822" s="1322"/>
      <c r="N822" s="1353"/>
      <c r="O822" s="1326"/>
      <c r="P822" s="1322"/>
      <c r="Q822" s="1323"/>
      <c r="R822" s="1324"/>
      <c r="S822" s="1325"/>
      <c r="T822" s="1353"/>
      <c r="U822" s="1463"/>
      <c r="V822" s="1464"/>
      <c r="W822" s="1482"/>
      <c r="X822" s="1307"/>
    </row>
    <row r="823" spans="1:24" s="1308" customFormat="1" ht="15" customHeight="1" x14ac:dyDescent="0.25">
      <c r="A823" s="730"/>
      <c r="B823" s="1286">
        <f t="shared" si="32"/>
        <v>87</v>
      </c>
      <c r="C823" s="1775"/>
      <c r="D823" s="1758"/>
      <c r="E823" s="1448" t="s">
        <v>1297</v>
      </c>
      <c r="F823" s="1290"/>
      <c r="G823" s="1302"/>
      <c r="H823" s="1322"/>
      <c r="I823" s="1322"/>
      <c r="J823" s="1322"/>
      <c r="K823" s="1322"/>
      <c r="L823" s="1322"/>
      <c r="M823" s="1322"/>
      <c r="N823" s="1353"/>
      <c r="O823" s="1326"/>
      <c r="P823" s="1322"/>
      <c r="Q823" s="1323"/>
      <c r="R823" s="1324"/>
      <c r="S823" s="1325"/>
      <c r="T823" s="1353"/>
      <c r="U823" s="1463"/>
      <c r="V823" s="1464"/>
      <c r="W823" s="1482"/>
      <c r="X823" s="1307"/>
    </row>
    <row r="824" spans="1:24" s="1308" customFormat="1" ht="15" customHeight="1" x14ac:dyDescent="0.25">
      <c r="A824" s="730"/>
      <c r="B824" s="1286">
        <f t="shared" si="32"/>
        <v>88</v>
      </c>
      <c r="C824" s="1775"/>
      <c r="D824" s="1758"/>
      <c r="E824" s="1448" t="s">
        <v>1298</v>
      </c>
      <c r="F824" s="1290"/>
      <c r="G824" s="1302"/>
      <c r="H824" s="1322"/>
      <c r="I824" s="1322"/>
      <c r="J824" s="1322"/>
      <c r="K824" s="1322"/>
      <c r="L824" s="1322"/>
      <c r="M824" s="1322"/>
      <c r="N824" s="1353"/>
      <c r="O824" s="1326"/>
      <c r="P824" s="1322"/>
      <c r="Q824" s="1323"/>
      <c r="R824" s="1324"/>
      <c r="S824" s="1325"/>
      <c r="T824" s="1353"/>
      <c r="U824" s="1463"/>
      <c r="V824" s="1464"/>
      <c r="W824" s="1482"/>
      <c r="X824" s="1307"/>
    </row>
    <row r="825" spans="1:24" s="1308" customFormat="1" ht="15" customHeight="1" x14ac:dyDescent="0.25">
      <c r="A825" s="730"/>
      <c r="B825" s="1286">
        <f t="shared" si="32"/>
        <v>89</v>
      </c>
      <c r="C825" s="1775"/>
      <c r="D825" s="1758" t="s">
        <v>1677</v>
      </c>
      <c r="E825" s="1448" t="s">
        <v>1625</v>
      </c>
      <c r="F825" s="1290"/>
      <c r="G825" s="1302"/>
      <c r="H825" s="1322"/>
      <c r="I825" s="1322"/>
      <c r="J825" s="1322"/>
      <c r="K825" s="1322"/>
      <c r="L825" s="1322"/>
      <c r="M825" s="1322"/>
      <c r="N825" s="1353"/>
      <c r="O825" s="1326"/>
      <c r="P825" s="1322"/>
      <c r="Q825" s="1323"/>
      <c r="R825" s="1324"/>
      <c r="S825" s="1325"/>
      <c r="T825" s="1353"/>
      <c r="U825" s="1463"/>
      <c r="V825" s="1464"/>
      <c r="W825" s="1482"/>
      <c r="X825" s="1307"/>
    </row>
    <row r="826" spans="1:24" s="1308" customFormat="1" ht="15" customHeight="1" x14ac:dyDescent="0.25">
      <c r="A826" s="730"/>
      <c r="B826" s="1286">
        <f t="shared" si="32"/>
        <v>90</v>
      </c>
      <c r="C826" s="1775"/>
      <c r="D826" s="1758"/>
      <c r="E826" s="1448" t="s">
        <v>1299</v>
      </c>
      <c r="F826" s="1290"/>
      <c r="G826" s="1302"/>
      <c r="H826" s="1322"/>
      <c r="I826" s="1322"/>
      <c r="J826" s="1322"/>
      <c r="K826" s="1322"/>
      <c r="L826" s="1322"/>
      <c r="M826" s="1322"/>
      <c r="N826" s="1353"/>
      <c r="O826" s="1326"/>
      <c r="P826" s="1322"/>
      <c r="Q826" s="1323"/>
      <c r="R826" s="1324"/>
      <c r="S826" s="1325"/>
      <c r="T826" s="1353"/>
      <c r="U826" s="1463"/>
      <c r="V826" s="1464"/>
      <c r="W826" s="1482"/>
      <c r="X826" s="1307"/>
    </row>
    <row r="827" spans="1:24" s="1308" customFormat="1" ht="15" customHeight="1" x14ac:dyDescent="0.25">
      <c r="A827" s="730"/>
      <c r="B827" s="1286">
        <f t="shared" si="32"/>
        <v>91</v>
      </c>
      <c r="C827" s="1775"/>
      <c r="D827" s="1758"/>
      <c r="E827" s="1448" t="s">
        <v>1297</v>
      </c>
      <c r="F827" s="1290"/>
      <c r="G827" s="1302"/>
      <c r="H827" s="1322"/>
      <c r="I827" s="1322"/>
      <c r="J827" s="1322"/>
      <c r="K827" s="1322"/>
      <c r="L827" s="1322"/>
      <c r="M827" s="1322"/>
      <c r="N827" s="1353"/>
      <c r="O827" s="1326"/>
      <c r="P827" s="1322"/>
      <c r="Q827" s="1323"/>
      <c r="R827" s="1324"/>
      <c r="S827" s="1325"/>
      <c r="T827" s="1353"/>
      <c r="U827" s="1463"/>
      <c r="V827" s="1464"/>
      <c r="W827" s="1482"/>
      <c r="X827" s="1307"/>
    </row>
    <row r="828" spans="1:24" s="1308" customFormat="1" ht="15" customHeight="1" x14ac:dyDescent="0.25">
      <c r="A828" s="730"/>
      <c r="B828" s="1286">
        <f t="shared" si="32"/>
        <v>92</v>
      </c>
      <c r="C828" s="1775"/>
      <c r="D828" s="1758"/>
      <c r="E828" s="1448" t="s">
        <v>1298</v>
      </c>
      <c r="F828" s="1290"/>
      <c r="G828" s="1302"/>
      <c r="H828" s="1322"/>
      <c r="I828" s="1322"/>
      <c r="J828" s="1322"/>
      <c r="K828" s="1322"/>
      <c r="L828" s="1322"/>
      <c r="M828" s="1322"/>
      <c r="N828" s="1353"/>
      <c r="O828" s="1326"/>
      <c r="P828" s="1322"/>
      <c r="Q828" s="1323"/>
      <c r="R828" s="1324"/>
      <c r="S828" s="1325"/>
      <c r="T828" s="1353"/>
      <c r="U828" s="1463"/>
      <c r="V828" s="1464"/>
      <c r="W828" s="1482"/>
      <c r="X828" s="1307"/>
    </row>
    <row r="829" spans="1:24" s="1308" customFormat="1" ht="15" customHeight="1" x14ac:dyDescent="0.25">
      <c r="A829" s="730"/>
      <c r="B829" s="1286">
        <f t="shared" si="32"/>
        <v>93</v>
      </c>
      <c r="C829" s="1775"/>
      <c r="D829" s="1758" t="s">
        <v>1674</v>
      </c>
      <c r="E829" s="1448" t="s">
        <v>1625</v>
      </c>
      <c r="F829" s="1290"/>
      <c r="G829" s="1302"/>
      <c r="H829" s="1322"/>
      <c r="I829" s="1322"/>
      <c r="J829" s="1322"/>
      <c r="K829" s="1322"/>
      <c r="L829" s="1322"/>
      <c r="M829" s="1322"/>
      <c r="N829" s="1353"/>
      <c r="O829" s="1326"/>
      <c r="P829" s="1322"/>
      <c r="Q829" s="1323"/>
      <c r="R829" s="1324"/>
      <c r="S829" s="1325"/>
      <c r="T829" s="1353"/>
      <c r="U829" s="1463"/>
      <c r="V829" s="1464"/>
      <c r="W829" s="1482"/>
      <c r="X829" s="1307"/>
    </row>
    <row r="830" spans="1:24" s="1308" customFormat="1" ht="15" customHeight="1" x14ac:dyDescent="0.25">
      <c r="A830" s="730"/>
      <c r="B830" s="1286">
        <f t="shared" si="32"/>
        <v>94</v>
      </c>
      <c r="C830" s="1775"/>
      <c r="D830" s="1758"/>
      <c r="E830" s="1448" t="s">
        <v>1299</v>
      </c>
      <c r="F830" s="1290"/>
      <c r="G830" s="1302"/>
      <c r="H830" s="1322"/>
      <c r="I830" s="1322"/>
      <c r="J830" s="1322"/>
      <c r="K830" s="1322"/>
      <c r="L830" s="1322"/>
      <c r="M830" s="1322"/>
      <c r="N830" s="1353"/>
      <c r="O830" s="1326"/>
      <c r="P830" s="1322"/>
      <c r="Q830" s="1323"/>
      <c r="R830" s="1324"/>
      <c r="S830" s="1325"/>
      <c r="T830" s="1353"/>
      <c r="U830" s="1463"/>
      <c r="V830" s="1464"/>
      <c r="W830" s="1482"/>
      <c r="X830" s="1307"/>
    </row>
    <row r="831" spans="1:24" s="1308" customFormat="1" ht="15" customHeight="1" x14ac:dyDescent="0.25">
      <c r="A831" s="730"/>
      <c r="B831" s="1286">
        <f t="shared" si="32"/>
        <v>95</v>
      </c>
      <c r="C831" s="1775"/>
      <c r="D831" s="1758"/>
      <c r="E831" s="1448" t="s">
        <v>1297</v>
      </c>
      <c r="F831" s="1290"/>
      <c r="G831" s="1302"/>
      <c r="H831" s="1322"/>
      <c r="I831" s="1322"/>
      <c r="J831" s="1322"/>
      <c r="K831" s="1322"/>
      <c r="L831" s="1322"/>
      <c r="M831" s="1322"/>
      <c r="N831" s="1353"/>
      <c r="O831" s="1326"/>
      <c r="P831" s="1322"/>
      <c r="Q831" s="1323"/>
      <c r="R831" s="1324"/>
      <c r="S831" s="1325"/>
      <c r="T831" s="1353"/>
      <c r="U831" s="1463"/>
      <c r="V831" s="1464"/>
      <c r="W831" s="1482"/>
      <c r="X831" s="1307"/>
    </row>
    <row r="832" spans="1:24" s="1308" customFormat="1" ht="15" customHeight="1" x14ac:dyDescent="0.25">
      <c r="A832" s="730"/>
      <c r="B832" s="1286">
        <f t="shared" si="32"/>
        <v>96</v>
      </c>
      <c r="C832" s="1775"/>
      <c r="D832" s="1758"/>
      <c r="E832" s="1448" t="s">
        <v>1298</v>
      </c>
      <c r="F832" s="1290"/>
      <c r="G832" s="1302"/>
      <c r="H832" s="1322"/>
      <c r="I832" s="1322"/>
      <c r="J832" s="1322"/>
      <c r="K832" s="1322"/>
      <c r="L832" s="1322"/>
      <c r="M832" s="1322"/>
      <c r="N832" s="1353"/>
      <c r="O832" s="1326"/>
      <c r="P832" s="1322"/>
      <c r="Q832" s="1323"/>
      <c r="R832" s="1324"/>
      <c r="S832" s="1325"/>
      <c r="T832" s="1353"/>
      <c r="U832" s="1463"/>
      <c r="V832" s="1464"/>
      <c r="W832" s="1482"/>
      <c r="X832" s="1307"/>
    </row>
    <row r="833" spans="1:24" s="1308" customFormat="1" ht="15" customHeight="1" x14ac:dyDescent="0.25">
      <c r="A833" s="730"/>
      <c r="B833" s="1286">
        <f t="shared" si="32"/>
        <v>97</v>
      </c>
      <c r="C833" s="1775"/>
      <c r="D833" s="1758" t="s">
        <v>1675</v>
      </c>
      <c r="E833" s="1448" t="s">
        <v>1625</v>
      </c>
      <c r="F833" s="1290"/>
      <c r="G833" s="1302"/>
      <c r="H833" s="1322"/>
      <c r="I833" s="1322"/>
      <c r="J833" s="1322"/>
      <c r="K833" s="1322"/>
      <c r="L833" s="1322"/>
      <c r="M833" s="1322"/>
      <c r="N833" s="1353"/>
      <c r="O833" s="1326"/>
      <c r="P833" s="1322"/>
      <c r="Q833" s="1323"/>
      <c r="R833" s="1324"/>
      <c r="S833" s="1325"/>
      <c r="T833" s="1353"/>
      <c r="U833" s="1463"/>
      <c r="V833" s="1464"/>
      <c r="W833" s="1482"/>
      <c r="X833" s="1307"/>
    </row>
    <row r="834" spans="1:24" s="1308" customFormat="1" ht="15" customHeight="1" x14ac:dyDescent="0.25">
      <c r="A834" s="730"/>
      <c r="B834" s="1286">
        <f t="shared" si="32"/>
        <v>98</v>
      </c>
      <c r="C834" s="1775"/>
      <c r="D834" s="1758"/>
      <c r="E834" s="1448" t="s">
        <v>1299</v>
      </c>
      <c r="F834" s="1290"/>
      <c r="G834" s="1302"/>
      <c r="H834" s="1322"/>
      <c r="I834" s="1322"/>
      <c r="J834" s="1322"/>
      <c r="K834" s="1322"/>
      <c r="L834" s="1322"/>
      <c r="M834" s="1322"/>
      <c r="N834" s="1353"/>
      <c r="O834" s="1326"/>
      <c r="P834" s="1322"/>
      <c r="Q834" s="1323"/>
      <c r="R834" s="1324"/>
      <c r="S834" s="1325"/>
      <c r="T834" s="1353"/>
      <c r="U834" s="1463"/>
      <c r="V834" s="1464"/>
      <c r="W834" s="1482"/>
      <c r="X834" s="1307"/>
    </row>
    <row r="835" spans="1:24" s="1308" customFormat="1" ht="15" customHeight="1" x14ac:dyDescent="0.25">
      <c r="A835" s="730"/>
      <c r="B835" s="1286">
        <f t="shared" si="32"/>
        <v>99</v>
      </c>
      <c r="C835" s="1775"/>
      <c r="D835" s="1758"/>
      <c r="E835" s="1448" t="s">
        <v>1297</v>
      </c>
      <c r="F835" s="1290"/>
      <c r="G835" s="1302"/>
      <c r="H835" s="1322"/>
      <c r="I835" s="1322"/>
      <c r="J835" s="1322"/>
      <c r="K835" s="1322"/>
      <c r="L835" s="1322"/>
      <c r="M835" s="1322"/>
      <c r="N835" s="1353"/>
      <c r="O835" s="1326"/>
      <c r="P835" s="1322"/>
      <c r="Q835" s="1323"/>
      <c r="R835" s="1324"/>
      <c r="S835" s="1325"/>
      <c r="T835" s="1353"/>
      <c r="U835" s="1463"/>
      <c r="V835" s="1464"/>
      <c r="W835" s="1482"/>
      <c r="X835" s="1307"/>
    </row>
    <row r="836" spans="1:24" s="1308" customFormat="1" ht="15" customHeight="1" x14ac:dyDescent="0.25">
      <c r="A836" s="730"/>
      <c r="B836" s="1287">
        <f t="shared" si="32"/>
        <v>100</v>
      </c>
      <c r="C836" s="1776"/>
      <c r="D836" s="1760"/>
      <c r="E836" s="1449" t="s">
        <v>1298</v>
      </c>
      <c r="F836" s="1291"/>
      <c r="G836" s="1327"/>
      <c r="H836" s="1303"/>
      <c r="I836" s="1303"/>
      <c r="J836" s="1303"/>
      <c r="K836" s="1303"/>
      <c r="L836" s="1303"/>
      <c r="M836" s="1303"/>
      <c r="N836" s="1351"/>
      <c r="O836" s="1328"/>
      <c r="P836" s="1303"/>
      <c r="Q836" s="1304"/>
      <c r="R836" s="1305"/>
      <c r="S836" s="1306"/>
      <c r="T836" s="1351"/>
      <c r="U836" s="1466"/>
      <c r="V836" s="1467"/>
      <c r="W836" s="1483"/>
      <c r="X836" s="1307"/>
    </row>
    <row r="837" spans="1:24" s="1308" customFormat="1" ht="15" customHeight="1" x14ac:dyDescent="0.25">
      <c r="A837" s="730"/>
      <c r="B837" s="1285">
        <f t="shared" si="32"/>
        <v>101</v>
      </c>
      <c r="C837" s="1774" t="s">
        <v>1243</v>
      </c>
      <c r="D837" s="1763" t="s">
        <v>1673</v>
      </c>
      <c r="E837" s="1450" t="s">
        <v>1625</v>
      </c>
      <c r="F837" s="1289"/>
      <c r="G837" s="1316"/>
      <c r="H837" s="1317"/>
      <c r="I837" s="1317"/>
      <c r="J837" s="1317"/>
      <c r="K837" s="1317"/>
      <c r="L837" s="1317"/>
      <c r="M837" s="1317"/>
      <c r="N837" s="1349"/>
      <c r="O837" s="1321"/>
      <c r="P837" s="1317"/>
      <c r="Q837" s="1318"/>
      <c r="R837" s="1319"/>
      <c r="S837" s="1320"/>
      <c r="T837" s="1349"/>
      <c r="U837" s="1460"/>
      <c r="V837" s="1461"/>
      <c r="W837" s="1481"/>
      <c r="X837" s="1307"/>
    </row>
    <row r="838" spans="1:24" s="1308" customFormat="1" ht="15" customHeight="1" x14ac:dyDescent="0.25">
      <c r="A838" s="730"/>
      <c r="B838" s="1286">
        <f t="shared" si="32"/>
        <v>102</v>
      </c>
      <c r="C838" s="1775"/>
      <c r="D838" s="1758"/>
      <c r="E838" s="1448" t="s">
        <v>1299</v>
      </c>
      <c r="F838" s="1290"/>
      <c r="G838" s="1302"/>
      <c r="H838" s="1322"/>
      <c r="I838" s="1322"/>
      <c r="J838" s="1322"/>
      <c r="K838" s="1322"/>
      <c r="L838" s="1322"/>
      <c r="M838" s="1322"/>
      <c r="N838" s="1353"/>
      <c r="O838" s="1326"/>
      <c r="P838" s="1322"/>
      <c r="Q838" s="1323"/>
      <c r="R838" s="1324"/>
      <c r="S838" s="1325"/>
      <c r="T838" s="1353"/>
      <c r="U838" s="1463"/>
      <c r="V838" s="1464"/>
      <c r="W838" s="1482"/>
      <c r="X838" s="1307"/>
    </row>
    <row r="839" spans="1:24" s="1308" customFormat="1" ht="15" customHeight="1" x14ac:dyDescent="0.25">
      <c r="A839" s="730"/>
      <c r="B839" s="1286">
        <f t="shared" si="32"/>
        <v>103</v>
      </c>
      <c r="C839" s="1775"/>
      <c r="D839" s="1758"/>
      <c r="E839" s="1448" t="s">
        <v>1297</v>
      </c>
      <c r="F839" s="1290"/>
      <c r="G839" s="1302"/>
      <c r="H839" s="1322"/>
      <c r="I839" s="1322"/>
      <c r="J839" s="1322"/>
      <c r="K839" s="1322"/>
      <c r="L839" s="1322"/>
      <c r="M839" s="1322"/>
      <c r="N839" s="1353"/>
      <c r="O839" s="1326"/>
      <c r="P839" s="1322"/>
      <c r="Q839" s="1323"/>
      <c r="R839" s="1324"/>
      <c r="S839" s="1325"/>
      <c r="T839" s="1353"/>
      <c r="U839" s="1463"/>
      <c r="V839" s="1464"/>
      <c r="W839" s="1482"/>
      <c r="X839" s="1307"/>
    </row>
    <row r="840" spans="1:24" s="1308" customFormat="1" ht="15" customHeight="1" x14ac:dyDescent="0.25">
      <c r="A840" s="730"/>
      <c r="B840" s="1286">
        <f t="shared" si="32"/>
        <v>104</v>
      </c>
      <c r="C840" s="1775"/>
      <c r="D840" s="1758"/>
      <c r="E840" s="1448" t="s">
        <v>1298</v>
      </c>
      <c r="F840" s="1290"/>
      <c r="G840" s="1302"/>
      <c r="H840" s="1322"/>
      <c r="I840" s="1322"/>
      <c r="J840" s="1322"/>
      <c r="K840" s="1322"/>
      <c r="L840" s="1322"/>
      <c r="M840" s="1322"/>
      <c r="N840" s="1353"/>
      <c r="O840" s="1326"/>
      <c r="P840" s="1322"/>
      <c r="Q840" s="1323"/>
      <c r="R840" s="1324"/>
      <c r="S840" s="1325"/>
      <c r="T840" s="1353"/>
      <c r="U840" s="1463"/>
      <c r="V840" s="1464"/>
      <c r="W840" s="1482"/>
      <c r="X840" s="1307"/>
    </row>
    <row r="841" spans="1:24" s="1308" customFormat="1" ht="15" customHeight="1" x14ac:dyDescent="0.25">
      <c r="A841" s="730"/>
      <c r="B841" s="1286">
        <f t="shared" si="32"/>
        <v>105</v>
      </c>
      <c r="C841" s="1775"/>
      <c r="D841" s="1758" t="s">
        <v>1676</v>
      </c>
      <c r="E841" s="1448" t="s">
        <v>1625</v>
      </c>
      <c r="F841" s="1290"/>
      <c r="G841" s="1302"/>
      <c r="H841" s="1322"/>
      <c r="I841" s="1322"/>
      <c r="J841" s="1322"/>
      <c r="K841" s="1322"/>
      <c r="L841" s="1322"/>
      <c r="M841" s="1322"/>
      <c r="N841" s="1353"/>
      <c r="O841" s="1326"/>
      <c r="P841" s="1322"/>
      <c r="Q841" s="1323"/>
      <c r="R841" s="1324"/>
      <c r="S841" s="1325"/>
      <c r="T841" s="1353"/>
      <c r="U841" s="1463"/>
      <c r="V841" s="1464"/>
      <c r="W841" s="1482"/>
      <c r="X841" s="1307"/>
    </row>
    <row r="842" spans="1:24" s="1308" customFormat="1" ht="15" customHeight="1" x14ac:dyDescent="0.25">
      <c r="A842" s="730"/>
      <c r="B842" s="1286">
        <f t="shared" si="32"/>
        <v>106</v>
      </c>
      <c r="C842" s="1775"/>
      <c r="D842" s="1758"/>
      <c r="E842" s="1448" t="s">
        <v>1299</v>
      </c>
      <c r="F842" s="1290"/>
      <c r="G842" s="1302"/>
      <c r="H842" s="1322"/>
      <c r="I842" s="1322"/>
      <c r="J842" s="1322"/>
      <c r="K842" s="1322"/>
      <c r="L842" s="1322"/>
      <c r="M842" s="1322"/>
      <c r="N842" s="1353"/>
      <c r="O842" s="1326"/>
      <c r="P842" s="1322"/>
      <c r="Q842" s="1323"/>
      <c r="R842" s="1324"/>
      <c r="S842" s="1325"/>
      <c r="T842" s="1353"/>
      <c r="U842" s="1463"/>
      <c r="V842" s="1464"/>
      <c r="W842" s="1482"/>
      <c r="X842" s="1307"/>
    </row>
    <row r="843" spans="1:24" s="1308" customFormat="1" ht="15" customHeight="1" x14ac:dyDescent="0.25">
      <c r="A843" s="730"/>
      <c r="B843" s="1286">
        <f t="shared" si="32"/>
        <v>107</v>
      </c>
      <c r="C843" s="1775"/>
      <c r="D843" s="1758"/>
      <c r="E843" s="1448" t="s">
        <v>1297</v>
      </c>
      <c r="F843" s="1290"/>
      <c r="G843" s="1302"/>
      <c r="H843" s="1322"/>
      <c r="I843" s="1322"/>
      <c r="J843" s="1322"/>
      <c r="K843" s="1322"/>
      <c r="L843" s="1322"/>
      <c r="M843" s="1322"/>
      <c r="N843" s="1353"/>
      <c r="O843" s="1326"/>
      <c r="P843" s="1322"/>
      <c r="Q843" s="1323"/>
      <c r="R843" s="1324"/>
      <c r="S843" s="1325"/>
      <c r="T843" s="1353"/>
      <c r="U843" s="1463"/>
      <c r="V843" s="1464"/>
      <c r="W843" s="1482"/>
      <c r="X843" s="1307"/>
    </row>
    <row r="844" spans="1:24" s="1308" customFormat="1" ht="15" customHeight="1" x14ac:dyDescent="0.25">
      <c r="A844" s="730"/>
      <c r="B844" s="1286">
        <f t="shared" si="32"/>
        <v>108</v>
      </c>
      <c r="C844" s="1775"/>
      <c r="D844" s="1758"/>
      <c r="E844" s="1448" t="s">
        <v>1298</v>
      </c>
      <c r="F844" s="1290"/>
      <c r="G844" s="1302"/>
      <c r="H844" s="1322"/>
      <c r="I844" s="1322"/>
      <c r="J844" s="1322"/>
      <c r="K844" s="1322"/>
      <c r="L844" s="1322"/>
      <c r="M844" s="1322"/>
      <c r="N844" s="1353"/>
      <c r="O844" s="1326"/>
      <c r="P844" s="1322"/>
      <c r="Q844" s="1323"/>
      <c r="R844" s="1324"/>
      <c r="S844" s="1325"/>
      <c r="T844" s="1353"/>
      <c r="U844" s="1463"/>
      <c r="V844" s="1464"/>
      <c r="W844" s="1482"/>
      <c r="X844" s="1307"/>
    </row>
    <row r="845" spans="1:24" s="1308" customFormat="1" ht="15" customHeight="1" x14ac:dyDescent="0.25">
      <c r="A845" s="730"/>
      <c r="B845" s="1286">
        <f t="shared" si="32"/>
        <v>109</v>
      </c>
      <c r="C845" s="1775"/>
      <c r="D845" s="1758" t="s">
        <v>1677</v>
      </c>
      <c r="E845" s="1448" t="s">
        <v>1625</v>
      </c>
      <c r="F845" s="1290"/>
      <c r="G845" s="1302"/>
      <c r="H845" s="1322"/>
      <c r="I845" s="1322"/>
      <c r="J845" s="1322"/>
      <c r="K845" s="1322"/>
      <c r="L845" s="1322"/>
      <c r="M845" s="1322"/>
      <c r="N845" s="1353"/>
      <c r="O845" s="1326"/>
      <c r="P845" s="1322"/>
      <c r="Q845" s="1323"/>
      <c r="R845" s="1324"/>
      <c r="S845" s="1325"/>
      <c r="T845" s="1353"/>
      <c r="U845" s="1463"/>
      <c r="V845" s="1464"/>
      <c r="W845" s="1482"/>
      <c r="X845" s="1307"/>
    </row>
    <row r="846" spans="1:24" s="1308" customFormat="1" ht="15" customHeight="1" x14ac:dyDescent="0.25">
      <c r="A846" s="730"/>
      <c r="B846" s="1286">
        <f t="shared" si="32"/>
        <v>110</v>
      </c>
      <c r="C846" s="1775"/>
      <c r="D846" s="1758"/>
      <c r="E846" s="1448" t="s">
        <v>1299</v>
      </c>
      <c r="F846" s="1290"/>
      <c r="G846" s="1302"/>
      <c r="H846" s="1322"/>
      <c r="I846" s="1322"/>
      <c r="J846" s="1322"/>
      <c r="K846" s="1322"/>
      <c r="L846" s="1322"/>
      <c r="M846" s="1322"/>
      <c r="N846" s="1353"/>
      <c r="O846" s="1326"/>
      <c r="P846" s="1322"/>
      <c r="Q846" s="1323"/>
      <c r="R846" s="1324"/>
      <c r="S846" s="1325"/>
      <c r="T846" s="1353"/>
      <c r="U846" s="1463"/>
      <c r="V846" s="1464"/>
      <c r="W846" s="1482"/>
      <c r="X846" s="1307"/>
    </row>
    <row r="847" spans="1:24" s="1308" customFormat="1" ht="15" customHeight="1" x14ac:dyDescent="0.25">
      <c r="A847" s="730"/>
      <c r="B847" s="1286">
        <f t="shared" si="32"/>
        <v>111</v>
      </c>
      <c r="C847" s="1775"/>
      <c r="D847" s="1758"/>
      <c r="E847" s="1448" t="s">
        <v>1297</v>
      </c>
      <c r="F847" s="1290"/>
      <c r="G847" s="1302"/>
      <c r="H847" s="1322"/>
      <c r="I847" s="1322"/>
      <c r="J847" s="1322"/>
      <c r="K847" s="1322"/>
      <c r="L847" s="1322"/>
      <c r="M847" s="1322"/>
      <c r="N847" s="1353"/>
      <c r="O847" s="1326"/>
      <c r="P847" s="1322"/>
      <c r="Q847" s="1323"/>
      <c r="R847" s="1324"/>
      <c r="S847" s="1325"/>
      <c r="T847" s="1353"/>
      <c r="U847" s="1463"/>
      <c r="V847" s="1464"/>
      <c r="W847" s="1482"/>
      <c r="X847" s="1307"/>
    </row>
    <row r="848" spans="1:24" s="1308" customFormat="1" ht="15" customHeight="1" x14ac:dyDescent="0.25">
      <c r="A848" s="730"/>
      <c r="B848" s="1286">
        <f t="shared" si="32"/>
        <v>112</v>
      </c>
      <c r="C848" s="1775"/>
      <c r="D848" s="1758"/>
      <c r="E848" s="1448" t="s">
        <v>1298</v>
      </c>
      <c r="F848" s="1290"/>
      <c r="G848" s="1302"/>
      <c r="H848" s="1322"/>
      <c r="I848" s="1322"/>
      <c r="J848" s="1322"/>
      <c r="K848" s="1322"/>
      <c r="L848" s="1322"/>
      <c r="M848" s="1322"/>
      <c r="N848" s="1353"/>
      <c r="O848" s="1326"/>
      <c r="P848" s="1322"/>
      <c r="Q848" s="1323"/>
      <c r="R848" s="1324"/>
      <c r="S848" s="1325"/>
      <c r="T848" s="1353"/>
      <c r="U848" s="1463"/>
      <c r="V848" s="1464"/>
      <c r="W848" s="1482"/>
      <c r="X848" s="1307"/>
    </row>
    <row r="849" spans="1:24" s="1308" customFormat="1" ht="15" customHeight="1" x14ac:dyDescent="0.25">
      <c r="A849" s="730"/>
      <c r="B849" s="1286">
        <f t="shared" si="32"/>
        <v>113</v>
      </c>
      <c r="C849" s="1775"/>
      <c r="D849" s="1758" t="s">
        <v>1674</v>
      </c>
      <c r="E849" s="1448" t="s">
        <v>1625</v>
      </c>
      <c r="F849" s="1290"/>
      <c r="G849" s="1302"/>
      <c r="H849" s="1322"/>
      <c r="I849" s="1322"/>
      <c r="J849" s="1322"/>
      <c r="K849" s="1322"/>
      <c r="L849" s="1322"/>
      <c r="M849" s="1322"/>
      <c r="N849" s="1353"/>
      <c r="O849" s="1326"/>
      <c r="P849" s="1322"/>
      <c r="Q849" s="1323"/>
      <c r="R849" s="1324"/>
      <c r="S849" s="1325"/>
      <c r="T849" s="1353"/>
      <c r="U849" s="1463"/>
      <c r="V849" s="1464"/>
      <c r="W849" s="1482"/>
      <c r="X849" s="1307"/>
    </row>
    <row r="850" spans="1:24" s="1308" customFormat="1" ht="15" customHeight="1" x14ac:dyDescent="0.25">
      <c r="A850" s="730"/>
      <c r="B850" s="1286">
        <f t="shared" si="32"/>
        <v>114</v>
      </c>
      <c r="C850" s="1775"/>
      <c r="D850" s="1758"/>
      <c r="E850" s="1448" t="s">
        <v>1299</v>
      </c>
      <c r="F850" s="1290"/>
      <c r="G850" s="1302"/>
      <c r="H850" s="1322"/>
      <c r="I850" s="1322"/>
      <c r="J850" s="1322"/>
      <c r="K850" s="1322"/>
      <c r="L850" s="1322"/>
      <c r="M850" s="1322"/>
      <c r="N850" s="1353"/>
      <c r="O850" s="1326"/>
      <c r="P850" s="1322"/>
      <c r="Q850" s="1323"/>
      <c r="R850" s="1324"/>
      <c r="S850" s="1325"/>
      <c r="T850" s="1353"/>
      <c r="U850" s="1463"/>
      <c r="V850" s="1464"/>
      <c r="W850" s="1482"/>
      <c r="X850" s="1307"/>
    </row>
    <row r="851" spans="1:24" s="1308" customFormat="1" ht="15" customHeight="1" x14ac:dyDescent="0.25">
      <c r="A851" s="730"/>
      <c r="B851" s="1286">
        <f t="shared" si="32"/>
        <v>115</v>
      </c>
      <c r="C851" s="1775"/>
      <c r="D851" s="1758"/>
      <c r="E851" s="1448" t="s">
        <v>1297</v>
      </c>
      <c r="F851" s="1290"/>
      <c r="G851" s="1302"/>
      <c r="H851" s="1322"/>
      <c r="I851" s="1322"/>
      <c r="J851" s="1322"/>
      <c r="K851" s="1322"/>
      <c r="L851" s="1322"/>
      <c r="M851" s="1322"/>
      <c r="N851" s="1353"/>
      <c r="O851" s="1326"/>
      <c r="P851" s="1322"/>
      <c r="Q851" s="1323"/>
      <c r="R851" s="1324"/>
      <c r="S851" s="1325"/>
      <c r="T851" s="1353"/>
      <c r="U851" s="1463"/>
      <c r="V851" s="1464"/>
      <c r="W851" s="1482"/>
      <c r="X851" s="1307"/>
    </row>
    <row r="852" spans="1:24" s="1308" customFormat="1" ht="15" customHeight="1" x14ac:dyDescent="0.25">
      <c r="A852" s="730"/>
      <c r="B852" s="1286">
        <f t="shared" si="32"/>
        <v>116</v>
      </c>
      <c r="C852" s="1775"/>
      <c r="D852" s="1758"/>
      <c r="E852" s="1448" t="s">
        <v>1298</v>
      </c>
      <c r="F852" s="1290"/>
      <c r="G852" s="1302"/>
      <c r="H852" s="1322"/>
      <c r="I852" s="1322"/>
      <c r="J852" s="1322"/>
      <c r="K852" s="1322"/>
      <c r="L852" s="1322"/>
      <c r="M852" s="1322"/>
      <c r="N852" s="1353"/>
      <c r="O852" s="1326"/>
      <c r="P852" s="1322"/>
      <c r="Q852" s="1323"/>
      <c r="R852" s="1324"/>
      <c r="S852" s="1325"/>
      <c r="T852" s="1353"/>
      <c r="U852" s="1463"/>
      <c r="V852" s="1464"/>
      <c r="W852" s="1482"/>
      <c r="X852" s="1307"/>
    </row>
    <row r="853" spans="1:24" s="1308" customFormat="1" ht="15" customHeight="1" x14ac:dyDescent="0.25">
      <c r="A853" s="730"/>
      <c r="B853" s="1286">
        <f t="shared" si="32"/>
        <v>117</v>
      </c>
      <c r="C853" s="1775"/>
      <c r="D853" s="1758" t="s">
        <v>1675</v>
      </c>
      <c r="E853" s="1448" t="s">
        <v>1625</v>
      </c>
      <c r="F853" s="1290"/>
      <c r="G853" s="1302"/>
      <c r="H853" s="1322"/>
      <c r="I853" s="1322"/>
      <c r="J853" s="1322"/>
      <c r="K853" s="1322"/>
      <c r="L853" s="1322"/>
      <c r="M853" s="1322"/>
      <c r="N853" s="1353"/>
      <c r="O853" s="1326"/>
      <c r="P853" s="1322"/>
      <c r="Q853" s="1323"/>
      <c r="R853" s="1324"/>
      <c r="S853" s="1325"/>
      <c r="T853" s="1353"/>
      <c r="U853" s="1463"/>
      <c r="V853" s="1464"/>
      <c r="W853" s="1482"/>
      <c r="X853" s="1307"/>
    </row>
    <row r="854" spans="1:24" s="1308" customFormat="1" ht="15" customHeight="1" x14ac:dyDescent="0.25">
      <c r="A854" s="730"/>
      <c r="B854" s="1286">
        <f t="shared" si="32"/>
        <v>118</v>
      </c>
      <c r="C854" s="1775"/>
      <c r="D854" s="1758"/>
      <c r="E854" s="1448" t="s">
        <v>1299</v>
      </c>
      <c r="F854" s="1290"/>
      <c r="G854" s="1302"/>
      <c r="H854" s="1322"/>
      <c r="I854" s="1322"/>
      <c r="J854" s="1322"/>
      <c r="K854" s="1322"/>
      <c r="L854" s="1322"/>
      <c r="M854" s="1322"/>
      <c r="N854" s="1353"/>
      <c r="O854" s="1326"/>
      <c r="P854" s="1322"/>
      <c r="Q854" s="1323"/>
      <c r="R854" s="1324"/>
      <c r="S854" s="1325"/>
      <c r="T854" s="1353"/>
      <c r="U854" s="1463"/>
      <c r="V854" s="1464"/>
      <c r="W854" s="1482"/>
      <c r="X854" s="1307"/>
    </row>
    <row r="855" spans="1:24" s="1308" customFormat="1" ht="15" customHeight="1" x14ac:dyDescent="0.25">
      <c r="A855" s="730"/>
      <c r="B855" s="1286">
        <f t="shared" si="32"/>
        <v>119</v>
      </c>
      <c r="C855" s="1775"/>
      <c r="D855" s="1758"/>
      <c r="E855" s="1448" t="s">
        <v>1297</v>
      </c>
      <c r="F855" s="1290"/>
      <c r="G855" s="1302"/>
      <c r="H855" s="1322"/>
      <c r="I855" s="1322"/>
      <c r="J855" s="1322"/>
      <c r="K855" s="1322"/>
      <c r="L855" s="1322"/>
      <c r="M855" s="1322"/>
      <c r="N855" s="1353"/>
      <c r="O855" s="1326"/>
      <c r="P855" s="1322"/>
      <c r="Q855" s="1323"/>
      <c r="R855" s="1324"/>
      <c r="S855" s="1325"/>
      <c r="T855" s="1353"/>
      <c r="U855" s="1463"/>
      <c r="V855" s="1464"/>
      <c r="W855" s="1482"/>
      <c r="X855" s="1307"/>
    </row>
    <row r="856" spans="1:24" s="1308" customFormat="1" ht="15" customHeight="1" x14ac:dyDescent="0.25">
      <c r="A856" s="730"/>
      <c r="B856" s="1287">
        <f t="shared" si="32"/>
        <v>120</v>
      </c>
      <c r="C856" s="1776"/>
      <c r="D856" s="1760"/>
      <c r="E856" s="1449" t="s">
        <v>1298</v>
      </c>
      <c r="F856" s="1291"/>
      <c r="G856" s="1327"/>
      <c r="H856" s="1303"/>
      <c r="I856" s="1303"/>
      <c r="J856" s="1303"/>
      <c r="K856" s="1303"/>
      <c r="L856" s="1303"/>
      <c r="M856" s="1303"/>
      <c r="N856" s="1351"/>
      <c r="O856" s="1328"/>
      <c r="P856" s="1303"/>
      <c r="Q856" s="1304"/>
      <c r="R856" s="1305"/>
      <c r="S856" s="1306"/>
      <c r="T856" s="1351"/>
      <c r="U856" s="1466"/>
      <c r="V856" s="1467"/>
      <c r="W856" s="1483"/>
      <c r="X856" s="1307"/>
    </row>
    <row r="857" spans="1:24" s="735" customFormat="1" ht="45" customHeight="1" x14ac:dyDescent="0.25">
      <c r="A857" s="733" t="s">
        <v>1429</v>
      </c>
      <c r="B857" s="722"/>
      <c r="C857" s="734"/>
      <c r="D857" s="734"/>
      <c r="E857" s="734"/>
      <c r="F857" s="732"/>
      <c r="T857" s="1473"/>
      <c r="U857" s="1473"/>
      <c r="V857" s="1473"/>
      <c r="W857" s="1473"/>
      <c r="X857" s="422"/>
    </row>
    <row r="858" spans="1:24" s="1300" customFormat="1" ht="15" customHeight="1" x14ac:dyDescent="0.25">
      <c r="A858" s="726"/>
      <c r="B858" s="1297"/>
      <c r="C858" s="1298"/>
      <c r="D858" s="1676" t="s">
        <v>1292</v>
      </c>
      <c r="E858" s="1778"/>
      <c r="F858" s="1443"/>
      <c r="G858" s="1676"/>
      <c r="H858" s="1677"/>
      <c r="I858" s="1677"/>
      <c r="J858" s="1677"/>
      <c r="K858" s="1677"/>
      <c r="L858" s="1677"/>
      <c r="M858" s="1677"/>
      <c r="N858" s="1677"/>
      <c r="O858" s="1650"/>
      <c r="P858" s="1677"/>
      <c r="Q858" s="1677"/>
      <c r="R858" s="1677"/>
      <c r="S858" s="1778"/>
      <c r="T858" s="1810"/>
      <c r="U858" s="1811"/>
      <c r="V858" s="1811"/>
      <c r="W858" s="1812"/>
      <c r="X858" s="1299"/>
    </row>
    <row r="859" spans="1:24" s="1308" customFormat="1" ht="15" customHeight="1" x14ac:dyDescent="0.25">
      <c r="A859" s="730"/>
      <c r="B859" s="1285">
        <v>1</v>
      </c>
      <c r="C859" s="1764" t="s">
        <v>1274</v>
      </c>
      <c r="D859" s="1772" t="s">
        <v>1303</v>
      </c>
      <c r="E859" s="1773"/>
      <c r="F859" s="1289"/>
      <c r="G859" s="1316"/>
      <c r="H859" s="1317"/>
      <c r="I859" s="1317"/>
      <c r="J859" s="1317"/>
      <c r="K859" s="1317"/>
      <c r="L859" s="1317"/>
      <c r="M859" s="1317"/>
      <c r="N859" s="1317"/>
      <c r="O859" s="1321"/>
      <c r="P859" s="1317"/>
      <c r="Q859" s="1318"/>
      <c r="R859" s="1319"/>
      <c r="S859" s="1320"/>
      <c r="T859" s="1349"/>
      <c r="U859" s="1460"/>
      <c r="V859" s="1461"/>
      <c r="W859" s="1481"/>
      <c r="X859" s="1307"/>
    </row>
    <row r="860" spans="1:24" s="1308" customFormat="1" ht="15" customHeight="1" x14ac:dyDescent="0.25">
      <c r="A860" s="730"/>
      <c r="B860" s="1286">
        <f t="shared" ref="B860:B918" si="33">B859+1</f>
        <v>2</v>
      </c>
      <c r="C860" s="1765"/>
      <c r="D860" s="1768" t="s">
        <v>1304</v>
      </c>
      <c r="E860" s="1769"/>
      <c r="F860" s="1290"/>
      <c r="G860" s="1302"/>
      <c r="H860" s="1322"/>
      <c r="I860" s="1322"/>
      <c r="J860" s="1322"/>
      <c r="K860" s="1322"/>
      <c r="L860" s="1322"/>
      <c r="M860" s="1322"/>
      <c r="N860" s="1322"/>
      <c r="O860" s="1326"/>
      <c r="P860" s="1322"/>
      <c r="Q860" s="1323"/>
      <c r="R860" s="1324"/>
      <c r="S860" s="1325"/>
      <c r="T860" s="1353"/>
      <c r="U860" s="1463"/>
      <c r="V860" s="1464"/>
      <c r="W860" s="1482"/>
      <c r="X860" s="1307"/>
    </row>
    <row r="861" spans="1:24" s="1308" customFormat="1" ht="15" customHeight="1" x14ac:dyDescent="0.25">
      <c r="A861" s="730"/>
      <c r="B861" s="1286">
        <f t="shared" si="33"/>
        <v>3</v>
      </c>
      <c r="C861" s="1765"/>
      <c r="D861" s="1768" t="s">
        <v>1305</v>
      </c>
      <c r="E861" s="1769"/>
      <c r="F861" s="1290"/>
      <c r="G861" s="1302"/>
      <c r="H861" s="1322"/>
      <c r="I861" s="1322"/>
      <c r="J861" s="1322"/>
      <c r="K861" s="1322"/>
      <c r="L861" s="1322"/>
      <c r="M861" s="1322"/>
      <c r="N861" s="1322"/>
      <c r="O861" s="1326"/>
      <c r="P861" s="1322"/>
      <c r="Q861" s="1323"/>
      <c r="R861" s="1324"/>
      <c r="S861" s="1325"/>
      <c r="T861" s="1353"/>
      <c r="U861" s="1463"/>
      <c r="V861" s="1464"/>
      <c r="W861" s="1482"/>
      <c r="X861" s="1307"/>
    </row>
    <row r="862" spans="1:24" s="1308" customFormat="1" ht="15" customHeight="1" x14ac:dyDescent="0.25">
      <c r="A862" s="730"/>
      <c r="B862" s="1286">
        <f t="shared" si="33"/>
        <v>4</v>
      </c>
      <c r="C862" s="1765"/>
      <c r="D862" s="1768" t="s">
        <v>1306</v>
      </c>
      <c r="E862" s="1769"/>
      <c r="F862" s="1290"/>
      <c r="G862" s="1302"/>
      <c r="H862" s="1322"/>
      <c r="I862" s="1322"/>
      <c r="J862" s="1322"/>
      <c r="K862" s="1322"/>
      <c r="L862" s="1322"/>
      <c r="M862" s="1322"/>
      <c r="N862" s="1322"/>
      <c r="O862" s="1326"/>
      <c r="P862" s="1322"/>
      <c r="Q862" s="1323"/>
      <c r="R862" s="1324"/>
      <c r="S862" s="1325"/>
      <c r="T862" s="1353"/>
      <c r="U862" s="1463"/>
      <c r="V862" s="1464"/>
      <c r="W862" s="1482"/>
      <c r="X862" s="1307"/>
    </row>
    <row r="863" spans="1:24" s="1308" customFormat="1" ht="15" customHeight="1" x14ac:dyDescent="0.25">
      <c r="A863" s="730"/>
      <c r="B863" s="1286">
        <f t="shared" si="33"/>
        <v>5</v>
      </c>
      <c r="C863" s="1765"/>
      <c r="D863" s="1768" t="s">
        <v>1307</v>
      </c>
      <c r="E863" s="1769"/>
      <c r="F863" s="1290"/>
      <c r="G863" s="1302"/>
      <c r="H863" s="1322"/>
      <c r="I863" s="1322"/>
      <c r="J863" s="1322"/>
      <c r="K863" s="1322"/>
      <c r="L863" s="1322"/>
      <c r="M863" s="1322"/>
      <c r="N863" s="1322"/>
      <c r="O863" s="1326"/>
      <c r="P863" s="1322"/>
      <c r="Q863" s="1323"/>
      <c r="R863" s="1324"/>
      <c r="S863" s="1325"/>
      <c r="T863" s="1353"/>
      <c r="U863" s="1463"/>
      <c r="V863" s="1464"/>
      <c r="W863" s="1482"/>
      <c r="X863" s="1307"/>
    </row>
    <row r="864" spans="1:24" s="1308" customFormat="1" ht="15" customHeight="1" x14ac:dyDescent="0.25">
      <c r="A864" s="730"/>
      <c r="B864" s="1286">
        <f t="shared" si="33"/>
        <v>6</v>
      </c>
      <c r="C864" s="1765"/>
      <c r="D864" s="1768" t="s">
        <v>1308</v>
      </c>
      <c r="E864" s="1769"/>
      <c r="F864" s="1290"/>
      <c r="G864" s="1302"/>
      <c r="H864" s="1322"/>
      <c r="I864" s="1322"/>
      <c r="J864" s="1322"/>
      <c r="K864" s="1322"/>
      <c r="L864" s="1322"/>
      <c r="M864" s="1322"/>
      <c r="N864" s="1322"/>
      <c r="O864" s="1326"/>
      <c r="P864" s="1322"/>
      <c r="Q864" s="1323"/>
      <c r="R864" s="1324"/>
      <c r="S864" s="1325"/>
      <c r="T864" s="1353"/>
      <c r="U864" s="1463"/>
      <c r="V864" s="1464"/>
      <c r="W864" s="1482"/>
      <c r="X864" s="1307"/>
    </row>
    <row r="865" spans="1:24" s="1308" customFormat="1" ht="15" customHeight="1" x14ac:dyDescent="0.25">
      <c r="A865" s="730"/>
      <c r="B865" s="1286">
        <f t="shared" si="33"/>
        <v>7</v>
      </c>
      <c r="C865" s="1765"/>
      <c r="D865" s="1768" t="s">
        <v>1309</v>
      </c>
      <c r="E865" s="1769"/>
      <c r="F865" s="1290"/>
      <c r="G865" s="1302"/>
      <c r="H865" s="1322"/>
      <c r="I865" s="1322"/>
      <c r="J865" s="1322"/>
      <c r="K865" s="1322"/>
      <c r="L865" s="1322"/>
      <c r="M865" s="1322"/>
      <c r="N865" s="1322"/>
      <c r="O865" s="1326"/>
      <c r="P865" s="1322"/>
      <c r="Q865" s="1323"/>
      <c r="R865" s="1324"/>
      <c r="S865" s="1325"/>
      <c r="T865" s="1353"/>
      <c r="U865" s="1463"/>
      <c r="V865" s="1464"/>
      <c r="W865" s="1482"/>
      <c r="X865" s="1307"/>
    </row>
    <row r="866" spans="1:24" s="1308" customFormat="1" ht="15" customHeight="1" x14ac:dyDescent="0.25">
      <c r="A866" s="730"/>
      <c r="B866" s="1286">
        <f t="shared" si="33"/>
        <v>8</v>
      </c>
      <c r="C866" s="1765"/>
      <c r="D866" s="1768" t="s">
        <v>1310</v>
      </c>
      <c r="E866" s="1769"/>
      <c r="F866" s="1290"/>
      <c r="G866" s="1302"/>
      <c r="H866" s="1322"/>
      <c r="I866" s="1322"/>
      <c r="J866" s="1322"/>
      <c r="K866" s="1322"/>
      <c r="L866" s="1322"/>
      <c r="M866" s="1322"/>
      <c r="N866" s="1322"/>
      <c r="O866" s="1326"/>
      <c r="P866" s="1322"/>
      <c r="Q866" s="1323"/>
      <c r="R866" s="1324"/>
      <c r="S866" s="1325"/>
      <c r="T866" s="1353"/>
      <c r="U866" s="1463"/>
      <c r="V866" s="1464"/>
      <c r="W866" s="1482"/>
      <c r="X866" s="1307"/>
    </row>
    <row r="867" spans="1:24" s="1308" customFormat="1" ht="15" customHeight="1" x14ac:dyDescent="0.25">
      <c r="A867" s="730"/>
      <c r="B867" s="1286">
        <f t="shared" si="33"/>
        <v>9</v>
      </c>
      <c r="C867" s="1765"/>
      <c r="D867" s="1768" t="s">
        <v>1311</v>
      </c>
      <c r="E867" s="1769"/>
      <c r="F867" s="1290"/>
      <c r="G867" s="1302"/>
      <c r="H867" s="1322"/>
      <c r="I867" s="1322"/>
      <c r="J867" s="1322"/>
      <c r="K867" s="1322"/>
      <c r="L867" s="1322"/>
      <c r="M867" s="1322"/>
      <c r="N867" s="1322"/>
      <c r="O867" s="1326"/>
      <c r="P867" s="1322"/>
      <c r="Q867" s="1323"/>
      <c r="R867" s="1324"/>
      <c r="S867" s="1325"/>
      <c r="T867" s="1353"/>
      <c r="U867" s="1463"/>
      <c r="V867" s="1464"/>
      <c r="W867" s="1482"/>
      <c r="X867" s="1307"/>
    </row>
    <row r="868" spans="1:24" s="1308" customFormat="1" ht="15" customHeight="1" x14ac:dyDescent="0.25">
      <c r="A868" s="730"/>
      <c r="B868" s="1287">
        <f t="shared" si="33"/>
        <v>10</v>
      </c>
      <c r="C868" s="1766"/>
      <c r="D868" s="1770" t="s">
        <v>1312</v>
      </c>
      <c r="E868" s="1771"/>
      <c r="F868" s="1291"/>
      <c r="G868" s="1327"/>
      <c r="H868" s="1303"/>
      <c r="I868" s="1303"/>
      <c r="J868" s="1303"/>
      <c r="K868" s="1303"/>
      <c r="L868" s="1303"/>
      <c r="M868" s="1303"/>
      <c r="N868" s="1303"/>
      <c r="O868" s="1328"/>
      <c r="P868" s="1303"/>
      <c r="Q868" s="1304"/>
      <c r="R868" s="1305"/>
      <c r="S868" s="1306"/>
      <c r="T868" s="1351"/>
      <c r="U868" s="1466"/>
      <c r="V868" s="1467"/>
      <c r="W868" s="1483"/>
      <c r="X868" s="1307"/>
    </row>
    <row r="869" spans="1:24" s="1308" customFormat="1" ht="15" customHeight="1" x14ac:dyDescent="0.25">
      <c r="A869" s="730"/>
      <c r="B869" s="1285">
        <f t="shared" si="33"/>
        <v>11</v>
      </c>
      <c r="C869" s="1764" t="s">
        <v>1275</v>
      </c>
      <c r="D869" s="1772" t="s">
        <v>1303</v>
      </c>
      <c r="E869" s="1773"/>
      <c r="F869" s="1289"/>
      <c r="G869" s="1316"/>
      <c r="H869" s="1317"/>
      <c r="I869" s="1317"/>
      <c r="J869" s="1317"/>
      <c r="K869" s="1317"/>
      <c r="L869" s="1317"/>
      <c r="M869" s="1317"/>
      <c r="N869" s="1317"/>
      <c r="O869" s="1321"/>
      <c r="P869" s="1317"/>
      <c r="Q869" s="1318"/>
      <c r="R869" s="1319"/>
      <c r="S869" s="1320"/>
      <c r="T869" s="1349"/>
      <c r="U869" s="1460"/>
      <c r="V869" s="1461"/>
      <c r="W869" s="1481"/>
      <c r="X869" s="1307"/>
    </row>
    <row r="870" spans="1:24" s="1308" customFormat="1" ht="15" customHeight="1" x14ac:dyDescent="0.25">
      <c r="A870" s="730"/>
      <c r="B870" s="1286">
        <f t="shared" si="33"/>
        <v>12</v>
      </c>
      <c r="C870" s="1765"/>
      <c r="D870" s="1768" t="s">
        <v>1304</v>
      </c>
      <c r="E870" s="1769"/>
      <c r="F870" s="1290"/>
      <c r="G870" s="1302"/>
      <c r="H870" s="1322"/>
      <c r="I870" s="1322"/>
      <c r="J870" s="1322"/>
      <c r="K870" s="1322"/>
      <c r="L870" s="1322"/>
      <c r="M870" s="1322"/>
      <c r="N870" s="1322"/>
      <c r="O870" s="1326"/>
      <c r="P870" s="1322"/>
      <c r="Q870" s="1323"/>
      <c r="R870" s="1324"/>
      <c r="S870" s="1325"/>
      <c r="T870" s="1353"/>
      <c r="U870" s="1463"/>
      <c r="V870" s="1464"/>
      <c r="W870" s="1482"/>
      <c r="X870" s="1307"/>
    </row>
    <row r="871" spans="1:24" s="1308" customFormat="1" ht="15" customHeight="1" x14ac:dyDescent="0.25">
      <c r="A871" s="730"/>
      <c r="B871" s="1286">
        <f t="shared" si="33"/>
        <v>13</v>
      </c>
      <c r="C871" s="1765"/>
      <c r="D871" s="1768" t="s">
        <v>1305</v>
      </c>
      <c r="E871" s="1769"/>
      <c r="F871" s="1290"/>
      <c r="G871" s="1302"/>
      <c r="H871" s="1322"/>
      <c r="I871" s="1322"/>
      <c r="J871" s="1322"/>
      <c r="K871" s="1322"/>
      <c r="L871" s="1322"/>
      <c r="M871" s="1322"/>
      <c r="N871" s="1322"/>
      <c r="O871" s="1326"/>
      <c r="P871" s="1322"/>
      <c r="Q871" s="1323"/>
      <c r="R871" s="1324"/>
      <c r="S871" s="1325"/>
      <c r="T871" s="1353"/>
      <c r="U871" s="1463"/>
      <c r="V871" s="1464"/>
      <c r="W871" s="1482"/>
      <c r="X871" s="1307"/>
    </row>
    <row r="872" spans="1:24" s="1308" customFormat="1" ht="15" customHeight="1" x14ac:dyDescent="0.25">
      <c r="A872" s="730"/>
      <c r="B872" s="1286">
        <f t="shared" si="33"/>
        <v>14</v>
      </c>
      <c r="C872" s="1765"/>
      <c r="D872" s="1768" t="s">
        <v>1306</v>
      </c>
      <c r="E872" s="1769"/>
      <c r="F872" s="1290"/>
      <c r="G872" s="1302"/>
      <c r="H872" s="1322"/>
      <c r="I872" s="1322"/>
      <c r="J872" s="1322"/>
      <c r="K872" s="1322"/>
      <c r="L872" s="1322"/>
      <c r="M872" s="1322"/>
      <c r="N872" s="1322"/>
      <c r="O872" s="1326"/>
      <c r="P872" s="1322"/>
      <c r="Q872" s="1323"/>
      <c r="R872" s="1324"/>
      <c r="S872" s="1325"/>
      <c r="T872" s="1353"/>
      <c r="U872" s="1463"/>
      <c r="V872" s="1464"/>
      <c r="W872" s="1482"/>
      <c r="X872" s="1307"/>
    </row>
    <row r="873" spans="1:24" s="1308" customFormat="1" ht="15" customHeight="1" x14ac:dyDescent="0.25">
      <c r="A873" s="730"/>
      <c r="B873" s="1286">
        <f t="shared" si="33"/>
        <v>15</v>
      </c>
      <c r="C873" s="1765"/>
      <c r="D873" s="1768" t="s">
        <v>1307</v>
      </c>
      <c r="E873" s="1769"/>
      <c r="F873" s="1290"/>
      <c r="G873" s="1302"/>
      <c r="H873" s="1322"/>
      <c r="I873" s="1322"/>
      <c r="J873" s="1322"/>
      <c r="K873" s="1322"/>
      <c r="L873" s="1322"/>
      <c r="M873" s="1322"/>
      <c r="N873" s="1322"/>
      <c r="O873" s="1326"/>
      <c r="P873" s="1322"/>
      <c r="Q873" s="1323"/>
      <c r="R873" s="1324"/>
      <c r="S873" s="1325"/>
      <c r="T873" s="1353"/>
      <c r="U873" s="1463"/>
      <c r="V873" s="1464"/>
      <c r="W873" s="1482"/>
      <c r="X873" s="1307"/>
    </row>
    <row r="874" spans="1:24" s="1308" customFormat="1" ht="15" customHeight="1" x14ac:dyDescent="0.25">
      <c r="A874" s="730"/>
      <c r="B874" s="1286">
        <f t="shared" si="33"/>
        <v>16</v>
      </c>
      <c r="C874" s="1765"/>
      <c r="D874" s="1768" t="s">
        <v>1308</v>
      </c>
      <c r="E874" s="1769"/>
      <c r="F874" s="1290"/>
      <c r="G874" s="1302"/>
      <c r="H874" s="1322"/>
      <c r="I874" s="1322"/>
      <c r="J874" s="1322"/>
      <c r="K874" s="1322"/>
      <c r="L874" s="1322"/>
      <c r="M874" s="1322"/>
      <c r="N874" s="1322"/>
      <c r="O874" s="1326"/>
      <c r="P874" s="1322"/>
      <c r="Q874" s="1323"/>
      <c r="R874" s="1324"/>
      <c r="S874" s="1325"/>
      <c r="T874" s="1353"/>
      <c r="U874" s="1463"/>
      <c r="V874" s="1464"/>
      <c r="W874" s="1482"/>
      <c r="X874" s="1307"/>
    </row>
    <row r="875" spans="1:24" s="1308" customFormat="1" ht="15" customHeight="1" x14ac:dyDescent="0.25">
      <c r="A875" s="730"/>
      <c r="B875" s="1286">
        <f t="shared" si="33"/>
        <v>17</v>
      </c>
      <c r="C875" s="1765"/>
      <c r="D875" s="1768" t="s">
        <v>1309</v>
      </c>
      <c r="E875" s="1769"/>
      <c r="F875" s="1290"/>
      <c r="G875" s="1302"/>
      <c r="H875" s="1322"/>
      <c r="I875" s="1322"/>
      <c r="J875" s="1322"/>
      <c r="K875" s="1322"/>
      <c r="L875" s="1322"/>
      <c r="M875" s="1322"/>
      <c r="N875" s="1322"/>
      <c r="O875" s="1326"/>
      <c r="P875" s="1322"/>
      <c r="Q875" s="1323"/>
      <c r="R875" s="1324"/>
      <c r="S875" s="1325"/>
      <c r="T875" s="1353"/>
      <c r="U875" s="1463"/>
      <c r="V875" s="1464"/>
      <c r="W875" s="1482"/>
      <c r="X875" s="1307"/>
    </row>
    <row r="876" spans="1:24" s="1308" customFormat="1" ht="15" customHeight="1" x14ac:dyDescent="0.25">
      <c r="A876" s="730"/>
      <c r="B876" s="1286">
        <f t="shared" si="33"/>
        <v>18</v>
      </c>
      <c r="C876" s="1765"/>
      <c r="D876" s="1768" t="s">
        <v>1310</v>
      </c>
      <c r="E876" s="1769"/>
      <c r="F876" s="1290"/>
      <c r="G876" s="1302"/>
      <c r="H876" s="1322"/>
      <c r="I876" s="1322"/>
      <c r="J876" s="1322"/>
      <c r="K876" s="1322"/>
      <c r="L876" s="1322"/>
      <c r="M876" s="1322"/>
      <c r="N876" s="1322"/>
      <c r="O876" s="1326"/>
      <c r="P876" s="1322"/>
      <c r="Q876" s="1323"/>
      <c r="R876" s="1324"/>
      <c r="S876" s="1325"/>
      <c r="T876" s="1353"/>
      <c r="U876" s="1463"/>
      <c r="V876" s="1464"/>
      <c r="W876" s="1482"/>
      <c r="X876" s="1307"/>
    </row>
    <row r="877" spans="1:24" s="1308" customFormat="1" ht="15" customHeight="1" x14ac:dyDescent="0.25">
      <c r="A877" s="730"/>
      <c r="B877" s="1286">
        <f t="shared" si="33"/>
        <v>19</v>
      </c>
      <c r="C877" s="1765"/>
      <c r="D877" s="1768" t="s">
        <v>1311</v>
      </c>
      <c r="E877" s="1769"/>
      <c r="F877" s="1290"/>
      <c r="G877" s="1302"/>
      <c r="H877" s="1322"/>
      <c r="I877" s="1322"/>
      <c r="J877" s="1322"/>
      <c r="K877" s="1322"/>
      <c r="L877" s="1322"/>
      <c r="M877" s="1322"/>
      <c r="N877" s="1322"/>
      <c r="O877" s="1326"/>
      <c r="P877" s="1322"/>
      <c r="Q877" s="1323"/>
      <c r="R877" s="1324"/>
      <c r="S877" s="1325"/>
      <c r="T877" s="1353"/>
      <c r="U877" s="1463"/>
      <c r="V877" s="1464"/>
      <c r="W877" s="1482"/>
      <c r="X877" s="1307"/>
    </row>
    <row r="878" spans="1:24" s="1308" customFormat="1" ht="15" customHeight="1" x14ac:dyDescent="0.25">
      <c r="A878" s="730"/>
      <c r="B878" s="1287">
        <f t="shared" si="33"/>
        <v>20</v>
      </c>
      <c r="C878" s="1766"/>
      <c r="D878" s="1770" t="s">
        <v>1312</v>
      </c>
      <c r="E878" s="1771"/>
      <c r="F878" s="1291"/>
      <c r="G878" s="1327"/>
      <c r="H878" s="1303"/>
      <c r="I878" s="1303"/>
      <c r="J878" s="1303"/>
      <c r="K878" s="1303"/>
      <c r="L878" s="1303"/>
      <c r="M878" s="1303"/>
      <c r="N878" s="1303"/>
      <c r="O878" s="1328"/>
      <c r="P878" s="1303"/>
      <c r="Q878" s="1304"/>
      <c r="R878" s="1305"/>
      <c r="S878" s="1306"/>
      <c r="T878" s="1351"/>
      <c r="U878" s="1466"/>
      <c r="V878" s="1467"/>
      <c r="W878" s="1483"/>
      <c r="X878" s="1307"/>
    </row>
    <row r="879" spans="1:24" s="1308" customFormat="1" ht="15" customHeight="1" x14ac:dyDescent="0.25">
      <c r="A879" s="730"/>
      <c r="B879" s="1285">
        <f t="shared" si="33"/>
        <v>21</v>
      </c>
      <c r="C879" s="1764" t="s">
        <v>1300</v>
      </c>
      <c r="D879" s="1772" t="s">
        <v>1303</v>
      </c>
      <c r="E879" s="1773"/>
      <c r="F879" s="1289"/>
      <c r="G879" s="1316"/>
      <c r="H879" s="1317"/>
      <c r="I879" s="1317"/>
      <c r="J879" s="1317"/>
      <c r="K879" s="1317"/>
      <c r="L879" s="1317"/>
      <c r="M879" s="1317"/>
      <c r="N879" s="1317"/>
      <c r="O879" s="1321"/>
      <c r="P879" s="1317"/>
      <c r="Q879" s="1318"/>
      <c r="R879" s="1319"/>
      <c r="S879" s="1320"/>
      <c r="T879" s="1349"/>
      <c r="U879" s="1460"/>
      <c r="V879" s="1461"/>
      <c r="W879" s="1481"/>
      <c r="X879" s="1307"/>
    </row>
    <row r="880" spans="1:24" s="1308" customFormat="1" ht="15" customHeight="1" x14ac:dyDescent="0.25">
      <c r="A880" s="730"/>
      <c r="B880" s="1286">
        <f t="shared" si="33"/>
        <v>22</v>
      </c>
      <c r="C880" s="1765"/>
      <c r="D880" s="1768" t="s">
        <v>1304</v>
      </c>
      <c r="E880" s="1769"/>
      <c r="F880" s="1290"/>
      <c r="G880" s="1302"/>
      <c r="H880" s="1322"/>
      <c r="I880" s="1322"/>
      <c r="J880" s="1322"/>
      <c r="K880" s="1322"/>
      <c r="L880" s="1322"/>
      <c r="M880" s="1322"/>
      <c r="N880" s="1322"/>
      <c r="O880" s="1326"/>
      <c r="P880" s="1322"/>
      <c r="Q880" s="1323"/>
      <c r="R880" s="1324"/>
      <c r="S880" s="1325"/>
      <c r="T880" s="1353"/>
      <c r="U880" s="1463"/>
      <c r="V880" s="1464"/>
      <c r="W880" s="1482"/>
      <c r="X880" s="1307"/>
    </row>
    <row r="881" spans="1:24" s="1308" customFormat="1" ht="15" customHeight="1" x14ac:dyDescent="0.25">
      <c r="A881" s="730"/>
      <c r="B881" s="1286">
        <f t="shared" si="33"/>
        <v>23</v>
      </c>
      <c r="C881" s="1765"/>
      <c r="D881" s="1768" t="s">
        <v>1305</v>
      </c>
      <c r="E881" s="1769"/>
      <c r="F881" s="1290"/>
      <c r="G881" s="1302"/>
      <c r="H881" s="1322"/>
      <c r="I881" s="1322"/>
      <c r="J881" s="1322"/>
      <c r="K881" s="1322"/>
      <c r="L881" s="1322"/>
      <c r="M881" s="1322"/>
      <c r="N881" s="1322"/>
      <c r="O881" s="1326"/>
      <c r="P881" s="1322"/>
      <c r="Q881" s="1323"/>
      <c r="R881" s="1324"/>
      <c r="S881" s="1325"/>
      <c r="T881" s="1353"/>
      <c r="U881" s="1463"/>
      <c r="V881" s="1464"/>
      <c r="W881" s="1482"/>
      <c r="X881" s="1307"/>
    </row>
    <row r="882" spans="1:24" s="1308" customFormat="1" ht="15" customHeight="1" x14ac:dyDescent="0.25">
      <c r="A882" s="730"/>
      <c r="B882" s="1286">
        <f t="shared" si="33"/>
        <v>24</v>
      </c>
      <c r="C882" s="1765"/>
      <c r="D882" s="1768" t="s">
        <v>1306</v>
      </c>
      <c r="E882" s="1769"/>
      <c r="F882" s="1290"/>
      <c r="G882" s="1302"/>
      <c r="H882" s="1322"/>
      <c r="I882" s="1322"/>
      <c r="J882" s="1322"/>
      <c r="K882" s="1322"/>
      <c r="L882" s="1322"/>
      <c r="M882" s="1322"/>
      <c r="N882" s="1322"/>
      <c r="O882" s="1326"/>
      <c r="P882" s="1322"/>
      <c r="Q882" s="1323"/>
      <c r="R882" s="1324"/>
      <c r="S882" s="1325"/>
      <c r="T882" s="1353"/>
      <c r="U882" s="1463"/>
      <c r="V882" s="1464"/>
      <c r="W882" s="1482"/>
      <c r="X882" s="1307"/>
    </row>
    <row r="883" spans="1:24" s="1308" customFormat="1" ht="15" customHeight="1" x14ac:dyDescent="0.25">
      <c r="A883" s="730"/>
      <c r="B883" s="1286">
        <f t="shared" si="33"/>
        <v>25</v>
      </c>
      <c r="C883" s="1765"/>
      <c r="D883" s="1768" t="s">
        <v>1307</v>
      </c>
      <c r="E883" s="1769"/>
      <c r="F883" s="1290"/>
      <c r="G883" s="1302"/>
      <c r="H883" s="1322"/>
      <c r="I883" s="1322"/>
      <c r="J883" s="1322"/>
      <c r="K883" s="1322"/>
      <c r="L883" s="1322"/>
      <c r="M883" s="1322"/>
      <c r="N883" s="1322"/>
      <c r="O883" s="1326"/>
      <c r="P883" s="1322"/>
      <c r="Q883" s="1323"/>
      <c r="R883" s="1324"/>
      <c r="S883" s="1325"/>
      <c r="T883" s="1353"/>
      <c r="U883" s="1463"/>
      <c r="V883" s="1464"/>
      <c r="W883" s="1482"/>
      <c r="X883" s="1307"/>
    </row>
    <row r="884" spans="1:24" s="1308" customFormat="1" ht="15" customHeight="1" x14ac:dyDescent="0.25">
      <c r="A884" s="730"/>
      <c r="B884" s="1286">
        <f t="shared" si="33"/>
        <v>26</v>
      </c>
      <c r="C884" s="1765"/>
      <c r="D884" s="1768" t="s">
        <v>1308</v>
      </c>
      <c r="E884" s="1769"/>
      <c r="F884" s="1290"/>
      <c r="G884" s="1302"/>
      <c r="H884" s="1322"/>
      <c r="I884" s="1322"/>
      <c r="J884" s="1322"/>
      <c r="K884" s="1322"/>
      <c r="L884" s="1322"/>
      <c r="M884" s="1322"/>
      <c r="N884" s="1322"/>
      <c r="O884" s="1326"/>
      <c r="P884" s="1322"/>
      <c r="Q884" s="1323"/>
      <c r="R884" s="1324"/>
      <c r="S884" s="1325"/>
      <c r="T884" s="1353"/>
      <c r="U884" s="1463"/>
      <c r="V884" s="1464"/>
      <c r="W884" s="1482"/>
      <c r="X884" s="1307"/>
    </row>
    <row r="885" spans="1:24" s="1308" customFormat="1" ht="15" customHeight="1" x14ac:dyDescent="0.25">
      <c r="A885" s="730"/>
      <c r="B885" s="1286">
        <f t="shared" si="33"/>
        <v>27</v>
      </c>
      <c r="C885" s="1765"/>
      <c r="D885" s="1768" t="s">
        <v>1309</v>
      </c>
      <c r="E885" s="1769"/>
      <c r="F885" s="1290"/>
      <c r="G885" s="1302"/>
      <c r="H885" s="1322"/>
      <c r="I885" s="1322"/>
      <c r="J885" s="1322"/>
      <c r="K885" s="1322"/>
      <c r="L885" s="1322"/>
      <c r="M885" s="1322"/>
      <c r="N885" s="1322"/>
      <c r="O885" s="1326"/>
      <c r="P885" s="1322"/>
      <c r="Q885" s="1323"/>
      <c r="R885" s="1324"/>
      <c r="S885" s="1325"/>
      <c r="T885" s="1353"/>
      <c r="U885" s="1463"/>
      <c r="V885" s="1464"/>
      <c r="W885" s="1482"/>
      <c r="X885" s="1307"/>
    </row>
    <row r="886" spans="1:24" s="1308" customFormat="1" ht="15" customHeight="1" x14ac:dyDescent="0.25">
      <c r="A886" s="730"/>
      <c r="B886" s="1286">
        <f t="shared" si="33"/>
        <v>28</v>
      </c>
      <c r="C886" s="1765"/>
      <c r="D886" s="1768" t="s">
        <v>1310</v>
      </c>
      <c r="E886" s="1769"/>
      <c r="F886" s="1290"/>
      <c r="G886" s="1302"/>
      <c r="H886" s="1322"/>
      <c r="I886" s="1322"/>
      <c r="J886" s="1322"/>
      <c r="K886" s="1322"/>
      <c r="L886" s="1322"/>
      <c r="M886" s="1322"/>
      <c r="N886" s="1322"/>
      <c r="O886" s="1326"/>
      <c r="P886" s="1322"/>
      <c r="Q886" s="1323"/>
      <c r="R886" s="1324"/>
      <c r="S886" s="1325"/>
      <c r="T886" s="1353"/>
      <c r="U886" s="1463"/>
      <c r="V886" s="1464"/>
      <c r="W886" s="1482"/>
      <c r="X886" s="1307"/>
    </row>
    <row r="887" spans="1:24" s="1308" customFormat="1" ht="15" customHeight="1" x14ac:dyDescent="0.25">
      <c r="A887" s="730"/>
      <c r="B887" s="1286">
        <f t="shared" si="33"/>
        <v>29</v>
      </c>
      <c r="C887" s="1765"/>
      <c r="D887" s="1768" t="s">
        <v>1311</v>
      </c>
      <c r="E887" s="1769"/>
      <c r="F887" s="1290"/>
      <c r="G887" s="1302"/>
      <c r="H887" s="1322"/>
      <c r="I887" s="1322"/>
      <c r="J887" s="1322"/>
      <c r="K887" s="1322"/>
      <c r="L887" s="1322"/>
      <c r="M887" s="1322"/>
      <c r="N887" s="1322"/>
      <c r="O887" s="1326"/>
      <c r="P887" s="1322"/>
      <c r="Q887" s="1323"/>
      <c r="R887" s="1324"/>
      <c r="S887" s="1325"/>
      <c r="T887" s="1353"/>
      <c r="U887" s="1463"/>
      <c r="V887" s="1464"/>
      <c r="W887" s="1482"/>
      <c r="X887" s="1307"/>
    </row>
    <row r="888" spans="1:24" s="1308" customFormat="1" ht="15" customHeight="1" x14ac:dyDescent="0.25">
      <c r="A888" s="730"/>
      <c r="B888" s="1287">
        <f t="shared" si="33"/>
        <v>30</v>
      </c>
      <c r="C888" s="1766"/>
      <c r="D888" s="1770" t="s">
        <v>1312</v>
      </c>
      <c r="E888" s="1771"/>
      <c r="F888" s="1291"/>
      <c r="G888" s="1327"/>
      <c r="H888" s="1303"/>
      <c r="I888" s="1303"/>
      <c r="J888" s="1303"/>
      <c r="K888" s="1303"/>
      <c r="L888" s="1303"/>
      <c r="M888" s="1303"/>
      <c r="N888" s="1303"/>
      <c r="O888" s="1328"/>
      <c r="P888" s="1303"/>
      <c r="Q888" s="1304"/>
      <c r="R888" s="1305"/>
      <c r="S888" s="1306"/>
      <c r="T888" s="1351"/>
      <c r="U888" s="1466"/>
      <c r="V888" s="1467"/>
      <c r="W888" s="1483"/>
      <c r="X888" s="1307"/>
    </row>
    <row r="889" spans="1:24" s="1308" customFormat="1" ht="15" customHeight="1" x14ac:dyDescent="0.25">
      <c r="A889" s="730"/>
      <c r="B889" s="1285">
        <f t="shared" si="33"/>
        <v>31</v>
      </c>
      <c r="C889" s="1764" t="s">
        <v>1301</v>
      </c>
      <c r="D889" s="1772" t="s">
        <v>1303</v>
      </c>
      <c r="E889" s="1773"/>
      <c r="F889" s="1289"/>
      <c r="G889" s="1316"/>
      <c r="H889" s="1317"/>
      <c r="I889" s="1317"/>
      <c r="J889" s="1317"/>
      <c r="K889" s="1317"/>
      <c r="L889" s="1317"/>
      <c r="M889" s="1317"/>
      <c r="N889" s="1317"/>
      <c r="O889" s="1321"/>
      <c r="P889" s="1317"/>
      <c r="Q889" s="1318"/>
      <c r="R889" s="1319"/>
      <c r="S889" s="1320"/>
      <c r="T889" s="1349"/>
      <c r="U889" s="1460"/>
      <c r="V889" s="1461"/>
      <c r="W889" s="1481"/>
      <c r="X889" s="1307"/>
    </row>
    <row r="890" spans="1:24" s="1308" customFormat="1" ht="15" customHeight="1" x14ac:dyDescent="0.25">
      <c r="A890" s="730"/>
      <c r="B890" s="1286">
        <f t="shared" si="33"/>
        <v>32</v>
      </c>
      <c r="C890" s="1765"/>
      <c r="D890" s="1768" t="s">
        <v>1304</v>
      </c>
      <c r="E890" s="1769"/>
      <c r="F890" s="1290"/>
      <c r="G890" s="1302"/>
      <c r="H890" s="1322"/>
      <c r="I890" s="1322"/>
      <c r="J890" s="1322"/>
      <c r="K890" s="1322"/>
      <c r="L890" s="1322"/>
      <c r="M890" s="1322"/>
      <c r="N890" s="1322"/>
      <c r="O890" s="1326"/>
      <c r="P890" s="1322"/>
      <c r="Q890" s="1323"/>
      <c r="R890" s="1324"/>
      <c r="S890" s="1325"/>
      <c r="T890" s="1353"/>
      <c r="U890" s="1463"/>
      <c r="V890" s="1464"/>
      <c r="W890" s="1482"/>
      <c r="X890" s="1307"/>
    </row>
    <row r="891" spans="1:24" s="1308" customFormat="1" ht="15" customHeight="1" x14ac:dyDescent="0.25">
      <c r="A891" s="730"/>
      <c r="B891" s="1286">
        <f t="shared" si="33"/>
        <v>33</v>
      </c>
      <c r="C891" s="1765"/>
      <c r="D891" s="1768" t="s">
        <v>1305</v>
      </c>
      <c r="E891" s="1769"/>
      <c r="F891" s="1290"/>
      <c r="G891" s="1302"/>
      <c r="H891" s="1322"/>
      <c r="I891" s="1322"/>
      <c r="J891" s="1322"/>
      <c r="K891" s="1322"/>
      <c r="L891" s="1322"/>
      <c r="M891" s="1322"/>
      <c r="N891" s="1322"/>
      <c r="O891" s="1326"/>
      <c r="P891" s="1322"/>
      <c r="Q891" s="1323"/>
      <c r="R891" s="1324"/>
      <c r="S891" s="1325"/>
      <c r="T891" s="1353"/>
      <c r="U891" s="1463"/>
      <c r="V891" s="1464"/>
      <c r="W891" s="1482"/>
      <c r="X891" s="1307"/>
    </row>
    <row r="892" spans="1:24" s="1308" customFormat="1" ht="15" customHeight="1" x14ac:dyDescent="0.25">
      <c r="A892" s="730"/>
      <c r="B892" s="1286">
        <f t="shared" si="33"/>
        <v>34</v>
      </c>
      <c r="C892" s="1765"/>
      <c r="D892" s="1768" t="s">
        <v>1306</v>
      </c>
      <c r="E892" s="1769"/>
      <c r="F892" s="1290"/>
      <c r="G892" s="1302"/>
      <c r="H892" s="1322"/>
      <c r="I892" s="1322"/>
      <c r="J892" s="1322"/>
      <c r="K892" s="1322"/>
      <c r="L892" s="1322"/>
      <c r="M892" s="1322"/>
      <c r="N892" s="1322"/>
      <c r="O892" s="1326"/>
      <c r="P892" s="1322"/>
      <c r="Q892" s="1323"/>
      <c r="R892" s="1324"/>
      <c r="S892" s="1325"/>
      <c r="T892" s="1353"/>
      <c r="U892" s="1463"/>
      <c r="V892" s="1464"/>
      <c r="W892" s="1482"/>
      <c r="X892" s="1307"/>
    </row>
    <row r="893" spans="1:24" s="1308" customFormat="1" ht="15" customHeight="1" x14ac:dyDescent="0.25">
      <c r="A893" s="730"/>
      <c r="B893" s="1286">
        <f t="shared" si="33"/>
        <v>35</v>
      </c>
      <c r="C893" s="1765"/>
      <c r="D893" s="1768" t="s">
        <v>1307</v>
      </c>
      <c r="E893" s="1769"/>
      <c r="F893" s="1290"/>
      <c r="G893" s="1302"/>
      <c r="H893" s="1322"/>
      <c r="I893" s="1322"/>
      <c r="J893" s="1322"/>
      <c r="K893" s="1322"/>
      <c r="L893" s="1322"/>
      <c r="M893" s="1322"/>
      <c r="N893" s="1322"/>
      <c r="O893" s="1326"/>
      <c r="P893" s="1322"/>
      <c r="Q893" s="1323"/>
      <c r="R893" s="1324"/>
      <c r="S893" s="1325"/>
      <c r="T893" s="1353"/>
      <c r="U893" s="1463"/>
      <c r="V893" s="1464"/>
      <c r="W893" s="1482"/>
      <c r="X893" s="1307"/>
    </row>
    <row r="894" spans="1:24" s="1308" customFormat="1" ht="15" customHeight="1" x14ac:dyDescent="0.25">
      <c r="A894" s="730"/>
      <c r="B894" s="1286">
        <f t="shared" si="33"/>
        <v>36</v>
      </c>
      <c r="C894" s="1765"/>
      <c r="D894" s="1768" t="s">
        <v>1308</v>
      </c>
      <c r="E894" s="1769"/>
      <c r="F894" s="1290"/>
      <c r="G894" s="1302"/>
      <c r="H894" s="1322"/>
      <c r="I894" s="1322"/>
      <c r="J894" s="1322"/>
      <c r="K894" s="1322"/>
      <c r="L894" s="1322"/>
      <c r="M894" s="1322"/>
      <c r="N894" s="1322"/>
      <c r="O894" s="1326"/>
      <c r="P894" s="1322"/>
      <c r="Q894" s="1323"/>
      <c r="R894" s="1324"/>
      <c r="S894" s="1325"/>
      <c r="T894" s="1353"/>
      <c r="U894" s="1463"/>
      <c r="V894" s="1464"/>
      <c r="W894" s="1482"/>
      <c r="X894" s="1307"/>
    </row>
    <row r="895" spans="1:24" s="1308" customFormat="1" ht="15" customHeight="1" x14ac:dyDescent="0.25">
      <c r="A895" s="730"/>
      <c r="B895" s="1286">
        <f t="shared" si="33"/>
        <v>37</v>
      </c>
      <c r="C895" s="1765"/>
      <c r="D895" s="1768" t="s">
        <v>1309</v>
      </c>
      <c r="E895" s="1769"/>
      <c r="F895" s="1290"/>
      <c r="G895" s="1302"/>
      <c r="H895" s="1322"/>
      <c r="I895" s="1322"/>
      <c r="J895" s="1322"/>
      <c r="K895" s="1322"/>
      <c r="L895" s="1322"/>
      <c r="M895" s="1322"/>
      <c r="N895" s="1322"/>
      <c r="O895" s="1326"/>
      <c r="P895" s="1322"/>
      <c r="Q895" s="1323"/>
      <c r="R895" s="1324"/>
      <c r="S895" s="1325"/>
      <c r="T895" s="1353"/>
      <c r="U895" s="1463"/>
      <c r="V895" s="1464"/>
      <c r="W895" s="1482"/>
      <c r="X895" s="1307"/>
    </row>
    <row r="896" spans="1:24" s="1308" customFormat="1" ht="15" customHeight="1" x14ac:dyDescent="0.25">
      <c r="A896" s="730"/>
      <c r="B896" s="1286">
        <f t="shared" si="33"/>
        <v>38</v>
      </c>
      <c r="C896" s="1765"/>
      <c r="D896" s="1768" t="s">
        <v>1310</v>
      </c>
      <c r="E896" s="1769"/>
      <c r="F896" s="1290"/>
      <c r="G896" s="1302"/>
      <c r="H896" s="1322"/>
      <c r="I896" s="1322"/>
      <c r="J896" s="1322"/>
      <c r="K896" s="1322"/>
      <c r="L896" s="1322"/>
      <c r="M896" s="1322"/>
      <c r="N896" s="1322"/>
      <c r="O896" s="1326"/>
      <c r="P896" s="1322"/>
      <c r="Q896" s="1323"/>
      <c r="R896" s="1324"/>
      <c r="S896" s="1325"/>
      <c r="T896" s="1353"/>
      <c r="U896" s="1463"/>
      <c r="V896" s="1464"/>
      <c r="W896" s="1482"/>
      <c r="X896" s="1307"/>
    </row>
    <row r="897" spans="1:24" s="1308" customFormat="1" ht="15" customHeight="1" x14ac:dyDescent="0.25">
      <c r="A897" s="730"/>
      <c r="B897" s="1286">
        <f t="shared" si="33"/>
        <v>39</v>
      </c>
      <c r="C897" s="1765"/>
      <c r="D897" s="1768" t="s">
        <v>1311</v>
      </c>
      <c r="E897" s="1769"/>
      <c r="F897" s="1290"/>
      <c r="G897" s="1302"/>
      <c r="H897" s="1322"/>
      <c r="I897" s="1322"/>
      <c r="J897" s="1322"/>
      <c r="K897" s="1322"/>
      <c r="L897" s="1322"/>
      <c r="M897" s="1322"/>
      <c r="N897" s="1322"/>
      <c r="O897" s="1326"/>
      <c r="P897" s="1322"/>
      <c r="Q897" s="1323"/>
      <c r="R897" s="1324"/>
      <c r="S897" s="1325"/>
      <c r="T897" s="1353"/>
      <c r="U897" s="1463"/>
      <c r="V897" s="1464"/>
      <c r="W897" s="1482"/>
      <c r="X897" s="1307"/>
    </row>
    <row r="898" spans="1:24" s="1308" customFormat="1" ht="15" customHeight="1" x14ac:dyDescent="0.25">
      <c r="A898" s="730"/>
      <c r="B898" s="1287">
        <f t="shared" si="33"/>
        <v>40</v>
      </c>
      <c r="C898" s="1766"/>
      <c r="D898" s="1770" t="s">
        <v>1312</v>
      </c>
      <c r="E898" s="1771"/>
      <c r="F898" s="1291"/>
      <c r="G898" s="1327"/>
      <c r="H898" s="1303"/>
      <c r="I898" s="1303"/>
      <c r="J898" s="1303"/>
      <c r="K898" s="1303"/>
      <c r="L898" s="1303"/>
      <c r="M898" s="1303"/>
      <c r="N898" s="1303"/>
      <c r="O898" s="1328"/>
      <c r="P898" s="1303"/>
      <c r="Q898" s="1304"/>
      <c r="R898" s="1305"/>
      <c r="S898" s="1306"/>
      <c r="T898" s="1351"/>
      <c r="U898" s="1466"/>
      <c r="V898" s="1467"/>
      <c r="W898" s="1483"/>
      <c r="X898" s="1307"/>
    </row>
    <row r="899" spans="1:24" s="1308" customFormat="1" ht="15" customHeight="1" x14ac:dyDescent="0.25">
      <c r="A899" s="730"/>
      <c r="B899" s="1285">
        <f t="shared" si="33"/>
        <v>41</v>
      </c>
      <c r="C899" s="1764" t="s">
        <v>1302</v>
      </c>
      <c r="D899" s="1772" t="s">
        <v>1303</v>
      </c>
      <c r="E899" s="1773"/>
      <c r="F899" s="1289"/>
      <c r="G899" s="1316"/>
      <c r="H899" s="1317"/>
      <c r="I899" s="1317"/>
      <c r="J899" s="1317"/>
      <c r="K899" s="1317"/>
      <c r="L899" s="1317"/>
      <c r="M899" s="1317"/>
      <c r="N899" s="1317"/>
      <c r="O899" s="1321"/>
      <c r="P899" s="1317"/>
      <c r="Q899" s="1318"/>
      <c r="R899" s="1319"/>
      <c r="S899" s="1320"/>
      <c r="T899" s="1349"/>
      <c r="U899" s="1460"/>
      <c r="V899" s="1461"/>
      <c r="W899" s="1481"/>
      <c r="X899" s="1307"/>
    </row>
    <row r="900" spans="1:24" s="1308" customFormat="1" ht="15" customHeight="1" x14ac:dyDescent="0.25">
      <c r="A900" s="730"/>
      <c r="B900" s="1286">
        <f t="shared" si="33"/>
        <v>42</v>
      </c>
      <c r="C900" s="1765"/>
      <c r="D900" s="1768" t="s">
        <v>1304</v>
      </c>
      <c r="E900" s="1769"/>
      <c r="F900" s="1290"/>
      <c r="G900" s="1302"/>
      <c r="H900" s="1322"/>
      <c r="I900" s="1322"/>
      <c r="J900" s="1322"/>
      <c r="K900" s="1322"/>
      <c r="L900" s="1322"/>
      <c r="M900" s="1322"/>
      <c r="N900" s="1322"/>
      <c r="O900" s="1326"/>
      <c r="P900" s="1322"/>
      <c r="Q900" s="1323"/>
      <c r="R900" s="1324"/>
      <c r="S900" s="1325"/>
      <c r="T900" s="1353"/>
      <c r="U900" s="1463"/>
      <c r="V900" s="1464"/>
      <c r="W900" s="1482"/>
      <c r="X900" s="1307"/>
    </row>
    <row r="901" spans="1:24" s="1308" customFormat="1" ht="15" customHeight="1" x14ac:dyDescent="0.25">
      <c r="A901" s="730"/>
      <c r="B901" s="1286">
        <f t="shared" si="33"/>
        <v>43</v>
      </c>
      <c r="C901" s="1765"/>
      <c r="D901" s="1768" t="s">
        <v>1305</v>
      </c>
      <c r="E901" s="1769"/>
      <c r="F901" s="1290"/>
      <c r="G901" s="1302"/>
      <c r="H901" s="1322"/>
      <c r="I901" s="1322"/>
      <c r="J901" s="1322"/>
      <c r="K901" s="1322"/>
      <c r="L901" s="1322"/>
      <c r="M901" s="1322"/>
      <c r="N901" s="1322"/>
      <c r="O901" s="1326"/>
      <c r="P901" s="1322"/>
      <c r="Q901" s="1323"/>
      <c r="R901" s="1324"/>
      <c r="S901" s="1325"/>
      <c r="T901" s="1353"/>
      <c r="U901" s="1463"/>
      <c r="V901" s="1464"/>
      <c r="W901" s="1482"/>
      <c r="X901" s="1307"/>
    </row>
    <row r="902" spans="1:24" s="1308" customFormat="1" ht="15" customHeight="1" x14ac:dyDescent="0.25">
      <c r="A902" s="730"/>
      <c r="B902" s="1286">
        <f t="shared" si="33"/>
        <v>44</v>
      </c>
      <c r="C902" s="1765"/>
      <c r="D902" s="1768" t="s">
        <v>1306</v>
      </c>
      <c r="E902" s="1769"/>
      <c r="F902" s="1290"/>
      <c r="G902" s="1302"/>
      <c r="H902" s="1322"/>
      <c r="I902" s="1322"/>
      <c r="J902" s="1322"/>
      <c r="K902" s="1322"/>
      <c r="L902" s="1322"/>
      <c r="M902" s="1322"/>
      <c r="N902" s="1322"/>
      <c r="O902" s="1326"/>
      <c r="P902" s="1322"/>
      <c r="Q902" s="1323"/>
      <c r="R902" s="1324"/>
      <c r="S902" s="1325"/>
      <c r="T902" s="1353"/>
      <c r="U902" s="1463"/>
      <c r="V902" s="1464"/>
      <c r="W902" s="1482"/>
      <c r="X902" s="1307"/>
    </row>
    <row r="903" spans="1:24" s="1308" customFormat="1" ht="15" customHeight="1" x14ac:dyDescent="0.25">
      <c r="A903" s="730"/>
      <c r="B903" s="1286">
        <f t="shared" si="33"/>
        <v>45</v>
      </c>
      <c r="C903" s="1765"/>
      <c r="D903" s="1768" t="s">
        <v>1307</v>
      </c>
      <c r="E903" s="1769"/>
      <c r="F903" s="1290"/>
      <c r="G903" s="1302"/>
      <c r="H903" s="1322"/>
      <c r="I903" s="1322"/>
      <c r="J903" s="1322"/>
      <c r="K903" s="1322"/>
      <c r="L903" s="1322"/>
      <c r="M903" s="1322"/>
      <c r="N903" s="1322"/>
      <c r="O903" s="1326"/>
      <c r="P903" s="1322"/>
      <c r="Q903" s="1323"/>
      <c r="R903" s="1324"/>
      <c r="S903" s="1325"/>
      <c r="T903" s="1353"/>
      <c r="U903" s="1463"/>
      <c r="V903" s="1464"/>
      <c r="W903" s="1482"/>
      <c r="X903" s="1307"/>
    </row>
    <row r="904" spans="1:24" s="1308" customFormat="1" ht="15" customHeight="1" x14ac:dyDescent="0.25">
      <c r="A904" s="730"/>
      <c r="B904" s="1286">
        <f t="shared" si="33"/>
        <v>46</v>
      </c>
      <c r="C904" s="1765"/>
      <c r="D904" s="1768" t="s">
        <v>1308</v>
      </c>
      <c r="E904" s="1769"/>
      <c r="F904" s="1290"/>
      <c r="G904" s="1302"/>
      <c r="H904" s="1322"/>
      <c r="I904" s="1322"/>
      <c r="J904" s="1322"/>
      <c r="K904" s="1322"/>
      <c r="L904" s="1322"/>
      <c r="M904" s="1322"/>
      <c r="N904" s="1322"/>
      <c r="O904" s="1326"/>
      <c r="P904" s="1322"/>
      <c r="Q904" s="1323"/>
      <c r="R904" s="1324"/>
      <c r="S904" s="1325"/>
      <c r="T904" s="1353"/>
      <c r="U904" s="1463"/>
      <c r="V904" s="1464"/>
      <c r="W904" s="1482"/>
      <c r="X904" s="1307"/>
    </row>
    <row r="905" spans="1:24" s="1308" customFormat="1" ht="15" customHeight="1" x14ac:dyDescent="0.25">
      <c r="A905" s="730"/>
      <c r="B905" s="1286">
        <f t="shared" si="33"/>
        <v>47</v>
      </c>
      <c r="C905" s="1765"/>
      <c r="D905" s="1768" t="s">
        <v>1309</v>
      </c>
      <c r="E905" s="1769"/>
      <c r="F905" s="1290"/>
      <c r="G905" s="1302"/>
      <c r="H905" s="1322"/>
      <c r="I905" s="1322"/>
      <c r="J905" s="1322"/>
      <c r="K905" s="1322"/>
      <c r="L905" s="1322"/>
      <c r="M905" s="1322"/>
      <c r="N905" s="1322"/>
      <c r="O905" s="1326"/>
      <c r="P905" s="1322"/>
      <c r="Q905" s="1323"/>
      <c r="R905" s="1324"/>
      <c r="S905" s="1325"/>
      <c r="T905" s="1353"/>
      <c r="U905" s="1463"/>
      <c r="V905" s="1464"/>
      <c r="W905" s="1482"/>
      <c r="X905" s="1307"/>
    </row>
    <row r="906" spans="1:24" s="1308" customFormat="1" ht="15" customHeight="1" x14ac:dyDescent="0.25">
      <c r="A906" s="730"/>
      <c r="B906" s="1286">
        <f t="shared" si="33"/>
        <v>48</v>
      </c>
      <c r="C906" s="1765"/>
      <c r="D906" s="1768" t="s">
        <v>1310</v>
      </c>
      <c r="E906" s="1769"/>
      <c r="F906" s="1290"/>
      <c r="G906" s="1302"/>
      <c r="H906" s="1322"/>
      <c r="I906" s="1322"/>
      <c r="J906" s="1322"/>
      <c r="K906" s="1322"/>
      <c r="L906" s="1322"/>
      <c r="M906" s="1322"/>
      <c r="N906" s="1322"/>
      <c r="O906" s="1326"/>
      <c r="P906" s="1322"/>
      <c r="Q906" s="1323"/>
      <c r="R906" s="1324"/>
      <c r="S906" s="1325"/>
      <c r="T906" s="1353"/>
      <c r="U906" s="1463"/>
      <c r="V906" s="1464"/>
      <c r="W906" s="1482"/>
      <c r="X906" s="1307"/>
    </row>
    <row r="907" spans="1:24" s="1308" customFormat="1" ht="15" customHeight="1" x14ac:dyDescent="0.25">
      <c r="A907" s="730"/>
      <c r="B907" s="1286">
        <f t="shared" si="33"/>
        <v>49</v>
      </c>
      <c r="C907" s="1765"/>
      <c r="D907" s="1768" t="s">
        <v>1311</v>
      </c>
      <c r="E907" s="1769"/>
      <c r="F907" s="1290"/>
      <c r="G907" s="1302"/>
      <c r="H907" s="1322"/>
      <c r="I907" s="1322"/>
      <c r="J907" s="1322"/>
      <c r="K907" s="1322"/>
      <c r="L907" s="1322"/>
      <c r="M907" s="1322"/>
      <c r="N907" s="1322"/>
      <c r="O907" s="1326"/>
      <c r="P907" s="1322"/>
      <c r="Q907" s="1323"/>
      <c r="R907" s="1324"/>
      <c r="S907" s="1325"/>
      <c r="T907" s="1353"/>
      <c r="U907" s="1463"/>
      <c r="V907" s="1464"/>
      <c r="W907" s="1482"/>
      <c r="X907" s="1307"/>
    </row>
    <row r="908" spans="1:24" s="1308" customFormat="1" ht="15" customHeight="1" x14ac:dyDescent="0.25">
      <c r="A908" s="730"/>
      <c r="B908" s="1287">
        <f t="shared" si="33"/>
        <v>50</v>
      </c>
      <c r="C908" s="1766"/>
      <c r="D908" s="1770" t="s">
        <v>1312</v>
      </c>
      <c r="E908" s="1771"/>
      <c r="F908" s="1291"/>
      <c r="G908" s="1327"/>
      <c r="H908" s="1303"/>
      <c r="I908" s="1303"/>
      <c r="J908" s="1303"/>
      <c r="K908" s="1303"/>
      <c r="L908" s="1303"/>
      <c r="M908" s="1303"/>
      <c r="N908" s="1303"/>
      <c r="O908" s="1328"/>
      <c r="P908" s="1303"/>
      <c r="Q908" s="1304"/>
      <c r="R908" s="1305"/>
      <c r="S908" s="1306"/>
      <c r="T908" s="1351"/>
      <c r="U908" s="1466"/>
      <c r="V908" s="1467"/>
      <c r="W908" s="1483"/>
      <c r="X908" s="1307"/>
    </row>
    <row r="909" spans="1:24" s="1308" customFormat="1" ht="15" customHeight="1" x14ac:dyDescent="0.25">
      <c r="A909" s="730"/>
      <c r="B909" s="1285">
        <f t="shared" si="33"/>
        <v>51</v>
      </c>
      <c r="C909" s="1764" t="s">
        <v>1243</v>
      </c>
      <c r="D909" s="1772" t="s">
        <v>1303</v>
      </c>
      <c r="E909" s="1773"/>
      <c r="F909" s="1289"/>
      <c r="G909" s="1316"/>
      <c r="H909" s="1317"/>
      <c r="I909" s="1317"/>
      <c r="J909" s="1317"/>
      <c r="K909" s="1317"/>
      <c r="L909" s="1317"/>
      <c r="M909" s="1317"/>
      <c r="N909" s="1317"/>
      <c r="O909" s="1321"/>
      <c r="P909" s="1317"/>
      <c r="Q909" s="1318"/>
      <c r="R909" s="1319"/>
      <c r="S909" s="1320"/>
      <c r="T909" s="1349"/>
      <c r="U909" s="1460"/>
      <c r="V909" s="1461"/>
      <c r="W909" s="1481"/>
      <c r="X909" s="1307"/>
    </row>
    <row r="910" spans="1:24" s="1308" customFormat="1" ht="15" customHeight="1" x14ac:dyDescent="0.25">
      <c r="A910" s="730"/>
      <c r="B910" s="1286">
        <f t="shared" si="33"/>
        <v>52</v>
      </c>
      <c r="C910" s="1765"/>
      <c r="D910" s="1768" t="s">
        <v>1304</v>
      </c>
      <c r="E910" s="1769"/>
      <c r="F910" s="1290"/>
      <c r="G910" s="1302"/>
      <c r="H910" s="1322"/>
      <c r="I910" s="1322"/>
      <c r="J910" s="1322"/>
      <c r="K910" s="1322"/>
      <c r="L910" s="1322"/>
      <c r="M910" s="1322"/>
      <c r="N910" s="1322"/>
      <c r="O910" s="1326"/>
      <c r="P910" s="1322"/>
      <c r="Q910" s="1323"/>
      <c r="R910" s="1324"/>
      <c r="S910" s="1325"/>
      <c r="T910" s="1353"/>
      <c r="U910" s="1463"/>
      <c r="V910" s="1464"/>
      <c r="W910" s="1482"/>
      <c r="X910" s="1307"/>
    </row>
    <row r="911" spans="1:24" s="1308" customFormat="1" ht="15" customHeight="1" x14ac:dyDescent="0.25">
      <c r="A911" s="730"/>
      <c r="B911" s="1286">
        <f t="shared" si="33"/>
        <v>53</v>
      </c>
      <c r="C911" s="1765"/>
      <c r="D911" s="1768" t="s">
        <v>1305</v>
      </c>
      <c r="E911" s="1769"/>
      <c r="F911" s="1290"/>
      <c r="G911" s="1302"/>
      <c r="H911" s="1322"/>
      <c r="I911" s="1322"/>
      <c r="J911" s="1322"/>
      <c r="K911" s="1322"/>
      <c r="L911" s="1322"/>
      <c r="M911" s="1322"/>
      <c r="N911" s="1322"/>
      <c r="O911" s="1326"/>
      <c r="P911" s="1322"/>
      <c r="Q911" s="1323"/>
      <c r="R911" s="1324"/>
      <c r="S911" s="1325"/>
      <c r="T911" s="1353"/>
      <c r="U911" s="1463"/>
      <c r="V911" s="1464"/>
      <c r="W911" s="1482"/>
      <c r="X911" s="1307"/>
    </row>
    <row r="912" spans="1:24" s="1308" customFormat="1" ht="15" customHeight="1" x14ac:dyDescent="0.25">
      <c r="A912" s="730"/>
      <c r="B912" s="1286">
        <f t="shared" si="33"/>
        <v>54</v>
      </c>
      <c r="C912" s="1765"/>
      <c r="D912" s="1768" t="s">
        <v>1306</v>
      </c>
      <c r="E912" s="1769"/>
      <c r="F912" s="1290"/>
      <c r="G912" s="1302"/>
      <c r="H912" s="1322"/>
      <c r="I912" s="1322"/>
      <c r="J912" s="1322"/>
      <c r="K912" s="1322"/>
      <c r="L912" s="1322"/>
      <c r="M912" s="1322"/>
      <c r="N912" s="1322"/>
      <c r="O912" s="1326"/>
      <c r="P912" s="1322"/>
      <c r="Q912" s="1323"/>
      <c r="R912" s="1324"/>
      <c r="S912" s="1325"/>
      <c r="T912" s="1353"/>
      <c r="U912" s="1463"/>
      <c r="V912" s="1464"/>
      <c r="W912" s="1482"/>
      <c r="X912" s="1307"/>
    </row>
    <row r="913" spans="1:24" s="1308" customFormat="1" ht="15" customHeight="1" x14ac:dyDescent="0.25">
      <c r="A913" s="730"/>
      <c r="B913" s="1286">
        <f t="shared" si="33"/>
        <v>55</v>
      </c>
      <c r="C913" s="1765"/>
      <c r="D913" s="1768" t="s">
        <v>1307</v>
      </c>
      <c r="E913" s="1769"/>
      <c r="F913" s="1290"/>
      <c r="G913" s="1302"/>
      <c r="H913" s="1322"/>
      <c r="I913" s="1322"/>
      <c r="J913" s="1322"/>
      <c r="K913" s="1322"/>
      <c r="L913" s="1322"/>
      <c r="M913" s="1322"/>
      <c r="N913" s="1322"/>
      <c r="O913" s="1326"/>
      <c r="P913" s="1322"/>
      <c r="Q913" s="1323"/>
      <c r="R913" s="1324"/>
      <c r="S913" s="1325"/>
      <c r="T913" s="1353"/>
      <c r="U913" s="1463"/>
      <c r="V913" s="1464"/>
      <c r="W913" s="1482"/>
      <c r="X913" s="1307"/>
    </row>
    <row r="914" spans="1:24" s="1308" customFormat="1" ht="15" customHeight="1" x14ac:dyDescent="0.25">
      <c r="A914" s="730"/>
      <c r="B914" s="1286">
        <f t="shared" si="33"/>
        <v>56</v>
      </c>
      <c r="C914" s="1765"/>
      <c r="D914" s="1768" t="s">
        <v>1308</v>
      </c>
      <c r="E914" s="1769"/>
      <c r="F914" s="1290"/>
      <c r="G914" s="1302"/>
      <c r="H914" s="1322"/>
      <c r="I914" s="1322"/>
      <c r="J914" s="1322"/>
      <c r="K914" s="1322"/>
      <c r="L914" s="1322"/>
      <c r="M914" s="1322"/>
      <c r="N914" s="1322"/>
      <c r="O914" s="1326"/>
      <c r="P914" s="1322"/>
      <c r="Q914" s="1323"/>
      <c r="R914" s="1324"/>
      <c r="S914" s="1325"/>
      <c r="T914" s="1353"/>
      <c r="U914" s="1463"/>
      <c r="V914" s="1464"/>
      <c r="W914" s="1482"/>
      <c r="X914" s="1307"/>
    </row>
    <row r="915" spans="1:24" s="1308" customFormat="1" ht="15" customHeight="1" x14ac:dyDescent="0.25">
      <c r="A915" s="730"/>
      <c r="B915" s="1286">
        <f t="shared" si="33"/>
        <v>57</v>
      </c>
      <c r="C915" s="1765"/>
      <c r="D915" s="1768" t="s">
        <v>1309</v>
      </c>
      <c r="E915" s="1769"/>
      <c r="F915" s="1290"/>
      <c r="G915" s="1302"/>
      <c r="H915" s="1322"/>
      <c r="I915" s="1322"/>
      <c r="J915" s="1322"/>
      <c r="K915" s="1322"/>
      <c r="L915" s="1322"/>
      <c r="M915" s="1322"/>
      <c r="N915" s="1322"/>
      <c r="O915" s="1326"/>
      <c r="P915" s="1322"/>
      <c r="Q915" s="1323"/>
      <c r="R915" s="1324"/>
      <c r="S915" s="1325"/>
      <c r="T915" s="1353"/>
      <c r="U915" s="1463"/>
      <c r="V915" s="1464"/>
      <c r="W915" s="1482"/>
      <c r="X915" s="1307"/>
    </row>
    <row r="916" spans="1:24" s="1308" customFormat="1" ht="15" customHeight="1" x14ac:dyDescent="0.25">
      <c r="A916" s="730"/>
      <c r="B916" s="1286">
        <f t="shared" si="33"/>
        <v>58</v>
      </c>
      <c r="C916" s="1765"/>
      <c r="D916" s="1768" t="s">
        <v>1310</v>
      </c>
      <c r="E916" s="1769"/>
      <c r="F916" s="1290"/>
      <c r="G916" s="1302"/>
      <c r="H916" s="1322"/>
      <c r="I916" s="1322"/>
      <c r="J916" s="1322"/>
      <c r="K916" s="1322"/>
      <c r="L916" s="1322"/>
      <c r="M916" s="1322"/>
      <c r="N916" s="1322"/>
      <c r="O916" s="1326"/>
      <c r="P916" s="1322"/>
      <c r="Q916" s="1323"/>
      <c r="R916" s="1324"/>
      <c r="S916" s="1325"/>
      <c r="T916" s="1353"/>
      <c r="U916" s="1463"/>
      <c r="V916" s="1464"/>
      <c r="W916" s="1482"/>
      <c r="X916" s="1307"/>
    </row>
    <row r="917" spans="1:24" s="1308" customFormat="1" ht="15" customHeight="1" x14ac:dyDescent="0.25">
      <c r="A917" s="730"/>
      <c r="B917" s="1286">
        <f t="shared" si="33"/>
        <v>59</v>
      </c>
      <c r="C917" s="1765"/>
      <c r="D917" s="1768" t="s">
        <v>1311</v>
      </c>
      <c r="E917" s="1769"/>
      <c r="F917" s="1290"/>
      <c r="G917" s="1302"/>
      <c r="H917" s="1322"/>
      <c r="I917" s="1322"/>
      <c r="J917" s="1322"/>
      <c r="K917" s="1322"/>
      <c r="L917" s="1322"/>
      <c r="M917" s="1322"/>
      <c r="N917" s="1322"/>
      <c r="O917" s="1326"/>
      <c r="P917" s="1322"/>
      <c r="Q917" s="1323"/>
      <c r="R917" s="1324"/>
      <c r="S917" s="1325"/>
      <c r="T917" s="1353"/>
      <c r="U917" s="1463"/>
      <c r="V917" s="1464"/>
      <c r="W917" s="1482"/>
      <c r="X917" s="1307"/>
    </row>
    <row r="918" spans="1:24" s="1308" customFormat="1" ht="15" customHeight="1" x14ac:dyDescent="0.25">
      <c r="A918" s="730"/>
      <c r="B918" s="1287">
        <f t="shared" si="33"/>
        <v>60</v>
      </c>
      <c r="C918" s="1766"/>
      <c r="D918" s="1770" t="s">
        <v>1312</v>
      </c>
      <c r="E918" s="1771"/>
      <c r="F918" s="1291"/>
      <c r="G918" s="1327"/>
      <c r="H918" s="1303"/>
      <c r="I918" s="1303"/>
      <c r="J918" s="1303"/>
      <c r="K918" s="1303"/>
      <c r="L918" s="1303"/>
      <c r="M918" s="1303"/>
      <c r="N918" s="1303"/>
      <c r="O918" s="1328"/>
      <c r="P918" s="1303"/>
      <c r="Q918" s="1304"/>
      <c r="R918" s="1305"/>
      <c r="S918" s="1306"/>
      <c r="T918" s="1351"/>
      <c r="U918" s="1466"/>
      <c r="V918" s="1467"/>
      <c r="W918" s="1483"/>
      <c r="X918" s="1307"/>
    </row>
    <row r="919" spans="1:24" s="423" customFormat="1" ht="15" customHeight="1" x14ac:dyDescent="0.25">
      <c r="A919" s="1189"/>
      <c r="B919" s="1442"/>
      <c r="C919" s="1005"/>
      <c r="D919" s="1005"/>
      <c r="E919" s="1190"/>
      <c r="F919" s="1191"/>
      <c r="G919" s="1192"/>
      <c r="H919" s="455"/>
      <c r="I919" s="455"/>
      <c r="J919" s="455"/>
      <c r="K919" s="455"/>
      <c r="L919" s="455"/>
      <c r="M919" s="455"/>
      <c r="N919" s="455"/>
      <c r="O919" s="1192"/>
      <c r="P919" s="455"/>
      <c r="Q919" s="1193"/>
      <c r="R919" s="1194"/>
      <c r="S919" s="1195"/>
      <c r="T919" s="455"/>
      <c r="U919" s="1193"/>
      <c r="V919" s="1194"/>
      <c r="W919" s="1195"/>
      <c r="X919" s="456"/>
    </row>
    <row r="920" spans="1:24" ht="30" customHeight="1" x14ac:dyDescent="0.3">
      <c r="A920" s="728" t="s">
        <v>1455</v>
      </c>
      <c r="B920" s="731"/>
      <c r="C920" s="732"/>
      <c r="D920" s="732"/>
      <c r="E920" s="732"/>
      <c r="F920" s="732"/>
      <c r="G920" s="716"/>
      <c r="H920" s="716"/>
      <c r="I920" s="716"/>
      <c r="J920" s="716"/>
      <c r="P920" s="1767"/>
      <c r="Q920" s="1767"/>
      <c r="T920" s="1767"/>
      <c r="U920" s="1767"/>
      <c r="X920" s="727"/>
    </row>
    <row r="921" spans="1:24" s="735" customFormat="1" ht="45" customHeight="1" x14ac:dyDescent="0.25">
      <c r="A921" s="733" t="s">
        <v>1430</v>
      </c>
      <c r="B921" s="722"/>
      <c r="C921" s="734"/>
      <c r="D921" s="734"/>
      <c r="E921" s="734"/>
      <c r="F921" s="732"/>
      <c r="X921" s="422"/>
    </row>
    <row r="922" spans="1:24" s="1300" customFormat="1" ht="15" customHeight="1" x14ac:dyDescent="0.25">
      <c r="A922" s="726"/>
      <c r="B922" s="1297"/>
      <c r="C922" s="1298"/>
      <c r="D922" s="1443" t="s">
        <v>1313</v>
      </c>
      <c r="E922" s="1443" t="s">
        <v>1314</v>
      </c>
      <c r="F922" s="1443" t="s">
        <v>820</v>
      </c>
      <c r="G922" s="1676"/>
      <c r="H922" s="1677"/>
      <c r="I922" s="1677"/>
      <c r="J922" s="1677"/>
      <c r="K922" s="1677"/>
      <c r="L922" s="1677"/>
      <c r="M922" s="1677"/>
      <c r="N922" s="1677"/>
      <c r="O922" s="1677"/>
      <c r="P922" s="1677"/>
      <c r="Q922" s="1677"/>
      <c r="R922" s="1677"/>
      <c r="S922" s="1677"/>
      <c r="T922" s="1677"/>
      <c r="U922" s="1677"/>
      <c r="V922" s="1677"/>
      <c r="W922" s="1778"/>
      <c r="X922" s="1299"/>
    </row>
    <row r="923" spans="1:24" s="1308" customFormat="1" ht="15" customHeight="1" x14ac:dyDescent="0.25">
      <c r="A923" s="730"/>
      <c r="B923" s="1285">
        <v>1</v>
      </c>
      <c r="C923" s="1289"/>
      <c r="D923" s="1763" t="s">
        <v>1315</v>
      </c>
      <c r="E923" s="1763" t="s">
        <v>1317</v>
      </c>
      <c r="F923" s="1292" t="s">
        <v>1319</v>
      </c>
      <c r="G923" s="1316"/>
      <c r="H923" s="1317"/>
      <c r="I923" s="1317"/>
      <c r="J923" s="1317"/>
      <c r="K923" s="1317"/>
      <c r="L923" s="1317"/>
      <c r="M923" s="1317"/>
      <c r="N923" s="1317"/>
      <c r="O923" s="1321"/>
      <c r="P923" s="1317"/>
      <c r="Q923" s="1318"/>
      <c r="R923" s="1319"/>
      <c r="S923" s="1320"/>
      <c r="T923" s="1349"/>
      <c r="U923" s="1460"/>
      <c r="V923" s="1461"/>
      <c r="W923" s="1481"/>
      <c r="X923" s="1307"/>
    </row>
    <row r="924" spans="1:24" s="1308" customFormat="1" ht="15" customHeight="1" x14ac:dyDescent="0.25">
      <c r="A924" s="730"/>
      <c r="B924" s="1286">
        <f t="shared" ref="B924:B999" si="34">B923+1</f>
        <v>2</v>
      </c>
      <c r="C924" s="1290"/>
      <c r="D924" s="1758"/>
      <c r="E924" s="1758"/>
      <c r="F924" s="1293" t="s">
        <v>1320</v>
      </c>
      <c r="G924" s="1302"/>
      <c r="H924" s="1322"/>
      <c r="I924" s="1322"/>
      <c r="J924" s="1322"/>
      <c r="K924" s="1322"/>
      <c r="L924" s="1322"/>
      <c r="M924" s="1322"/>
      <c r="N924" s="1322"/>
      <c r="O924" s="1326"/>
      <c r="P924" s="1322"/>
      <c r="Q924" s="1323"/>
      <c r="R924" s="1324"/>
      <c r="S924" s="1325"/>
      <c r="T924" s="1353"/>
      <c r="U924" s="1463"/>
      <c r="V924" s="1464"/>
      <c r="W924" s="1482"/>
      <c r="X924" s="1307"/>
    </row>
    <row r="925" spans="1:24" s="1308" customFormat="1" ht="15" customHeight="1" x14ac:dyDescent="0.25">
      <c r="A925" s="730"/>
      <c r="B925" s="1286">
        <f t="shared" si="34"/>
        <v>3</v>
      </c>
      <c r="C925" s="1290"/>
      <c r="D925" s="1758"/>
      <c r="E925" s="1758" t="s">
        <v>1626</v>
      </c>
      <c r="F925" s="1293" t="s">
        <v>1319</v>
      </c>
      <c r="G925" s="1302"/>
      <c r="H925" s="1322"/>
      <c r="I925" s="1322"/>
      <c r="J925" s="1322"/>
      <c r="K925" s="1322"/>
      <c r="L925" s="1322"/>
      <c r="M925" s="1322"/>
      <c r="N925" s="1322"/>
      <c r="O925" s="1326"/>
      <c r="P925" s="1322"/>
      <c r="Q925" s="1323"/>
      <c r="R925" s="1324"/>
      <c r="S925" s="1325"/>
      <c r="T925" s="1353"/>
      <c r="U925" s="1463"/>
      <c r="V925" s="1464"/>
      <c r="W925" s="1482"/>
      <c r="X925" s="1307"/>
    </row>
    <row r="926" spans="1:24" s="1308" customFormat="1" ht="15" customHeight="1" x14ac:dyDescent="0.25">
      <c r="A926" s="730"/>
      <c r="B926" s="1286">
        <f t="shared" si="34"/>
        <v>4</v>
      </c>
      <c r="C926" s="1290"/>
      <c r="D926" s="1758"/>
      <c r="E926" s="1758"/>
      <c r="F926" s="1293" t="s">
        <v>1320</v>
      </c>
      <c r="G926" s="1302"/>
      <c r="H926" s="1322"/>
      <c r="I926" s="1322"/>
      <c r="J926" s="1322"/>
      <c r="K926" s="1322"/>
      <c r="L926" s="1322"/>
      <c r="M926" s="1322"/>
      <c r="N926" s="1322"/>
      <c r="O926" s="1326"/>
      <c r="P926" s="1322"/>
      <c r="Q926" s="1323"/>
      <c r="R926" s="1324"/>
      <c r="S926" s="1325"/>
      <c r="T926" s="1353"/>
      <c r="U926" s="1463"/>
      <c r="V926" s="1464"/>
      <c r="W926" s="1482"/>
      <c r="X926" s="1307"/>
    </row>
    <row r="927" spans="1:24" s="1308" customFormat="1" ht="15" customHeight="1" x14ac:dyDescent="0.25">
      <c r="A927" s="730"/>
      <c r="B927" s="1286">
        <f t="shared" si="34"/>
        <v>5</v>
      </c>
      <c r="C927" s="1290"/>
      <c r="D927" s="1758"/>
      <c r="E927" s="1758" t="s">
        <v>1321</v>
      </c>
      <c r="F927" s="1293" t="s">
        <v>1319</v>
      </c>
      <c r="G927" s="1302"/>
      <c r="H927" s="1322"/>
      <c r="I927" s="1322"/>
      <c r="J927" s="1322"/>
      <c r="K927" s="1322"/>
      <c r="L927" s="1322"/>
      <c r="M927" s="1322"/>
      <c r="N927" s="1322"/>
      <c r="O927" s="1326"/>
      <c r="P927" s="1322"/>
      <c r="Q927" s="1323"/>
      <c r="R927" s="1324"/>
      <c r="S927" s="1325"/>
      <c r="T927" s="1353"/>
      <c r="U927" s="1463"/>
      <c r="V927" s="1464"/>
      <c r="W927" s="1482"/>
      <c r="X927" s="1307"/>
    </row>
    <row r="928" spans="1:24" s="1308" customFormat="1" ht="15" customHeight="1" x14ac:dyDescent="0.25">
      <c r="A928" s="730"/>
      <c r="B928" s="1286">
        <f t="shared" si="34"/>
        <v>6</v>
      </c>
      <c r="C928" s="1290"/>
      <c r="D928" s="1758"/>
      <c r="E928" s="1758"/>
      <c r="F928" s="1293" t="s">
        <v>1320</v>
      </c>
      <c r="G928" s="1302"/>
      <c r="H928" s="1322"/>
      <c r="I928" s="1322"/>
      <c r="J928" s="1322"/>
      <c r="K928" s="1322"/>
      <c r="L928" s="1322"/>
      <c r="M928" s="1322"/>
      <c r="N928" s="1322"/>
      <c r="O928" s="1326"/>
      <c r="P928" s="1322"/>
      <c r="Q928" s="1323"/>
      <c r="R928" s="1324"/>
      <c r="S928" s="1325"/>
      <c r="T928" s="1353"/>
      <c r="U928" s="1463"/>
      <c r="V928" s="1464"/>
      <c r="W928" s="1482"/>
      <c r="X928" s="1307"/>
    </row>
    <row r="929" spans="1:24" s="1308" customFormat="1" ht="15" customHeight="1" x14ac:dyDescent="0.25">
      <c r="A929" s="730"/>
      <c r="B929" s="1286">
        <f t="shared" si="34"/>
        <v>7</v>
      </c>
      <c r="C929" s="1290"/>
      <c r="D929" s="1758"/>
      <c r="E929" s="1758" t="s">
        <v>1322</v>
      </c>
      <c r="F929" s="1293" t="s">
        <v>1319</v>
      </c>
      <c r="G929" s="1302"/>
      <c r="H929" s="1322"/>
      <c r="I929" s="1322"/>
      <c r="J929" s="1322"/>
      <c r="K929" s="1322"/>
      <c r="L929" s="1322"/>
      <c r="M929" s="1322"/>
      <c r="N929" s="1322"/>
      <c r="O929" s="1326"/>
      <c r="P929" s="1322"/>
      <c r="Q929" s="1323"/>
      <c r="R929" s="1324"/>
      <c r="S929" s="1325"/>
      <c r="T929" s="1353"/>
      <c r="U929" s="1463"/>
      <c r="V929" s="1464"/>
      <c r="W929" s="1482"/>
      <c r="X929" s="1307"/>
    </row>
    <row r="930" spans="1:24" s="1308" customFormat="1" ht="15" customHeight="1" x14ac:dyDescent="0.25">
      <c r="A930" s="730"/>
      <c r="B930" s="1286">
        <f t="shared" si="34"/>
        <v>8</v>
      </c>
      <c r="C930" s="1290"/>
      <c r="D930" s="1758"/>
      <c r="E930" s="1758"/>
      <c r="F930" s="1293" t="s">
        <v>1320</v>
      </c>
      <c r="G930" s="1302"/>
      <c r="H930" s="1322"/>
      <c r="I930" s="1322"/>
      <c r="J930" s="1322"/>
      <c r="K930" s="1322"/>
      <c r="L930" s="1322"/>
      <c r="M930" s="1322"/>
      <c r="N930" s="1322"/>
      <c r="O930" s="1326"/>
      <c r="P930" s="1322"/>
      <c r="Q930" s="1323"/>
      <c r="R930" s="1324"/>
      <c r="S930" s="1325"/>
      <c r="T930" s="1353"/>
      <c r="U930" s="1463"/>
      <c r="V930" s="1464"/>
      <c r="W930" s="1482"/>
      <c r="X930" s="1307"/>
    </row>
    <row r="931" spans="1:24" s="1308" customFormat="1" ht="15" customHeight="1" x14ac:dyDescent="0.25">
      <c r="A931" s="730"/>
      <c r="B931" s="1286">
        <f t="shared" si="34"/>
        <v>9</v>
      </c>
      <c r="C931" s="1290"/>
      <c r="D931" s="1758"/>
      <c r="E931" s="1758" t="s">
        <v>1678</v>
      </c>
      <c r="F931" s="1293" t="s">
        <v>1319</v>
      </c>
      <c r="G931" s="1302"/>
      <c r="H931" s="1322"/>
      <c r="I931" s="1322"/>
      <c r="J931" s="1322"/>
      <c r="K931" s="1322"/>
      <c r="L931" s="1322"/>
      <c r="M931" s="1322"/>
      <c r="N931" s="1322"/>
      <c r="O931" s="1326"/>
      <c r="P931" s="1322"/>
      <c r="Q931" s="1323"/>
      <c r="R931" s="1324"/>
      <c r="S931" s="1325"/>
      <c r="T931" s="1353"/>
      <c r="U931" s="1463"/>
      <c r="V931" s="1464"/>
      <c r="W931" s="1482"/>
      <c r="X931" s="1307"/>
    </row>
    <row r="932" spans="1:24" s="1308" customFormat="1" ht="15" customHeight="1" x14ac:dyDescent="0.25">
      <c r="A932" s="730"/>
      <c r="B932" s="1286">
        <f t="shared" si="34"/>
        <v>10</v>
      </c>
      <c r="C932" s="1290"/>
      <c r="D932" s="1758"/>
      <c r="E932" s="1758"/>
      <c r="F932" s="1293" t="s">
        <v>1320</v>
      </c>
      <c r="G932" s="1302"/>
      <c r="H932" s="1322"/>
      <c r="I932" s="1322"/>
      <c r="J932" s="1322"/>
      <c r="K932" s="1322"/>
      <c r="L932" s="1322"/>
      <c r="M932" s="1322"/>
      <c r="N932" s="1322"/>
      <c r="O932" s="1326"/>
      <c r="P932" s="1322"/>
      <c r="Q932" s="1323"/>
      <c r="R932" s="1324"/>
      <c r="S932" s="1325"/>
      <c r="T932" s="1353"/>
      <c r="U932" s="1463"/>
      <c r="V932" s="1464"/>
      <c r="W932" s="1482"/>
      <c r="X932" s="1307"/>
    </row>
    <row r="933" spans="1:24" s="1308" customFormat="1" ht="15" customHeight="1" x14ac:dyDescent="0.25">
      <c r="A933" s="730"/>
      <c r="B933" s="1286">
        <f t="shared" si="34"/>
        <v>11</v>
      </c>
      <c r="C933" s="1290"/>
      <c r="D933" s="1758"/>
      <c r="E933" s="1758" t="s">
        <v>1679</v>
      </c>
      <c r="F933" s="1293" t="s">
        <v>1319</v>
      </c>
      <c r="G933" s="1302"/>
      <c r="H933" s="1322"/>
      <c r="I933" s="1322"/>
      <c r="J933" s="1322"/>
      <c r="K933" s="1322"/>
      <c r="L933" s="1322"/>
      <c r="M933" s="1322"/>
      <c r="N933" s="1322"/>
      <c r="O933" s="1326"/>
      <c r="P933" s="1322"/>
      <c r="Q933" s="1323"/>
      <c r="R933" s="1324"/>
      <c r="S933" s="1325"/>
      <c r="T933" s="1353"/>
      <c r="U933" s="1463"/>
      <c r="V933" s="1464"/>
      <c r="W933" s="1482"/>
      <c r="X933" s="1307"/>
    </row>
    <row r="934" spans="1:24" s="1308" customFormat="1" ht="15" customHeight="1" x14ac:dyDescent="0.25">
      <c r="A934" s="730"/>
      <c r="B934" s="1286">
        <f t="shared" si="34"/>
        <v>12</v>
      </c>
      <c r="C934" s="1290"/>
      <c r="D934" s="1758"/>
      <c r="E934" s="1758"/>
      <c r="F934" s="1293" t="s">
        <v>1320</v>
      </c>
      <c r="G934" s="1302"/>
      <c r="H934" s="1322"/>
      <c r="I934" s="1322"/>
      <c r="J934" s="1322"/>
      <c r="K934" s="1322"/>
      <c r="L934" s="1322"/>
      <c r="M934" s="1322"/>
      <c r="N934" s="1322"/>
      <c r="O934" s="1326"/>
      <c r="P934" s="1322"/>
      <c r="Q934" s="1323"/>
      <c r="R934" s="1324"/>
      <c r="S934" s="1325"/>
      <c r="T934" s="1353"/>
      <c r="U934" s="1463"/>
      <c r="V934" s="1464"/>
      <c r="W934" s="1482"/>
      <c r="X934" s="1307"/>
    </row>
    <row r="935" spans="1:24" s="1308" customFormat="1" ht="15" customHeight="1" x14ac:dyDescent="0.25">
      <c r="A935" s="730"/>
      <c r="B935" s="1286">
        <f t="shared" si="34"/>
        <v>13</v>
      </c>
      <c r="C935" s="1290"/>
      <c r="D935" s="1758"/>
      <c r="E935" s="1758" t="s">
        <v>1318</v>
      </c>
      <c r="F935" s="1293" t="s">
        <v>1319</v>
      </c>
      <c r="G935" s="1302"/>
      <c r="H935" s="1322"/>
      <c r="I935" s="1322"/>
      <c r="J935" s="1322"/>
      <c r="K935" s="1322"/>
      <c r="L935" s="1322"/>
      <c r="M935" s="1322"/>
      <c r="N935" s="1322"/>
      <c r="O935" s="1326"/>
      <c r="P935" s="1322"/>
      <c r="Q935" s="1323"/>
      <c r="R935" s="1324"/>
      <c r="S935" s="1325"/>
      <c r="T935" s="1353"/>
      <c r="U935" s="1463"/>
      <c r="V935" s="1464"/>
      <c r="W935" s="1482"/>
      <c r="X935" s="1307"/>
    </row>
    <row r="936" spans="1:24" s="1308" customFormat="1" ht="15" customHeight="1" x14ac:dyDescent="0.25">
      <c r="A936" s="730"/>
      <c r="B936" s="1286">
        <f t="shared" si="34"/>
        <v>14</v>
      </c>
      <c r="C936" s="1290"/>
      <c r="D936" s="1758"/>
      <c r="E936" s="1759"/>
      <c r="F936" s="1452" t="s">
        <v>1320</v>
      </c>
      <c r="G936" s="1302"/>
      <c r="H936" s="1322"/>
      <c r="I936" s="1322"/>
      <c r="J936" s="1322"/>
      <c r="K936" s="1322"/>
      <c r="L936" s="1322"/>
      <c r="M936" s="1322"/>
      <c r="N936" s="1322"/>
      <c r="O936" s="1326"/>
      <c r="P936" s="1322"/>
      <c r="Q936" s="1323"/>
      <c r="R936" s="1324"/>
      <c r="S936" s="1325"/>
      <c r="T936" s="1353"/>
      <c r="U936" s="1463"/>
      <c r="V936" s="1464"/>
      <c r="W936" s="1482"/>
      <c r="X936" s="1307"/>
    </row>
    <row r="937" spans="1:24" s="1308" customFormat="1" ht="15" customHeight="1" x14ac:dyDescent="0.25">
      <c r="A937" s="730"/>
      <c r="B937" s="1286">
        <f t="shared" si="34"/>
        <v>15</v>
      </c>
      <c r="C937" s="1290"/>
      <c r="D937" s="1758" t="s">
        <v>1324</v>
      </c>
      <c r="E937" s="1758" t="s">
        <v>1317</v>
      </c>
      <c r="F937" s="1293" t="s">
        <v>1319</v>
      </c>
      <c r="G937" s="1302"/>
      <c r="H937" s="1322"/>
      <c r="I937" s="1322"/>
      <c r="J937" s="1322"/>
      <c r="K937" s="1322"/>
      <c r="L937" s="1322"/>
      <c r="M937" s="1322"/>
      <c r="N937" s="1322"/>
      <c r="O937" s="1326"/>
      <c r="P937" s="1322"/>
      <c r="Q937" s="1323"/>
      <c r="R937" s="1324"/>
      <c r="S937" s="1325"/>
      <c r="T937" s="1353"/>
      <c r="U937" s="1463"/>
      <c r="V937" s="1464"/>
      <c r="W937" s="1482"/>
      <c r="X937" s="1307"/>
    </row>
    <row r="938" spans="1:24" s="1308" customFormat="1" ht="15" customHeight="1" x14ac:dyDescent="0.25">
      <c r="A938" s="730"/>
      <c r="B938" s="1286">
        <f t="shared" si="34"/>
        <v>16</v>
      </c>
      <c r="C938" s="1290"/>
      <c r="D938" s="1758"/>
      <c r="E938" s="1758"/>
      <c r="F938" s="1293" t="s">
        <v>1320</v>
      </c>
      <c r="G938" s="1302"/>
      <c r="H938" s="1322"/>
      <c r="I938" s="1322"/>
      <c r="J938" s="1322"/>
      <c r="K938" s="1322"/>
      <c r="L938" s="1322"/>
      <c r="M938" s="1322"/>
      <c r="N938" s="1322"/>
      <c r="O938" s="1326"/>
      <c r="P938" s="1322"/>
      <c r="Q938" s="1323"/>
      <c r="R938" s="1324"/>
      <c r="S938" s="1325"/>
      <c r="T938" s="1353"/>
      <c r="U938" s="1463"/>
      <c r="V938" s="1464"/>
      <c r="W938" s="1482"/>
      <c r="X938" s="1307"/>
    </row>
    <row r="939" spans="1:24" s="1308" customFormat="1" ht="15" customHeight="1" x14ac:dyDescent="0.25">
      <c r="A939" s="730"/>
      <c r="B939" s="1286">
        <f t="shared" si="34"/>
        <v>17</v>
      </c>
      <c r="C939" s="1290"/>
      <c r="D939" s="1758"/>
      <c r="E939" s="1758" t="s">
        <v>1626</v>
      </c>
      <c r="F939" s="1293" t="s">
        <v>1319</v>
      </c>
      <c r="G939" s="1302"/>
      <c r="H939" s="1322"/>
      <c r="I939" s="1322"/>
      <c r="J939" s="1322"/>
      <c r="K939" s="1322"/>
      <c r="L939" s="1322"/>
      <c r="M939" s="1322"/>
      <c r="N939" s="1322"/>
      <c r="O939" s="1326"/>
      <c r="P939" s="1322"/>
      <c r="Q939" s="1323"/>
      <c r="R939" s="1324"/>
      <c r="S939" s="1325"/>
      <c r="T939" s="1353"/>
      <c r="U939" s="1463"/>
      <c r="V939" s="1464"/>
      <c r="W939" s="1482"/>
      <c r="X939" s="1307"/>
    </row>
    <row r="940" spans="1:24" s="1308" customFormat="1" ht="15" customHeight="1" x14ac:dyDescent="0.25">
      <c r="A940" s="730"/>
      <c r="B940" s="1286">
        <f t="shared" si="34"/>
        <v>18</v>
      </c>
      <c r="C940" s="1290"/>
      <c r="D940" s="1758"/>
      <c r="E940" s="1758"/>
      <c r="F940" s="1293" t="s">
        <v>1320</v>
      </c>
      <c r="G940" s="1302"/>
      <c r="H940" s="1322"/>
      <c r="I940" s="1322"/>
      <c r="J940" s="1322"/>
      <c r="K940" s="1322"/>
      <c r="L940" s="1322"/>
      <c r="M940" s="1322"/>
      <c r="N940" s="1322"/>
      <c r="O940" s="1326"/>
      <c r="P940" s="1322"/>
      <c r="Q940" s="1323"/>
      <c r="R940" s="1324"/>
      <c r="S940" s="1325"/>
      <c r="T940" s="1353"/>
      <c r="U940" s="1463"/>
      <c r="V940" s="1464"/>
      <c r="W940" s="1482"/>
      <c r="X940" s="1307"/>
    </row>
    <row r="941" spans="1:24" s="1308" customFormat="1" ht="15" customHeight="1" x14ac:dyDescent="0.25">
      <c r="A941" s="730"/>
      <c r="B941" s="1286">
        <f t="shared" si="34"/>
        <v>19</v>
      </c>
      <c r="C941" s="1290"/>
      <c r="D941" s="1758"/>
      <c r="E941" s="1758" t="s">
        <v>1321</v>
      </c>
      <c r="F941" s="1293" t="s">
        <v>1319</v>
      </c>
      <c r="G941" s="1302"/>
      <c r="H941" s="1322"/>
      <c r="I941" s="1322"/>
      <c r="J941" s="1322"/>
      <c r="K941" s="1322"/>
      <c r="L941" s="1322"/>
      <c r="M941" s="1322"/>
      <c r="N941" s="1322"/>
      <c r="O941" s="1326"/>
      <c r="P941" s="1322"/>
      <c r="Q941" s="1323"/>
      <c r="R941" s="1324"/>
      <c r="S941" s="1325"/>
      <c r="T941" s="1353"/>
      <c r="U941" s="1463"/>
      <c r="V941" s="1464"/>
      <c r="W941" s="1482"/>
      <c r="X941" s="1307"/>
    </row>
    <row r="942" spans="1:24" s="1308" customFormat="1" ht="15" customHeight="1" x14ac:dyDescent="0.25">
      <c r="A942" s="730"/>
      <c r="B942" s="1286">
        <f t="shared" si="34"/>
        <v>20</v>
      </c>
      <c r="C942" s="1290"/>
      <c r="D942" s="1758"/>
      <c r="E942" s="1758"/>
      <c r="F942" s="1293" t="s">
        <v>1320</v>
      </c>
      <c r="G942" s="1302"/>
      <c r="H942" s="1322"/>
      <c r="I942" s="1322"/>
      <c r="J942" s="1322"/>
      <c r="K942" s="1322"/>
      <c r="L942" s="1322"/>
      <c r="M942" s="1322"/>
      <c r="N942" s="1322"/>
      <c r="O942" s="1326"/>
      <c r="P942" s="1322"/>
      <c r="Q942" s="1323"/>
      <c r="R942" s="1324"/>
      <c r="S942" s="1325"/>
      <c r="T942" s="1353"/>
      <c r="U942" s="1463"/>
      <c r="V942" s="1464"/>
      <c r="W942" s="1482"/>
      <c r="X942" s="1307"/>
    </row>
    <row r="943" spans="1:24" s="1308" customFormat="1" ht="15" customHeight="1" x14ac:dyDescent="0.25">
      <c r="A943" s="730"/>
      <c r="B943" s="1286">
        <f t="shared" si="34"/>
        <v>21</v>
      </c>
      <c r="C943" s="1290"/>
      <c r="D943" s="1758"/>
      <c r="E943" s="1758" t="s">
        <v>1322</v>
      </c>
      <c r="F943" s="1293" t="s">
        <v>1319</v>
      </c>
      <c r="G943" s="1302"/>
      <c r="H943" s="1322"/>
      <c r="I943" s="1322"/>
      <c r="J943" s="1322"/>
      <c r="K943" s="1322"/>
      <c r="L943" s="1322"/>
      <c r="M943" s="1322"/>
      <c r="N943" s="1322"/>
      <c r="O943" s="1326"/>
      <c r="P943" s="1322"/>
      <c r="Q943" s="1323"/>
      <c r="R943" s="1324"/>
      <c r="S943" s="1325"/>
      <c r="T943" s="1353"/>
      <c r="U943" s="1463"/>
      <c r="V943" s="1464"/>
      <c r="W943" s="1482"/>
      <c r="X943" s="1307"/>
    </row>
    <row r="944" spans="1:24" s="1308" customFormat="1" ht="15" customHeight="1" x14ac:dyDescent="0.25">
      <c r="A944" s="730"/>
      <c r="B944" s="1286">
        <f t="shared" si="34"/>
        <v>22</v>
      </c>
      <c r="C944" s="1290"/>
      <c r="D944" s="1758"/>
      <c r="E944" s="1758"/>
      <c r="F944" s="1293" t="s">
        <v>1320</v>
      </c>
      <c r="G944" s="1302"/>
      <c r="H944" s="1322"/>
      <c r="I944" s="1322"/>
      <c r="J944" s="1322"/>
      <c r="K944" s="1322"/>
      <c r="L944" s="1322"/>
      <c r="M944" s="1322"/>
      <c r="N944" s="1322"/>
      <c r="O944" s="1326"/>
      <c r="P944" s="1322"/>
      <c r="Q944" s="1323"/>
      <c r="R944" s="1324"/>
      <c r="S944" s="1325"/>
      <c r="T944" s="1353"/>
      <c r="U944" s="1463"/>
      <c r="V944" s="1464"/>
      <c r="W944" s="1482"/>
      <c r="X944" s="1307"/>
    </row>
    <row r="945" spans="1:24" s="1308" customFormat="1" ht="15" customHeight="1" x14ac:dyDescent="0.25">
      <c r="A945" s="730"/>
      <c r="B945" s="1286">
        <f t="shared" si="34"/>
        <v>23</v>
      </c>
      <c r="C945" s="1290"/>
      <c r="D945" s="1758"/>
      <c r="E945" s="1758" t="s">
        <v>1678</v>
      </c>
      <c r="F945" s="1293" t="s">
        <v>1319</v>
      </c>
      <c r="G945" s="1302"/>
      <c r="H945" s="1322"/>
      <c r="I945" s="1322"/>
      <c r="J945" s="1322"/>
      <c r="K945" s="1322"/>
      <c r="L945" s="1322"/>
      <c r="M945" s="1322"/>
      <c r="N945" s="1322"/>
      <c r="O945" s="1326"/>
      <c r="P945" s="1322"/>
      <c r="Q945" s="1323"/>
      <c r="R945" s="1324"/>
      <c r="S945" s="1325"/>
      <c r="T945" s="1353"/>
      <c r="U945" s="1463"/>
      <c r="V945" s="1464"/>
      <c r="W945" s="1482"/>
      <c r="X945" s="1307"/>
    </row>
    <row r="946" spans="1:24" s="1308" customFormat="1" ht="15" customHeight="1" x14ac:dyDescent="0.25">
      <c r="A946" s="730"/>
      <c r="B946" s="1286">
        <f t="shared" si="34"/>
        <v>24</v>
      </c>
      <c r="C946" s="1290"/>
      <c r="D946" s="1758"/>
      <c r="E946" s="1758"/>
      <c r="F946" s="1293" t="s">
        <v>1320</v>
      </c>
      <c r="G946" s="1302"/>
      <c r="H946" s="1322"/>
      <c r="I946" s="1322"/>
      <c r="J946" s="1322"/>
      <c r="K946" s="1322"/>
      <c r="L946" s="1322"/>
      <c r="M946" s="1322"/>
      <c r="N946" s="1322"/>
      <c r="O946" s="1326"/>
      <c r="P946" s="1322"/>
      <c r="Q946" s="1323"/>
      <c r="R946" s="1324"/>
      <c r="S946" s="1325"/>
      <c r="T946" s="1353"/>
      <c r="U946" s="1463"/>
      <c r="V946" s="1464"/>
      <c r="W946" s="1482"/>
      <c r="X946" s="1307"/>
    </row>
    <row r="947" spans="1:24" s="1308" customFormat="1" ht="15" customHeight="1" x14ac:dyDescent="0.25">
      <c r="A947" s="730"/>
      <c r="B947" s="1286">
        <f t="shared" si="34"/>
        <v>25</v>
      </c>
      <c r="C947" s="1290"/>
      <c r="D947" s="1758"/>
      <c r="E947" s="1758" t="s">
        <v>1679</v>
      </c>
      <c r="F947" s="1293" t="s">
        <v>1319</v>
      </c>
      <c r="G947" s="1302"/>
      <c r="H947" s="1322"/>
      <c r="I947" s="1322"/>
      <c r="J947" s="1322"/>
      <c r="K947" s="1322"/>
      <c r="L947" s="1322"/>
      <c r="M947" s="1322"/>
      <c r="N947" s="1322"/>
      <c r="O947" s="1326"/>
      <c r="P947" s="1322"/>
      <c r="Q947" s="1323"/>
      <c r="R947" s="1324"/>
      <c r="S947" s="1325"/>
      <c r="T947" s="1353"/>
      <c r="U947" s="1463"/>
      <c r="V947" s="1464"/>
      <c r="W947" s="1482"/>
      <c r="X947" s="1307"/>
    </row>
    <row r="948" spans="1:24" s="1308" customFormat="1" ht="15" customHeight="1" x14ac:dyDescent="0.25">
      <c r="A948" s="730"/>
      <c r="B948" s="1286">
        <f t="shared" si="34"/>
        <v>26</v>
      </c>
      <c r="C948" s="1290"/>
      <c r="D948" s="1758"/>
      <c r="E948" s="1758"/>
      <c r="F948" s="1293" t="s">
        <v>1320</v>
      </c>
      <c r="G948" s="1302"/>
      <c r="H948" s="1322"/>
      <c r="I948" s="1322"/>
      <c r="J948" s="1322"/>
      <c r="K948" s="1322"/>
      <c r="L948" s="1322"/>
      <c r="M948" s="1322"/>
      <c r="N948" s="1322"/>
      <c r="O948" s="1326"/>
      <c r="P948" s="1322"/>
      <c r="Q948" s="1323"/>
      <c r="R948" s="1324"/>
      <c r="S948" s="1325"/>
      <c r="T948" s="1353"/>
      <c r="U948" s="1463"/>
      <c r="V948" s="1464"/>
      <c r="W948" s="1482"/>
      <c r="X948" s="1307"/>
    </row>
    <row r="949" spans="1:24" s="1308" customFormat="1" ht="15" customHeight="1" x14ac:dyDescent="0.25">
      <c r="A949" s="730"/>
      <c r="B949" s="1286">
        <f t="shared" si="34"/>
        <v>27</v>
      </c>
      <c r="C949" s="1290"/>
      <c r="D949" s="1758"/>
      <c r="E949" s="1758" t="s">
        <v>1318</v>
      </c>
      <c r="F949" s="1293" t="s">
        <v>1319</v>
      </c>
      <c r="G949" s="1302"/>
      <c r="H949" s="1322"/>
      <c r="I949" s="1322"/>
      <c r="J949" s="1322"/>
      <c r="K949" s="1322"/>
      <c r="L949" s="1322"/>
      <c r="M949" s="1322"/>
      <c r="N949" s="1322"/>
      <c r="O949" s="1326"/>
      <c r="P949" s="1322"/>
      <c r="Q949" s="1323"/>
      <c r="R949" s="1324"/>
      <c r="S949" s="1325"/>
      <c r="T949" s="1353"/>
      <c r="U949" s="1463"/>
      <c r="V949" s="1464"/>
      <c r="W949" s="1482"/>
      <c r="X949" s="1307"/>
    </row>
    <row r="950" spans="1:24" s="1308" customFormat="1" ht="15" customHeight="1" x14ac:dyDescent="0.25">
      <c r="A950" s="730"/>
      <c r="B950" s="1286">
        <f t="shared" si="34"/>
        <v>28</v>
      </c>
      <c r="C950" s="1290"/>
      <c r="D950" s="1758"/>
      <c r="E950" s="1758"/>
      <c r="F950" s="1293" t="s">
        <v>1320</v>
      </c>
      <c r="G950" s="1302"/>
      <c r="H950" s="1322"/>
      <c r="I950" s="1322"/>
      <c r="J950" s="1322"/>
      <c r="K950" s="1322"/>
      <c r="L950" s="1322"/>
      <c r="M950" s="1322"/>
      <c r="N950" s="1322"/>
      <c r="O950" s="1326"/>
      <c r="P950" s="1322"/>
      <c r="Q950" s="1323"/>
      <c r="R950" s="1324"/>
      <c r="S950" s="1325"/>
      <c r="T950" s="1353"/>
      <c r="U950" s="1463"/>
      <c r="V950" s="1464"/>
      <c r="W950" s="1482"/>
      <c r="X950" s="1307"/>
    </row>
    <row r="951" spans="1:24" s="1308" customFormat="1" ht="15" customHeight="1" x14ac:dyDescent="0.25">
      <c r="A951" s="730"/>
      <c r="B951" s="1286">
        <f t="shared" si="34"/>
        <v>29</v>
      </c>
      <c r="C951" s="1290"/>
      <c r="D951" s="1758" t="s">
        <v>1325</v>
      </c>
      <c r="E951" s="1758" t="s">
        <v>1317</v>
      </c>
      <c r="F951" s="1293" t="s">
        <v>1319</v>
      </c>
      <c r="G951" s="1302"/>
      <c r="H951" s="1322"/>
      <c r="I951" s="1322"/>
      <c r="J951" s="1322"/>
      <c r="K951" s="1322"/>
      <c r="L951" s="1322"/>
      <c r="M951" s="1322"/>
      <c r="N951" s="1322"/>
      <c r="O951" s="1326"/>
      <c r="P951" s="1322"/>
      <c r="Q951" s="1323"/>
      <c r="R951" s="1324"/>
      <c r="S951" s="1325"/>
      <c r="T951" s="1353"/>
      <c r="U951" s="1463"/>
      <c r="V951" s="1464"/>
      <c r="W951" s="1482"/>
      <c r="X951" s="1307"/>
    </row>
    <row r="952" spans="1:24" s="1308" customFormat="1" ht="15" customHeight="1" x14ac:dyDescent="0.25">
      <c r="A952" s="730"/>
      <c r="B952" s="1286">
        <f t="shared" si="34"/>
        <v>30</v>
      </c>
      <c r="C952" s="1290"/>
      <c r="D952" s="1758"/>
      <c r="E952" s="1758"/>
      <c r="F952" s="1293" t="s">
        <v>1320</v>
      </c>
      <c r="G952" s="1302"/>
      <c r="H952" s="1322"/>
      <c r="I952" s="1322"/>
      <c r="J952" s="1322"/>
      <c r="K952" s="1322"/>
      <c r="L952" s="1322"/>
      <c r="M952" s="1322"/>
      <c r="N952" s="1322"/>
      <c r="O952" s="1326"/>
      <c r="P952" s="1322"/>
      <c r="Q952" s="1323"/>
      <c r="R952" s="1324"/>
      <c r="S952" s="1325"/>
      <c r="T952" s="1353"/>
      <c r="U952" s="1463"/>
      <c r="V952" s="1464"/>
      <c r="W952" s="1482"/>
      <c r="X952" s="1307"/>
    </row>
    <row r="953" spans="1:24" s="1308" customFormat="1" ht="15" customHeight="1" x14ac:dyDescent="0.25">
      <c r="A953" s="730"/>
      <c r="B953" s="1286">
        <f t="shared" si="34"/>
        <v>31</v>
      </c>
      <c r="C953" s="1290"/>
      <c r="D953" s="1758"/>
      <c r="E953" s="1758" t="s">
        <v>1626</v>
      </c>
      <c r="F953" s="1293" t="s">
        <v>1319</v>
      </c>
      <c r="G953" s="1302"/>
      <c r="H953" s="1322"/>
      <c r="I953" s="1322"/>
      <c r="J953" s="1322"/>
      <c r="K953" s="1322"/>
      <c r="L953" s="1322"/>
      <c r="M953" s="1322"/>
      <c r="N953" s="1322"/>
      <c r="O953" s="1326"/>
      <c r="P953" s="1322"/>
      <c r="Q953" s="1323"/>
      <c r="R953" s="1324"/>
      <c r="S953" s="1325"/>
      <c r="T953" s="1353"/>
      <c r="U953" s="1463"/>
      <c r="V953" s="1464"/>
      <c r="W953" s="1482"/>
      <c r="X953" s="1307"/>
    </row>
    <row r="954" spans="1:24" s="1308" customFormat="1" ht="15" customHeight="1" x14ac:dyDescent="0.25">
      <c r="A954" s="730"/>
      <c r="B954" s="1286">
        <f t="shared" si="34"/>
        <v>32</v>
      </c>
      <c r="C954" s="1290"/>
      <c r="D954" s="1758"/>
      <c r="E954" s="1758"/>
      <c r="F954" s="1293" t="s">
        <v>1320</v>
      </c>
      <c r="G954" s="1302"/>
      <c r="H954" s="1322"/>
      <c r="I954" s="1322"/>
      <c r="J954" s="1322"/>
      <c r="K954" s="1322"/>
      <c r="L954" s="1322"/>
      <c r="M954" s="1322"/>
      <c r="N954" s="1322"/>
      <c r="O954" s="1326"/>
      <c r="P954" s="1322"/>
      <c r="Q954" s="1323"/>
      <c r="R954" s="1324"/>
      <c r="S954" s="1325"/>
      <c r="T954" s="1353"/>
      <c r="U954" s="1463"/>
      <c r="V954" s="1464"/>
      <c r="W954" s="1482"/>
      <c r="X954" s="1307"/>
    </row>
    <row r="955" spans="1:24" s="1308" customFormat="1" ht="15" customHeight="1" x14ac:dyDescent="0.25">
      <c r="A955" s="730"/>
      <c r="B955" s="1286">
        <f t="shared" si="34"/>
        <v>33</v>
      </c>
      <c r="C955" s="1290"/>
      <c r="D955" s="1758"/>
      <c r="E955" s="1758" t="s">
        <v>1321</v>
      </c>
      <c r="F955" s="1293" t="s">
        <v>1319</v>
      </c>
      <c r="G955" s="1302"/>
      <c r="H955" s="1322"/>
      <c r="I955" s="1322"/>
      <c r="J955" s="1322"/>
      <c r="K955" s="1322"/>
      <c r="L955" s="1322"/>
      <c r="M955" s="1322"/>
      <c r="N955" s="1322"/>
      <c r="O955" s="1326"/>
      <c r="P955" s="1322"/>
      <c r="Q955" s="1323"/>
      <c r="R955" s="1324"/>
      <c r="S955" s="1325"/>
      <c r="T955" s="1353"/>
      <c r="U955" s="1463"/>
      <c r="V955" s="1464"/>
      <c r="W955" s="1482"/>
      <c r="X955" s="1307"/>
    </row>
    <row r="956" spans="1:24" s="1308" customFormat="1" ht="15" customHeight="1" x14ac:dyDescent="0.25">
      <c r="A956" s="730"/>
      <c r="B956" s="1286">
        <f t="shared" si="34"/>
        <v>34</v>
      </c>
      <c r="C956" s="1290"/>
      <c r="D956" s="1758"/>
      <c r="E956" s="1758"/>
      <c r="F956" s="1293" t="s">
        <v>1320</v>
      </c>
      <c r="G956" s="1302"/>
      <c r="H956" s="1322"/>
      <c r="I956" s="1322"/>
      <c r="J956" s="1322"/>
      <c r="K956" s="1322"/>
      <c r="L956" s="1322"/>
      <c r="M956" s="1322"/>
      <c r="N956" s="1322"/>
      <c r="O956" s="1326"/>
      <c r="P956" s="1322"/>
      <c r="Q956" s="1323"/>
      <c r="R956" s="1324"/>
      <c r="S956" s="1325"/>
      <c r="T956" s="1353"/>
      <c r="U956" s="1463"/>
      <c r="V956" s="1464"/>
      <c r="W956" s="1482"/>
      <c r="X956" s="1307"/>
    </row>
    <row r="957" spans="1:24" s="1308" customFormat="1" ht="15" customHeight="1" x14ac:dyDescent="0.25">
      <c r="A957" s="730"/>
      <c r="B957" s="1286">
        <f t="shared" si="34"/>
        <v>35</v>
      </c>
      <c r="C957" s="1290"/>
      <c r="D957" s="1758"/>
      <c r="E957" s="1758" t="s">
        <v>1322</v>
      </c>
      <c r="F957" s="1293" t="s">
        <v>1319</v>
      </c>
      <c r="G957" s="1302"/>
      <c r="H957" s="1322"/>
      <c r="I957" s="1322"/>
      <c r="J957" s="1322"/>
      <c r="K957" s="1322"/>
      <c r="L957" s="1322"/>
      <c r="M957" s="1322"/>
      <c r="N957" s="1322"/>
      <c r="O957" s="1326"/>
      <c r="P957" s="1322"/>
      <c r="Q957" s="1323"/>
      <c r="R957" s="1324"/>
      <c r="S957" s="1325"/>
      <c r="T957" s="1353"/>
      <c r="U957" s="1463"/>
      <c r="V957" s="1464"/>
      <c r="W957" s="1482"/>
      <c r="X957" s="1307"/>
    </row>
    <row r="958" spans="1:24" s="1308" customFormat="1" ht="15" customHeight="1" x14ac:dyDescent="0.25">
      <c r="A958" s="730"/>
      <c r="B958" s="1286">
        <f t="shared" si="34"/>
        <v>36</v>
      </c>
      <c r="C958" s="1290"/>
      <c r="D958" s="1758"/>
      <c r="E958" s="1758"/>
      <c r="F958" s="1293" t="s">
        <v>1320</v>
      </c>
      <c r="G958" s="1302"/>
      <c r="H958" s="1322"/>
      <c r="I958" s="1322"/>
      <c r="J958" s="1322"/>
      <c r="K958" s="1322"/>
      <c r="L958" s="1322"/>
      <c r="M958" s="1322"/>
      <c r="N958" s="1322"/>
      <c r="O958" s="1326"/>
      <c r="P958" s="1322"/>
      <c r="Q958" s="1323"/>
      <c r="R958" s="1324"/>
      <c r="S958" s="1325"/>
      <c r="T958" s="1353"/>
      <c r="U958" s="1463"/>
      <c r="V958" s="1464"/>
      <c r="W958" s="1482"/>
      <c r="X958" s="1307"/>
    </row>
    <row r="959" spans="1:24" s="1308" customFormat="1" ht="15" customHeight="1" x14ac:dyDescent="0.25">
      <c r="A959" s="730"/>
      <c r="B959" s="1286">
        <f t="shared" si="34"/>
        <v>37</v>
      </c>
      <c r="C959" s="1290"/>
      <c r="D959" s="1758"/>
      <c r="E959" s="1758" t="s">
        <v>1678</v>
      </c>
      <c r="F959" s="1293" t="s">
        <v>1319</v>
      </c>
      <c r="G959" s="1302"/>
      <c r="H959" s="1322"/>
      <c r="I959" s="1322"/>
      <c r="J959" s="1322"/>
      <c r="K959" s="1322"/>
      <c r="L959" s="1322"/>
      <c r="M959" s="1322"/>
      <c r="N959" s="1322"/>
      <c r="O959" s="1326"/>
      <c r="P959" s="1322"/>
      <c r="Q959" s="1323"/>
      <c r="R959" s="1324"/>
      <c r="S959" s="1325"/>
      <c r="T959" s="1353"/>
      <c r="U959" s="1463"/>
      <c r="V959" s="1464"/>
      <c r="W959" s="1482"/>
      <c r="X959" s="1307"/>
    </row>
    <row r="960" spans="1:24" s="1308" customFormat="1" ht="15" customHeight="1" x14ac:dyDescent="0.25">
      <c r="A960" s="730"/>
      <c r="B960" s="1286">
        <f t="shared" si="34"/>
        <v>38</v>
      </c>
      <c r="C960" s="1290"/>
      <c r="D960" s="1758"/>
      <c r="E960" s="1758"/>
      <c r="F960" s="1293" t="s">
        <v>1320</v>
      </c>
      <c r="G960" s="1302"/>
      <c r="H960" s="1322"/>
      <c r="I960" s="1322"/>
      <c r="J960" s="1322"/>
      <c r="K960" s="1322"/>
      <c r="L960" s="1322"/>
      <c r="M960" s="1322"/>
      <c r="N960" s="1322"/>
      <c r="O960" s="1326"/>
      <c r="P960" s="1322"/>
      <c r="Q960" s="1323"/>
      <c r="R960" s="1324"/>
      <c r="S960" s="1325"/>
      <c r="T960" s="1353"/>
      <c r="U960" s="1463"/>
      <c r="V960" s="1464"/>
      <c r="W960" s="1482"/>
      <c r="X960" s="1307"/>
    </row>
    <row r="961" spans="1:24" s="1308" customFormat="1" ht="15" customHeight="1" x14ac:dyDescent="0.25">
      <c r="A961" s="730"/>
      <c r="B961" s="1286">
        <f t="shared" si="34"/>
        <v>39</v>
      </c>
      <c r="C961" s="1290"/>
      <c r="D961" s="1758"/>
      <c r="E961" s="1758" t="s">
        <v>1679</v>
      </c>
      <c r="F961" s="1293" t="s">
        <v>1319</v>
      </c>
      <c r="G961" s="1302"/>
      <c r="H961" s="1322"/>
      <c r="I961" s="1322"/>
      <c r="J961" s="1322"/>
      <c r="K961" s="1322"/>
      <c r="L961" s="1322"/>
      <c r="M961" s="1322"/>
      <c r="N961" s="1322"/>
      <c r="O961" s="1326"/>
      <c r="P961" s="1322"/>
      <c r="Q961" s="1323"/>
      <c r="R961" s="1324"/>
      <c r="S961" s="1325"/>
      <c r="T961" s="1353"/>
      <c r="U961" s="1463"/>
      <c r="V961" s="1464"/>
      <c r="W961" s="1482"/>
      <c r="X961" s="1307"/>
    </row>
    <row r="962" spans="1:24" s="1308" customFormat="1" ht="15" customHeight="1" x14ac:dyDescent="0.25">
      <c r="A962" s="730"/>
      <c r="B962" s="1286">
        <f t="shared" si="34"/>
        <v>40</v>
      </c>
      <c r="C962" s="1290"/>
      <c r="D962" s="1758"/>
      <c r="E962" s="1758"/>
      <c r="F962" s="1293" t="s">
        <v>1320</v>
      </c>
      <c r="G962" s="1302"/>
      <c r="H962" s="1322"/>
      <c r="I962" s="1322"/>
      <c r="J962" s="1322"/>
      <c r="K962" s="1322"/>
      <c r="L962" s="1322"/>
      <c r="M962" s="1322"/>
      <c r="N962" s="1322"/>
      <c r="O962" s="1326"/>
      <c r="P962" s="1322"/>
      <c r="Q962" s="1323"/>
      <c r="R962" s="1324"/>
      <c r="S962" s="1325"/>
      <c r="T962" s="1353"/>
      <c r="U962" s="1463"/>
      <c r="V962" s="1464"/>
      <c r="W962" s="1482"/>
      <c r="X962" s="1307"/>
    </row>
    <row r="963" spans="1:24" s="1308" customFormat="1" ht="15" customHeight="1" x14ac:dyDescent="0.25">
      <c r="A963" s="730"/>
      <c r="B963" s="1286">
        <f t="shared" si="34"/>
        <v>41</v>
      </c>
      <c r="C963" s="1290"/>
      <c r="D963" s="1758"/>
      <c r="E963" s="1758" t="s">
        <v>1318</v>
      </c>
      <c r="F963" s="1293" t="s">
        <v>1319</v>
      </c>
      <c r="G963" s="1302"/>
      <c r="H963" s="1322"/>
      <c r="I963" s="1322"/>
      <c r="J963" s="1322"/>
      <c r="K963" s="1322"/>
      <c r="L963" s="1322"/>
      <c r="M963" s="1322"/>
      <c r="N963" s="1322"/>
      <c r="O963" s="1326"/>
      <c r="P963" s="1322"/>
      <c r="Q963" s="1323"/>
      <c r="R963" s="1324"/>
      <c r="S963" s="1325"/>
      <c r="T963" s="1353"/>
      <c r="U963" s="1463"/>
      <c r="V963" s="1464"/>
      <c r="W963" s="1482"/>
      <c r="X963" s="1307"/>
    </row>
    <row r="964" spans="1:24" s="1308" customFormat="1" ht="15" customHeight="1" x14ac:dyDescent="0.25">
      <c r="A964" s="730"/>
      <c r="B964" s="1286">
        <f t="shared" si="34"/>
        <v>42</v>
      </c>
      <c r="C964" s="1290"/>
      <c r="D964" s="1758"/>
      <c r="E964" s="1758"/>
      <c r="F964" s="1293" t="s">
        <v>1320</v>
      </c>
      <c r="G964" s="1302"/>
      <c r="H964" s="1322"/>
      <c r="I964" s="1322"/>
      <c r="J964" s="1322"/>
      <c r="K964" s="1322"/>
      <c r="L964" s="1322"/>
      <c r="M964" s="1322"/>
      <c r="N964" s="1322"/>
      <c r="O964" s="1326"/>
      <c r="P964" s="1322"/>
      <c r="Q964" s="1323"/>
      <c r="R964" s="1324"/>
      <c r="S964" s="1325"/>
      <c r="T964" s="1353"/>
      <c r="U964" s="1463"/>
      <c r="V964" s="1464"/>
      <c r="W964" s="1482"/>
      <c r="X964" s="1307"/>
    </row>
    <row r="965" spans="1:24" s="1308" customFormat="1" ht="15" customHeight="1" x14ac:dyDescent="0.25">
      <c r="A965" s="730"/>
      <c r="B965" s="1286">
        <f t="shared" si="34"/>
        <v>43</v>
      </c>
      <c r="C965" s="1290"/>
      <c r="D965" s="1758" t="s">
        <v>1323</v>
      </c>
      <c r="E965" s="1758" t="s">
        <v>1317</v>
      </c>
      <c r="F965" s="1293" t="s">
        <v>1319</v>
      </c>
      <c r="G965" s="1302"/>
      <c r="H965" s="1322"/>
      <c r="I965" s="1322"/>
      <c r="J965" s="1322"/>
      <c r="K965" s="1322"/>
      <c r="L965" s="1322"/>
      <c r="M965" s="1322"/>
      <c r="N965" s="1322"/>
      <c r="O965" s="1326"/>
      <c r="P965" s="1322"/>
      <c r="Q965" s="1323"/>
      <c r="R965" s="1324"/>
      <c r="S965" s="1325"/>
      <c r="T965" s="1353"/>
      <c r="U965" s="1463"/>
      <c r="V965" s="1464"/>
      <c r="W965" s="1482"/>
      <c r="X965" s="1307"/>
    </row>
    <row r="966" spans="1:24" s="1308" customFormat="1" ht="15" customHeight="1" x14ac:dyDescent="0.25">
      <c r="A966" s="730"/>
      <c r="B966" s="1286">
        <f t="shared" si="34"/>
        <v>44</v>
      </c>
      <c r="C966" s="1290"/>
      <c r="D966" s="1758"/>
      <c r="E966" s="1758"/>
      <c r="F966" s="1293" t="s">
        <v>1320</v>
      </c>
      <c r="G966" s="1302"/>
      <c r="H966" s="1322"/>
      <c r="I966" s="1322"/>
      <c r="J966" s="1322"/>
      <c r="K966" s="1322"/>
      <c r="L966" s="1322"/>
      <c r="M966" s="1322"/>
      <c r="N966" s="1322"/>
      <c r="O966" s="1326"/>
      <c r="P966" s="1322"/>
      <c r="Q966" s="1323"/>
      <c r="R966" s="1324"/>
      <c r="S966" s="1325"/>
      <c r="T966" s="1353"/>
      <c r="U966" s="1463"/>
      <c r="V966" s="1464"/>
      <c r="W966" s="1482"/>
      <c r="X966" s="1307"/>
    </row>
    <row r="967" spans="1:24" s="1308" customFormat="1" ht="15" customHeight="1" x14ac:dyDescent="0.25">
      <c r="A967" s="730"/>
      <c r="B967" s="1286">
        <f t="shared" si="34"/>
        <v>45</v>
      </c>
      <c r="C967" s="1290"/>
      <c r="D967" s="1758"/>
      <c r="E967" s="1758" t="s">
        <v>1626</v>
      </c>
      <c r="F967" s="1293" t="s">
        <v>1319</v>
      </c>
      <c r="G967" s="1302"/>
      <c r="H967" s="1322"/>
      <c r="I967" s="1322"/>
      <c r="J967" s="1322"/>
      <c r="K967" s="1322"/>
      <c r="L967" s="1322"/>
      <c r="M967" s="1322"/>
      <c r="N967" s="1322"/>
      <c r="O967" s="1326"/>
      <c r="P967" s="1322"/>
      <c r="Q967" s="1323"/>
      <c r="R967" s="1324"/>
      <c r="S967" s="1325"/>
      <c r="T967" s="1353"/>
      <c r="U967" s="1463"/>
      <c r="V967" s="1464"/>
      <c r="W967" s="1482"/>
      <c r="X967" s="1307"/>
    </row>
    <row r="968" spans="1:24" s="1308" customFormat="1" ht="15" customHeight="1" x14ac:dyDescent="0.25">
      <c r="A968" s="730"/>
      <c r="B968" s="1286">
        <f t="shared" si="34"/>
        <v>46</v>
      </c>
      <c r="C968" s="1290"/>
      <c r="D968" s="1758"/>
      <c r="E968" s="1758"/>
      <c r="F968" s="1293" t="s">
        <v>1320</v>
      </c>
      <c r="G968" s="1302"/>
      <c r="H968" s="1322"/>
      <c r="I968" s="1322"/>
      <c r="J968" s="1322"/>
      <c r="K968" s="1322"/>
      <c r="L968" s="1322"/>
      <c r="M968" s="1322"/>
      <c r="N968" s="1322"/>
      <c r="O968" s="1326"/>
      <c r="P968" s="1322"/>
      <c r="Q968" s="1323"/>
      <c r="R968" s="1324"/>
      <c r="S968" s="1325"/>
      <c r="T968" s="1353"/>
      <c r="U968" s="1463"/>
      <c r="V968" s="1464"/>
      <c r="W968" s="1482"/>
      <c r="X968" s="1307"/>
    </row>
    <row r="969" spans="1:24" s="1308" customFormat="1" ht="15" customHeight="1" x14ac:dyDescent="0.25">
      <c r="A969" s="730"/>
      <c r="B969" s="1286">
        <f t="shared" si="34"/>
        <v>47</v>
      </c>
      <c r="C969" s="1290"/>
      <c r="D969" s="1758"/>
      <c r="E969" s="1758" t="s">
        <v>1321</v>
      </c>
      <c r="F969" s="1293" t="s">
        <v>1319</v>
      </c>
      <c r="G969" s="1302"/>
      <c r="H969" s="1322"/>
      <c r="I969" s="1322"/>
      <c r="J969" s="1322"/>
      <c r="K969" s="1322"/>
      <c r="L969" s="1322"/>
      <c r="M969" s="1322"/>
      <c r="N969" s="1322"/>
      <c r="O969" s="1326"/>
      <c r="P969" s="1322"/>
      <c r="Q969" s="1323"/>
      <c r="R969" s="1324"/>
      <c r="S969" s="1325"/>
      <c r="T969" s="1353"/>
      <c r="U969" s="1463"/>
      <c r="V969" s="1464"/>
      <c r="W969" s="1482"/>
      <c r="X969" s="1307"/>
    </row>
    <row r="970" spans="1:24" s="1308" customFormat="1" ht="15" customHeight="1" x14ac:dyDescent="0.25">
      <c r="A970" s="730"/>
      <c r="B970" s="1286">
        <f t="shared" si="34"/>
        <v>48</v>
      </c>
      <c r="C970" s="1290"/>
      <c r="D970" s="1758"/>
      <c r="E970" s="1758"/>
      <c r="F970" s="1293" t="s">
        <v>1320</v>
      </c>
      <c r="G970" s="1302"/>
      <c r="H970" s="1322"/>
      <c r="I970" s="1322"/>
      <c r="J970" s="1322"/>
      <c r="K970" s="1322"/>
      <c r="L970" s="1322"/>
      <c r="M970" s="1322"/>
      <c r="N970" s="1322"/>
      <c r="O970" s="1326"/>
      <c r="P970" s="1322"/>
      <c r="Q970" s="1323"/>
      <c r="R970" s="1324"/>
      <c r="S970" s="1325"/>
      <c r="T970" s="1353"/>
      <c r="U970" s="1463"/>
      <c r="V970" s="1464"/>
      <c r="W970" s="1482"/>
      <c r="X970" s="1307"/>
    </row>
    <row r="971" spans="1:24" s="1308" customFormat="1" ht="15" customHeight="1" x14ac:dyDescent="0.25">
      <c r="A971" s="730"/>
      <c r="B971" s="1286">
        <f t="shared" si="34"/>
        <v>49</v>
      </c>
      <c r="C971" s="1290"/>
      <c r="D971" s="1758"/>
      <c r="E971" s="1758" t="s">
        <v>1322</v>
      </c>
      <c r="F971" s="1293" t="s">
        <v>1319</v>
      </c>
      <c r="G971" s="1302"/>
      <c r="H971" s="1322"/>
      <c r="I971" s="1322"/>
      <c r="J971" s="1322"/>
      <c r="K971" s="1322"/>
      <c r="L971" s="1322"/>
      <c r="M971" s="1322"/>
      <c r="N971" s="1322"/>
      <c r="O971" s="1326"/>
      <c r="P971" s="1322"/>
      <c r="Q971" s="1323"/>
      <c r="R971" s="1324"/>
      <c r="S971" s="1325"/>
      <c r="T971" s="1353"/>
      <c r="U971" s="1463"/>
      <c r="V971" s="1464"/>
      <c r="W971" s="1482"/>
      <c r="X971" s="1307"/>
    </row>
    <row r="972" spans="1:24" s="1308" customFormat="1" ht="15" customHeight="1" x14ac:dyDescent="0.25">
      <c r="A972" s="730"/>
      <c r="B972" s="1286">
        <f t="shared" si="34"/>
        <v>50</v>
      </c>
      <c r="C972" s="1290"/>
      <c r="D972" s="1758"/>
      <c r="E972" s="1758"/>
      <c r="F972" s="1293" t="s">
        <v>1320</v>
      </c>
      <c r="G972" s="1302"/>
      <c r="H972" s="1322"/>
      <c r="I972" s="1322"/>
      <c r="J972" s="1322"/>
      <c r="K972" s="1322"/>
      <c r="L972" s="1322"/>
      <c r="M972" s="1322"/>
      <c r="N972" s="1322"/>
      <c r="O972" s="1326"/>
      <c r="P972" s="1322"/>
      <c r="Q972" s="1323"/>
      <c r="R972" s="1324"/>
      <c r="S972" s="1325"/>
      <c r="T972" s="1353"/>
      <c r="U972" s="1463"/>
      <c r="V972" s="1464"/>
      <c r="W972" s="1482"/>
      <c r="X972" s="1307"/>
    </row>
    <row r="973" spans="1:24" s="1308" customFormat="1" ht="15" customHeight="1" x14ac:dyDescent="0.25">
      <c r="A973" s="730"/>
      <c r="B973" s="1286">
        <f t="shared" si="34"/>
        <v>51</v>
      </c>
      <c r="C973" s="1290"/>
      <c r="D973" s="1758"/>
      <c r="E973" s="1758" t="s">
        <v>1678</v>
      </c>
      <c r="F973" s="1293" t="s">
        <v>1319</v>
      </c>
      <c r="G973" s="1302"/>
      <c r="H973" s="1322"/>
      <c r="I973" s="1322"/>
      <c r="J973" s="1322"/>
      <c r="K973" s="1322"/>
      <c r="L973" s="1322"/>
      <c r="M973" s="1322"/>
      <c r="N973" s="1322"/>
      <c r="O973" s="1326"/>
      <c r="P973" s="1322"/>
      <c r="Q973" s="1323"/>
      <c r="R973" s="1324"/>
      <c r="S973" s="1325"/>
      <c r="T973" s="1353"/>
      <c r="U973" s="1463"/>
      <c r="V973" s="1464"/>
      <c r="W973" s="1482"/>
      <c r="X973" s="1307"/>
    </row>
    <row r="974" spans="1:24" s="1308" customFormat="1" ht="15" customHeight="1" x14ac:dyDescent="0.25">
      <c r="A974" s="730"/>
      <c r="B974" s="1286">
        <f t="shared" si="34"/>
        <v>52</v>
      </c>
      <c r="C974" s="1290"/>
      <c r="D974" s="1758"/>
      <c r="E974" s="1758"/>
      <c r="F974" s="1293" t="s">
        <v>1320</v>
      </c>
      <c r="G974" s="1302"/>
      <c r="H974" s="1322"/>
      <c r="I974" s="1322"/>
      <c r="J974" s="1322"/>
      <c r="K974" s="1322"/>
      <c r="L974" s="1322"/>
      <c r="M974" s="1322"/>
      <c r="N974" s="1322"/>
      <c r="O974" s="1326"/>
      <c r="P974" s="1322"/>
      <c r="Q974" s="1323"/>
      <c r="R974" s="1324"/>
      <c r="S974" s="1325"/>
      <c r="T974" s="1353"/>
      <c r="U974" s="1463"/>
      <c r="V974" s="1464"/>
      <c r="W974" s="1482"/>
      <c r="X974" s="1307"/>
    </row>
    <row r="975" spans="1:24" s="1308" customFormat="1" ht="15" customHeight="1" x14ac:dyDescent="0.25">
      <c r="A975" s="730"/>
      <c r="B975" s="1286">
        <f t="shared" si="34"/>
        <v>53</v>
      </c>
      <c r="C975" s="1290"/>
      <c r="D975" s="1758"/>
      <c r="E975" s="1758" t="s">
        <v>1679</v>
      </c>
      <c r="F975" s="1293" t="s">
        <v>1319</v>
      </c>
      <c r="G975" s="1302"/>
      <c r="H975" s="1322"/>
      <c r="I975" s="1322"/>
      <c r="J975" s="1322"/>
      <c r="K975" s="1322"/>
      <c r="L975" s="1322"/>
      <c r="M975" s="1322"/>
      <c r="N975" s="1322"/>
      <c r="O975" s="1326"/>
      <c r="P975" s="1322"/>
      <c r="Q975" s="1323"/>
      <c r="R975" s="1324"/>
      <c r="S975" s="1325"/>
      <c r="T975" s="1353"/>
      <c r="U975" s="1463"/>
      <c r="V975" s="1464"/>
      <c r="W975" s="1482"/>
      <c r="X975" s="1307"/>
    </row>
    <row r="976" spans="1:24" s="1308" customFormat="1" ht="15" customHeight="1" x14ac:dyDescent="0.25">
      <c r="A976" s="730"/>
      <c r="B976" s="1286">
        <f t="shared" si="34"/>
        <v>54</v>
      </c>
      <c r="C976" s="1290"/>
      <c r="D976" s="1758"/>
      <c r="E976" s="1758"/>
      <c r="F976" s="1293" t="s">
        <v>1320</v>
      </c>
      <c r="G976" s="1302"/>
      <c r="H976" s="1322"/>
      <c r="I976" s="1322"/>
      <c r="J976" s="1322"/>
      <c r="K976" s="1322"/>
      <c r="L976" s="1322"/>
      <c r="M976" s="1322"/>
      <c r="N976" s="1322"/>
      <c r="O976" s="1326"/>
      <c r="P976" s="1322"/>
      <c r="Q976" s="1323"/>
      <c r="R976" s="1324"/>
      <c r="S976" s="1325"/>
      <c r="T976" s="1353"/>
      <c r="U976" s="1463"/>
      <c r="V976" s="1464"/>
      <c r="W976" s="1482"/>
      <c r="X976" s="1307"/>
    </row>
    <row r="977" spans="1:24" s="1308" customFormat="1" ht="15" customHeight="1" x14ac:dyDescent="0.25">
      <c r="A977" s="730"/>
      <c r="B977" s="1286">
        <f t="shared" si="34"/>
        <v>55</v>
      </c>
      <c r="C977" s="1290"/>
      <c r="D977" s="1758"/>
      <c r="E977" s="1758" t="s">
        <v>1318</v>
      </c>
      <c r="F977" s="1293" t="s">
        <v>1319</v>
      </c>
      <c r="G977" s="1302"/>
      <c r="H977" s="1322"/>
      <c r="I977" s="1322"/>
      <c r="J977" s="1322"/>
      <c r="K977" s="1322"/>
      <c r="L977" s="1322"/>
      <c r="M977" s="1322"/>
      <c r="N977" s="1322"/>
      <c r="O977" s="1326"/>
      <c r="P977" s="1322"/>
      <c r="Q977" s="1323"/>
      <c r="R977" s="1324"/>
      <c r="S977" s="1325"/>
      <c r="T977" s="1353"/>
      <c r="U977" s="1463"/>
      <c r="V977" s="1464"/>
      <c r="W977" s="1482"/>
      <c r="X977" s="1307"/>
    </row>
    <row r="978" spans="1:24" s="1308" customFormat="1" ht="15" customHeight="1" x14ac:dyDescent="0.25">
      <c r="A978" s="730"/>
      <c r="B978" s="1286">
        <f t="shared" si="34"/>
        <v>56</v>
      </c>
      <c r="C978" s="1290"/>
      <c r="D978" s="1758"/>
      <c r="E978" s="1758"/>
      <c r="F978" s="1293" t="s">
        <v>1320</v>
      </c>
      <c r="G978" s="1302"/>
      <c r="H978" s="1322"/>
      <c r="I978" s="1322"/>
      <c r="J978" s="1322"/>
      <c r="K978" s="1322"/>
      <c r="L978" s="1322"/>
      <c r="M978" s="1322"/>
      <c r="N978" s="1322"/>
      <c r="O978" s="1326"/>
      <c r="P978" s="1322"/>
      <c r="Q978" s="1323"/>
      <c r="R978" s="1324"/>
      <c r="S978" s="1325"/>
      <c r="T978" s="1353"/>
      <c r="U978" s="1463"/>
      <c r="V978" s="1464"/>
      <c r="W978" s="1482"/>
      <c r="X978" s="1307"/>
    </row>
    <row r="979" spans="1:24" s="1308" customFormat="1" ht="15" customHeight="1" x14ac:dyDescent="0.25">
      <c r="A979" s="730"/>
      <c r="B979" s="1286">
        <f t="shared" si="34"/>
        <v>57</v>
      </c>
      <c r="C979" s="1290"/>
      <c r="D979" s="1758" t="s">
        <v>1326</v>
      </c>
      <c r="E979" s="1758" t="s">
        <v>1317</v>
      </c>
      <c r="F979" s="1293" t="s">
        <v>1319</v>
      </c>
      <c r="G979" s="1302"/>
      <c r="H979" s="1322"/>
      <c r="I979" s="1322"/>
      <c r="J979" s="1322"/>
      <c r="K979" s="1322"/>
      <c r="L979" s="1322"/>
      <c r="M979" s="1322"/>
      <c r="N979" s="1322"/>
      <c r="O979" s="1326"/>
      <c r="P979" s="1322"/>
      <c r="Q979" s="1323"/>
      <c r="R979" s="1324"/>
      <c r="S979" s="1325"/>
      <c r="T979" s="1353"/>
      <c r="U979" s="1463"/>
      <c r="V979" s="1464"/>
      <c r="W979" s="1482"/>
      <c r="X979" s="1307"/>
    </row>
    <row r="980" spans="1:24" s="1308" customFormat="1" ht="15" customHeight="1" x14ac:dyDescent="0.25">
      <c r="A980" s="730"/>
      <c r="B980" s="1286">
        <f t="shared" si="34"/>
        <v>58</v>
      </c>
      <c r="C980" s="1290"/>
      <c r="D980" s="1758"/>
      <c r="E980" s="1758"/>
      <c r="F980" s="1293" t="s">
        <v>1320</v>
      </c>
      <c r="G980" s="1302"/>
      <c r="H980" s="1322"/>
      <c r="I980" s="1322"/>
      <c r="J980" s="1322"/>
      <c r="K980" s="1322"/>
      <c r="L980" s="1322"/>
      <c r="M980" s="1322"/>
      <c r="N980" s="1322"/>
      <c r="O980" s="1326"/>
      <c r="P980" s="1322"/>
      <c r="Q980" s="1323"/>
      <c r="R980" s="1324"/>
      <c r="S980" s="1325"/>
      <c r="T980" s="1353"/>
      <c r="U980" s="1463"/>
      <c r="V980" s="1464"/>
      <c r="W980" s="1482"/>
      <c r="X980" s="1307"/>
    </row>
    <row r="981" spans="1:24" s="1308" customFormat="1" ht="15" customHeight="1" x14ac:dyDescent="0.25">
      <c r="A981" s="730"/>
      <c r="B981" s="1286">
        <f t="shared" si="34"/>
        <v>59</v>
      </c>
      <c r="C981" s="1290"/>
      <c r="D981" s="1758"/>
      <c r="E981" s="1758" t="s">
        <v>1626</v>
      </c>
      <c r="F981" s="1293" t="s">
        <v>1319</v>
      </c>
      <c r="G981" s="1302"/>
      <c r="H981" s="1322"/>
      <c r="I981" s="1322"/>
      <c r="J981" s="1322"/>
      <c r="K981" s="1322"/>
      <c r="L981" s="1322"/>
      <c r="M981" s="1322"/>
      <c r="N981" s="1322"/>
      <c r="O981" s="1326"/>
      <c r="P981" s="1322"/>
      <c r="Q981" s="1323"/>
      <c r="R981" s="1324"/>
      <c r="S981" s="1325"/>
      <c r="T981" s="1353"/>
      <c r="U981" s="1463"/>
      <c r="V981" s="1464"/>
      <c r="W981" s="1482"/>
      <c r="X981" s="1307"/>
    </row>
    <row r="982" spans="1:24" s="1308" customFormat="1" ht="15" customHeight="1" x14ac:dyDescent="0.25">
      <c r="A982" s="730"/>
      <c r="B982" s="1286">
        <f t="shared" si="34"/>
        <v>60</v>
      </c>
      <c r="C982" s="1290"/>
      <c r="D982" s="1758"/>
      <c r="E982" s="1758"/>
      <c r="F982" s="1293" t="s">
        <v>1320</v>
      </c>
      <c r="G982" s="1302"/>
      <c r="H982" s="1322"/>
      <c r="I982" s="1322"/>
      <c r="J982" s="1322"/>
      <c r="K982" s="1322"/>
      <c r="L982" s="1322"/>
      <c r="M982" s="1322"/>
      <c r="N982" s="1322"/>
      <c r="O982" s="1326"/>
      <c r="P982" s="1322"/>
      <c r="Q982" s="1323"/>
      <c r="R982" s="1324"/>
      <c r="S982" s="1325"/>
      <c r="T982" s="1353"/>
      <c r="U982" s="1463"/>
      <c r="V982" s="1464"/>
      <c r="W982" s="1482"/>
      <c r="X982" s="1307"/>
    </row>
    <row r="983" spans="1:24" s="1308" customFormat="1" ht="15" customHeight="1" x14ac:dyDescent="0.25">
      <c r="A983" s="730"/>
      <c r="B983" s="1286">
        <f t="shared" si="34"/>
        <v>61</v>
      </c>
      <c r="C983" s="1290"/>
      <c r="D983" s="1758"/>
      <c r="E983" s="1758" t="s">
        <v>1321</v>
      </c>
      <c r="F983" s="1293" t="s">
        <v>1319</v>
      </c>
      <c r="G983" s="1302"/>
      <c r="H983" s="1322"/>
      <c r="I983" s="1322"/>
      <c r="J983" s="1322"/>
      <c r="K983" s="1322"/>
      <c r="L983" s="1322"/>
      <c r="M983" s="1322"/>
      <c r="N983" s="1322"/>
      <c r="O983" s="1326"/>
      <c r="P983" s="1322"/>
      <c r="Q983" s="1323"/>
      <c r="R983" s="1324"/>
      <c r="S983" s="1325"/>
      <c r="T983" s="1353"/>
      <c r="U983" s="1463"/>
      <c r="V983" s="1464"/>
      <c r="W983" s="1482"/>
      <c r="X983" s="1307"/>
    </row>
    <row r="984" spans="1:24" s="1308" customFormat="1" ht="15" customHeight="1" x14ac:dyDescent="0.25">
      <c r="A984" s="730"/>
      <c r="B984" s="1286">
        <f t="shared" si="34"/>
        <v>62</v>
      </c>
      <c r="C984" s="1290"/>
      <c r="D984" s="1758"/>
      <c r="E984" s="1758"/>
      <c r="F984" s="1293" t="s">
        <v>1320</v>
      </c>
      <c r="G984" s="1302"/>
      <c r="H984" s="1322"/>
      <c r="I984" s="1322"/>
      <c r="J984" s="1322"/>
      <c r="K984" s="1322"/>
      <c r="L984" s="1322"/>
      <c r="M984" s="1322"/>
      <c r="N984" s="1322"/>
      <c r="O984" s="1326"/>
      <c r="P984" s="1322"/>
      <c r="Q984" s="1323"/>
      <c r="R984" s="1324"/>
      <c r="S984" s="1325"/>
      <c r="T984" s="1353"/>
      <c r="U984" s="1463"/>
      <c r="V984" s="1464"/>
      <c r="W984" s="1482"/>
      <c r="X984" s="1307"/>
    </row>
    <row r="985" spans="1:24" s="1308" customFormat="1" ht="15" customHeight="1" x14ac:dyDescent="0.25">
      <c r="A985" s="730"/>
      <c r="B985" s="1286">
        <f t="shared" si="34"/>
        <v>63</v>
      </c>
      <c r="C985" s="1290"/>
      <c r="D985" s="1758"/>
      <c r="E985" s="1758" t="s">
        <v>1322</v>
      </c>
      <c r="F985" s="1293" t="s">
        <v>1319</v>
      </c>
      <c r="G985" s="1302"/>
      <c r="H985" s="1322"/>
      <c r="I985" s="1322"/>
      <c r="J985" s="1322"/>
      <c r="K985" s="1322"/>
      <c r="L985" s="1322"/>
      <c r="M985" s="1322"/>
      <c r="N985" s="1322"/>
      <c r="O985" s="1326"/>
      <c r="P985" s="1322"/>
      <c r="Q985" s="1323"/>
      <c r="R985" s="1324"/>
      <c r="S985" s="1325"/>
      <c r="T985" s="1353"/>
      <c r="U985" s="1463"/>
      <c r="V985" s="1464"/>
      <c r="W985" s="1482"/>
      <c r="X985" s="1307"/>
    </row>
    <row r="986" spans="1:24" s="1308" customFormat="1" ht="15" customHeight="1" x14ac:dyDescent="0.25">
      <c r="A986" s="730"/>
      <c r="B986" s="1286">
        <f t="shared" si="34"/>
        <v>64</v>
      </c>
      <c r="C986" s="1290"/>
      <c r="D986" s="1758"/>
      <c r="E986" s="1758"/>
      <c r="F986" s="1293" t="s">
        <v>1320</v>
      </c>
      <c r="G986" s="1302"/>
      <c r="H986" s="1322"/>
      <c r="I986" s="1322"/>
      <c r="J986" s="1322"/>
      <c r="K986" s="1322"/>
      <c r="L986" s="1322"/>
      <c r="M986" s="1322"/>
      <c r="N986" s="1322"/>
      <c r="O986" s="1326"/>
      <c r="P986" s="1322"/>
      <c r="Q986" s="1323"/>
      <c r="R986" s="1324"/>
      <c r="S986" s="1325"/>
      <c r="T986" s="1353"/>
      <c r="U986" s="1463"/>
      <c r="V986" s="1464"/>
      <c r="W986" s="1482"/>
      <c r="X986" s="1307"/>
    </row>
    <row r="987" spans="1:24" s="1308" customFormat="1" ht="15" customHeight="1" x14ac:dyDescent="0.25">
      <c r="A987" s="730"/>
      <c r="B987" s="1286">
        <f t="shared" si="34"/>
        <v>65</v>
      </c>
      <c r="C987" s="1290"/>
      <c r="D987" s="1758"/>
      <c r="E987" s="1758" t="s">
        <v>1678</v>
      </c>
      <c r="F987" s="1293" t="s">
        <v>1319</v>
      </c>
      <c r="G987" s="1302"/>
      <c r="H987" s="1322"/>
      <c r="I987" s="1322"/>
      <c r="J987" s="1322"/>
      <c r="K987" s="1322"/>
      <c r="L987" s="1322"/>
      <c r="M987" s="1322"/>
      <c r="N987" s="1322"/>
      <c r="O987" s="1326"/>
      <c r="P987" s="1322"/>
      <c r="Q987" s="1323"/>
      <c r="R987" s="1324"/>
      <c r="S987" s="1325"/>
      <c r="T987" s="1353"/>
      <c r="U987" s="1463"/>
      <c r="V987" s="1464"/>
      <c r="W987" s="1482"/>
      <c r="X987" s="1307"/>
    </row>
    <row r="988" spans="1:24" s="1308" customFormat="1" ht="15" customHeight="1" x14ac:dyDescent="0.25">
      <c r="A988" s="730"/>
      <c r="B988" s="1286">
        <f t="shared" si="34"/>
        <v>66</v>
      </c>
      <c r="C988" s="1290"/>
      <c r="D988" s="1758"/>
      <c r="E988" s="1758"/>
      <c r="F988" s="1293" t="s">
        <v>1320</v>
      </c>
      <c r="G988" s="1302"/>
      <c r="H988" s="1322"/>
      <c r="I988" s="1322"/>
      <c r="J988" s="1322"/>
      <c r="K988" s="1322"/>
      <c r="L988" s="1322"/>
      <c r="M988" s="1322"/>
      <c r="N988" s="1322"/>
      <c r="O988" s="1326"/>
      <c r="P988" s="1322"/>
      <c r="Q988" s="1323"/>
      <c r="R988" s="1324"/>
      <c r="S988" s="1325"/>
      <c r="T988" s="1353"/>
      <c r="U988" s="1463"/>
      <c r="V988" s="1464"/>
      <c r="W988" s="1482"/>
      <c r="X988" s="1307"/>
    </row>
    <row r="989" spans="1:24" s="1308" customFormat="1" ht="15" customHeight="1" x14ac:dyDescent="0.25">
      <c r="A989" s="730"/>
      <c r="B989" s="1286">
        <f t="shared" si="34"/>
        <v>67</v>
      </c>
      <c r="C989" s="1290"/>
      <c r="D989" s="1758"/>
      <c r="E989" s="1758" t="s">
        <v>1679</v>
      </c>
      <c r="F989" s="1293" t="s">
        <v>1319</v>
      </c>
      <c r="G989" s="1302"/>
      <c r="H989" s="1322"/>
      <c r="I989" s="1322"/>
      <c r="J989" s="1322"/>
      <c r="K989" s="1322"/>
      <c r="L989" s="1322"/>
      <c r="M989" s="1322"/>
      <c r="N989" s="1322"/>
      <c r="O989" s="1326"/>
      <c r="P989" s="1322"/>
      <c r="Q989" s="1323"/>
      <c r="R989" s="1324"/>
      <c r="S989" s="1325"/>
      <c r="T989" s="1353"/>
      <c r="U989" s="1463"/>
      <c r="V989" s="1464"/>
      <c r="W989" s="1482"/>
      <c r="X989" s="1307"/>
    </row>
    <row r="990" spans="1:24" s="1308" customFormat="1" ht="15" customHeight="1" x14ac:dyDescent="0.25">
      <c r="A990" s="730"/>
      <c r="B990" s="1286">
        <f t="shared" si="34"/>
        <v>68</v>
      </c>
      <c r="C990" s="1290"/>
      <c r="D990" s="1758"/>
      <c r="E990" s="1758"/>
      <c r="F990" s="1293" t="s">
        <v>1320</v>
      </c>
      <c r="G990" s="1302"/>
      <c r="H990" s="1322"/>
      <c r="I990" s="1322"/>
      <c r="J990" s="1322"/>
      <c r="K990" s="1322"/>
      <c r="L990" s="1322"/>
      <c r="M990" s="1322"/>
      <c r="N990" s="1322"/>
      <c r="O990" s="1326"/>
      <c r="P990" s="1322"/>
      <c r="Q990" s="1323"/>
      <c r="R990" s="1324"/>
      <c r="S990" s="1325"/>
      <c r="T990" s="1353"/>
      <c r="U990" s="1463"/>
      <c r="V990" s="1464"/>
      <c r="W990" s="1482"/>
      <c r="X990" s="1307"/>
    </row>
    <row r="991" spans="1:24" s="1308" customFormat="1" ht="15" customHeight="1" x14ac:dyDescent="0.25">
      <c r="A991" s="730"/>
      <c r="B991" s="1286">
        <f t="shared" si="34"/>
        <v>69</v>
      </c>
      <c r="C991" s="1290"/>
      <c r="D991" s="1758"/>
      <c r="E991" s="1758" t="s">
        <v>1318</v>
      </c>
      <c r="F991" s="1293" t="s">
        <v>1319</v>
      </c>
      <c r="G991" s="1302"/>
      <c r="H991" s="1322"/>
      <c r="I991" s="1322"/>
      <c r="J991" s="1322"/>
      <c r="K991" s="1322"/>
      <c r="L991" s="1322"/>
      <c r="M991" s="1322"/>
      <c r="N991" s="1322"/>
      <c r="O991" s="1326"/>
      <c r="P991" s="1322"/>
      <c r="Q991" s="1323"/>
      <c r="R991" s="1324"/>
      <c r="S991" s="1325"/>
      <c r="T991" s="1353"/>
      <c r="U991" s="1463"/>
      <c r="V991" s="1464"/>
      <c r="W991" s="1482"/>
      <c r="X991" s="1307"/>
    </row>
    <row r="992" spans="1:24" s="1308" customFormat="1" ht="15" customHeight="1" x14ac:dyDescent="0.25">
      <c r="A992" s="730"/>
      <c r="B992" s="1286">
        <f t="shared" si="34"/>
        <v>70</v>
      </c>
      <c r="C992" s="1290"/>
      <c r="D992" s="1758"/>
      <c r="E992" s="1758"/>
      <c r="F992" s="1293" t="s">
        <v>1320</v>
      </c>
      <c r="G992" s="1302"/>
      <c r="H992" s="1322"/>
      <c r="I992" s="1322"/>
      <c r="J992" s="1322"/>
      <c r="K992" s="1322"/>
      <c r="L992" s="1322"/>
      <c r="M992" s="1322"/>
      <c r="N992" s="1322"/>
      <c r="O992" s="1326"/>
      <c r="P992" s="1322"/>
      <c r="Q992" s="1323"/>
      <c r="R992" s="1324"/>
      <c r="S992" s="1325"/>
      <c r="T992" s="1353"/>
      <c r="U992" s="1463"/>
      <c r="V992" s="1464"/>
      <c r="W992" s="1482"/>
      <c r="X992" s="1307"/>
    </row>
    <row r="993" spans="1:24" s="1308" customFormat="1" ht="15" customHeight="1" x14ac:dyDescent="0.25">
      <c r="A993" s="730"/>
      <c r="B993" s="1286">
        <f t="shared" si="34"/>
        <v>71</v>
      </c>
      <c r="C993" s="1290"/>
      <c r="D993" s="1758" t="s">
        <v>1327</v>
      </c>
      <c r="E993" s="1758" t="s">
        <v>1317</v>
      </c>
      <c r="F993" s="1293" t="s">
        <v>1319</v>
      </c>
      <c r="G993" s="1302"/>
      <c r="H993" s="1322"/>
      <c r="I993" s="1322"/>
      <c r="J993" s="1322"/>
      <c r="K993" s="1322"/>
      <c r="L993" s="1322"/>
      <c r="M993" s="1322"/>
      <c r="N993" s="1322"/>
      <c r="O993" s="1326"/>
      <c r="P993" s="1322"/>
      <c r="Q993" s="1323"/>
      <c r="R993" s="1324"/>
      <c r="S993" s="1325"/>
      <c r="T993" s="1353"/>
      <c r="U993" s="1463"/>
      <c r="V993" s="1464"/>
      <c r="W993" s="1482"/>
      <c r="X993" s="1307"/>
    </row>
    <row r="994" spans="1:24" s="1308" customFormat="1" ht="15" customHeight="1" x14ac:dyDescent="0.25">
      <c r="A994" s="730"/>
      <c r="B994" s="1286">
        <f t="shared" si="34"/>
        <v>72</v>
      </c>
      <c r="C994" s="1290"/>
      <c r="D994" s="1758"/>
      <c r="E994" s="1758"/>
      <c r="F994" s="1293" t="s">
        <v>1320</v>
      </c>
      <c r="G994" s="1302"/>
      <c r="H994" s="1322"/>
      <c r="I994" s="1322"/>
      <c r="J994" s="1322"/>
      <c r="K994" s="1322"/>
      <c r="L994" s="1322"/>
      <c r="M994" s="1322"/>
      <c r="N994" s="1322"/>
      <c r="O994" s="1326"/>
      <c r="P994" s="1322"/>
      <c r="Q994" s="1323"/>
      <c r="R994" s="1324"/>
      <c r="S994" s="1325"/>
      <c r="T994" s="1353"/>
      <c r="U994" s="1463"/>
      <c r="V994" s="1464"/>
      <c r="W994" s="1482"/>
      <c r="X994" s="1307"/>
    </row>
    <row r="995" spans="1:24" s="1308" customFormat="1" ht="15" customHeight="1" x14ac:dyDescent="0.25">
      <c r="A995" s="730"/>
      <c r="B995" s="1286">
        <f t="shared" si="34"/>
        <v>73</v>
      </c>
      <c r="C995" s="1290"/>
      <c r="D995" s="1758"/>
      <c r="E995" s="1758" t="s">
        <v>1626</v>
      </c>
      <c r="F995" s="1293" t="s">
        <v>1319</v>
      </c>
      <c r="G995" s="1302"/>
      <c r="H995" s="1322"/>
      <c r="I995" s="1322"/>
      <c r="J995" s="1322"/>
      <c r="K995" s="1322"/>
      <c r="L995" s="1322"/>
      <c r="M995" s="1322"/>
      <c r="N995" s="1322"/>
      <c r="O995" s="1326"/>
      <c r="P995" s="1322"/>
      <c r="Q995" s="1323"/>
      <c r="R995" s="1324"/>
      <c r="S995" s="1325"/>
      <c r="T995" s="1353"/>
      <c r="U995" s="1463"/>
      <c r="V995" s="1464"/>
      <c r="W995" s="1482"/>
      <c r="X995" s="1307"/>
    </row>
    <row r="996" spans="1:24" s="1308" customFormat="1" ht="15" customHeight="1" x14ac:dyDescent="0.25">
      <c r="A996" s="730"/>
      <c r="B996" s="1286">
        <f t="shared" si="34"/>
        <v>74</v>
      </c>
      <c r="C996" s="1290"/>
      <c r="D996" s="1758"/>
      <c r="E996" s="1758"/>
      <c r="F996" s="1293" t="s">
        <v>1320</v>
      </c>
      <c r="G996" s="1302"/>
      <c r="H996" s="1322"/>
      <c r="I996" s="1322"/>
      <c r="J996" s="1322"/>
      <c r="K996" s="1322"/>
      <c r="L996" s="1322"/>
      <c r="M996" s="1322"/>
      <c r="N996" s="1322"/>
      <c r="O996" s="1326"/>
      <c r="P996" s="1322"/>
      <c r="Q996" s="1323"/>
      <c r="R996" s="1324"/>
      <c r="S996" s="1325"/>
      <c r="T996" s="1353"/>
      <c r="U996" s="1463"/>
      <c r="V996" s="1464"/>
      <c r="W996" s="1482"/>
      <c r="X996" s="1307"/>
    </row>
    <row r="997" spans="1:24" s="1308" customFormat="1" ht="15" customHeight="1" x14ac:dyDescent="0.25">
      <c r="A997" s="730"/>
      <c r="B997" s="1286">
        <f t="shared" si="34"/>
        <v>75</v>
      </c>
      <c r="C997" s="1290"/>
      <c r="D997" s="1758"/>
      <c r="E997" s="1758" t="s">
        <v>1321</v>
      </c>
      <c r="F997" s="1293" t="s">
        <v>1319</v>
      </c>
      <c r="G997" s="1302"/>
      <c r="H997" s="1322"/>
      <c r="I997" s="1322"/>
      <c r="J997" s="1322"/>
      <c r="K997" s="1322"/>
      <c r="L997" s="1322"/>
      <c r="M997" s="1322"/>
      <c r="N997" s="1322"/>
      <c r="O997" s="1326"/>
      <c r="P997" s="1322"/>
      <c r="Q997" s="1323"/>
      <c r="R997" s="1324"/>
      <c r="S997" s="1325"/>
      <c r="T997" s="1353"/>
      <c r="U997" s="1463"/>
      <c r="V997" s="1464"/>
      <c r="W997" s="1482"/>
      <c r="X997" s="1307"/>
    </row>
    <row r="998" spans="1:24" s="1308" customFormat="1" ht="15" customHeight="1" x14ac:dyDescent="0.25">
      <c r="A998" s="730"/>
      <c r="B998" s="1286">
        <f t="shared" si="34"/>
        <v>76</v>
      </c>
      <c r="C998" s="1290"/>
      <c r="D998" s="1758"/>
      <c r="E998" s="1758"/>
      <c r="F998" s="1293" t="s">
        <v>1320</v>
      </c>
      <c r="G998" s="1302"/>
      <c r="H998" s="1322"/>
      <c r="I998" s="1322"/>
      <c r="J998" s="1322"/>
      <c r="K998" s="1322"/>
      <c r="L998" s="1322"/>
      <c r="M998" s="1322"/>
      <c r="N998" s="1322"/>
      <c r="O998" s="1326"/>
      <c r="P998" s="1322"/>
      <c r="Q998" s="1323"/>
      <c r="R998" s="1324"/>
      <c r="S998" s="1325"/>
      <c r="T998" s="1353"/>
      <c r="U998" s="1463"/>
      <c r="V998" s="1464"/>
      <c r="W998" s="1482"/>
      <c r="X998" s="1307"/>
    </row>
    <row r="999" spans="1:24" s="1308" customFormat="1" ht="15" customHeight="1" x14ac:dyDescent="0.25">
      <c r="A999" s="730"/>
      <c r="B999" s="1286">
        <f t="shared" si="34"/>
        <v>77</v>
      </c>
      <c r="C999" s="1290"/>
      <c r="D999" s="1758"/>
      <c r="E999" s="1758" t="s">
        <v>1322</v>
      </c>
      <c r="F999" s="1293" t="s">
        <v>1319</v>
      </c>
      <c r="G999" s="1302"/>
      <c r="H999" s="1322"/>
      <c r="I999" s="1322"/>
      <c r="J999" s="1322"/>
      <c r="K999" s="1322"/>
      <c r="L999" s="1322"/>
      <c r="M999" s="1322"/>
      <c r="N999" s="1322"/>
      <c r="O999" s="1326"/>
      <c r="P999" s="1322"/>
      <c r="Q999" s="1323"/>
      <c r="R999" s="1324"/>
      <c r="S999" s="1325"/>
      <c r="T999" s="1353"/>
      <c r="U999" s="1463"/>
      <c r="V999" s="1464"/>
      <c r="W999" s="1482"/>
      <c r="X999" s="1307"/>
    </row>
    <row r="1000" spans="1:24" s="1308" customFormat="1" ht="15" customHeight="1" x14ac:dyDescent="0.25">
      <c r="A1000" s="730"/>
      <c r="B1000" s="1286">
        <f t="shared" ref="B1000:B1059" si="35">B999+1</f>
        <v>78</v>
      </c>
      <c r="C1000" s="1290"/>
      <c r="D1000" s="1758"/>
      <c r="E1000" s="1758"/>
      <c r="F1000" s="1293" t="s">
        <v>1320</v>
      </c>
      <c r="G1000" s="1302"/>
      <c r="H1000" s="1322"/>
      <c r="I1000" s="1322"/>
      <c r="J1000" s="1322"/>
      <c r="K1000" s="1322"/>
      <c r="L1000" s="1322"/>
      <c r="M1000" s="1322"/>
      <c r="N1000" s="1322"/>
      <c r="O1000" s="1326"/>
      <c r="P1000" s="1322"/>
      <c r="Q1000" s="1323"/>
      <c r="R1000" s="1324"/>
      <c r="S1000" s="1325"/>
      <c r="T1000" s="1353"/>
      <c r="U1000" s="1463"/>
      <c r="V1000" s="1464"/>
      <c r="W1000" s="1482"/>
      <c r="X1000" s="1307"/>
    </row>
    <row r="1001" spans="1:24" s="1308" customFormat="1" ht="15" customHeight="1" x14ac:dyDescent="0.25">
      <c r="A1001" s="730"/>
      <c r="B1001" s="1286">
        <f t="shared" si="35"/>
        <v>79</v>
      </c>
      <c r="C1001" s="1290"/>
      <c r="D1001" s="1758"/>
      <c r="E1001" s="1758" t="s">
        <v>1678</v>
      </c>
      <c r="F1001" s="1293" t="s">
        <v>1319</v>
      </c>
      <c r="G1001" s="1302"/>
      <c r="H1001" s="1322"/>
      <c r="I1001" s="1322"/>
      <c r="J1001" s="1322"/>
      <c r="K1001" s="1322"/>
      <c r="L1001" s="1322"/>
      <c r="M1001" s="1322"/>
      <c r="N1001" s="1322"/>
      <c r="O1001" s="1326"/>
      <c r="P1001" s="1322"/>
      <c r="Q1001" s="1323"/>
      <c r="R1001" s="1324"/>
      <c r="S1001" s="1325"/>
      <c r="T1001" s="1353"/>
      <c r="U1001" s="1463"/>
      <c r="V1001" s="1464"/>
      <c r="W1001" s="1482"/>
      <c r="X1001" s="1307"/>
    </row>
    <row r="1002" spans="1:24" s="1308" customFormat="1" ht="15" customHeight="1" x14ac:dyDescent="0.25">
      <c r="A1002" s="730"/>
      <c r="B1002" s="1286">
        <f t="shared" si="35"/>
        <v>80</v>
      </c>
      <c r="C1002" s="1290"/>
      <c r="D1002" s="1758"/>
      <c r="E1002" s="1758"/>
      <c r="F1002" s="1293" t="s">
        <v>1320</v>
      </c>
      <c r="G1002" s="1302"/>
      <c r="H1002" s="1322"/>
      <c r="I1002" s="1322"/>
      <c r="J1002" s="1322"/>
      <c r="K1002" s="1322"/>
      <c r="L1002" s="1322"/>
      <c r="M1002" s="1322"/>
      <c r="N1002" s="1322"/>
      <c r="O1002" s="1326"/>
      <c r="P1002" s="1322"/>
      <c r="Q1002" s="1323"/>
      <c r="R1002" s="1324"/>
      <c r="S1002" s="1325"/>
      <c r="T1002" s="1353"/>
      <c r="U1002" s="1463"/>
      <c r="V1002" s="1464"/>
      <c r="W1002" s="1482"/>
      <c r="X1002" s="1307"/>
    </row>
    <row r="1003" spans="1:24" s="1308" customFormat="1" ht="15" customHeight="1" x14ac:dyDescent="0.25">
      <c r="A1003" s="730"/>
      <c r="B1003" s="1286">
        <f t="shared" si="35"/>
        <v>81</v>
      </c>
      <c r="C1003" s="1290"/>
      <c r="D1003" s="1758"/>
      <c r="E1003" s="1758" t="s">
        <v>1679</v>
      </c>
      <c r="F1003" s="1293" t="s">
        <v>1319</v>
      </c>
      <c r="G1003" s="1302"/>
      <c r="H1003" s="1322"/>
      <c r="I1003" s="1322"/>
      <c r="J1003" s="1322"/>
      <c r="K1003" s="1322"/>
      <c r="L1003" s="1322"/>
      <c r="M1003" s="1322"/>
      <c r="N1003" s="1322"/>
      <c r="O1003" s="1326"/>
      <c r="P1003" s="1322"/>
      <c r="Q1003" s="1323"/>
      <c r="R1003" s="1324"/>
      <c r="S1003" s="1325"/>
      <c r="T1003" s="1353"/>
      <c r="U1003" s="1463"/>
      <c r="V1003" s="1464"/>
      <c r="W1003" s="1482"/>
      <c r="X1003" s="1307"/>
    </row>
    <row r="1004" spans="1:24" s="1308" customFormat="1" ht="15" customHeight="1" x14ac:dyDescent="0.25">
      <c r="A1004" s="730"/>
      <c r="B1004" s="1286">
        <f t="shared" si="35"/>
        <v>82</v>
      </c>
      <c r="C1004" s="1290"/>
      <c r="D1004" s="1758"/>
      <c r="E1004" s="1758"/>
      <c r="F1004" s="1293" t="s">
        <v>1320</v>
      </c>
      <c r="G1004" s="1302"/>
      <c r="H1004" s="1322"/>
      <c r="I1004" s="1322"/>
      <c r="J1004" s="1322"/>
      <c r="K1004" s="1322"/>
      <c r="L1004" s="1322"/>
      <c r="M1004" s="1322"/>
      <c r="N1004" s="1322"/>
      <c r="O1004" s="1326"/>
      <c r="P1004" s="1322"/>
      <c r="Q1004" s="1323"/>
      <c r="R1004" s="1324"/>
      <c r="S1004" s="1325"/>
      <c r="T1004" s="1353"/>
      <c r="U1004" s="1463"/>
      <c r="V1004" s="1464"/>
      <c r="W1004" s="1482"/>
      <c r="X1004" s="1307"/>
    </row>
    <row r="1005" spans="1:24" s="1308" customFormat="1" ht="15" customHeight="1" x14ac:dyDescent="0.25">
      <c r="A1005" s="730"/>
      <c r="B1005" s="1286">
        <f t="shared" si="35"/>
        <v>83</v>
      </c>
      <c r="C1005" s="1290"/>
      <c r="D1005" s="1758"/>
      <c r="E1005" s="1758" t="s">
        <v>1318</v>
      </c>
      <c r="F1005" s="1293" t="s">
        <v>1319</v>
      </c>
      <c r="G1005" s="1302"/>
      <c r="H1005" s="1322"/>
      <c r="I1005" s="1322"/>
      <c r="J1005" s="1322"/>
      <c r="K1005" s="1322"/>
      <c r="L1005" s="1322"/>
      <c r="M1005" s="1322"/>
      <c r="N1005" s="1322"/>
      <c r="O1005" s="1326"/>
      <c r="P1005" s="1322"/>
      <c r="Q1005" s="1323"/>
      <c r="R1005" s="1324"/>
      <c r="S1005" s="1325"/>
      <c r="T1005" s="1353"/>
      <c r="U1005" s="1463"/>
      <c r="V1005" s="1464"/>
      <c r="W1005" s="1482"/>
      <c r="X1005" s="1307"/>
    </row>
    <row r="1006" spans="1:24" s="1308" customFormat="1" ht="15" customHeight="1" x14ac:dyDescent="0.25">
      <c r="A1006" s="730"/>
      <c r="B1006" s="1286">
        <f t="shared" si="35"/>
        <v>84</v>
      </c>
      <c r="C1006" s="1290"/>
      <c r="D1006" s="1758"/>
      <c r="E1006" s="1758"/>
      <c r="F1006" s="1293" t="s">
        <v>1320</v>
      </c>
      <c r="G1006" s="1302"/>
      <c r="H1006" s="1322"/>
      <c r="I1006" s="1322"/>
      <c r="J1006" s="1322"/>
      <c r="K1006" s="1322"/>
      <c r="L1006" s="1322"/>
      <c r="M1006" s="1322"/>
      <c r="N1006" s="1322"/>
      <c r="O1006" s="1326"/>
      <c r="P1006" s="1322"/>
      <c r="Q1006" s="1323"/>
      <c r="R1006" s="1324"/>
      <c r="S1006" s="1325"/>
      <c r="T1006" s="1353"/>
      <c r="U1006" s="1463"/>
      <c r="V1006" s="1464"/>
      <c r="W1006" s="1482"/>
      <c r="X1006" s="1307"/>
    </row>
    <row r="1007" spans="1:24" s="1308" customFormat="1" ht="15" customHeight="1" x14ac:dyDescent="0.25">
      <c r="A1007" s="730"/>
      <c r="B1007" s="1286">
        <f t="shared" si="35"/>
        <v>85</v>
      </c>
      <c r="C1007" s="1290"/>
      <c r="D1007" s="1758" t="s">
        <v>1328</v>
      </c>
      <c r="E1007" s="1758" t="s">
        <v>1317</v>
      </c>
      <c r="F1007" s="1293" t="s">
        <v>1319</v>
      </c>
      <c r="G1007" s="1302"/>
      <c r="H1007" s="1322"/>
      <c r="I1007" s="1322"/>
      <c r="J1007" s="1322"/>
      <c r="K1007" s="1322"/>
      <c r="L1007" s="1322"/>
      <c r="M1007" s="1322"/>
      <c r="N1007" s="1322"/>
      <c r="O1007" s="1326"/>
      <c r="P1007" s="1322"/>
      <c r="Q1007" s="1323"/>
      <c r="R1007" s="1324"/>
      <c r="S1007" s="1325"/>
      <c r="T1007" s="1353"/>
      <c r="U1007" s="1463"/>
      <c r="V1007" s="1464"/>
      <c r="W1007" s="1482"/>
      <c r="X1007" s="1307"/>
    </row>
    <row r="1008" spans="1:24" s="1308" customFormat="1" ht="15" customHeight="1" x14ac:dyDescent="0.25">
      <c r="A1008" s="730"/>
      <c r="B1008" s="1286">
        <f t="shared" si="35"/>
        <v>86</v>
      </c>
      <c r="C1008" s="1290"/>
      <c r="D1008" s="1758"/>
      <c r="E1008" s="1758"/>
      <c r="F1008" s="1293" t="s">
        <v>1320</v>
      </c>
      <c r="G1008" s="1302"/>
      <c r="H1008" s="1322"/>
      <c r="I1008" s="1322"/>
      <c r="J1008" s="1322"/>
      <c r="K1008" s="1322"/>
      <c r="L1008" s="1322"/>
      <c r="M1008" s="1322"/>
      <c r="N1008" s="1322"/>
      <c r="O1008" s="1326"/>
      <c r="P1008" s="1322"/>
      <c r="Q1008" s="1323"/>
      <c r="R1008" s="1324"/>
      <c r="S1008" s="1325"/>
      <c r="T1008" s="1353"/>
      <c r="U1008" s="1463"/>
      <c r="V1008" s="1464"/>
      <c r="W1008" s="1482"/>
      <c r="X1008" s="1307"/>
    </row>
    <row r="1009" spans="1:24" s="1308" customFormat="1" ht="15" customHeight="1" x14ac:dyDescent="0.25">
      <c r="A1009" s="730"/>
      <c r="B1009" s="1286">
        <f t="shared" si="35"/>
        <v>87</v>
      </c>
      <c r="C1009" s="1290"/>
      <c r="D1009" s="1758"/>
      <c r="E1009" s="1758" t="s">
        <v>1626</v>
      </c>
      <c r="F1009" s="1293" t="s">
        <v>1319</v>
      </c>
      <c r="G1009" s="1302"/>
      <c r="H1009" s="1322"/>
      <c r="I1009" s="1322"/>
      <c r="J1009" s="1322"/>
      <c r="K1009" s="1322"/>
      <c r="L1009" s="1322"/>
      <c r="M1009" s="1322"/>
      <c r="N1009" s="1322"/>
      <c r="O1009" s="1326"/>
      <c r="P1009" s="1322"/>
      <c r="Q1009" s="1323"/>
      <c r="R1009" s="1324"/>
      <c r="S1009" s="1325"/>
      <c r="T1009" s="1353"/>
      <c r="U1009" s="1463"/>
      <c r="V1009" s="1464"/>
      <c r="W1009" s="1482"/>
      <c r="X1009" s="1307"/>
    </row>
    <row r="1010" spans="1:24" s="1308" customFormat="1" ht="15" customHeight="1" x14ac:dyDescent="0.25">
      <c r="A1010" s="730"/>
      <c r="B1010" s="1286">
        <f t="shared" si="35"/>
        <v>88</v>
      </c>
      <c r="C1010" s="1290"/>
      <c r="D1010" s="1758"/>
      <c r="E1010" s="1758"/>
      <c r="F1010" s="1293" t="s">
        <v>1320</v>
      </c>
      <c r="G1010" s="1302"/>
      <c r="H1010" s="1322"/>
      <c r="I1010" s="1322"/>
      <c r="J1010" s="1322"/>
      <c r="K1010" s="1322"/>
      <c r="L1010" s="1322"/>
      <c r="M1010" s="1322"/>
      <c r="N1010" s="1322"/>
      <c r="O1010" s="1326"/>
      <c r="P1010" s="1322"/>
      <c r="Q1010" s="1323"/>
      <c r="R1010" s="1324"/>
      <c r="S1010" s="1325"/>
      <c r="T1010" s="1353"/>
      <c r="U1010" s="1463"/>
      <c r="V1010" s="1464"/>
      <c r="W1010" s="1482"/>
      <c r="X1010" s="1307"/>
    </row>
    <row r="1011" spans="1:24" s="1308" customFormat="1" ht="15" customHeight="1" x14ac:dyDescent="0.25">
      <c r="A1011" s="730"/>
      <c r="B1011" s="1286">
        <f t="shared" si="35"/>
        <v>89</v>
      </c>
      <c r="C1011" s="1290"/>
      <c r="D1011" s="1758"/>
      <c r="E1011" s="1758" t="s">
        <v>1321</v>
      </c>
      <c r="F1011" s="1293" t="s">
        <v>1319</v>
      </c>
      <c r="G1011" s="1302"/>
      <c r="H1011" s="1322"/>
      <c r="I1011" s="1322"/>
      <c r="J1011" s="1322"/>
      <c r="K1011" s="1322"/>
      <c r="L1011" s="1322"/>
      <c r="M1011" s="1322"/>
      <c r="N1011" s="1322"/>
      <c r="O1011" s="1326"/>
      <c r="P1011" s="1322"/>
      <c r="Q1011" s="1323"/>
      <c r="R1011" s="1324"/>
      <c r="S1011" s="1325"/>
      <c r="T1011" s="1353"/>
      <c r="U1011" s="1463"/>
      <c r="V1011" s="1464"/>
      <c r="W1011" s="1482"/>
      <c r="X1011" s="1307"/>
    </row>
    <row r="1012" spans="1:24" s="1308" customFormat="1" ht="15" customHeight="1" x14ac:dyDescent="0.25">
      <c r="A1012" s="730"/>
      <c r="B1012" s="1286">
        <f t="shared" si="35"/>
        <v>90</v>
      </c>
      <c r="C1012" s="1290"/>
      <c r="D1012" s="1758"/>
      <c r="E1012" s="1758"/>
      <c r="F1012" s="1293" t="s">
        <v>1320</v>
      </c>
      <c r="G1012" s="1302"/>
      <c r="H1012" s="1322"/>
      <c r="I1012" s="1322"/>
      <c r="J1012" s="1322"/>
      <c r="K1012" s="1322"/>
      <c r="L1012" s="1322"/>
      <c r="M1012" s="1322"/>
      <c r="N1012" s="1322"/>
      <c r="O1012" s="1326"/>
      <c r="P1012" s="1322"/>
      <c r="Q1012" s="1323"/>
      <c r="R1012" s="1324"/>
      <c r="S1012" s="1325"/>
      <c r="T1012" s="1353"/>
      <c r="U1012" s="1463"/>
      <c r="V1012" s="1464"/>
      <c r="W1012" s="1482"/>
      <c r="X1012" s="1307"/>
    </row>
    <row r="1013" spans="1:24" s="1308" customFormat="1" ht="15" customHeight="1" x14ac:dyDescent="0.25">
      <c r="A1013" s="730"/>
      <c r="B1013" s="1286">
        <f t="shared" si="35"/>
        <v>91</v>
      </c>
      <c r="C1013" s="1290"/>
      <c r="D1013" s="1758"/>
      <c r="E1013" s="1758" t="s">
        <v>1322</v>
      </c>
      <c r="F1013" s="1293" t="s">
        <v>1319</v>
      </c>
      <c r="G1013" s="1302"/>
      <c r="H1013" s="1322"/>
      <c r="I1013" s="1322"/>
      <c r="J1013" s="1322"/>
      <c r="K1013" s="1322"/>
      <c r="L1013" s="1322"/>
      <c r="M1013" s="1322"/>
      <c r="N1013" s="1322"/>
      <c r="O1013" s="1326"/>
      <c r="P1013" s="1322"/>
      <c r="Q1013" s="1323"/>
      <c r="R1013" s="1324"/>
      <c r="S1013" s="1325"/>
      <c r="T1013" s="1353"/>
      <c r="U1013" s="1463"/>
      <c r="V1013" s="1464"/>
      <c r="W1013" s="1482"/>
      <c r="X1013" s="1307"/>
    </row>
    <row r="1014" spans="1:24" s="1308" customFormat="1" ht="15" customHeight="1" x14ac:dyDescent="0.25">
      <c r="A1014" s="730"/>
      <c r="B1014" s="1286">
        <f t="shared" si="35"/>
        <v>92</v>
      </c>
      <c r="C1014" s="1290"/>
      <c r="D1014" s="1758"/>
      <c r="E1014" s="1758"/>
      <c r="F1014" s="1293" t="s">
        <v>1320</v>
      </c>
      <c r="G1014" s="1302"/>
      <c r="H1014" s="1322"/>
      <c r="I1014" s="1322"/>
      <c r="J1014" s="1322"/>
      <c r="K1014" s="1322"/>
      <c r="L1014" s="1322"/>
      <c r="M1014" s="1322"/>
      <c r="N1014" s="1322"/>
      <c r="O1014" s="1326"/>
      <c r="P1014" s="1322"/>
      <c r="Q1014" s="1323"/>
      <c r="R1014" s="1324"/>
      <c r="S1014" s="1325"/>
      <c r="T1014" s="1353"/>
      <c r="U1014" s="1463"/>
      <c r="V1014" s="1464"/>
      <c r="W1014" s="1482"/>
      <c r="X1014" s="1307"/>
    </row>
    <row r="1015" spans="1:24" s="1308" customFormat="1" ht="15" customHeight="1" x14ac:dyDescent="0.25">
      <c r="A1015" s="730"/>
      <c r="B1015" s="1286">
        <f t="shared" si="35"/>
        <v>93</v>
      </c>
      <c r="C1015" s="1290"/>
      <c r="D1015" s="1758"/>
      <c r="E1015" s="1758" t="s">
        <v>1678</v>
      </c>
      <c r="F1015" s="1293" t="s">
        <v>1319</v>
      </c>
      <c r="G1015" s="1302"/>
      <c r="H1015" s="1322"/>
      <c r="I1015" s="1322"/>
      <c r="J1015" s="1322"/>
      <c r="K1015" s="1322"/>
      <c r="L1015" s="1322"/>
      <c r="M1015" s="1322"/>
      <c r="N1015" s="1322"/>
      <c r="O1015" s="1326"/>
      <c r="P1015" s="1322"/>
      <c r="Q1015" s="1323"/>
      <c r="R1015" s="1324"/>
      <c r="S1015" s="1325"/>
      <c r="T1015" s="1353"/>
      <c r="U1015" s="1463"/>
      <c r="V1015" s="1464"/>
      <c r="W1015" s="1482"/>
      <c r="X1015" s="1307"/>
    </row>
    <row r="1016" spans="1:24" s="1308" customFormat="1" ht="15" customHeight="1" x14ac:dyDescent="0.25">
      <c r="A1016" s="730"/>
      <c r="B1016" s="1286">
        <f t="shared" si="35"/>
        <v>94</v>
      </c>
      <c r="C1016" s="1290"/>
      <c r="D1016" s="1758"/>
      <c r="E1016" s="1758"/>
      <c r="F1016" s="1293" t="s">
        <v>1320</v>
      </c>
      <c r="G1016" s="1302"/>
      <c r="H1016" s="1322"/>
      <c r="I1016" s="1322"/>
      <c r="J1016" s="1322"/>
      <c r="K1016" s="1322"/>
      <c r="L1016" s="1322"/>
      <c r="M1016" s="1322"/>
      <c r="N1016" s="1322"/>
      <c r="O1016" s="1326"/>
      <c r="P1016" s="1322"/>
      <c r="Q1016" s="1323"/>
      <c r="R1016" s="1324"/>
      <c r="S1016" s="1325"/>
      <c r="T1016" s="1353"/>
      <c r="U1016" s="1463"/>
      <c r="V1016" s="1464"/>
      <c r="W1016" s="1482"/>
      <c r="X1016" s="1307"/>
    </row>
    <row r="1017" spans="1:24" s="1308" customFormat="1" ht="15" customHeight="1" x14ac:dyDescent="0.25">
      <c r="A1017" s="730"/>
      <c r="B1017" s="1286">
        <f t="shared" si="35"/>
        <v>95</v>
      </c>
      <c r="C1017" s="1290"/>
      <c r="D1017" s="1758"/>
      <c r="E1017" s="1758" t="s">
        <v>1679</v>
      </c>
      <c r="F1017" s="1293" t="s">
        <v>1319</v>
      </c>
      <c r="G1017" s="1302"/>
      <c r="H1017" s="1322"/>
      <c r="I1017" s="1322"/>
      <c r="J1017" s="1322"/>
      <c r="K1017" s="1322"/>
      <c r="L1017" s="1322"/>
      <c r="M1017" s="1322"/>
      <c r="N1017" s="1322"/>
      <c r="O1017" s="1326"/>
      <c r="P1017" s="1322"/>
      <c r="Q1017" s="1323"/>
      <c r="R1017" s="1324"/>
      <c r="S1017" s="1325"/>
      <c r="T1017" s="1353"/>
      <c r="U1017" s="1463"/>
      <c r="V1017" s="1464"/>
      <c r="W1017" s="1482"/>
      <c r="X1017" s="1307"/>
    </row>
    <row r="1018" spans="1:24" s="1308" customFormat="1" ht="15" customHeight="1" x14ac:dyDescent="0.25">
      <c r="A1018" s="730"/>
      <c r="B1018" s="1286">
        <f t="shared" si="35"/>
        <v>96</v>
      </c>
      <c r="C1018" s="1290"/>
      <c r="D1018" s="1758"/>
      <c r="E1018" s="1758"/>
      <c r="F1018" s="1293" t="s">
        <v>1320</v>
      </c>
      <c r="G1018" s="1302"/>
      <c r="H1018" s="1322"/>
      <c r="I1018" s="1322"/>
      <c r="J1018" s="1322"/>
      <c r="K1018" s="1322"/>
      <c r="L1018" s="1322"/>
      <c r="M1018" s="1322"/>
      <c r="N1018" s="1322"/>
      <c r="O1018" s="1326"/>
      <c r="P1018" s="1322"/>
      <c r="Q1018" s="1323"/>
      <c r="R1018" s="1324"/>
      <c r="S1018" s="1325"/>
      <c r="T1018" s="1353"/>
      <c r="U1018" s="1463"/>
      <c r="V1018" s="1464"/>
      <c r="W1018" s="1482"/>
      <c r="X1018" s="1307"/>
    </row>
    <row r="1019" spans="1:24" s="1308" customFormat="1" ht="15" customHeight="1" x14ac:dyDescent="0.25">
      <c r="A1019" s="730"/>
      <c r="B1019" s="1286">
        <f t="shared" si="35"/>
        <v>97</v>
      </c>
      <c r="C1019" s="1290"/>
      <c r="D1019" s="1758"/>
      <c r="E1019" s="1758" t="s">
        <v>1318</v>
      </c>
      <c r="F1019" s="1293" t="s">
        <v>1319</v>
      </c>
      <c r="G1019" s="1302"/>
      <c r="H1019" s="1322"/>
      <c r="I1019" s="1322"/>
      <c r="J1019" s="1322"/>
      <c r="K1019" s="1322"/>
      <c r="L1019" s="1322"/>
      <c r="M1019" s="1322"/>
      <c r="N1019" s="1322"/>
      <c r="O1019" s="1326"/>
      <c r="P1019" s="1322"/>
      <c r="Q1019" s="1323"/>
      <c r="R1019" s="1324"/>
      <c r="S1019" s="1325"/>
      <c r="T1019" s="1353"/>
      <c r="U1019" s="1463"/>
      <c r="V1019" s="1464"/>
      <c r="W1019" s="1482"/>
      <c r="X1019" s="1307"/>
    </row>
    <row r="1020" spans="1:24" s="1308" customFormat="1" ht="15" customHeight="1" x14ac:dyDescent="0.25">
      <c r="A1020" s="730"/>
      <c r="B1020" s="1286">
        <f t="shared" si="35"/>
        <v>98</v>
      </c>
      <c r="C1020" s="1290"/>
      <c r="D1020" s="1758"/>
      <c r="E1020" s="1758"/>
      <c r="F1020" s="1293" t="s">
        <v>1320</v>
      </c>
      <c r="G1020" s="1302"/>
      <c r="H1020" s="1322"/>
      <c r="I1020" s="1322"/>
      <c r="J1020" s="1322"/>
      <c r="K1020" s="1322"/>
      <c r="L1020" s="1322"/>
      <c r="M1020" s="1322"/>
      <c r="N1020" s="1322"/>
      <c r="O1020" s="1326"/>
      <c r="P1020" s="1322"/>
      <c r="Q1020" s="1323"/>
      <c r="R1020" s="1324"/>
      <c r="S1020" s="1325"/>
      <c r="T1020" s="1353"/>
      <c r="U1020" s="1463"/>
      <c r="V1020" s="1464"/>
      <c r="W1020" s="1482"/>
      <c r="X1020" s="1307"/>
    </row>
    <row r="1021" spans="1:24" s="1308" customFormat="1" ht="15" customHeight="1" x14ac:dyDescent="0.25">
      <c r="A1021" s="730"/>
      <c r="B1021" s="1286">
        <f t="shared" si="35"/>
        <v>99</v>
      </c>
      <c r="C1021" s="1290"/>
      <c r="D1021" s="1758" t="s">
        <v>1329</v>
      </c>
      <c r="E1021" s="1758" t="s">
        <v>1317</v>
      </c>
      <c r="F1021" s="1293" t="s">
        <v>1319</v>
      </c>
      <c r="G1021" s="1302"/>
      <c r="H1021" s="1322"/>
      <c r="I1021" s="1322"/>
      <c r="J1021" s="1322"/>
      <c r="K1021" s="1322"/>
      <c r="L1021" s="1322"/>
      <c r="M1021" s="1322"/>
      <c r="N1021" s="1322"/>
      <c r="O1021" s="1326"/>
      <c r="P1021" s="1322"/>
      <c r="Q1021" s="1323"/>
      <c r="R1021" s="1324"/>
      <c r="S1021" s="1325"/>
      <c r="T1021" s="1353"/>
      <c r="U1021" s="1463"/>
      <c r="V1021" s="1464"/>
      <c r="W1021" s="1482"/>
      <c r="X1021" s="1307"/>
    </row>
    <row r="1022" spans="1:24" s="1308" customFormat="1" ht="15" customHeight="1" x14ac:dyDescent="0.25">
      <c r="A1022" s="730"/>
      <c r="B1022" s="1286">
        <f t="shared" si="35"/>
        <v>100</v>
      </c>
      <c r="C1022" s="1290"/>
      <c r="D1022" s="1758"/>
      <c r="E1022" s="1758"/>
      <c r="F1022" s="1293" t="s">
        <v>1320</v>
      </c>
      <c r="G1022" s="1302"/>
      <c r="H1022" s="1322"/>
      <c r="I1022" s="1322"/>
      <c r="J1022" s="1322"/>
      <c r="K1022" s="1322"/>
      <c r="L1022" s="1322"/>
      <c r="M1022" s="1322"/>
      <c r="N1022" s="1322"/>
      <c r="O1022" s="1326"/>
      <c r="P1022" s="1322"/>
      <c r="Q1022" s="1323"/>
      <c r="R1022" s="1324"/>
      <c r="S1022" s="1325"/>
      <c r="T1022" s="1353"/>
      <c r="U1022" s="1463"/>
      <c r="V1022" s="1464"/>
      <c r="W1022" s="1482"/>
      <c r="X1022" s="1307"/>
    </row>
    <row r="1023" spans="1:24" s="1308" customFormat="1" ht="15" customHeight="1" x14ac:dyDescent="0.25">
      <c r="A1023" s="730"/>
      <c r="B1023" s="1286">
        <f t="shared" si="35"/>
        <v>101</v>
      </c>
      <c r="C1023" s="1290"/>
      <c r="D1023" s="1758"/>
      <c r="E1023" s="1758" t="s">
        <v>1626</v>
      </c>
      <c r="F1023" s="1293" t="s">
        <v>1319</v>
      </c>
      <c r="G1023" s="1302"/>
      <c r="H1023" s="1322"/>
      <c r="I1023" s="1322"/>
      <c r="J1023" s="1322"/>
      <c r="K1023" s="1322"/>
      <c r="L1023" s="1322"/>
      <c r="M1023" s="1322"/>
      <c r="N1023" s="1322"/>
      <c r="O1023" s="1326"/>
      <c r="P1023" s="1322"/>
      <c r="Q1023" s="1323"/>
      <c r="R1023" s="1324"/>
      <c r="S1023" s="1325"/>
      <c r="T1023" s="1353"/>
      <c r="U1023" s="1463"/>
      <c r="V1023" s="1464"/>
      <c r="W1023" s="1482"/>
      <c r="X1023" s="1307"/>
    </row>
    <row r="1024" spans="1:24" s="1308" customFormat="1" ht="15" customHeight="1" x14ac:dyDescent="0.25">
      <c r="A1024" s="730"/>
      <c r="B1024" s="1286">
        <f t="shared" si="35"/>
        <v>102</v>
      </c>
      <c r="C1024" s="1290"/>
      <c r="D1024" s="1758"/>
      <c r="E1024" s="1758"/>
      <c r="F1024" s="1293" t="s">
        <v>1320</v>
      </c>
      <c r="G1024" s="1302"/>
      <c r="H1024" s="1322"/>
      <c r="I1024" s="1322"/>
      <c r="J1024" s="1322"/>
      <c r="K1024" s="1322"/>
      <c r="L1024" s="1322"/>
      <c r="M1024" s="1322"/>
      <c r="N1024" s="1322"/>
      <c r="O1024" s="1326"/>
      <c r="P1024" s="1322"/>
      <c r="Q1024" s="1323"/>
      <c r="R1024" s="1324"/>
      <c r="S1024" s="1325"/>
      <c r="T1024" s="1353"/>
      <c r="U1024" s="1463"/>
      <c r="V1024" s="1464"/>
      <c r="W1024" s="1482"/>
      <c r="X1024" s="1307"/>
    </row>
    <row r="1025" spans="1:24" s="1308" customFormat="1" ht="15" customHeight="1" x14ac:dyDescent="0.25">
      <c r="A1025" s="730"/>
      <c r="B1025" s="1286">
        <f t="shared" si="35"/>
        <v>103</v>
      </c>
      <c r="C1025" s="1290"/>
      <c r="D1025" s="1758"/>
      <c r="E1025" s="1758" t="s">
        <v>1321</v>
      </c>
      <c r="F1025" s="1293" t="s">
        <v>1319</v>
      </c>
      <c r="G1025" s="1302"/>
      <c r="H1025" s="1322"/>
      <c r="I1025" s="1322"/>
      <c r="J1025" s="1322"/>
      <c r="K1025" s="1322"/>
      <c r="L1025" s="1322"/>
      <c r="M1025" s="1322"/>
      <c r="N1025" s="1322"/>
      <c r="O1025" s="1326"/>
      <c r="P1025" s="1322"/>
      <c r="Q1025" s="1323"/>
      <c r="R1025" s="1324"/>
      <c r="S1025" s="1325"/>
      <c r="T1025" s="1353"/>
      <c r="U1025" s="1463"/>
      <c r="V1025" s="1464"/>
      <c r="W1025" s="1482"/>
      <c r="X1025" s="1307"/>
    </row>
    <row r="1026" spans="1:24" s="1308" customFormat="1" ht="15" customHeight="1" x14ac:dyDescent="0.25">
      <c r="A1026" s="730"/>
      <c r="B1026" s="1286">
        <f t="shared" si="35"/>
        <v>104</v>
      </c>
      <c r="C1026" s="1290"/>
      <c r="D1026" s="1758"/>
      <c r="E1026" s="1758"/>
      <c r="F1026" s="1293" t="s">
        <v>1320</v>
      </c>
      <c r="G1026" s="1302"/>
      <c r="H1026" s="1322"/>
      <c r="I1026" s="1322"/>
      <c r="J1026" s="1322"/>
      <c r="K1026" s="1322"/>
      <c r="L1026" s="1322"/>
      <c r="M1026" s="1322"/>
      <c r="N1026" s="1322"/>
      <c r="O1026" s="1326"/>
      <c r="P1026" s="1322"/>
      <c r="Q1026" s="1323"/>
      <c r="R1026" s="1324"/>
      <c r="S1026" s="1325"/>
      <c r="T1026" s="1353"/>
      <c r="U1026" s="1463"/>
      <c r="V1026" s="1464"/>
      <c r="W1026" s="1482"/>
      <c r="X1026" s="1307"/>
    </row>
    <row r="1027" spans="1:24" s="1308" customFormat="1" ht="15" customHeight="1" x14ac:dyDescent="0.25">
      <c r="A1027" s="730"/>
      <c r="B1027" s="1286">
        <f t="shared" si="35"/>
        <v>105</v>
      </c>
      <c r="C1027" s="1290"/>
      <c r="D1027" s="1758"/>
      <c r="E1027" s="1758" t="s">
        <v>1322</v>
      </c>
      <c r="F1027" s="1293" t="s">
        <v>1319</v>
      </c>
      <c r="G1027" s="1302"/>
      <c r="H1027" s="1322"/>
      <c r="I1027" s="1322"/>
      <c r="J1027" s="1322"/>
      <c r="K1027" s="1322"/>
      <c r="L1027" s="1322"/>
      <c r="M1027" s="1322"/>
      <c r="N1027" s="1322"/>
      <c r="O1027" s="1326"/>
      <c r="P1027" s="1322"/>
      <c r="Q1027" s="1323"/>
      <c r="R1027" s="1324"/>
      <c r="S1027" s="1325"/>
      <c r="T1027" s="1353"/>
      <c r="U1027" s="1463"/>
      <c r="V1027" s="1464"/>
      <c r="W1027" s="1482"/>
      <c r="X1027" s="1307"/>
    </row>
    <row r="1028" spans="1:24" s="1308" customFormat="1" ht="15" customHeight="1" x14ac:dyDescent="0.25">
      <c r="A1028" s="730"/>
      <c r="B1028" s="1286">
        <f t="shared" si="35"/>
        <v>106</v>
      </c>
      <c r="C1028" s="1290"/>
      <c r="D1028" s="1758"/>
      <c r="E1028" s="1758"/>
      <c r="F1028" s="1293" t="s">
        <v>1320</v>
      </c>
      <c r="G1028" s="1302"/>
      <c r="H1028" s="1322"/>
      <c r="I1028" s="1322"/>
      <c r="J1028" s="1322"/>
      <c r="K1028" s="1322"/>
      <c r="L1028" s="1322"/>
      <c r="M1028" s="1322"/>
      <c r="N1028" s="1322"/>
      <c r="O1028" s="1326"/>
      <c r="P1028" s="1322"/>
      <c r="Q1028" s="1323"/>
      <c r="R1028" s="1324"/>
      <c r="S1028" s="1325"/>
      <c r="T1028" s="1353"/>
      <c r="U1028" s="1463"/>
      <c r="V1028" s="1464"/>
      <c r="W1028" s="1482"/>
      <c r="X1028" s="1307"/>
    </row>
    <row r="1029" spans="1:24" s="1308" customFormat="1" ht="15" customHeight="1" x14ac:dyDescent="0.25">
      <c r="A1029" s="730"/>
      <c r="B1029" s="1286">
        <f t="shared" si="35"/>
        <v>107</v>
      </c>
      <c r="C1029" s="1290"/>
      <c r="D1029" s="1758"/>
      <c r="E1029" s="1758" t="s">
        <v>1678</v>
      </c>
      <c r="F1029" s="1293" t="s">
        <v>1319</v>
      </c>
      <c r="G1029" s="1302"/>
      <c r="H1029" s="1322"/>
      <c r="I1029" s="1322"/>
      <c r="J1029" s="1322"/>
      <c r="K1029" s="1322"/>
      <c r="L1029" s="1322"/>
      <c r="M1029" s="1322"/>
      <c r="N1029" s="1322"/>
      <c r="O1029" s="1326"/>
      <c r="P1029" s="1322"/>
      <c r="Q1029" s="1323"/>
      <c r="R1029" s="1324"/>
      <c r="S1029" s="1325"/>
      <c r="T1029" s="1353"/>
      <c r="U1029" s="1463"/>
      <c r="V1029" s="1464"/>
      <c r="W1029" s="1482"/>
      <c r="X1029" s="1307"/>
    </row>
    <row r="1030" spans="1:24" s="1308" customFormat="1" ht="15" customHeight="1" x14ac:dyDescent="0.25">
      <c r="A1030" s="730"/>
      <c r="B1030" s="1286">
        <f t="shared" si="35"/>
        <v>108</v>
      </c>
      <c r="C1030" s="1290"/>
      <c r="D1030" s="1758"/>
      <c r="E1030" s="1758"/>
      <c r="F1030" s="1293" t="s">
        <v>1320</v>
      </c>
      <c r="G1030" s="1302"/>
      <c r="H1030" s="1322"/>
      <c r="I1030" s="1322"/>
      <c r="J1030" s="1322"/>
      <c r="K1030" s="1322"/>
      <c r="L1030" s="1322"/>
      <c r="M1030" s="1322"/>
      <c r="N1030" s="1322"/>
      <c r="O1030" s="1326"/>
      <c r="P1030" s="1322"/>
      <c r="Q1030" s="1323"/>
      <c r="R1030" s="1324"/>
      <c r="S1030" s="1325"/>
      <c r="T1030" s="1353"/>
      <c r="U1030" s="1463"/>
      <c r="V1030" s="1464"/>
      <c r="W1030" s="1482"/>
      <c r="X1030" s="1307"/>
    </row>
    <row r="1031" spans="1:24" s="1308" customFormat="1" ht="15" customHeight="1" x14ac:dyDescent="0.25">
      <c r="A1031" s="730"/>
      <c r="B1031" s="1286">
        <f t="shared" si="35"/>
        <v>109</v>
      </c>
      <c r="C1031" s="1290"/>
      <c r="D1031" s="1758"/>
      <c r="E1031" s="1758" t="s">
        <v>1679</v>
      </c>
      <c r="F1031" s="1293" t="s">
        <v>1319</v>
      </c>
      <c r="G1031" s="1302"/>
      <c r="H1031" s="1322"/>
      <c r="I1031" s="1322"/>
      <c r="J1031" s="1322"/>
      <c r="K1031" s="1322"/>
      <c r="L1031" s="1322"/>
      <c r="M1031" s="1322"/>
      <c r="N1031" s="1322"/>
      <c r="O1031" s="1326"/>
      <c r="P1031" s="1322"/>
      <c r="Q1031" s="1323"/>
      <c r="R1031" s="1324"/>
      <c r="S1031" s="1325"/>
      <c r="T1031" s="1353"/>
      <c r="U1031" s="1463"/>
      <c r="V1031" s="1464"/>
      <c r="W1031" s="1482"/>
      <c r="X1031" s="1307"/>
    </row>
    <row r="1032" spans="1:24" s="1308" customFormat="1" ht="15" customHeight="1" x14ac:dyDescent="0.25">
      <c r="A1032" s="730"/>
      <c r="B1032" s="1286">
        <f t="shared" si="35"/>
        <v>110</v>
      </c>
      <c r="C1032" s="1290"/>
      <c r="D1032" s="1758"/>
      <c r="E1032" s="1758"/>
      <c r="F1032" s="1293" t="s">
        <v>1320</v>
      </c>
      <c r="G1032" s="1302"/>
      <c r="H1032" s="1322"/>
      <c r="I1032" s="1322"/>
      <c r="J1032" s="1322"/>
      <c r="K1032" s="1322"/>
      <c r="L1032" s="1322"/>
      <c r="M1032" s="1322"/>
      <c r="N1032" s="1322"/>
      <c r="O1032" s="1326"/>
      <c r="P1032" s="1322"/>
      <c r="Q1032" s="1323"/>
      <c r="R1032" s="1324"/>
      <c r="S1032" s="1325"/>
      <c r="T1032" s="1353"/>
      <c r="U1032" s="1463"/>
      <c r="V1032" s="1464"/>
      <c r="W1032" s="1482"/>
      <c r="X1032" s="1307"/>
    </row>
    <row r="1033" spans="1:24" s="1308" customFormat="1" ht="15" customHeight="1" x14ac:dyDescent="0.25">
      <c r="A1033" s="730"/>
      <c r="B1033" s="1286">
        <f t="shared" si="35"/>
        <v>111</v>
      </c>
      <c r="C1033" s="1290"/>
      <c r="D1033" s="1758"/>
      <c r="E1033" s="1758" t="s">
        <v>1318</v>
      </c>
      <c r="F1033" s="1293" t="s">
        <v>1319</v>
      </c>
      <c r="G1033" s="1302"/>
      <c r="H1033" s="1322"/>
      <c r="I1033" s="1322"/>
      <c r="J1033" s="1322"/>
      <c r="K1033" s="1322"/>
      <c r="L1033" s="1322"/>
      <c r="M1033" s="1322"/>
      <c r="N1033" s="1322"/>
      <c r="O1033" s="1326"/>
      <c r="P1033" s="1322"/>
      <c r="Q1033" s="1323"/>
      <c r="R1033" s="1324"/>
      <c r="S1033" s="1325"/>
      <c r="T1033" s="1353"/>
      <c r="U1033" s="1463"/>
      <c r="V1033" s="1464"/>
      <c r="W1033" s="1482"/>
      <c r="X1033" s="1307"/>
    </row>
    <row r="1034" spans="1:24" s="1308" customFormat="1" ht="15" customHeight="1" x14ac:dyDescent="0.25">
      <c r="A1034" s="730"/>
      <c r="B1034" s="1286">
        <f t="shared" si="35"/>
        <v>112</v>
      </c>
      <c r="C1034" s="1290"/>
      <c r="D1034" s="1758"/>
      <c r="E1034" s="1758"/>
      <c r="F1034" s="1293" t="s">
        <v>1320</v>
      </c>
      <c r="G1034" s="1302"/>
      <c r="H1034" s="1322"/>
      <c r="I1034" s="1322"/>
      <c r="J1034" s="1322"/>
      <c r="K1034" s="1322"/>
      <c r="L1034" s="1322"/>
      <c r="M1034" s="1322"/>
      <c r="N1034" s="1322"/>
      <c r="O1034" s="1326"/>
      <c r="P1034" s="1322"/>
      <c r="Q1034" s="1323"/>
      <c r="R1034" s="1324"/>
      <c r="S1034" s="1325"/>
      <c r="T1034" s="1353"/>
      <c r="U1034" s="1463"/>
      <c r="V1034" s="1464"/>
      <c r="W1034" s="1482"/>
      <c r="X1034" s="1307"/>
    </row>
    <row r="1035" spans="1:24" s="1308" customFormat="1" ht="15" customHeight="1" x14ac:dyDescent="0.25">
      <c r="A1035" s="730"/>
      <c r="B1035" s="1286">
        <f t="shared" si="35"/>
        <v>113</v>
      </c>
      <c r="C1035" s="1290"/>
      <c r="D1035" s="1758" t="s">
        <v>1330</v>
      </c>
      <c r="E1035" s="1758" t="s">
        <v>1317</v>
      </c>
      <c r="F1035" s="1293" t="s">
        <v>1319</v>
      </c>
      <c r="G1035" s="1302"/>
      <c r="H1035" s="1322"/>
      <c r="I1035" s="1322"/>
      <c r="J1035" s="1322"/>
      <c r="K1035" s="1322"/>
      <c r="L1035" s="1322"/>
      <c r="M1035" s="1322"/>
      <c r="N1035" s="1322"/>
      <c r="O1035" s="1326"/>
      <c r="P1035" s="1322"/>
      <c r="Q1035" s="1323"/>
      <c r="R1035" s="1324"/>
      <c r="S1035" s="1325"/>
      <c r="T1035" s="1353"/>
      <c r="U1035" s="1463"/>
      <c r="V1035" s="1464"/>
      <c r="W1035" s="1482"/>
      <c r="X1035" s="1307"/>
    </row>
    <row r="1036" spans="1:24" s="1308" customFormat="1" ht="15" customHeight="1" x14ac:dyDescent="0.25">
      <c r="A1036" s="730"/>
      <c r="B1036" s="1286">
        <f t="shared" si="35"/>
        <v>114</v>
      </c>
      <c r="C1036" s="1290"/>
      <c r="D1036" s="1758"/>
      <c r="E1036" s="1758"/>
      <c r="F1036" s="1293" t="s">
        <v>1320</v>
      </c>
      <c r="G1036" s="1302"/>
      <c r="H1036" s="1322"/>
      <c r="I1036" s="1322"/>
      <c r="J1036" s="1322"/>
      <c r="K1036" s="1322"/>
      <c r="L1036" s="1322"/>
      <c r="M1036" s="1322"/>
      <c r="N1036" s="1322"/>
      <c r="O1036" s="1326"/>
      <c r="P1036" s="1322"/>
      <c r="Q1036" s="1323"/>
      <c r="R1036" s="1324"/>
      <c r="S1036" s="1325"/>
      <c r="T1036" s="1353"/>
      <c r="U1036" s="1463"/>
      <c r="V1036" s="1464"/>
      <c r="W1036" s="1482"/>
      <c r="X1036" s="1307"/>
    </row>
    <row r="1037" spans="1:24" s="1308" customFormat="1" ht="15" customHeight="1" x14ac:dyDescent="0.25">
      <c r="A1037" s="730"/>
      <c r="B1037" s="1286">
        <f t="shared" si="35"/>
        <v>115</v>
      </c>
      <c r="C1037" s="1290"/>
      <c r="D1037" s="1758"/>
      <c r="E1037" s="1758" t="s">
        <v>1626</v>
      </c>
      <c r="F1037" s="1293" t="s">
        <v>1319</v>
      </c>
      <c r="G1037" s="1302"/>
      <c r="H1037" s="1322"/>
      <c r="I1037" s="1322"/>
      <c r="J1037" s="1322"/>
      <c r="K1037" s="1322"/>
      <c r="L1037" s="1322"/>
      <c r="M1037" s="1322"/>
      <c r="N1037" s="1322"/>
      <c r="O1037" s="1326"/>
      <c r="P1037" s="1322"/>
      <c r="Q1037" s="1323"/>
      <c r="R1037" s="1324"/>
      <c r="S1037" s="1325"/>
      <c r="T1037" s="1353"/>
      <c r="U1037" s="1463"/>
      <c r="V1037" s="1464"/>
      <c r="W1037" s="1482"/>
      <c r="X1037" s="1307"/>
    </row>
    <row r="1038" spans="1:24" s="1308" customFormat="1" ht="15" customHeight="1" x14ac:dyDescent="0.25">
      <c r="A1038" s="730"/>
      <c r="B1038" s="1286">
        <f t="shared" si="35"/>
        <v>116</v>
      </c>
      <c r="C1038" s="1290"/>
      <c r="D1038" s="1758"/>
      <c r="E1038" s="1758"/>
      <c r="F1038" s="1293" t="s">
        <v>1320</v>
      </c>
      <c r="G1038" s="1302"/>
      <c r="H1038" s="1322"/>
      <c r="I1038" s="1322"/>
      <c r="J1038" s="1322"/>
      <c r="K1038" s="1322"/>
      <c r="L1038" s="1322"/>
      <c r="M1038" s="1322"/>
      <c r="N1038" s="1322"/>
      <c r="O1038" s="1326"/>
      <c r="P1038" s="1322"/>
      <c r="Q1038" s="1323"/>
      <c r="R1038" s="1324"/>
      <c r="S1038" s="1325"/>
      <c r="T1038" s="1353"/>
      <c r="U1038" s="1463"/>
      <c r="V1038" s="1464"/>
      <c r="W1038" s="1482"/>
      <c r="X1038" s="1307"/>
    </row>
    <row r="1039" spans="1:24" s="1308" customFormat="1" ht="15" customHeight="1" x14ac:dyDescent="0.25">
      <c r="A1039" s="730"/>
      <c r="B1039" s="1286">
        <f t="shared" si="35"/>
        <v>117</v>
      </c>
      <c r="C1039" s="1290"/>
      <c r="D1039" s="1758"/>
      <c r="E1039" s="1758" t="s">
        <v>1321</v>
      </c>
      <c r="F1039" s="1293" t="s">
        <v>1319</v>
      </c>
      <c r="G1039" s="1302"/>
      <c r="H1039" s="1322"/>
      <c r="I1039" s="1322"/>
      <c r="J1039" s="1322"/>
      <c r="K1039" s="1322"/>
      <c r="L1039" s="1322"/>
      <c r="M1039" s="1322"/>
      <c r="N1039" s="1322"/>
      <c r="O1039" s="1326"/>
      <c r="P1039" s="1322"/>
      <c r="Q1039" s="1323"/>
      <c r="R1039" s="1324"/>
      <c r="S1039" s="1325"/>
      <c r="T1039" s="1353"/>
      <c r="U1039" s="1463"/>
      <c r="V1039" s="1464"/>
      <c r="W1039" s="1482"/>
      <c r="X1039" s="1307"/>
    </row>
    <row r="1040" spans="1:24" s="1308" customFormat="1" ht="15" customHeight="1" x14ac:dyDescent="0.25">
      <c r="A1040" s="730"/>
      <c r="B1040" s="1286">
        <f t="shared" si="35"/>
        <v>118</v>
      </c>
      <c r="C1040" s="1290"/>
      <c r="D1040" s="1758"/>
      <c r="E1040" s="1758"/>
      <c r="F1040" s="1293" t="s">
        <v>1320</v>
      </c>
      <c r="G1040" s="1302"/>
      <c r="H1040" s="1322"/>
      <c r="I1040" s="1322"/>
      <c r="J1040" s="1322"/>
      <c r="K1040" s="1322"/>
      <c r="L1040" s="1322"/>
      <c r="M1040" s="1322"/>
      <c r="N1040" s="1322"/>
      <c r="O1040" s="1326"/>
      <c r="P1040" s="1322"/>
      <c r="Q1040" s="1323"/>
      <c r="R1040" s="1324"/>
      <c r="S1040" s="1325"/>
      <c r="T1040" s="1353"/>
      <c r="U1040" s="1463"/>
      <c r="V1040" s="1464"/>
      <c r="W1040" s="1482"/>
      <c r="X1040" s="1307"/>
    </row>
    <row r="1041" spans="1:24" s="1308" customFormat="1" ht="15" customHeight="1" x14ac:dyDescent="0.25">
      <c r="A1041" s="730"/>
      <c r="B1041" s="1286">
        <f t="shared" si="35"/>
        <v>119</v>
      </c>
      <c r="C1041" s="1290"/>
      <c r="D1041" s="1758"/>
      <c r="E1041" s="1758" t="s">
        <v>1322</v>
      </c>
      <c r="F1041" s="1293" t="s">
        <v>1319</v>
      </c>
      <c r="G1041" s="1302"/>
      <c r="H1041" s="1322"/>
      <c r="I1041" s="1322"/>
      <c r="J1041" s="1322"/>
      <c r="K1041" s="1322"/>
      <c r="L1041" s="1322"/>
      <c r="M1041" s="1322"/>
      <c r="N1041" s="1322"/>
      <c r="O1041" s="1326"/>
      <c r="P1041" s="1322"/>
      <c r="Q1041" s="1323"/>
      <c r="R1041" s="1324"/>
      <c r="S1041" s="1325"/>
      <c r="T1041" s="1353"/>
      <c r="U1041" s="1463"/>
      <c r="V1041" s="1464"/>
      <c r="W1041" s="1482"/>
      <c r="X1041" s="1307"/>
    </row>
    <row r="1042" spans="1:24" s="1308" customFormat="1" ht="15" customHeight="1" x14ac:dyDescent="0.25">
      <c r="A1042" s="730"/>
      <c r="B1042" s="1286">
        <f t="shared" si="35"/>
        <v>120</v>
      </c>
      <c r="C1042" s="1290"/>
      <c r="D1042" s="1758"/>
      <c r="E1042" s="1758"/>
      <c r="F1042" s="1293" t="s">
        <v>1320</v>
      </c>
      <c r="G1042" s="1302"/>
      <c r="H1042" s="1322"/>
      <c r="I1042" s="1322"/>
      <c r="J1042" s="1322"/>
      <c r="K1042" s="1322"/>
      <c r="L1042" s="1322"/>
      <c r="M1042" s="1322"/>
      <c r="N1042" s="1322"/>
      <c r="O1042" s="1326"/>
      <c r="P1042" s="1322"/>
      <c r="Q1042" s="1323"/>
      <c r="R1042" s="1324"/>
      <c r="S1042" s="1325"/>
      <c r="T1042" s="1353"/>
      <c r="U1042" s="1463"/>
      <c r="V1042" s="1464"/>
      <c r="W1042" s="1482"/>
      <c r="X1042" s="1307"/>
    </row>
    <row r="1043" spans="1:24" s="1308" customFormat="1" ht="15" customHeight="1" x14ac:dyDescent="0.25">
      <c r="A1043" s="730"/>
      <c r="B1043" s="1286">
        <f t="shared" si="35"/>
        <v>121</v>
      </c>
      <c r="C1043" s="1290"/>
      <c r="D1043" s="1758"/>
      <c r="E1043" s="1758" t="s">
        <v>1678</v>
      </c>
      <c r="F1043" s="1293" t="s">
        <v>1319</v>
      </c>
      <c r="G1043" s="1302"/>
      <c r="H1043" s="1322"/>
      <c r="I1043" s="1322"/>
      <c r="J1043" s="1322"/>
      <c r="K1043" s="1322"/>
      <c r="L1043" s="1322"/>
      <c r="M1043" s="1322"/>
      <c r="N1043" s="1322"/>
      <c r="O1043" s="1326"/>
      <c r="P1043" s="1322"/>
      <c r="Q1043" s="1323"/>
      <c r="R1043" s="1324"/>
      <c r="S1043" s="1325"/>
      <c r="T1043" s="1353"/>
      <c r="U1043" s="1463"/>
      <c r="V1043" s="1464"/>
      <c r="W1043" s="1482"/>
      <c r="X1043" s="1307"/>
    </row>
    <row r="1044" spans="1:24" s="1308" customFormat="1" ht="15" customHeight="1" x14ac:dyDescent="0.25">
      <c r="A1044" s="730"/>
      <c r="B1044" s="1286">
        <f t="shared" si="35"/>
        <v>122</v>
      </c>
      <c r="C1044" s="1290"/>
      <c r="D1044" s="1758"/>
      <c r="E1044" s="1758"/>
      <c r="F1044" s="1293" t="s">
        <v>1320</v>
      </c>
      <c r="G1044" s="1302"/>
      <c r="H1044" s="1322"/>
      <c r="I1044" s="1322"/>
      <c r="J1044" s="1322"/>
      <c r="K1044" s="1322"/>
      <c r="L1044" s="1322"/>
      <c r="M1044" s="1322"/>
      <c r="N1044" s="1322"/>
      <c r="O1044" s="1326"/>
      <c r="P1044" s="1322"/>
      <c r="Q1044" s="1323"/>
      <c r="R1044" s="1324"/>
      <c r="S1044" s="1325"/>
      <c r="T1044" s="1353"/>
      <c r="U1044" s="1463"/>
      <c r="V1044" s="1464"/>
      <c r="W1044" s="1482"/>
      <c r="X1044" s="1307"/>
    </row>
    <row r="1045" spans="1:24" s="1308" customFormat="1" ht="15" customHeight="1" x14ac:dyDescent="0.25">
      <c r="A1045" s="730"/>
      <c r="B1045" s="1286">
        <f t="shared" si="35"/>
        <v>123</v>
      </c>
      <c r="C1045" s="1290"/>
      <c r="D1045" s="1758"/>
      <c r="E1045" s="1758" t="s">
        <v>1679</v>
      </c>
      <c r="F1045" s="1293" t="s">
        <v>1319</v>
      </c>
      <c r="G1045" s="1302"/>
      <c r="H1045" s="1322"/>
      <c r="I1045" s="1322"/>
      <c r="J1045" s="1322"/>
      <c r="K1045" s="1322"/>
      <c r="L1045" s="1322"/>
      <c r="M1045" s="1322"/>
      <c r="N1045" s="1322"/>
      <c r="O1045" s="1326"/>
      <c r="P1045" s="1322"/>
      <c r="Q1045" s="1323"/>
      <c r="R1045" s="1324"/>
      <c r="S1045" s="1325"/>
      <c r="T1045" s="1353"/>
      <c r="U1045" s="1463"/>
      <c r="V1045" s="1464"/>
      <c r="W1045" s="1482"/>
      <c r="X1045" s="1307"/>
    </row>
    <row r="1046" spans="1:24" s="1308" customFormat="1" ht="15" customHeight="1" x14ac:dyDescent="0.25">
      <c r="A1046" s="730"/>
      <c r="B1046" s="1286">
        <f t="shared" si="35"/>
        <v>124</v>
      </c>
      <c r="C1046" s="1290"/>
      <c r="D1046" s="1758"/>
      <c r="E1046" s="1758"/>
      <c r="F1046" s="1293" t="s">
        <v>1320</v>
      </c>
      <c r="G1046" s="1302"/>
      <c r="H1046" s="1322"/>
      <c r="I1046" s="1322"/>
      <c r="J1046" s="1322"/>
      <c r="K1046" s="1322"/>
      <c r="L1046" s="1322"/>
      <c r="M1046" s="1322"/>
      <c r="N1046" s="1322"/>
      <c r="O1046" s="1326"/>
      <c r="P1046" s="1322"/>
      <c r="Q1046" s="1323"/>
      <c r="R1046" s="1324"/>
      <c r="S1046" s="1325"/>
      <c r="T1046" s="1353"/>
      <c r="U1046" s="1463"/>
      <c r="V1046" s="1464"/>
      <c r="W1046" s="1482"/>
      <c r="X1046" s="1307"/>
    </row>
    <row r="1047" spans="1:24" s="1308" customFormat="1" ht="15" customHeight="1" x14ac:dyDescent="0.25">
      <c r="A1047" s="730"/>
      <c r="B1047" s="1286">
        <f t="shared" si="35"/>
        <v>125</v>
      </c>
      <c r="C1047" s="1290"/>
      <c r="D1047" s="1758"/>
      <c r="E1047" s="1758" t="s">
        <v>1318</v>
      </c>
      <c r="F1047" s="1293" t="s">
        <v>1319</v>
      </c>
      <c r="G1047" s="1302"/>
      <c r="H1047" s="1322"/>
      <c r="I1047" s="1322"/>
      <c r="J1047" s="1322"/>
      <c r="K1047" s="1322"/>
      <c r="L1047" s="1322"/>
      <c r="M1047" s="1322"/>
      <c r="N1047" s="1322"/>
      <c r="O1047" s="1326"/>
      <c r="P1047" s="1322"/>
      <c r="Q1047" s="1323"/>
      <c r="R1047" s="1324"/>
      <c r="S1047" s="1325"/>
      <c r="T1047" s="1353"/>
      <c r="U1047" s="1463"/>
      <c r="V1047" s="1464"/>
      <c r="W1047" s="1482"/>
      <c r="X1047" s="1307"/>
    </row>
    <row r="1048" spans="1:24" s="1308" customFormat="1" ht="15" customHeight="1" x14ac:dyDescent="0.25">
      <c r="A1048" s="730"/>
      <c r="B1048" s="1286">
        <f t="shared" si="35"/>
        <v>126</v>
      </c>
      <c r="C1048" s="1290"/>
      <c r="D1048" s="1758"/>
      <c r="E1048" s="1758"/>
      <c r="F1048" s="1293" t="s">
        <v>1320</v>
      </c>
      <c r="G1048" s="1302"/>
      <c r="H1048" s="1322"/>
      <c r="I1048" s="1322"/>
      <c r="J1048" s="1322"/>
      <c r="K1048" s="1322"/>
      <c r="L1048" s="1322"/>
      <c r="M1048" s="1322"/>
      <c r="N1048" s="1322"/>
      <c r="O1048" s="1326"/>
      <c r="P1048" s="1322"/>
      <c r="Q1048" s="1323"/>
      <c r="R1048" s="1324"/>
      <c r="S1048" s="1325"/>
      <c r="T1048" s="1353"/>
      <c r="U1048" s="1463"/>
      <c r="V1048" s="1464"/>
      <c r="W1048" s="1482"/>
      <c r="X1048" s="1307"/>
    </row>
    <row r="1049" spans="1:24" s="1308" customFormat="1" ht="15" customHeight="1" x14ac:dyDescent="0.25">
      <c r="A1049" s="730"/>
      <c r="B1049" s="1286">
        <f t="shared" si="35"/>
        <v>127</v>
      </c>
      <c r="C1049" s="1290"/>
      <c r="D1049" s="1758" t="s">
        <v>1316</v>
      </c>
      <c r="E1049" s="1758" t="s">
        <v>1317</v>
      </c>
      <c r="F1049" s="1293" t="s">
        <v>1319</v>
      </c>
      <c r="G1049" s="1302"/>
      <c r="H1049" s="1322"/>
      <c r="I1049" s="1322"/>
      <c r="J1049" s="1322"/>
      <c r="K1049" s="1322"/>
      <c r="L1049" s="1322"/>
      <c r="M1049" s="1322"/>
      <c r="N1049" s="1322"/>
      <c r="O1049" s="1326"/>
      <c r="P1049" s="1322"/>
      <c r="Q1049" s="1323"/>
      <c r="R1049" s="1324"/>
      <c r="S1049" s="1325"/>
      <c r="T1049" s="1353"/>
      <c r="U1049" s="1463"/>
      <c r="V1049" s="1464"/>
      <c r="W1049" s="1482"/>
      <c r="X1049" s="1307"/>
    </row>
    <row r="1050" spans="1:24" s="1308" customFormat="1" ht="15" customHeight="1" x14ac:dyDescent="0.25">
      <c r="A1050" s="730"/>
      <c r="B1050" s="1286">
        <f t="shared" si="35"/>
        <v>128</v>
      </c>
      <c r="C1050" s="1290"/>
      <c r="D1050" s="1758"/>
      <c r="E1050" s="1758"/>
      <c r="F1050" s="1293" t="s">
        <v>1320</v>
      </c>
      <c r="G1050" s="1302"/>
      <c r="H1050" s="1322"/>
      <c r="I1050" s="1322"/>
      <c r="J1050" s="1322"/>
      <c r="K1050" s="1322"/>
      <c r="L1050" s="1322"/>
      <c r="M1050" s="1322"/>
      <c r="N1050" s="1322"/>
      <c r="O1050" s="1326"/>
      <c r="P1050" s="1322"/>
      <c r="Q1050" s="1323"/>
      <c r="R1050" s="1324"/>
      <c r="S1050" s="1325"/>
      <c r="T1050" s="1353"/>
      <c r="U1050" s="1463"/>
      <c r="V1050" s="1464"/>
      <c r="W1050" s="1482"/>
      <c r="X1050" s="1307"/>
    </row>
    <row r="1051" spans="1:24" s="1308" customFormat="1" ht="15" customHeight="1" x14ac:dyDescent="0.25">
      <c r="A1051" s="730"/>
      <c r="B1051" s="1286">
        <f t="shared" si="35"/>
        <v>129</v>
      </c>
      <c r="C1051" s="1290"/>
      <c r="D1051" s="1758"/>
      <c r="E1051" s="1758" t="s">
        <v>1626</v>
      </c>
      <c r="F1051" s="1293" t="s">
        <v>1319</v>
      </c>
      <c r="G1051" s="1302"/>
      <c r="H1051" s="1322"/>
      <c r="I1051" s="1322"/>
      <c r="J1051" s="1322"/>
      <c r="K1051" s="1322"/>
      <c r="L1051" s="1322"/>
      <c r="M1051" s="1322"/>
      <c r="N1051" s="1322"/>
      <c r="O1051" s="1326"/>
      <c r="P1051" s="1322"/>
      <c r="Q1051" s="1323"/>
      <c r="R1051" s="1324"/>
      <c r="S1051" s="1325"/>
      <c r="T1051" s="1353"/>
      <c r="U1051" s="1463"/>
      <c r="V1051" s="1464"/>
      <c r="W1051" s="1482"/>
      <c r="X1051" s="1307"/>
    </row>
    <row r="1052" spans="1:24" s="1308" customFormat="1" ht="15" customHeight="1" x14ac:dyDescent="0.25">
      <c r="A1052" s="730"/>
      <c r="B1052" s="1286">
        <f t="shared" si="35"/>
        <v>130</v>
      </c>
      <c r="C1052" s="1290"/>
      <c r="D1052" s="1758"/>
      <c r="E1052" s="1758"/>
      <c r="F1052" s="1293" t="s">
        <v>1320</v>
      </c>
      <c r="G1052" s="1302"/>
      <c r="H1052" s="1322"/>
      <c r="I1052" s="1322"/>
      <c r="J1052" s="1322"/>
      <c r="K1052" s="1322"/>
      <c r="L1052" s="1322"/>
      <c r="M1052" s="1322"/>
      <c r="N1052" s="1322"/>
      <c r="O1052" s="1326"/>
      <c r="P1052" s="1322"/>
      <c r="Q1052" s="1323"/>
      <c r="R1052" s="1324"/>
      <c r="S1052" s="1325"/>
      <c r="T1052" s="1353"/>
      <c r="U1052" s="1463"/>
      <c r="V1052" s="1464"/>
      <c r="W1052" s="1482"/>
      <c r="X1052" s="1307"/>
    </row>
    <row r="1053" spans="1:24" s="1308" customFormat="1" ht="15" customHeight="1" x14ac:dyDescent="0.25">
      <c r="A1053" s="730"/>
      <c r="B1053" s="1286">
        <f t="shared" si="35"/>
        <v>131</v>
      </c>
      <c r="C1053" s="1290"/>
      <c r="D1053" s="1758"/>
      <c r="E1053" s="1758" t="s">
        <v>1321</v>
      </c>
      <c r="F1053" s="1293" t="s">
        <v>1319</v>
      </c>
      <c r="G1053" s="1302"/>
      <c r="H1053" s="1322"/>
      <c r="I1053" s="1322"/>
      <c r="J1053" s="1322"/>
      <c r="K1053" s="1322"/>
      <c r="L1053" s="1322"/>
      <c r="M1053" s="1322"/>
      <c r="N1053" s="1322"/>
      <c r="O1053" s="1326"/>
      <c r="P1053" s="1322"/>
      <c r="Q1053" s="1323"/>
      <c r="R1053" s="1324"/>
      <c r="S1053" s="1325"/>
      <c r="T1053" s="1353"/>
      <c r="U1053" s="1463"/>
      <c r="V1053" s="1464"/>
      <c r="W1053" s="1482"/>
      <c r="X1053" s="1307"/>
    </row>
    <row r="1054" spans="1:24" s="1308" customFormat="1" ht="15" customHeight="1" x14ac:dyDescent="0.25">
      <c r="A1054" s="730"/>
      <c r="B1054" s="1286">
        <f t="shared" si="35"/>
        <v>132</v>
      </c>
      <c r="C1054" s="1290"/>
      <c r="D1054" s="1758"/>
      <c r="E1054" s="1758"/>
      <c r="F1054" s="1293" t="s">
        <v>1320</v>
      </c>
      <c r="G1054" s="1302"/>
      <c r="H1054" s="1322"/>
      <c r="I1054" s="1322"/>
      <c r="J1054" s="1322"/>
      <c r="K1054" s="1322"/>
      <c r="L1054" s="1322"/>
      <c r="M1054" s="1322"/>
      <c r="N1054" s="1322"/>
      <c r="O1054" s="1326"/>
      <c r="P1054" s="1322"/>
      <c r="Q1054" s="1323"/>
      <c r="R1054" s="1324"/>
      <c r="S1054" s="1325"/>
      <c r="T1054" s="1353"/>
      <c r="U1054" s="1463"/>
      <c r="V1054" s="1464"/>
      <c r="W1054" s="1482"/>
      <c r="X1054" s="1307"/>
    </row>
    <row r="1055" spans="1:24" s="1308" customFormat="1" ht="15" customHeight="1" x14ac:dyDescent="0.25">
      <c r="A1055" s="730"/>
      <c r="B1055" s="1286">
        <f t="shared" si="35"/>
        <v>133</v>
      </c>
      <c r="C1055" s="1290"/>
      <c r="D1055" s="1758"/>
      <c r="E1055" s="1758" t="s">
        <v>1322</v>
      </c>
      <c r="F1055" s="1293" t="s">
        <v>1319</v>
      </c>
      <c r="G1055" s="1302"/>
      <c r="H1055" s="1322"/>
      <c r="I1055" s="1322"/>
      <c r="J1055" s="1322"/>
      <c r="K1055" s="1322"/>
      <c r="L1055" s="1322"/>
      <c r="M1055" s="1322"/>
      <c r="N1055" s="1322"/>
      <c r="O1055" s="1326"/>
      <c r="P1055" s="1322"/>
      <c r="Q1055" s="1323"/>
      <c r="R1055" s="1324"/>
      <c r="S1055" s="1325"/>
      <c r="T1055" s="1353"/>
      <c r="U1055" s="1463"/>
      <c r="V1055" s="1464"/>
      <c r="W1055" s="1482"/>
      <c r="X1055" s="1307"/>
    </row>
    <row r="1056" spans="1:24" s="1308" customFormat="1" ht="15" customHeight="1" x14ac:dyDescent="0.25">
      <c r="A1056" s="730"/>
      <c r="B1056" s="1286">
        <f t="shared" si="35"/>
        <v>134</v>
      </c>
      <c r="C1056" s="1290"/>
      <c r="D1056" s="1758"/>
      <c r="E1056" s="1758"/>
      <c r="F1056" s="1293" t="s">
        <v>1320</v>
      </c>
      <c r="G1056" s="1302"/>
      <c r="H1056" s="1322"/>
      <c r="I1056" s="1322"/>
      <c r="J1056" s="1322"/>
      <c r="K1056" s="1322"/>
      <c r="L1056" s="1322"/>
      <c r="M1056" s="1322"/>
      <c r="N1056" s="1322"/>
      <c r="O1056" s="1326"/>
      <c r="P1056" s="1322"/>
      <c r="Q1056" s="1323"/>
      <c r="R1056" s="1324"/>
      <c r="S1056" s="1325"/>
      <c r="T1056" s="1353"/>
      <c r="U1056" s="1463"/>
      <c r="V1056" s="1464"/>
      <c r="W1056" s="1482"/>
      <c r="X1056" s="1307"/>
    </row>
    <row r="1057" spans="1:24" s="1308" customFormat="1" ht="15" customHeight="1" x14ac:dyDescent="0.25">
      <c r="A1057" s="730"/>
      <c r="B1057" s="1286">
        <f t="shared" si="35"/>
        <v>135</v>
      </c>
      <c r="C1057" s="1290"/>
      <c r="D1057" s="1758"/>
      <c r="E1057" s="1758" t="s">
        <v>1678</v>
      </c>
      <c r="F1057" s="1293" t="s">
        <v>1319</v>
      </c>
      <c r="G1057" s="1302"/>
      <c r="H1057" s="1322"/>
      <c r="I1057" s="1322"/>
      <c r="J1057" s="1322"/>
      <c r="K1057" s="1322"/>
      <c r="L1057" s="1322"/>
      <c r="M1057" s="1322"/>
      <c r="N1057" s="1322"/>
      <c r="O1057" s="1326"/>
      <c r="P1057" s="1322"/>
      <c r="Q1057" s="1323"/>
      <c r="R1057" s="1324"/>
      <c r="S1057" s="1325"/>
      <c r="T1057" s="1353"/>
      <c r="U1057" s="1463"/>
      <c r="V1057" s="1464"/>
      <c r="W1057" s="1482"/>
      <c r="X1057" s="1307"/>
    </row>
    <row r="1058" spans="1:24" s="1308" customFormat="1" ht="15" customHeight="1" x14ac:dyDescent="0.25">
      <c r="A1058" s="730"/>
      <c r="B1058" s="1286">
        <f t="shared" si="35"/>
        <v>136</v>
      </c>
      <c r="C1058" s="1290"/>
      <c r="D1058" s="1758"/>
      <c r="E1058" s="1758"/>
      <c r="F1058" s="1293" t="s">
        <v>1320</v>
      </c>
      <c r="G1058" s="1302"/>
      <c r="H1058" s="1322"/>
      <c r="I1058" s="1322"/>
      <c r="J1058" s="1322"/>
      <c r="K1058" s="1322"/>
      <c r="L1058" s="1322"/>
      <c r="M1058" s="1322"/>
      <c r="N1058" s="1322"/>
      <c r="O1058" s="1326"/>
      <c r="P1058" s="1322"/>
      <c r="Q1058" s="1323"/>
      <c r="R1058" s="1324"/>
      <c r="S1058" s="1325"/>
      <c r="T1058" s="1353"/>
      <c r="U1058" s="1463"/>
      <c r="V1058" s="1464"/>
      <c r="W1058" s="1482"/>
      <c r="X1058" s="1307"/>
    </row>
    <row r="1059" spans="1:24" s="1308" customFormat="1" ht="15" customHeight="1" x14ac:dyDescent="0.25">
      <c r="A1059" s="730"/>
      <c r="B1059" s="1286">
        <f t="shared" si="35"/>
        <v>137</v>
      </c>
      <c r="C1059" s="1290"/>
      <c r="D1059" s="1758"/>
      <c r="E1059" s="1758" t="s">
        <v>1679</v>
      </c>
      <c r="F1059" s="1293" t="s">
        <v>1319</v>
      </c>
      <c r="G1059" s="1302"/>
      <c r="H1059" s="1322"/>
      <c r="I1059" s="1322"/>
      <c r="J1059" s="1322"/>
      <c r="K1059" s="1322"/>
      <c r="L1059" s="1322"/>
      <c r="M1059" s="1322"/>
      <c r="N1059" s="1322"/>
      <c r="O1059" s="1326"/>
      <c r="P1059" s="1322"/>
      <c r="Q1059" s="1323"/>
      <c r="R1059" s="1324"/>
      <c r="S1059" s="1325"/>
      <c r="T1059" s="1353"/>
      <c r="U1059" s="1463"/>
      <c r="V1059" s="1464"/>
      <c r="W1059" s="1482"/>
      <c r="X1059" s="1307"/>
    </row>
    <row r="1060" spans="1:24" s="1308" customFormat="1" ht="15" customHeight="1" x14ac:dyDescent="0.25">
      <c r="A1060" s="730"/>
      <c r="B1060" s="1286">
        <f t="shared" ref="B1060:B1062" si="36">B1059+1</f>
        <v>138</v>
      </c>
      <c r="C1060" s="1290"/>
      <c r="D1060" s="1758"/>
      <c r="E1060" s="1758"/>
      <c r="F1060" s="1293" t="s">
        <v>1320</v>
      </c>
      <c r="G1060" s="1302"/>
      <c r="H1060" s="1322"/>
      <c r="I1060" s="1322"/>
      <c r="J1060" s="1322"/>
      <c r="K1060" s="1322"/>
      <c r="L1060" s="1322"/>
      <c r="M1060" s="1322"/>
      <c r="N1060" s="1322"/>
      <c r="O1060" s="1326"/>
      <c r="P1060" s="1322"/>
      <c r="Q1060" s="1323"/>
      <c r="R1060" s="1324"/>
      <c r="S1060" s="1325"/>
      <c r="T1060" s="1353"/>
      <c r="U1060" s="1463"/>
      <c r="V1060" s="1464"/>
      <c r="W1060" s="1482"/>
      <c r="X1060" s="1307"/>
    </row>
    <row r="1061" spans="1:24" s="1308" customFormat="1" ht="15" customHeight="1" x14ac:dyDescent="0.25">
      <c r="A1061" s="730"/>
      <c r="B1061" s="1286">
        <f t="shared" si="36"/>
        <v>139</v>
      </c>
      <c r="C1061" s="1290"/>
      <c r="D1061" s="1758"/>
      <c r="E1061" s="1758" t="s">
        <v>1318</v>
      </c>
      <c r="F1061" s="1293" t="s">
        <v>1319</v>
      </c>
      <c r="G1061" s="1302"/>
      <c r="H1061" s="1322"/>
      <c r="I1061" s="1322"/>
      <c r="J1061" s="1322"/>
      <c r="K1061" s="1322"/>
      <c r="L1061" s="1322"/>
      <c r="M1061" s="1322"/>
      <c r="N1061" s="1322"/>
      <c r="O1061" s="1326"/>
      <c r="P1061" s="1322"/>
      <c r="Q1061" s="1323"/>
      <c r="R1061" s="1324"/>
      <c r="S1061" s="1325"/>
      <c r="T1061" s="1353"/>
      <c r="U1061" s="1463"/>
      <c r="V1061" s="1464"/>
      <c r="W1061" s="1482"/>
      <c r="X1061" s="1307"/>
    </row>
    <row r="1062" spans="1:24" s="1308" customFormat="1" ht="15" customHeight="1" x14ac:dyDescent="0.25">
      <c r="A1062" s="730"/>
      <c r="B1062" s="1287">
        <f t="shared" si="36"/>
        <v>140</v>
      </c>
      <c r="C1062" s="1291"/>
      <c r="D1062" s="1760"/>
      <c r="E1062" s="1760"/>
      <c r="F1062" s="1294" t="s">
        <v>1320</v>
      </c>
      <c r="G1062" s="1327"/>
      <c r="H1062" s="1303"/>
      <c r="I1062" s="1303"/>
      <c r="J1062" s="1303"/>
      <c r="K1062" s="1303"/>
      <c r="L1062" s="1303"/>
      <c r="M1062" s="1303"/>
      <c r="N1062" s="1303"/>
      <c r="O1062" s="1328"/>
      <c r="P1062" s="1303"/>
      <c r="Q1062" s="1304"/>
      <c r="R1062" s="1305"/>
      <c r="S1062" s="1306"/>
      <c r="T1062" s="1351"/>
      <c r="U1062" s="1466"/>
      <c r="V1062" s="1467"/>
      <c r="W1062" s="1483"/>
      <c r="X1062" s="1307"/>
    </row>
    <row r="1063" spans="1:24" s="735" customFormat="1" ht="45" customHeight="1" x14ac:dyDescent="0.25">
      <c r="A1063" s="733" t="s">
        <v>1431</v>
      </c>
      <c r="B1063" s="722"/>
      <c r="C1063" s="734"/>
      <c r="D1063" s="734"/>
      <c r="E1063" s="734"/>
      <c r="F1063" s="732"/>
      <c r="X1063" s="422"/>
    </row>
    <row r="1064" spans="1:24" s="1300" customFormat="1" ht="15" customHeight="1" x14ac:dyDescent="0.25">
      <c r="A1064" s="726"/>
      <c r="B1064" s="1297"/>
      <c r="C1064" s="1298"/>
      <c r="D1064" s="1443" t="s">
        <v>1313</v>
      </c>
      <c r="E1064" s="1443" t="s">
        <v>1432</v>
      </c>
      <c r="F1064" s="1443" t="s">
        <v>820</v>
      </c>
      <c r="G1064" s="1676"/>
      <c r="H1064" s="1677"/>
      <c r="I1064" s="1677"/>
      <c r="J1064" s="1677"/>
      <c r="K1064" s="1677"/>
      <c r="L1064" s="1677"/>
      <c r="M1064" s="1677"/>
      <c r="N1064" s="1677"/>
      <c r="O1064" s="1677"/>
      <c r="P1064" s="1677"/>
      <c r="Q1064" s="1677"/>
      <c r="R1064" s="1677"/>
      <c r="S1064" s="1677"/>
      <c r="T1064" s="1677"/>
      <c r="U1064" s="1677"/>
      <c r="V1064" s="1677"/>
      <c r="W1064" s="1778"/>
      <c r="X1064" s="1299"/>
    </row>
    <row r="1065" spans="1:24" s="1308" customFormat="1" ht="15" customHeight="1" x14ac:dyDescent="0.25">
      <c r="A1065" s="730"/>
      <c r="B1065" s="1285">
        <v>1</v>
      </c>
      <c r="C1065" s="1289"/>
      <c r="D1065" s="1763" t="s">
        <v>1315</v>
      </c>
      <c r="E1065" s="1763" t="s">
        <v>1680</v>
      </c>
      <c r="F1065" s="1292" t="s">
        <v>1319</v>
      </c>
      <c r="G1065" s="1316"/>
      <c r="H1065" s="1317"/>
      <c r="I1065" s="1317"/>
      <c r="J1065" s="1317"/>
      <c r="K1065" s="1317"/>
      <c r="L1065" s="1317"/>
      <c r="M1065" s="1317"/>
      <c r="N1065" s="1349"/>
      <c r="O1065" s="1321"/>
      <c r="P1065" s="1317"/>
      <c r="Q1065" s="1318"/>
      <c r="R1065" s="1319"/>
      <c r="S1065" s="1320"/>
      <c r="T1065" s="1349"/>
      <c r="U1065" s="1460"/>
      <c r="V1065" s="1461"/>
      <c r="W1065" s="1481"/>
      <c r="X1065" s="1307"/>
    </row>
    <row r="1066" spans="1:24" s="1308" customFormat="1" ht="15" customHeight="1" x14ac:dyDescent="0.25">
      <c r="A1066" s="730"/>
      <c r="B1066" s="1286">
        <f t="shared" ref="B1066:B1129" si="37">B1065+1</f>
        <v>2</v>
      </c>
      <c r="C1066" s="1290"/>
      <c r="D1066" s="1758"/>
      <c r="E1066" s="1758"/>
      <c r="F1066" s="1293" t="s">
        <v>1320</v>
      </c>
      <c r="G1066" s="1302"/>
      <c r="H1066" s="1322"/>
      <c r="I1066" s="1322"/>
      <c r="J1066" s="1322"/>
      <c r="K1066" s="1322"/>
      <c r="L1066" s="1322"/>
      <c r="M1066" s="1322"/>
      <c r="N1066" s="1353"/>
      <c r="O1066" s="1326"/>
      <c r="P1066" s="1322"/>
      <c r="Q1066" s="1323"/>
      <c r="R1066" s="1324"/>
      <c r="S1066" s="1325"/>
      <c r="T1066" s="1353"/>
      <c r="U1066" s="1463"/>
      <c r="V1066" s="1464"/>
      <c r="W1066" s="1482"/>
      <c r="X1066" s="1307"/>
    </row>
    <row r="1067" spans="1:24" s="1308" customFormat="1" ht="15" customHeight="1" x14ac:dyDescent="0.25">
      <c r="A1067" s="730"/>
      <c r="B1067" s="1286">
        <f t="shared" si="37"/>
        <v>3</v>
      </c>
      <c r="C1067" s="1290"/>
      <c r="D1067" s="1758"/>
      <c r="E1067" s="1758" t="s">
        <v>1433</v>
      </c>
      <c r="F1067" s="1293" t="s">
        <v>1319</v>
      </c>
      <c r="G1067" s="1302"/>
      <c r="H1067" s="1322"/>
      <c r="I1067" s="1322"/>
      <c r="J1067" s="1322"/>
      <c r="K1067" s="1322"/>
      <c r="L1067" s="1322"/>
      <c r="M1067" s="1322"/>
      <c r="N1067" s="1353"/>
      <c r="O1067" s="1326"/>
      <c r="P1067" s="1322"/>
      <c r="Q1067" s="1323"/>
      <c r="R1067" s="1324"/>
      <c r="S1067" s="1325"/>
      <c r="T1067" s="1353"/>
      <c r="U1067" s="1463"/>
      <c r="V1067" s="1464"/>
      <c r="W1067" s="1482"/>
      <c r="X1067" s="1307"/>
    </row>
    <row r="1068" spans="1:24" s="1308" customFormat="1" ht="15" customHeight="1" x14ac:dyDescent="0.25">
      <c r="A1068" s="730"/>
      <c r="B1068" s="1286">
        <f t="shared" si="37"/>
        <v>4</v>
      </c>
      <c r="C1068" s="1290"/>
      <c r="D1068" s="1758"/>
      <c r="E1068" s="1758"/>
      <c r="F1068" s="1293" t="s">
        <v>1320</v>
      </c>
      <c r="G1068" s="1302"/>
      <c r="H1068" s="1322"/>
      <c r="I1068" s="1322"/>
      <c r="J1068" s="1322"/>
      <c r="K1068" s="1322"/>
      <c r="L1068" s="1322"/>
      <c r="M1068" s="1322"/>
      <c r="N1068" s="1353"/>
      <c r="O1068" s="1326"/>
      <c r="P1068" s="1322"/>
      <c r="Q1068" s="1323"/>
      <c r="R1068" s="1324"/>
      <c r="S1068" s="1325"/>
      <c r="T1068" s="1353"/>
      <c r="U1068" s="1463"/>
      <c r="V1068" s="1464"/>
      <c r="W1068" s="1482"/>
      <c r="X1068" s="1307"/>
    </row>
    <row r="1069" spans="1:24" s="1308" customFormat="1" ht="15" customHeight="1" x14ac:dyDescent="0.25">
      <c r="A1069" s="730"/>
      <c r="B1069" s="1286">
        <f t="shared" si="37"/>
        <v>5</v>
      </c>
      <c r="C1069" s="1290"/>
      <c r="D1069" s="1758"/>
      <c r="E1069" s="1758" t="s">
        <v>1434</v>
      </c>
      <c r="F1069" s="1293" t="s">
        <v>1319</v>
      </c>
      <c r="G1069" s="1302"/>
      <c r="H1069" s="1322"/>
      <c r="I1069" s="1322"/>
      <c r="J1069" s="1322"/>
      <c r="K1069" s="1322"/>
      <c r="L1069" s="1322"/>
      <c r="M1069" s="1322"/>
      <c r="N1069" s="1353"/>
      <c r="O1069" s="1326"/>
      <c r="P1069" s="1322"/>
      <c r="Q1069" s="1323"/>
      <c r="R1069" s="1324"/>
      <c r="S1069" s="1325"/>
      <c r="T1069" s="1353"/>
      <c r="U1069" s="1463"/>
      <c r="V1069" s="1464"/>
      <c r="W1069" s="1482"/>
      <c r="X1069" s="1307"/>
    </row>
    <row r="1070" spans="1:24" s="1308" customFormat="1" ht="15" customHeight="1" x14ac:dyDescent="0.25">
      <c r="A1070" s="730"/>
      <c r="B1070" s="1286">
        <f t="shared" si="37"/>
        <v>6</v>
      </c>
      <c r="C1070" s="1290"/>
      <c r="D1070" s="1758"/>
      <c r="E1070" s="1758"/>
      <c r="F1070" s="1293" t="s">
        <v>1320</v>
      </c>
      <c r="G1070" s="1302"/>
      <c r="H1070" s="1322"/>
      <c r="I1070" s="1322"/>
      <c r="J1070" s="1322"/>
      <c r="K1070" s="1322"/>
      <c r="L1070" s="1322"/>
      <c r="M1070" s="1322"/>
      <c r="N1070" s="1353"/>
      <c r="O1070" s="1326"/>
      <c r="P1070" s="1322"/>
      <c r="Q1070" s="1323"/>
      <c r="R1070" s="1324"/>
      <c r="S1070" s="1325"/>
      <c r="T1070" s="1353"/>
      <c r="U1070" s="1463"/>
      <c r="V1070" s="1464"/>
      <c r="W1070" s="1482"/>
      <c r="X1070" s="1307"/>
    </row>
    <row r="1071" spans="1:24" s="1308" customFormat="1" ht="15" customHeight="1" x14ac:dyDescent="0.25">
      <c r="A1071" s="730"/>
      <c r="B1071" s="1286">
        <f t="shared" si="37"/>
        <v>7</v>
      </c>
      <c r="C1071" s="1290"/>
      <c r="D1071" s="1758"/>
      <c r="E1071" s="1758" t="s">
        <v>1681</v>
      </c>
      <c r="F1071" s="1293" t="s">
        <v>1319</v>
      </c>
      <c r="G1071" s="1302"/>
      <c r="H1071" s="1322"/>
      <c r="I1071" s="1322"/>
      <c r="J1071" s="1322"/>
      <c r="K1071" s="1322"/>
      <c r="L1071" s="1322"/>
      <c r="M1071" s="1322"/>
      <c r="N1071" s="1353"/>
      <c r="O1071" s="1326"/>
      <c r="P1071" s="1322"/>
      <c r="Q1071" s="1323"/>
      <c r="R1071" s="1324"/>
      <c r="S1071" s="1325"/>
      <c r="T1071" s="1353"/>
      <c r="U1071" s="1463"/>
      <c r="V1071" s="1464"/>
      <c r="W1071" s="1482"/>
      <c r="X1071" s="1307"/>
    </row>
    <row r="1072" spans="1:24" s="1308" customFormat="1" ht="15" customHeight="1" x14ac:dyDescent="0.25">
      <c r="A1072" s="730"/>
      <c r="B1072" s="1286">
        <f t="shared" si="37"/>
        <v>8</v>
      </c>
      <c r="C1072" s="1290"/>
      <c r="D1072" s="1758"/>
      <c r="E1072" s="1758"/>
      <c r="F1072" s="1293" t="s">
        <v>1320</v>
      </c>
      <c r="G1072" s="1302"/>
      <c r="H1072" s="1322"/>
      <c r="I1072" s="1322"/>
      <c r="J1072" s="1322"/>
      <c r="K1072" s="1322"/>
      <c r="L1072" s="1322"/>
      <c r="M1072" s="1322"/>
      <c r="N1072" s="1353"/>
      <c r="O1072" s="1326"/>
      <c r="P1072" s="1322"/>
      <c r="Q1072" s="1323"/>
      <c r="R1072" s="1324"/>
      <c r="S1072" s="1325"/>
      <c r="T1072" s="1353"/>
      <c r="U1072" s="1463"/>
      <c r="V1072" s="1464"/>
      <c r="W1072" s="1482"/>
      <c r="X1072" s="1307"/>
    </row>
    <row r="1073" spans="1:24" s="1308" customFormat="1" ht="15" customHeight="1" x14ac:dyDescent="0.25">
      <c r="A1073" s="730"/>
      <c r="B1073" s="1286">
        <f t="shared" si="37"/>
        <v>9</v>
      </c>
      <c r="C1073" s="1290"/>
      <c r="D1073" s="1758"/>
      <c r="E1073" s="1758" t="s">
        <v>1682</v>
      </c>
      <c r="F1073" s="1293" t="s">
        <v>1319</v>
      </c>
      <c r="G1073" s="1302"/>
      <c r="H1073" s="1322"/>
      <c r="I1073" s="1322"/>
      <c r="J1073" s="1322"/>
      <c r="K1073" s="1322"/>
      <c r="L1073" s="1322"/>
      <c r="M1073" s="1322"/>
      <c r="N1073" s="1353"/>
      <c r="O1073" s="1326"/>
      <c r="P1073" s="1322"/>
      <c r="Q1073" s="1323"/>
      <c r="R1073" s="1324"/>
      <c r="S1073" s="1325"/>
      <c r="T1073" s="1353"/>
      <c r="U1073" s="1463"/>
      <c r="V1073" s="1464"/>
      <c r="W1073" s="1482"/>
      <c r="X1073" s="1307"/>
    </row>
    <row r="1074" spans="1:24" s="1308" customFormat="1" ht="15" customHeight="1" x14ac:dyDescent="0.25">
      <c r="A1074" s="730"/>
      <c r="B1074" s="1286">
        <f t="shared" si="37"/>
        <v>10</v>
      </c>
      <c r="C1074" s="1290"/>
      <c r="D1074" s="1758"/>
      <c r="E1074" s="1759"/>
      <c r="F1074" s="1293" t="s">
        <v>1320</v>
      </c>
      <c r="G1074" s="1302"/>
      <c r="H1074" s="1322"/>
      <c r="I1074" s="1322"/>
      <c r="J1074" s="1322"/>
      <c r="K1074" s="1322"/>
      <c r="L1074" s="1322"/>
      <c r="M1074" s="1322"/>
      <c r="N1074" s="1353"/>
      <c r="O1074" s="1326"/>
      <c r="P1074" s="1322"/>
      <c r="Q1074" s="1323"/>
      <c r="R1074" s="1324"/>
      <c r="S1074" s="1325"/>
      <c r="T1074" s="1353"/>
      <c r="U1074" s="1463"/>
      <c r="V1074" s="1464"/>
      <c r="W1074" s="1482"/>
      <c r="X1074" s="1307"/>
    </row>
    <row r="1075" spans="1:24" s="1308" customFormat="1" ht="15" customHeight="1" x14ac:dyDescent="0.25">
      <c r="A1075" s="730"/>
      <c r="B1075" s="1286">
        <f t="shared" si="37"/>
        <v>11</v>
      </c>
      <c r="C1075" s="1290"/>
      <c r="D1075" s="1758" t="s">
        <v>1324</v>
      </c>
      <c r="E1075" s="1758" t="s">
        <v>1680</v>
      </c>
      <c r="F1075" s="1293" t="s">
        <v>1319</v>
      </c>
      <c r="G1075" s="1302"/>
      <c r="H1075" s="1322"/>
      <c r="I1075" s="1322"/>
      <c r="J1075" s="1322"/>
      <c r="K1075" s="1322"/>
      <c r="L1075" s="1322"/>
      <c r="M1075" s="1322"/>
      <c r="N1075" s="1353"/>
      <c r="O1075" s="1326"/>
      <c r="P1075" s="1322"/>
      <c r="Q1075" s="1323"/>
      <c r="R1075" s="1324"/>
      <c r="S1075" s="1325"/>
      <c r="T1075" s="1353"/>
      <c r="U1075" s="1463"/>
      <c r="V1075" s="1464"/>
      <c r="W1075" s="1482"/>
      <c r="X1075" s="1307"/>
    </row>
    <row r="1076" spans="1:24" s="1308" customFormat="1" ht="15" customHeight="1" x14ac:dyDescent="0.25">
      <c r="A1076" s="730"/>
      <c r="B1076" s="1286">
        <f t="shared" si="37"/>
        <v>12</v>
      </c>
      <c r="C1076" s="1290"/>
      <c r="D1076" s="1758"/>
      <c r="E1076" s="1758"/>
      <c r="F1076" s="1293" t="s">
        <v>1320</v>
      </c>
      <c r="G1076" s="1302"/>
      <c r="H1076" s="1322"/>
      <c r="I1076" s="1322"/>
      <c r="J1076" s="1322"/>
      <c r="K1076" s="1322"/>
      <c r="L1076" s="1322"/>
      <c r="M1076" s="1322"/>
      <c r="N1076" s="1353"/>
      <c r="O1076" s="1326"/>
      <c r="P1076" s="1322"/>
      <c r="Q1076" s="1323"/>
      <c r="R1076" s="1324"/>
      <c r="S1076" s="1325"/>
      <c r="T1076" s="1353"/>
      <c r="U1076" s="1463"/>
      <c r="V1076" s="1464"/>
      <c r="W1076" s="1482"/>
      <c r="X1076" s="1307"/>
    </row>
    <row r="1077" spans="1:24" s="1308" customFormat="1" ht="15" customHeight="1" x14ac:dyDescent="0.25">
      <c r="A1077" s="730"/>
      <c r="B1077" s="1286">
        <f t="shared" si="37"/>
        <v>13</v>
      </c>
      <c r="C1077" s="1290"/>
      <c r="D1077" s="1758"/>
      <c r="E1077" s="1758" t="s">
        <v>1433</v>
      </c>
      <c r="F1077" s="1293" t="s">
        <v>1319</v>
      </c>
      <c r="G1077" s="1302"/>
      <c r="H1077" s="1322"/>
      <c r="I1077" s="1322"/>
      <c r="J1077" s="1322"/>
      <c r="K1077" s="1322"/>
      <c r="L1077" s="1322"/>
      <c r="M1077" s="1322"/>
      <c r="N1077" s="1353"/>
      <c r="O1077" s="1326"/>
      <c r="P1077" s="1322"/>
      <c r="Q1077" s="1323"/>
      <c r="R1077" s="1324"/>
      <c r="S1077" s="1325"/>
      <c r="T1077" s="1353"/>
      <c r="U1077" s="1463"/>
      <c r="V1077" s="1464"/>
      <c r="W1077" s="1482"/>
      <c r="X1077" s="1307"/>
    </row>
    <row r="1078" spans="1:24" s="1308" customFormat="1" ht="15" customHeight="1" x14ac:dyDescent="0.25">
      <c r="A1078" s="730"/>
      <c r="B1078" s="1286">
        <f t="shared" si="37"/>
        <v>14</v>
      </c>
      <c r="C1078" s="1290"/>
      <c r="D1078" s="1758"/>
      <c r="E1078" s="1758"/>
      <c r="F1078" s="1293" t="s">
        <v>1320</v>
      </c>
      <c r="G1078" s="1302"/>
      <c r="H1078" s="1322"/>
      <c r="I1078" s="1322"/>
      <c r="J1078" s="1322"/>
      <c r="K1078" s="1322"/>
      <c r="L1078" s="1322"/>
      <c r="M1078" s="1322"/>
      <c r="N1078" s="1353"/>
      <c r="O1078" s="1326"/>
      <c r="P1078" s="1322"/>
      <c r="Q1078" s="1323"/>
      <c r="R1078" s="1324"/>
      <c r="S1078" s="1325"/>
      <c r="T1078" s="1353"/>
      <c r="U1078" s="1463"/>
      <c r="V1078" s="1464"/>
      <c r="W1078" s="1482"/>
      <c r="X1078" s="1307"/>
    </row>
    <row r="1079" spans="1:24" s="1308" customFormat="1" ht="15" customHeight="1" x14ac:dyDescent="0.25">
      <c r="A1079" s="730"/>
      <c r="B1079" s="1286">
        <f t="shared" si="37"/>
        <v>15</v>
      </c>
      <c r="C1079" s="1290"/>
      <c r="D1079" s="1758"/>
      <c r="E1079" s="1758" t="s">
        <v>1434</v>
      </c>
      <c r="F1079" s="1293" t="s">
        <v>1319</v>
      </c>
      <c r="G1079" s="1302"/>
      <c r="H1079" s="1322"/>
      <c r="I1079" s="1322"/>
      <c r="J1079" s="1322"/>
      <c r="K1079" s="1322"/>
      <c r="L1079" s="1322"/>
      <c r="M1079" s="1322"/>
      <c r="N1079" s="1353"/>
      <c r="O1079" s="1326"/>
      <c r="P1079" s="1322"/>
      <c r="Q1079" s="1323"/>
      <c r="R1079" s="1324"/>
      <c r="S1079" s="1325"/>
      <c r="T1079" s="1353"/>
      <c r="U1079" s="1463"/>
      <c r="V1079" s="1464"/>
      <c r="W1079" s="1482"/>
      <c r="X1079" s="1307"/>
    </row>
    <row r="1080" spans="1:24" s="1308" customFormat="1" ht="15" customHeight="1" x14ac:dyDescent="0.25">
      <c r="A1080" s="730"/>
      <c r="B1080" s="1286">
        <f t="shared" si="37"/>
        <v>16</v>
      </c>
      <c r="C1080" s="1290"/>
      <c r="D1080" s="1758"/>
      <c r="E1080" s="1758"/>
      <c r="F1080" s="1293" t="s">
        <v>1320</v>
      </c>
      <c r="G1080" s="1302"/>
      <c r="H1080" s="1322"/>
      <c r="I1080" s="1322"/>
      <c r="J1080" s="1322"/>
      <c r="K1080" s="1322"/>
      <c r="L1080" s="1322"/>
      <c r="M1080" s="1322"/>
      <c r="N1080" s="1353"/>
      <c r="O1080" s="1326"/>
      <c r="P1080" s="1322"/>
      <c r="Q1080" s="1323"/>
      <c r="R1080" s="1324"/>
      <c r="S1080" s="1325"/>
      <c r="T1080" s="1353"/>
      <c r="U1080" s="1463"/>
      <c r="V1080" s="1464"/>
      <c r="W1080" s="1482"/>
      <c r="X1080" s="1307"/>
    </row>
    <row r="1081" spans="1:24" s="1308" customFormat="1" ht="15" customHeight="1" x14ac:dyDescent="0.25">
      <c r="A1081" s="730"/>
      <c r="B1081" s="1286">
        <f t="shared" si="37"/>
        <v>17</v>
      </c>
      <c r="C1081" s="1290"/>
      <c r="D1081" s="1758"/>
      <c r="E1081" s="1758" t="s">
        <v>1681</v>
      </c>
      <c r="F1081" s="1293" t="s">
        <v>1319</v>
      </c>
      <c r="G1081" s="1302"/>
      <c r="H1081" s="1322"/>
      <c r="I1081" s="1322"/>
      <c r="J1081" s="1322"/>
      <c r="K1081" s="1322"/>
      <c r="L1081" s="1322"/>
      <c r="M1081" s="1322"/>
      <c r="N1081" s="1353"/>
      <c r="O1081" s="1326"/>
      <c r="P1081" s="1322"/>
      <c r="Q1081" s="1323"/>
      <c r="R1081" s="1324"/>
      <c r="S1081" s="1325"/>
      <c r="T1081" s="1353"/>
      <c r="U1081" s="1463"/>
      <c r="V1081" s="1464"/>
      <c r="W1081" s="1482"/>
      <c r="X1081" s="1307"/>
    </row>
    <row r="1082" spans="1:24" s="1308" customFormat="1" ht="15" customHeight="1" x14ac:dyDescent="0.25">
      <c r="A1082" s="730"/>
      <c r="B1082" s="1286">
        <f t="shared" si="37"/>
        <v>18</v>
      </c>
      <c r="C1082" s="1290"/>
      <c r="D1082" s="1758"/>
      <c r="E1082" s="1758"/>
      <c r="F1082" s="1293" t="s">
        <v>1320</v>
      </c>
      <c r="G1082" s="1302"/>
      <c r="H1082" s="1322"/>
      <c r="I1082" s="1322"/>
      <c r="J1082" s="1322"/>
      <c r="K1082" s="1322"/>
      <c r="L1082" s="1322"/>
      <c r="M1082" s="1322"/>
      <c r="N1082" s="1353"/>
      <c r="O1082" s="1326"/>
      <c r="P1082" s="1322"/>
      <c r="Q1082" s="1323"/>
      <c r="R1082" s="1324"/>
      <c r="S1082" s="1325"/>
      <c r="T1082" s="1353"/>
      <c r="U1082" s="1463"/>
      <c r="V1082" s="1464"/>
      <c r="W1082" s="1482"/>
      <c r="X1082" s="1307"/>
    </row>
    <row r="1083" spans="1:24" s="1308" customFormat="1" ht="15" customHeight="1" x14ac:dyDescent="0.25">
      <c r="A1083" s="730"/>
      <c r="B1083" s="1286">
        <f t="shared" si="37"/>
        <v>19</v>
      </c>
      <c r="C1083" s="1290"/>
      <c r="D1083" s="1758"/>
      <c r="E1083" s="1758" t="s">
        <v>1682</v>
      </c>
      <c r="F1083" s="1293" t="s">
        <v>1319</v>
      </c>
      <c r="G1083" s="1302"/>
      <c r="H1083" s="1322"/>
      <c r="I1083" s="1322"/>
      <c r="J1083" s="1322"/>
      <c r="K1083" s="1322"/>
      <c r="L1083" s="1322"/>
      <c r="M1083" s="1322"/>
      <c r="N1083" s="1353"/>
      <c r="O1083" s="1326"/>
      <c r="P1083" s="1322"/>
      <c r="Q1083" s="1323"/>
      <c r="R1083" s="1324"/>
      <c r="S1083" s="1325"/>
      <c r="T1083" s="1353"/>
      <c r="U1083" s="1463"/>
      <c r="V1083" s="1464"/>
      <c r="W1083" s="1482"/>
      <c r="X1083" s="1307"/>
    </row>
    <row r="1084" spans="1:24" s="1308" customFormat="1" ht="15" customHeight="1" x14ac:dyDescent="0.25">
      <c r="A1084" s="730"/>
      <c r="B1084" s="1286">
        <f t="shared" si="37"/>
        <v>20</v>
      </c>
      <c r="C1084" s="1290"/>
      <c r="D1084" s="1758"/>
      <c r="E1084" s="1758"/>
      <c r="F1084" s="1293" t="s">
        <v>1320</v>
      </c>
      <c r="G1084" s="1302"/>
      <c r="H1084" s="1322"/>
      <c r="I1084" s="1322"/>
      <c r="J1084" s="1322"/>
      <c r="K1084" s="1322"/>
      <c r="L1084" s="1322"/>
      <c r="M1084" s="1322"/>
      <c r="N1084" s="1353"/>
      <c r="O1084" s="1326"/>
      <c r="P1084" s="1322"/>
      <c r="Q1084" s="1323"/>
      <c r="R1084" s="1324"/>
      <c r="S1084" s="1325"/>
      <c r="T1084" s="1353"/>
      <c r="U1084" s="1463"/>
      <c r="V1084" s="1464"/>
      <c r="W1084" s="1482"/>
      <c r="X1084" s="1307"/>
    </row>
    <row r="1085" spans="1:24" s="1308" customFormat="1" ht="15" customHeight="1" x14ac:dyDescent="0.25">
      <c r="A1085" s="730"/>
      <c r="B1085" s="1286">
        <f t="shared" si="37"/>
        <v>21</v>
      </c>
      <c r="C1085" s="1290"/>
      <c r="D1085" s="1758" t="s">
        <v>1325</v>
      </c>
      <c r="E1085" s="1758" t="s">
        <v>1680</v>
      </c>
      <c r="F1085" s="1293" t="s">
        <v>1319</v>
      </c>
      <c r="G1085" s="1302"/>
      <c r="H1085" s="1322"/>
      <c r="I1085" s="1322"/>
      <c r="J1085" s="1322"/>
      <c r="K1085" s="1322"/>
      <c r="L1085" s="1322"/>
      <c r="M1085" s="1322"/>
      <c r="N1085" s="1353"/>
      <c r="O1085" s="1326"/>
      <c r="P1085" s="1322"/>
      <c r="Q1085" s="1323"/>
      <c r="R1085" s="1324"/>
      <c r="S1085" s="1325"/>
      <c r="T1085" s="1353"/>
      <c r="U1085" s="1463"/>
      <c r="V1085" s="1464"/>
      <c r="W1085" s="1482"/>
      <c r="X1085" s="1307"/>
    </row>
    <row r="1086" spans="1:24" s="1308" customFormat="1" ht="15" customHeight="1" x14ac:dyDescent="0.25">
      <c r="A1086" s="730"/>
      <c r="B1086" s="1286">
        <f t="shared" si="37"/>
        <v>22</v>
      </c>
      <c r="C1086" s="1290"/>
      <c r="D1086" s="1758"/>
      <c r="E1086" s="1758"/>
      <c r="F1086" s="1293" t="s">
        <v>1320</v>
      </c>
      <c r="G1086" s="1302"/>
      <c r="H1086" s="1322"/>
      <c r="I1086" s="1322"/>
      <c r="J1086" s="1322"/>
      <c r="K1086" s="1322"/>
      <c r="L1086" s="1322"/>
      <c r="M1086" s="1322"/>
      <c r="N1086" s="1353"/>
      <c r="O1086" s="1326"/>
      <c r="P1086" s="1322"/>
      <c r="Q1086" s="1323"/>
      <c r="R1086" s="1324"/>
      <c r="S1086" s="1325"/>
      <c r="T1086" s="1353"/>
      <c r="U1086" s="1463"/>
      <c r="V1086" s="1464"/>
      <c r="W1086" s="1482"/>
      <c r="X1086" s="1307"/>
    </row>
    <row r="1087" spans="1:24" s="1308" customFormat="1" ht="15" customHeight="1" x14ac:dyDescent="0.25">
      <c r="A1087" s="730"/>
      <c r="B1087" s="1286">
        <f t="shared" si="37"/>
        <v>23</v>
      </c>
      <c r="C1087" s="1290"/>
      <c r="D1087" s="1758"/>
      <c r="E1087" s="1758" t="s">
        <v>1433</v>
      </c>
      <c r="F1087" s="1293" t="s">
        <v>1319</v>
      </c>
      <c r="G1087" s="1302"/>
      <c r="H1087" s="1322"/>
      <c r="I1087" s="1322"/>
      <c r="J1087" s="1322"/>
      <c r="K1087" s="1322"/>
      <c r="L1087" s="1322"/>
      <c r="M1087" s="1322"/>
      <c r="N1087" s="1353"/>
      <c r="O1087" s="1326"/>
      <c r="P1087" s="1322"/>
      <c r="Q1087" s="1323"/>
      <c r="R1087" s="1324"/>
      <c r="S1087" s="1325"/>
      <c r="T1087" s="1353"/>
      <c r="U1087" s="1463"/>
      <c r="V1087" s="1464"/>
      <c r="W1087" s="1482"/>
      <c r="X1087" s="1307"/>
    </row>
    <row r="1088" spans="1:24" s="1308" customFormat="1" ht="15" customHeight="1" x14ac:dyDescent="0.25">
      <c r="A1088" s="730"/>
      <c r="B1088" s="1286">
        <f t="shared" si="37"/>
        <v>24</v>
      </c>
      <c r="C1088" s="1290"/>
      <c r="D1088" s="1758"/>
      <c r="E1088" s="1758"/>
      <c r="F1088" s="1293" t="s">
        <v>1320</v>
      </c>
      <c r="G1088" s="1302"/>
      <c r="H1088" s="1322"/>
      <c r="I1088" s="1322"/>
      <c r="J1088" s="1322"/>
      <c r="K1088" s="1322"/>
      <c r="L1088" s="1322"/>
      <c r="M1088" s="1322"/>
      <c r="N1088" s="1353"/>
      <c r="O1088" s="1326"/>
      <c r="P1088" s="1322"/>
      <c r="Q1088" s="1323"/>
      <c r="R1088" s="1324"/>
      <c r="S1088" s="1325"/>
      <c r="T1088" s="1353"/>
      <c r="U1088" s="1463"/>
      <c r="V1088" s="1464"/>
      <c r="W1088" s="1482"/>
      <c r="X1088" s="1307"/>
    </row>
    <row r="1089" spans="1:24" s="1308" customFormat="1" ht="15" customHeight="1" x14ac:dyDescent="0.25">
      <c r="A1089" s="730"/>
      <c r="B1089" s="1286">
        <f t="shared" si="37"/>
        <v>25</v>
      </c>
      <c r="C1089" s="1290"/>
      <c r="D1089" s="1758"/>
      <c r="E1089" s="1758" t="s">
        <v>1434</v>
      </c>
      <c r="F1089" s="1293" t="s">
        <v>1319</v>
      </c>
      <c r="G1089" s="1302"/>
      <c r="H1089" s="1322"/>
      <c r="I1089" s="1322"/>
      <c r="J1089" s="1322"/>
      <c r="K1089" s="1322"/>
      <c r="L1089" s="1322"/>
      <c r="M1089" s="1322"/>
      <c r="N1089" s="1353"/>
      <c r="O1089" s="1326"/>
      <c r="P1089" s="1322"/>
      <c r="Q1089" s="1323"/>
      <c r="R1089" s="1324"/>
      <c r="S1089" s="1325"/>
      <c r="T1089" s="1353"/>
      <c r="U1089" s="1463"/>
      <c r="V1089" s="1464"/>
      <c r="W1089" s="1482"/>
      <c r="X1089" s="1307"/>
    </row>
    <row r="1090" spans="1:24" s="1308" customFormat="1" ht="15" customHeight="1" x14ac:dyDescent="0.25">
      <c r="A1090" s="730"/>
      <c r="B1090" s="1286">
        <f t="shared" si="37"/>
        <v>26</v>
      </c>
      <c r="C1090" s="1290"/>
      <c r="D1090" s="1758"/>
      <c r="E1090" s="1758"/>
      <c r="F1090" s="1293" t="s">
        <v>1320</v>
      </c>
      <c r="G1090" s="1302"/>
      <c r="H1090" s="1322"/>
      <c r="I1090" s="1322"/>
      <c r="J1090" s="1322"/>
      <c r="K1090" s="1322"/>
      <c r="L1090" s="1322"/>
      <c r="M1090" s="1322"/>
      <c r="N1090" s="1353"/>
      <c r="O1090" s="1326"/>
      <c r="P1090" s="1322"/>
      <c r="Q1090" s="1323"/>
      <c r="R1090" s="1324"/>
      <c r="S1090" s="1325"/>
      <c r="T1090" s="1353"/>
      <c r="U1090" s="1463"/>
      <c r="V1090" s="1464"/>
      <c r="W1090" s="1482"/>
      <c r="X1090" s="1307"/>
    </row>
    <row r="1091" spans="1:24" s="1308" customFormat="1" ht="15" customHeight="1" x14ac:dyDescent="0.25">
      <c r="A1091" s="730"/>
      <c r="B1091" s="1286">
        <f t="shared" si="37"/>
        <v>27</v>
      </c>
      <c r="C1091" s="1290"/>
      <c r="D1091" s="1758"/>
      <c r="E1091" s="1758" t="s">
        <v>1681</v>
      </c>
      <c r="F1091" s="1293" t="s">
        <v>1319</v>
      </c>
      <c r="G1091" s="1302"/>
      <c r="H1091" s="1322"/>
      <c r="I1091" s="1322"/>
      <c r="J1091" s="1322"/>
      <c r="K1091" s="1322"/>
      <c r="L1091" s="1322"/>
      <c r="M1091" s="1322"/>
      <c r="N1091" s="1353"/>
      <c r="O1091" s="1326"/>
      <c r="P1091" s="1322"/>
      <c r="Q1091" s="1323"/>
      <c r="R1091" s="1324"/>
      <c r="S1091" s="1325"/>
      <c r="T1091" s="1353"/>
      <c r="U1091" s="1463"/>
      <c r="V1091" s="1464"/>
      <c r="W1091" s="1482"/>
      <c r="X1091" s="1307"/>
    </row>
    <row r="1092" spans="1:24" s="1308" customFormat="1" ht="15" customHeight="1" x14ac:dyDescent="0.25">
      <c r="A1092" s="730"/>
      <c r="B1092" s="1286">
        <f t="shared" si="37"/>
        <v>28</v>
      </c>
      <c r="C1092" s="1290"/>
      <c r="D1092" s="1758"/>
      <c r="E1092" s="1758"/>
      <c r="F1092" s="1293" t="s">
        <v>1320</v>
      </c>
      <c r="G1092" s="1302"/>
      <c r="H1092" s="1322"/>
      <c r="I1092" s="1322"/>
      <c r="J1092" s="1322"/>
      <c r="K1092" s="1322"/>
      <c r="L1092" s="1322"/>
      <c r="M1092" s="1322"/>
      <c r="N1092" s="1353"/>
      <c r="O1092" s="1326"/>
      <c r="P1092" s="1322"/>
      <c r="Q1092" s="1323"/>
      <c r="R1092" s="1324"/>
      <c r="S1092" s="1325"/>
      <c r="T1092" s="1353"/>
      <c r="U1092" s="1463"/>
      <c r="V1092" s="1464"/>
      <c r="W1092" s="1482"/>
      <c r="X1092" s="1307"/>
    </row>
    <row r="1093" spans="1:24" s="1308" customFormat="1" ht="15" customHeight="1" x14ac:dyDescent="0.25">
      <c r="A1093" s="730"/>
      <c r="B1093" s="1286">
        <f t="shared" si="37"/>
        <v>29</v>
      </c>
      <c r="C1093" s="1290"/>
      <c r="D1093" s="1758"/>
      <c r="E1093" s="1758" t="s">
        <v>1682</v>
      </c>
      <c r="F1093" s="1293" t="s">
        <v>1319</v>
      </c>
      <c r="G1093" s="1302"/>
      <c r="H1093" s="1322"/>
      <c r="I1093" s="1322"/>
      <c r="J1093" s="1322"/>
      <c r="K1093" s="1322"/>
      <c r="L1093" s="1322"/>
      <c r="M1093" s="1322"/>
      <c r="N1093" s="1353"/>
      <c r="O1093" s="1326"/>
      <c r="P1093" s="1322"/>
      <c r="Q1093" s="1323"/>
      <c r="R1093" s="1324"/>
      <c r="S1093" s="1325"/>
      <c r="T1093" s="1353"/>
      <c r="U1093" s="1463"/>
      <c r="V1093" s="1464"/>
      <c r="W1093" s="1482"/>
      <c r="X1093" s="1307"/>
    </row>
    <row r="1094" spans="1:24" s="1308" customFormat="1" ht="15" customHeight="1" x14ac:dyDescent="0.25">
      <c r="A1094" s="730"/>
      <c r="B1094" s="1286">
        <f t="shared" si="37"/>
        <v>30</v>
      </c>
      <c r="C1094" s="1290"/>
      <c r="D1094" s="1758"/>
      <c r="E1094" s="1758"/>
      <c r="F1094" s="1293" t="s">
        <v>1320</v>
      </c>
      <c r="G1094" s="1302"/>
      <c r="H1094" s="1322"/>
      <c r="I1094" s="1322"/>
      <c r="J1094" s="1322"/>
      <c r="K1094" s="1322"/>
      <c r="L1094" s="1322"/>
      <c r="M1094" s="1322"/>
      <c r="N1094" s="1353"/>
      <c r="O1094" s="1326"/>
      <c r="P1094" s="1322"/>
      <c r="Q1094" s="1323"/>
      <c r="R1094" s="1324"/>
      <c r="S1094" s="1325"/>
      <c r="T1094" s="1353"/>
      <c r="U1094" s="1463"/>
      <c r="V1094" s="1464"/>
      <c r="W1094" s="1482"/>
      <c r="X1094" s="1307"/>
    </row>
    <row r="1095" spans="1:24" s="1308" customFormat="1" ht="15" customHeight="1" x14ac:dyDescent="0.25">
      <c r="A1095" s="730"/>
      <c r="B1095" s="1286">
        <f t="shared" si="37"/>
        <v>31</v>
      </c>
      <c r="C1095" s="1290"/>
      <c r="D1095" s="1758" t="s">
        <v>1323</v>
      </c>
      <c r="E1095" s="1758" t="s">
        <v>1680</v>
      </c>
      <c r="F1095" s="1293" t="s">
        <v>1319</v>
      </c>
      <c r="G1095" s="1302"/>
      <c r="H1095" s="1322"/>
      <c r="I1095" s="1322"/>
      <c r="J1095" s="1322"/>
      <c r="K1095" s="1322"/>
      <c r="L1095" s="1322"/>
      <c r="M1095" s="1322"/>
      <c r="N1095" s="1353"/>
      <c r="O1095" s="1326"/>
      <c r="P1095" s="1322"/>
      <c r="Q1095" s="1323"/>
      <c r="R1095" s="1324"/>
      <c r="S1095" s="1325"/>
      <c r="T1095" s="1353"/>
      <c r="U1095" s="1463"/>
      <c r="V1095" s="1464"/>
      <c r="W1095" s="1482"/>
      <c r="X1095" s="1307"/>
    </row>
    <row r="1096" spans="1:24" s="1308" customFormat="1" ht="15" customHeight="1" x14ac:dyDescent="0.25">
      <c r="A1096" s="730"/>
      <c r="B1096" s="1286">
        <f t="shared" si="37"/>
        <v>32</v>
      </c>
      <c r="C1096" s="1290"/>
      <c r="D1096" s="1758"/>
      <c r="E1096" s="1758"/>
      <c r="F1096" s="1293" t="s">
        <v>1320</v>
      </c>
      <c r="G1096" s="1302"/>
      <c r="H1096" s="1322"/>
      <c r="I1096" s="1322"/>
      <c r="J1096" s="1322"/>
      <c r="K1096" s="1322"/>
      <c r="L1096" s="1322"/>
      <c r="M1096" s="1322"/>
      <c r="N1096" s="1353"/>
      <c r="O1096" s="1326"/>
      <c r="P1096" s="1322"/>
      <c r="Q1096" s="1323"/>
      <c r="R1096" s="1324"/>
      <c r="S1096" s="1325"/>
      <c r="T1096" s="1353"/>
      <c r="U1096" s="1463"/>
      <c r="V1096" s="1464"/>
      <c r="W1096" s="1482"/>
      <c r="X1096" s="1307"/>
    </row>
    <row r="1097" spans="1:24" s="1308" customFormat="1" ht="15" customHeight="1" x14ac:dyDescent="0.25">
      <c r="A1097" s="730"/>
      <c r="B1097" s="1286">
        <f t="shared" si="37"/>
        <v>33</v>
      </c>
      <c r="C1097" s="1290"/>
      <c r="D1097" s="1758"/>
      <c r="E1097" s="1758" t="s">
        <v>1433</v>
      </c>
      <c r="F1097" s="1293" t="s">
        <v>1319</v>
      </c>
      <c r="G1097" s="1302"/>
      <c r="H1097" s="1322"/>
      <c r="I1097" s="1322"/>
      <c r="J1097" s="1322"/>
      <c r="K1097" s="1322"/>
      <c r="L1097" s="1322"/>
      <c r="M1097" s="1322"/>
      <c r="N1097" s="1353"/>
      <c r="O1097" s="1326"/>
      <c r="P1097" s="1322"/>
      <c r="Q1097" s="1323"/>
      <c r="R1097" s="1324"/>
      <c r="S1097" s="1325"/>
      <c r="T1097" s="1353"/>
      <c r="U1097" s="1463"/>
      <c r="V1097" s="1464"/>
      <c r="W1097" s="1482"/>
      <c r="X1097" s="1307"/>
    </row>
    <row r="1098" spans="1:24" s="1308" customFormat="1" ht="15" customHeight="1" x14ac:dyDescent="0.25">
      <c r="A1098" s="730"/>
      <c r="B1098" s="1286">
        <f t="shared" si="37"/>
        <v>34</v>
      </c>
      <c r="C1098" s="1290"/>
      <c r="D1098" s="1758"/>
      <c r="E1098" s="1758"/>
      <c r="F1098" s="1293" t="s">
        <v>1320</v>
      </c>
      <c r="G1098" s="1302"/>
      <c r="H1098" s="1322"/>
      <c r="I1098" s="1322"/>
      <c r="J1098" s="1322"/>
      <c r="K1098" s="1322"/>
      <c r="L1098" s="1322"/>
      <c r="M1098" s="1322"/>
      <c r="N1098" s="1353"/>
      <c r="O1098" s="1326"/>
      <c r="P1098" s="1322"/>
      <c r="Q1098" s="1323"/>
      <c r="R1098" s="1324"/>
      <c r="S1098" s="1325"/>
      <c r="T1098" s="1353"/>
      <c r="U1098" s="1463"/>
      <c r="V1098" s="1464"/>
      <c r="W1098" s="1482"/>
      <c r="X1098" s="1307"/>
    </row>
    <row r="1099" spans="1:24" s="1308" customFormat="1" ht="15" customHeight="1" x14ac:dyDescent="0.25">
      <c r="A1099" s="730"/>
      <c r="B1099" s="1286">
        <f t="shared" si="37"/>
        <v>35</v>
      </c>
      <c r="C1099" s="1290"/>
      <c r="D1099" s="1758"/>
      <c r="E1099" s="1758" t="s">
        <v>1434</v>
      </c>
      <c r="F1099" s="1293" t="s">
        <v>1319</v>
      </c>
      <c r="G1099" s="1302"/>
      <c r="H1099" s="1322"/>
      <c r="I1099" s="1322"/>
      <c r="J1099" s="1322"/>
      <c r="K1099" s="1322"/>
      <c r="L1099" s="1322"/>
      <c r="M1099" s="1322"/>
      <c r="N1099" s="1353"/>
      <c r="O1099" s="1326"/>
      <c r="P1099" s="1322"/>
      <c r="Q1099" s="1323"/>
      <c r="R1099" s="1324"/>
      <c r="S1099" s="1325"/>
      <c r="T1099" s="1353"/>
      <c r="U1099" s="1463"/>
      <c r="V1099" s="1464"/>
      <c r="W1099" s="1482"/>
      <c r="X1099" s="1307"/>
    </row>
    <row r="1100" spans="1:24" s="1308" customFormat="1" ht="15" customHeight="1" x14ac:dyDescent="0.25">
      <c r="A1100" s="730"/>
      <c r="B1100" s="1286">
        <f t="shared" si="37"/>
        <v>36</v>
      </c>
      <c r="C1100" s="1290"/>
      <c r="D1100" s="1758"/>
      <c r="E1100" s="1758"/>
      <c r="F1100" s="1293" t="s">
        <v>1320</v>
      </c>
      <c r="G1100" s="1302"/>
      <c r="H1100" s="1322"/>
      <c r="I1100" s="1322"/>
      <c r="J1100" s="1322"/>
      <c r="K1100" s="1322"/>
      <c r="L1100" s="1322"/>
      <c r="M1100" s="1322"/>
      <c r="N1100" s="1353"/>
      <c r="O1100" s="1326"/>
      <c r="P1100" s="1322"/>
      <c r="Q1100" s="1323"/>
      <c r="R1100" s="1324"/>
      <c r="S1100" s="1325"/>
      <c r="T1100" s="1353"/>
      <c r="U1100" s="1463"/>
      <c r="V1100" s="1464"/>
      <c r="W1100" s="1482"/>
      <c r="X1100" s="1307"/>
    </row>
    <row r="1101" spans="1:24" s="1308" customFormat="1" ht="15" customHeight="1" x14ac:dyDescent="0.25">
      <c r="A1101" s="730"/>
      <c r="B1101" s="1286">
        <f t="shared" si="37"/>
        <v>37</v>
      </c>
      <c r="C1101" s="1290"/>
      <c r="D1101" s="1758"/>
      <c r="E1101" s="1758" t="s">
        <v>1681</v>
      </c>
      <c r="F1101" s="1293" t="s">
        <v>1319</v>
      </c>
      <c r="G1101" s="1302"/>
      <c r="H1101" s="1322"/>
      <c r="I1101" s="1322"/>
      <c r="J1101" s="1322"/>
      <c r="K1101" s="1322"/>
      <c r="L1101" s="1322"/>
      <c r="M1101" s="1322"/>
      <c r="N1101" s="1353"/>
      <c r="O1101" s="1326"/>
      <c r="P1101" s="1322"/>
      <c r="Q1101" s="1323"/>
      <c r="R1101" s="1324"/>
      <c r="S1101" s="1325"/>
      <c r="T1101" s="1353"/>
      <c r="U1101" s="1463"/>
      <c r="V1101" s="1464"/>
      <c r="W1101" s="1482"/>
      <c r="X1101" s="1307"/>
    </row>
    <row r="1102" spans="1:24" s="1308" customFormat="1" ht="15" customHeight="1" x14ac:dyDescent="0.25">
      <c r="A1102" s="730"/>
      <c r="B1102" s="1286">
        <f t="shared" si="37"/>
        <v>38</v>
      </c>
      <c r="C1102" s="1290"/>
      <c r="D1102" s="1758"/>
      <c r="E1102" s="1758"/>
      <c r="F1102" s="1293" t="s">
        <v>1320</v>
      </c>
      <c r="G1102" s="1302"/>
      <c r="H1102" s="1322"/>
      <c r="I1102" s="1322"/>
      <c r="J1102" s="1322"/>
      <c r="K1102" s="1322"/>
      <c r="L1102" s="1322"/>
      <c r="M1102" s="1322"/>
      <c r="N1102" s="1353"/>
      <c r="O1102" s="1326"/>
      <c r="P1102" s="1322"/>
      <c r="Q1102" s="1323"/>
      <c r="R1102" s="1324"/>
      <c r="S1102" s="1325"/>
      <c r="T1102" s="1353"/>
      <c r="U1102" s="1463"/>
      <c r="V1102" s="1464"/>
      <c r="W1102" s="1482"/>
      <c r="X1102" s="1307"/>
    </row>
    <row r="1103" spans="1:24" s="1308" customFormat="1" ht="15" customHeight="1" x14ac:dyDescent="0.25">
      <c r="A1103" s="730"/>
      <c r="B1103" s="1286">
        <f t="shared" si="37"/>
        <v>39</v>
      </c>
      <c r="C1103" s="1290"/>
      <c r="D1103" s="1758"/>
      <c r="E1103" s="1758" t="s">
        <v>1682</v>
      </c>
      <c r="F1103" s="1293" t="s">
        <v>1319</v>
      </c>
      <c r="G1103" s="1302"/>
      <c r="H1103" s="1322"/>
      <c r="I1103" s="1322"/>
      <c r="J1103" s="1322"/>
      <c r="K1103" s="1322"/>
      <c r="L1103" s="1322"/>
      <c r="M1103" s="1322"/>
      <c r="N1103" s="1353"/>
      <c r="O1103" s="1326"/>
      <c r="P1103" s="1322"/>
      <c r="Q1103" s="1323"/>
      <c r="R1103" s="1324"/>
      <c r="S1103" s="1325"/>
      <c r="T1103" s="1353"/>
      <c r="U1103" s="1463"/>
      <c r="V1103" s="1464"/>
      <c r="W1103" s="1482"/>
      <c r="X1103" s="1307"/>
    </row>
    <row r="1104" spans="1:24" s="1308" customFormat="1" ht="15" customHeight="1" x14ac:dyDescent="0.25">
      <c r="A1104" s="730"/>
      <c r="B1104" s="1286">
        <f t="shared" si="37"/>
        <v>40</v>
      </c>
      <c r="C1104" s="1290"/>
      <c r="D1104" s="1758"/>
      <c r="E1104" s="1758"/>
      <c r="F1104" s="1293" t="s">
        <v>1320</v>
      </c>
      <c r="G1104" s="1302"/>
      <c r="H1104" s="1322"/>
      <c r="I1104" s="1322"/>
      <c r="J1104" s="1322"/>
      <c r="K1104" s="1322"/>
      <c r="L1104" s="1322"/>
      <c r="M1104" s="1322"/>
      <c r="N1104" s="1353"/>
      <c r="O1104" s="1326"/>
      <c r="P1104" s="1322"/>
      <c r="Q1104" s="1323"/>
      <c r="R1104" s="1324"/>
      <c r="S1104" s="1325"/>
      <c r="T1104" s="1353"/>
      <c r="U1104" s="1463"/>
      <c r="V1104" s="1464"/>
      <c r="W1104" s="1482"/>
      <c r="X1104" s="1307"/>
    </row>
    <row r="1105" spans="1:24" s="1308" customFormat="1" ht="15" customHeight="1" x14ac:dyDescent="0.25">
      <c r="A1105" s="730"/>
      <c r="B1105" s="1286">
        <f t="shared" si="37"/>
        <v>41</v>
      </c>
      <c r="C1105" s="1290"/>
      <c r="D1105" s="1758" t="s">
        <v>1326</v>
      </c>
      <c r="E1105" s="1758" t="s">
        <v>1680</v>
      </c>
      <c r="F1105" s="1293" t="s">
        <v>1319</v>
      </c>
      <c r="G1105" s="1302"/>
      <c r="H1105" s="1322"/>
      <c r="I1105" s="1322"/>
      <c r="J1105" s="1322"/>
      <c r="K1105" s="1322"/>
      <c r="L1105" s="1322"/>
      <c r="M1105" s="1322"/>
      <c r="N1105" s="1353"/>
      <c r="O1105" s="1326"/>
      <c r="P1105" s="1322"/>
      <c r="Q1105" s="1323"/>
      <c r="R1105" s="1324"/>
      <c r="S1105" s="1325"/>
      <c r="T1105" s="1353"/>
      <c r="U1105" s="1463"/>
      <c r="V1105" s="1464"/>
      <c r="W1105" s="1482"/>
      <c r="X1105" s="1307"/>
    </row>
    <row r="1106" spans="1:24" s="1308" customFormat="1" ht="15" customHeight="1" x14ac:dyDescent="0.25">
      <c r="A1106" s="730"/>
      <c r="B1106" s="1286">
        <f t="shared" si="37"/>
        <v>42</v>
      </c>
      <c r="C1106" s="1290"/>
      <c r="D1106" s="1758"/>
      <c r="E1106" s="1758"/>
      <c r="F1106" s="1293" t="s">
        <v>1320</v>
      </c>
      <c r="G1106" s="1302"/>
      <c r="H1106" s="1322"/>
      <c r="I1106" s="1322"/>
      <c r="J1106" s="1322"/>
      <c r="K1106" s="1322"/>
      <c r="L1106" s="1322"/>
      <c r="M1106" s="1322"/>
      <c r="N1106" s="1353"/>
      <c r="O1106" s="1326"/>
      <c r="P1106" s="1322"/>
      <c r="Q1106" s="1323"/>
      <c r="R1106" s="1324"/>
      <c r="S1106" s="1325"/>
      <c r="T1106" s="1353"/>
      <c r="U1106" s="1463"/>
      <c r="V1106" s="1464"/>
      <c r="W1106" s="1482"/>
      <c r="X1106" s="1307"/>
    </row>
    <row r="1107" spans="1:24" s="1308" customFormat="1" ht="15" customHeight="1" x14ac:dyDescent="0.25">
      <c r="A1107" s="730"/>
      <c r="B1107" s="1286">
        <f t="shared" si="37"/>
        <v>43</v>
      </c>
      <c r="C1107" s="1290"/>
      <c r="D1107" s="1758"/>
      <c r="E1107" s="1758" t="s">
        <v>1433</v>
      </c>
      <c r="F1107" s="1293" t="s">
        <v>1319</v>
      </c>
      <c r="G1107" s="1302"/>
      <c r="H1107" s="1322"/>
      <c r="I1107" s="1322"/>
      <c r="J1107" s="1322"/>
      <c r="K1107" s="1322"/>
      <c r="L1107" s="1322"/>
      <c r="M1107" s="1322"/>
      <c r="N1107" s="1353"/>
      <c r="O1107" s="1326"/>
      <c r="P1107" s="1322"/>
      <c r="Q1107" s="1323"/>
      <c r="R1107" s="1324"/>
      <c r="S1107" s="1325"/>
      <c r="T1107" s="1353"/>
      <c r="U1107" s="1463"/>
      <c r="V1107" s="1464"/>
      <c r="W1107" s="1482"/>
      <c r="X1107" s="1307"/>
    </row>
    <row r="1108" spans="1:24" s="1308" customFormat="1" ht="15" customHeight="1" x14ac:dyDescent="0.25">
      <c r="A1108" s="730"/>
      <c r="B1108" s="1286">
        <f t="shared" si="37"/>
        <v>44</v>
      </c>
      <c r="C1108" s="1290"/>
      <c r="D1108" s="1758"/>
      <c r="E1108" s="1758"/>
      <c r="F1108" s="1293" t="s">
        <v>1320</v>
      </c>
      <c r="G1108" s="1302"/>
      <c r="H1108" s="1322"/>
      <c r="I1108" s="1322"/>
      <c r="J1108" s="1322"/>
      <c r="K1108" s="1322"/>
      <c r="L1108" s="1322"/>
      <c r="M1108" s="1322"/>
      <c r="N1108" s="1353"/>
      <c r="O1108" s="1326"/>
      <c r="P1108" s="1322"/>
      <c r="Q1108" s="1323"/>
      <c r="R1108" s="1324"/>
      <c r="S1108" s="1325"/>
      <c r="T1108" s="1353"/>
      <c r="U1108" s="1463"/>
      <c r="V1108" s="1464"/>
      <c r="W1108" s="1482"/>
      <c r="X1108" s="1307"/>
    </row>
    <row r="1109" spans="1:24" s="1308" customFormat="1" ht="15" customHeight="1" x14ac:dyDescent="0.25">
      <c r="A1109" s="730"/>
      <c r="B1109" s="1286">
        <f t="shared" si="37"/>
        <v>45</v>
      </c>
      <c r="C1109" s="1290"/>
      <c r="D1109" s="1758"/>
      <c r="E1109" s="1758" t="s">
        <v>1434</v>
      </c>
      <c r="F1109" s="1293" t="s">
        <v>1319</v>
      </c>
      <c r="G1109" s="1302"/>
      <c r="H1109" s="1322"/>
      <c r="I1109" s="1322"/>
      <c r="J1109" s="1322"/>
      <c r="K1109" s="1322"/>
      <c r="L1109" s="1322"/>
      <c r="M1109" s="1322"/>
      <c r="N1109" s="1353"/>
      <c r="O1109" s="1326"/>
      <c r="P1109" s="1322"/>
      <c r="Q1109" s="1323"/>
      <c r="R1109" s="1324"/>
      <c r="S1109" s="1325"/>
      <c r="T1109" s="1353"/>
      <c r="U1109" s="1463"/>
      <c r="V1109" s="1464"/>
      <c r="W1109" s="1482"/>
      <c r="X1109" s="1307"/>
    </row>
    <row r="1110" spans="1:24" s="1308" customFormat="1" ht="15" customHeight="1" x14ac:dyDescent="0.25">
      <c r="A1110" s="730"/>
      <c r="B1110" s="1286">
        <f t="shared" si="37"/>
        <v>46</v>
      </c>
      <c r="C1110" s="1290"/>
      <c r="D1110" s="1758"/>
      <c r="E1110" s="1758"/>
      <c r="F1110" s="1293" t="s">
        <v>1320</v>
      </c>
      <c r="G1110" s="1302"/>
      <c r="H1110" s="1322"/>
      <c r="I1110" s="1322"/>
      <c r="J1110" s="1322"/>
      <c r="K1110" s="1322"/>
      <c r="L1110" s="1322"/>
      <c r="M1110" s="1322"/>
      <c r="N1110" s="1353"/>
      <c r="O1110" s="1326"/>
      <c r="P1110" s="1322"/>
      <c r="Q1110" s="1323"/>
      <c r="R1110" s="1324"/>
      <c r="S1110" s="1325"/>
      <c r="T1110" s="1353"/>
      <c r="U1110" s="1463"/>
      <c r="V1110" s="1464"/>
      <c r="W1110" s="1482"/>
      <c r="X1110" s="1307"/>
    </row>
    <row r="1111" spans="1:24" s="1308" customFormat="1" ht="15" customHeight="1" x14ac:dyDescent="0.25">
      <c r="A1111" s="730"/>
      <c r="B1111" s="1286">
        <f t="shared" si="37"/>
        <v>47</v>
      </c>
      <c r="C1111" s="1290"/>
      <c r="D1111" s="1758"/>
      <c r="E1111" s="1758" t="s">
        <v>1681</v>
      </c>
      <c r="F1111" s="1293" t="s">
        <v>1319</v>
      </c>
      <c r="G1111" s="1302"/>
      <c r="H1111" s="1322"/>
      <c r="I1111" s="1322"/>
      <c r="J1111" s="1322"/>
      <c r="K1111" s="1322"/>
      <c r="L1111" s="1322"/>
      <c r="M1111" s="1322"/>
      <c r="N1111" s="1353"/>
      <c r="O1111" s="1326"/>
      <c r="P1111" s="1322"/>
      <c r="Q1111" s="1323"/>
      <c r="R1111" s="1324"/>
      <c r="S1111" s="1325"/>
      <c r="T1111" s="1353"/>
      <c r="U1111" s="1463"/>
      <c r="V1111" s="1464"/>
      <c r="W1111" s="1482"/>
      <c r="X1111" s="1307"/>
    </row>
    <row r="1112" spans="1:24" s="1308" customFormat="1" ht="15" customHeight="1" x14ac:dyDescent="0.25">
      <c r="A1112" s="730"/>
      <c r="B1112" s="1286">
        <f t="shared" si="37"/>
        <v>48</v>
      </c>
      <c r="C1112" s="1290"/>
      <c r="D1112" s="1758"/>
      <c r="E1112" s="1758"/>
      <c r="F1112" s="1293" t="s">
        <v>1320</v>
      </c>
      <c r="G1112" s="1302"/>
      <c r="H1112" s="1322"/>
      <c r="I1112" s="1322"/>
      <c r="J1112" s="1322"/>
      <c r="K1112" s="1322"/>
      <c r="L1112" s="1322"/>
      <c r="M1112" s="1322"/>
      <c r="N1112" s="1353"/>
      <c r="O1112" s="1326"/>
      <c r="P1112" s="1322"/>
      <c r="Q1112" s="1323"/>
      <c r="R1112" s="1324"/>
      <c r="S1112" s="1325"/>
      <c r="T1112" s="1353"/>
      <c r="U1112" s="1463"/>
      <c r="V1112" s="1464"/>
      <c r="W1112" s="1482"/>
      <c r="X1112" s="1307"/>
    </row>
    <row r="1113" spans="1:24" s="1308" customFormat="1" ht="15" customHeight="1" x14ac:dyDescent="0.25">
      <c r="A1113" s="730"/>
      <c r="B1113" s="1286">
        <f t="shared" si="37"/>
        <v>49</v>
      </c>
      <c r="C1113" s="1290"/>
      <c r="D1113" s="1758"/>
      <c r="E1113" s="1758" t="s">
        <v>1682</v>
      </c>
      <c r="F1113" s="1293" t="s">
        <v>1319</v>
      </c>
      <c r="G1113" s="1302"/>
      <c r="H1113" s="1322"/>
      <c r="I1113" s="1322"/>
      <c r="J1113" s="1322"/>
      <c r="K1113" s="1322"/>
      <c r="L1113" s="1322"/>
      <c r="M1113" s="1322"/>
      <c r="N1113" s="1353"/>
      <c r="O1113" s="1326"/>
      <c r="P1113" s="1322"/>
      <c r="Q1113" s="1323"/>
      <c r="R1113" s="1324"/>
      <c r="S1113" s="1325"/>
      <c r="T1113" s="1353"/>
      <c r="U1113" s="1463"/>
      <c r="V1113" s="1464"/>
      <c r="W1113" s="1482"/>
      <c r="X1113" s="1307"/>
    </row>
    <row r="1114" spans="1:24" s="1308" customFormat="1" ht="15" customHeight="1" x14ac:dyDescent="0.25">
      <c r="A1114" s="730"/>
      <c r="B1114" s="1286">
        <f t="shared" si="37"/>
        <v>50</v>
      </c>
      <c r="C1114" s="1290"/>
      <c r="D1114" s="1758"/>
      <c r="E1114" s="1758"/>
      <c r="F1114" s="1293" t="s">
        <v>1320</v>
      </c>
      <c r="G1114" s="1302"/>
      <c r="H1114" s="1322"/>
      <c r="I1114" s="1322"/>
      <c r="J1114" s="1322"/>
      <c r="K1114" s="1322"/>
      <c r="L1114" s="1322"/>
      <c r="M1114" s="1322"/>
      <c r="N1114" s="1353"/>
      <c r="O1114" s="1326"/>
      <c r="P1114" s="1322"/>
      <c r="Q1114" s="1323"/>
      <c r="R1114" s="1324"/>
      <c r="S1114" s="1325"/>
      <c r="T1114" s="1353"/>
      <c r="U1114" s="1463"/>
      <c r="V1114" s="1464"/>
      <c r="W1114" s="1482"/>
      <c r="X1114" s="1307"/>
    </row>
    <row r="1115" spans="1:24" s="1308" customFormat="1" ht="15" customHeight="1" x14ac:dyDescent="0.25">
      <c r="A1115" s="730"/>
      <c r="B1115" s="1286">
        <f t="shared" si="37"/>
        <v>51</v>
      </c>
      <c r="C1115" s="1290"/>
      <c r="D1115" s="1758" t="s">
        <v>1327</v>
      </c>
      <c r="E1115" s="1758" t="s">
        <v>1680</v>
      </c>
      <c r="F1115" s="1293" t="s">
        <v>1319</v>
      </c>
      <c r="G1115" s="1302"/>
      <c r="H1115" s="1322"/>
      <c r="I1115" s="1322"/>
      <c r="J1115" s="1322"/>
      <c r="K1115" s="1322"/>
      <c r="L1115" s="1322"/>
      <c r="M1115" s="1322"/>
      <c r="N1115" s="1353"/>
      <c r="O1115" s="1326"/>
      <c r="P1115" s="1322"/>
      <c r="Q1115" s="1323"/>
      <c r="R1115" s="1324"/>
      <c r="S1115" s="1325"/>
      <c r="T1115" s="1353"/>
      <c r="U1115" s="1463"/>
      <c r="V1115" s="1464"/>
      <c r="W1115" s="1482"/>
      <c r="X1115" s="1307"/>
    </row>
    <row r="1116" spans="1:24" s="1308" customFormat="1" ht="15" customHeight="1" x14ac:dyDescent="0.25">
      <c r="A1116" s="730"/>
      <c r="B1116" s="1286">
        <f t="shared" si="37"/>
        <v>52</v>
      </c>
      <c r="C1116" s="1290"/>
      <c r="D1116" s="1758"/>
      <c r="E1116" s="1758"/>
      <c r="F1116" s="1293" t="s">
        <v>1320</v>
      </c>
      <c r="G1116" s="1302"/>
      <c r="H1116" s="1322"/>
      <c r="I1116" s="1322"/>
      <c r="J1116" s="1322"/>
      <c r="K1116" s="1322"/>
      <c r="L1116" s="1322"/>
      <c r="M1116" s="1322"/>
      <c r="N1116" s="1353"/>
      <c r="O1116" s="1326"/>
      <c r="P1116" s="1322"/>
      <c r="Q1116" s="1323"/>
      <c r="R1116" s="1324"/>
      <c r="S1116" s="1325"/>
      <c r="T1116" s="1353"/>
      <c r="U1116" s="1463"/>
      <c r="V1116" s="1464"/>
      <c r="W1116" s="1482"/>
      <c r="X1116" s="1307"/>
    </row>
    <row r="1117" spans="1:24" s="1308" customFormat="1" ht="15" customHeight="1" x14ac:dyDescent="0.25">
      <c r="A1117" s="730"/>
      <c r="B1117" s="1286">
        <f t="shared" si="37"/>
        <v>53</v>
      </c>
      <c r="C1117" s="1290"/>
      <c r="D1117" s="1758"/>
      <c r="E1117" s="1758" t="s">
        <v>1433</v>
      </c>
      <c r="F1117" s="1293" t="s">
        <v>1319</v>
      </c>
      <c r="G1117" s="1302"/>
      <c r="H1117" s="1322"/>
      <c r="I1117" s="1322"/>
      <c r="J1117" s="1322"/>
      <c r="K1117" s="1322"/>
      <c r="L1117" s="1322"/>
      <c r="M1117" s="1322"/>
      <c r="N1117" s="1353"/>
      <c r="O1117" s="1326"/>
      <c r="P1117" s="1322"/>
      <c r="Q1117" s="1323"/>
      <c r="R1117" s="1324"/>
      <c r="S1117" s="1325"/>
      <c r="T1117" s="1353"/>
      <c r="U1117" s="1463"/>
      <c r="V1117" s="1464"/>
      <c r="W1117" s="1482"/>
      <c r="X1117" s="1307"/>
    </row>
    <row r="1118" spans="1:24" s="1308" customFormat="1" ht="15" customHeight="1" x14ac:dyDescent="0.25">
      <c r="A1118" s="730"/>
      <c r="B1118" s="1286">
        <f t="shared" si="37"/>
        <v>54</v>
      </c>
      <c r="C1118" s="1290"/>
      <c r="D1118" s="1758"/>
      <c r="E1118" s="1758"/>
      <c r="F1118" s="1293" t="s">
        <v>1320</v>
      </c>
      <c r="G1118" s="1302"/>
      <c r="H1118" s="1322"/>
      <c r="I1118" s="1322"/>
      <c r="J1118" s="1322"/>
      <c r="K1118" s="1322"/>
      <c r="L1118" s="1322"/>
      <c r="M1118" s="1322"/>
      <c r="N1118" s="1353"/>
      <c r="O1118" s="1326"/>
      <c r="P1118" s="1322"/>
      <c r="Q1118" s="1323"/>
      <c r="R1118" s="1324"/>
      <c r="S1118" s="1325"/>
      <c r="T1118" s="1353"/>
      <c r="U1118" s="1463"/>
      <c r="V1118" s="1464"/>
      <c r="W1118" s="1482"/>
      <c r="X1118" s="1307"/>
    </row>
    <row r="1119" spans="1:24" s="1308" customFormat="1" ht="15" customHeight="1" x14ac:dyDescent="0.25">
      <c r="A1119" s="730"/>
      <c r="B1119" s="1286">
        <f t="shared" si="37"/>
        <v>55</v>
      </c>
      <c r="C1119" s="1290"/>
      <c r="D1119" s="1758"/>
      <c r="E1119" s="1758" t="s">
        <v>1434</v>
      </c>
      <c r="F1119" s="1293" t="s">
        <v>1319</v>
      </c>
      <c r="G1119" s="1302"/>
      <c r="H1119" s="1322"/>
      <c r="I1119" s="1322"/>
      <c r="J1119" s="1322"/>
      <c r="K1119" s="1322"/>
      <c r="L1119" s="1322"/>
      <c r="M1119" s="1322"/>
      <c r="N1119" s="1353"/>
      <c r="O1119" s="1326"/>
      <c r="P1119" s="1322"/>
      <c r="Q1119" s="1323"/>
      <c r="R1119" s="1324"/>
      <c r="S1119" s="1325"/>
      <c r="T1119" s="1353"/>
      <c r="U1119" s="1463"/>
      <c r="V1119" s="1464"/>
      <c r="W1119" s="1482"/>
      <c r="X1119" s="1307"/>
    </row>
    <row r="1120" spans="1:24" s="1308" customFormat="1" ht="15" customHeight="1" x14ac:dyDescent="0.25">
      <c r="A1120" s="730"/>
      <c r="B1120" s="1286">
        <f t="shared" si="37"/>
        <v>56</v>
      </c>
      <c r="C1120" s="1290"/>
      <c r="D1120" s="1758"/>
      <c r="E1120" s="1758"/>
      <c r="F1120" s="1293" t="s">
        <v>1320</v>
      </c>
      <c r="G1120" s="1302"/>
      <c r="H1120" s="1322"/>
      <c r="I1120" s="1322"/>
      <c r="J1120" s="1322"/>
      <c r="K1120" s="1322"/>
      <c r="L1120" s="1322"/>
      <c r="M1120" s="1322"/>
      <c r="N1120" s="1353"/>
      <c r="O1120" s="1326"/>
      <c r="P1120" s="1322"/>
      <c r="Q1120" s="1323"/>
      <c r="R1120" s="1324"/>
      <c r="S1120" s="1325"/>
      <c r="T1120" s="1353"/>
      <c r="U1120" s="1463"/>
      <c r="V1120" s="1464"/>
      <c r="W1120" s="1482"/>
      <c r="X1120" s="1307"/>
    </row>
    <row r="1121" spans="1:24" s="1308" customFormat="1" ht="15" customHeight="1" x14ac:dyDescent="0.25">
      <c r="A1121" s="730"/>
      <c r="B1121" s="1286">
        <f t="shared" si="37"/>
        <v>57</v>
      </c>
      <c r="C1121" s="1290"/>
      <c r="D1121" s="1758"/>
      <c r="E1121" s="1758" t="s">
        <v>1681</v>
      </c>
      <c r="F1121" s="1293" t="s">
        <v>1319</v>
      </c>
      <c r="G1121" s="1302"/>
      <c r="H1121" s="1322"/>
      <c r="I1121" s="1322"/>
      <c r="J1121" s="1322"/>
      <c r="K1121" s="1322"/>
      <c r="L1121" s="1322"/>
      <c r="M1121" s="1322"/>
      <c r="N1121" s="1353"/>
      <c r="O1121" s="1326"/>
      <c r="P1121" s="1322"/>
      <c r="Q1121" s="1323"/>
      <c r="R1121" s="1324"/>
      <c r="S1121" s="1325"/>
      <c r="T1121" s="1353"/>
      <c r="U1121" s="1463"/>
      <c r="V1121" s="1464"/>
      <c r="W1121" s="1482"/>
      <c r="X1121" s="1307"/>
    </row>
    <row r="1122" spans="1:24" s="1308" customFormat="1" ht="15" customHeight="1" x14ac:dyDescent="0.25">
      <c r="A1122" s="730"/>
      <c r="B1122" s="1286">
        <f t="shared" si="37"/>
        <v>58</v>
      </c>
      <c r="C1122" s="1290"/>
      <c r="D1122" s="1758"/>
      <c r="E1122" s="1758"/>
      <c r="F1122" s="1293" t="s">
        <v>1320</v>
      </c>
      <c r="G1122" s="1302"/>
      <c r="H1122" s="1322"/>
      <c r="I1122" s="1322"/>
      <c r="J1122" s="1322"/>
      <c r="K1122" s="1322"/>
      <c r="L1122" s="1322"/>
      <c r="M1122" s="1322"/>
      <c r="N1122" s="1353"/>
      <c r="O1122" s="1326"/>
      <c r="P1122" s="1322"/>
      <c r="Q1122" s="1323"/>
      <c r="R1122" s="1324"/>
      <c r="S1122" s="1325"/>
      <c r="T1122" s="1353"/>
      <c r="U1122" s="1463"/>
      <c r="V1122" s="1464"/>
      <c r="W1122" s="1482"/>
      <c r="X1122" s="1307"/>
    </row>
    <row r="1123" spans="1:24" s="1308" customFormat="1" ht="15" customHeight="1" x14ac:dyDescent="0.25">
      <c r="A1123" s="730"/>
      <c r="B1123" s="1286">
        <f t="shared" si="37"/>
        <v>59</v>
      </c>
      <c r="C1123" s="1290"/>
      <c r="D1123" s="1758"/>
      <c r="E1123" s="1758" t="s">
        <v>1682</v>
      </c>
      <c r="F1123" s="1293" t="s">
        <v>1319</v>
      </c>
      <c r="G1123" s="1302"/>
      <c r="H1123" s="1322"/>
      <c r="I1123" s="1322"/>
      <c r="J1123" s="1322"/>
      <c r="K1123" s="1322"/>
      <c r="L1123" s="1322"/>
      <c r="M1123" s="1322"/>
      <c r="N1123" s="1353"/>
      <c r="O1123" s="1326"/>
      <c r="P1123" s="1322"/>
      <c r="Q1123" s="1323"/>
      <c r="R1123" s="1324"/>
      <c r="S1123" s="1325"/>
      <c r="T1123" s="1353"/>
      <c r="U1123" s="1463"/>
      <c r="V1123" s="1464"/>
      <c r="W1123" s="1482"/>
      <c r="X1123" s="1307"/>
    </row>
    <row r="1124" spans="1:24" s="1308" customFormat="1" ht="15" customHeight="1" x14ac:dyDescent="0.25">
      <c r="A1124" s="730"/>
      <c r="B1124" s="1286">
        <f t="shared" si="37"/>
        <v>60</v>
      </c>
      <c r="C1124" s="1290"/>
      <c r="D1124" s="1758"/>
      <c r="E1124" s="1758"/>
      <c r="F1124" s="1293" t="s">
        <v>1320</v>
      </c>
      <c r="G1124" s="1302"/>
      <c r="H1124" s="1322"/>
      <c r="I1124" s="1322"/>
      <c r="J1124" s="1322"/>
      <c r="K1124" s="1322"/>
      <c r="L1124" s="1322"/>
      <c r="M1124" s="1322"/>
      <c r="N1124" s="1353"/>
      <c r="O1124" s="1326"/>
      <c r="P1124" s="1322"/>
      <c r="Q1124" s="1323"/>
      <c r="R1124" s="1324"/>
      <c r="S1124" s="1325"/>
      <c r="T1124" s="1353"/>
      <c r="U1124" s="1463"/>
      <c r="V1124" s="1464"/>
      <c r="W1124" s="1482"/>
      <c r="X1124" s="1307"/>
    </row>
    <row r="1125" spans="1:24" s="1308" customFormat="1" ht="15" customHeight="1" x14ac:dyDescent="0.25">
      <c r="A1125" s="730"/>
      <c r="B1125" s="1286">
        <f t="shared" si="37"/>
        <v>61</v>
      </c>
      <c r="C1125" s="1290"/>
      <c r="D1125" s="1758" t="s">
        <v>1328</v>
      </c>
      <c r="E1125" s="1758" t="s">
        <v>1680</v>
      </c>
      <c r="F1125" s="1293" t="s">
        <v>1319</v>
      </c>
      <c r="G1125" s="1302"/>
      <c r="H1125" s="1322"/>
      <c r="I1125" s="1322"/>
      <c r="J1125" s="1322"/>
      <c r="K1125" s="1322"/>
      <c r="L1125" s="1322"/>
      <c r="M1125" s="1322"/>
      <c r="N1125" s="1353"/>
      <c r="O1125" s="1326"/>
      <c r="P1125" s="1322"/>
      <c r="Q1125" s="1323"/>
      <c r="R1125" s="1324"/>
      <c r="S1125" s="1325"/>
      <c r="T1125" s="1353"/>
      <c r="U1125" s="1463"/>
      <c r="V1125" s="1464"/>
      <c r="W1125" s="1482"/>
      <c r="X1125" s="1307"/>
    </row>
    <row r="1126" spans="1:24" s="1308" customFormat="1" ht="15" customHeight="1" x14ac:dyDescent="0.25">
      <c r="A1126" s="730"/>
      <c r="B1126" s="1286">
        <f t="shared" si="37"/>
        <v>62</v>
      </c>
      <c r="C1126" s="1290"/>
      <c r="D1126" s="1758"/>
      <c r="E1126" s="1758"/>
      <c r="F1126" s="1293" t="s">
        <v>1320</v>
      </c>
      <c r="G1126" s="1302"/>
      <c r="H1126" s="1322"/>
      <c r="I1126" s="1322"/>
      <c r="J1126" s="1322"/>
      <c r="K1126" s="1322"/>
      <c r="L1126" s="1322"/>
      <c r="M1126" s="1322"/>
      <c r="N1126" s="1353"/>
      <c r="O1126" s="1326"/>
      <c r="P1126" s="1322"/>
      <c r="Q1126" s="1323"/>
      <c r="R1126" s="1324"/>
      <c r="S1126" s="1325"/>
      <c r="T1126" s="1353"/>
      <c r="U1126" s="1463"/>
      <c r="V1126" s="1464"/>
      <c r="W1126" s="1482"/>
      <c r="X1126" s="1307"/>
    </row>
    <row r="1127" spans="1:24" s="1308" customFormat="1" ht="15" customHeight="1" x14ac:dyDescent="0.25">
      <c r="A1127" s="730"/>
      <c r="B1127" s="1286">
        <f t="shared" si="37"/>
        <v>63</v>
      </c>
      <c r="C1127" s="1290"/>
      <c r="D1127" s="1758"/>
      <c r="E1127" s="1758" t="s">
        <v>1433</v>
      </c>
      <c r="F1127" s="1293" t="s">
        <v>1319</v>
      </c>
      <c r="G1127" s="1302"/>
      <c r="H1127" s="1322"/>
      <c r="I1127" s="1322"/>
      <c r="J1127" s="1322"/>
      <c r="K1127" s="1322"/>
      <c r="L1127" s="1322"/>
      <c r="M1127" s="1322"/>
      <c r="N1127" s="1353"/>
      <c r="O1127" s="1326"/>
      <c r="P1127" s="1322"/>
      <c r="Q1127" s="1323"/>
      <c r="R1127" s="1324"/>
      <c r="S1127" s="1325"/>
      <c r="T1127" s="1353"/>
      <c r="U1127" s="1463"/>
      <c r="V1127" s="1464"/>
      <c r="W1127" s="1482"/>
      <c r="X1127" s="1307"/>
    </row>
    <row r="1128" spans="1:24" s="1308" customFormat="1" ht="15" customHeight="1" x14ac:dyDescent="0.25">
      <c r="A1128" s="730"/>
      <c r="B1128" s="1286">
        <f t="shared" si="37"/>
        <v>64</v>
      </c>
      <c r="C1128" s="1290"/>
      <c r="D1128" s="1758"/>
      <c r="E1128" s="1758"/>
      <c r="F1128" s="1293" t="s">
        <v>1320</v>
      </c>
      <c r="G1128" s="1302"/>
      <c r="H1128" s="1322"/>
      <c r="I1128" s="1322"/>
      <c r="J1128" s="1322"/>
      <c r="K1128" s="1322"/>
      <c r="L1128" s="1322"/>
      <c r="M1128" s="1322"/>
      <c r="N1128" s="1353"/>
      <c r="O1128" s="1326"/>
      <c r="P1128" s="1322"/>
      <c r="Q1128" s="1323"/>
      <c r="R1128" s="1324"/>
      <c r="S1128" s="1325"/>
      <c r="T1128" s="1353"/>
      <c r="U1128" s="1463"/>
      <c r="V1128" s="1464"/>
      <c r="W1128" s="1482"/>
      <c r="X1128" s="1307"/>
    </row>
    <row r="1129" spans="1:24" s="1308" customFormat="1" ht="15" customHeight="1" x14ac:dyDescent="0.25">
      <c r="A1129" s="730"/>
      <c r="B1129" s="1286">
        <f t="shared" si="37"/>
        <v>65</v>
      </c>
      <c r="C1129" s="1290"/>
      <c r="D1129" s="1758"/>
      <c r="E1129" s="1758" t="s">
        <v>1434</v>
      </c>
      <c r="F1129" s="1293" t="s">
        <v>1319</v>
      </c>
      <c r="G1129" s="1302"/>
      <c r="H1129" s="1322"/>
      <c r="I1129" s="1322"/>
      <c r="J1129" s="1322"/>
      <c r="K1129" s="1322"/>
      <c r="L1129" s="1322"/>
      <c r="M1129" s="1322"/>
      <c r="N1129" s="1353"/>
      <c r="O1129" s="1326"/>
      <c r="P1129" s="1322"/>
      <c r="Q1129" s="1323"/>
      <c r="R1129" s="1324"/>
      <c r="S1129" s="1325"/>
      <c r="T1129" s="1353"/>
      <c r="U1129" s="1463"/>
      <c r="V1129" s="1464"/>
      <c r="W1129" s="1482"/>
      <c r="X1129" s="1307"/>
    </row>
    <row r="1130" spans="1:24" s="1308" customFormat="1" ht="15" customHeight="1" x14ac:dyDescent="0.25">
      <c r="A1130" s="730"/>
      <c r="B1130" s="1286">
        <f t="shared" ref="B1130:B1164" si="38">B1129+1</f>
        <v>66</v>
      </c>
      <c r="C1130" s="1290"/>
      <c r="D1130" s="1758"/>
      <c r="E1130" s="1758"/>
      <c r="F1130" s="1293" t="s">
        <v>1320</v>
      </c>
      <c r="G1130" s="1302"/>
      <c r="H1130" s="1322"/>
      <c r="I1130" s="1322"/>
      <c r="J1130" s="1322"/>
      <c r="K1130" s="1322"/>
      <c r="L1130" s="1322"/>
      <c r="M1130" s="1322"/>
      <c r="N1130" s="1353"/>
      <c r="O1130" s="1326"/>
      <c r="P1130" s="1322"/>
      <c r="Q1130" s="1323"/>
      <c r="R1130" s="1324"/>
      <c r="S1130" s="1325"/>
      <c r="T1130" s="1353"/>
      <c r="U1130" s="1463"/>
      <c r="V1130" s="1464"/>
      <c r="W1130" s="1482"/>
      <c r="X1130" s="1307"/>
    </row>
    <row r="1131" spans="1:24" s="1308" customFormat="1" ht="15" customHeight="1" x14ac:dyDescent="0.25">
      <c r="A1131" s="730"/>
      <c r="B1131" s="1286">
        <f t="shared" si="38"/>
        <v>67</v>
      </c>
      <c r="C1131" s="1290"/>
      <c r="D1131" s="1758"/>
      <c r="E1131" s="1758" t="s">
        <v>1681</v>
      </c>
      <c r="F1131" s="1293" t="s">
        <v>1319</v>
      </c>
      <c r="G1131" s="1302"/>
      <c r="H1131" s="1322"/>
      <c r="I1131" s="1322"/>
      <c r="J1131" s="1322"/>
      <c r="K1131" s="1322"/>
      <c r="L1131" s="1322"/>
      <c r="M1131" s="1322"/>
      <c r="N1131" s="1353"/>
      <c r="O1131" s="1326"/>
      <c r="P1131" s="1322"/>
      <c r="Q1131" s="1323"/>
      <c r="R1131" s="1324"/>
      <c r="S1131" s="1325"/>
      <c r="T1131" s="1353"/>
      <c r="U1131" s="1463"/>
      <c r="V1131" s="1464"/>
      <c r="W1131" s="1482"/>
      <c r="X1131" s="1307"/>
    </row>
    <row r="1132" spans="1:24" s="1308" customFormat="1" ht="15" customHeight="1" x14ac:dyDescent="0.25">
      <c r="A1132" s="730"/>
      <c r="B1132" s="1286">
        <f t="shared" si="38"/>
        <v>68</v>
      </c>
      <c r="C1132" s="1290"/>
      <c r="D1132" s="1758"/>
      <c r="E1132" s="1758"/>
      <c r="F1132" s="1293" t="s">
        <v>1320</v>
      </c>
      <c r="G1132" s="1302"/>
      <c r="H1132" s="1322"/>
      <c r="I1132" s="1322"/>
      <c r="J1132" s="1322"/>
      <c r="K1132" s="1322"/>
      <c r="L1132" s="1322"/>
      <c r="M1132" s="1322"/>
      <c r="N1132" s="1353"/>
      <c r="O1132" s="1326"/>
      <c r="P1132" s="1322"/>
      <c r="Q1132" s="1323"/>
      <c r="R1132" s="1324"/>
      <c r="S1132" s="1325"/>
      <c r="T1132" s="1353"/>
      <c r="U1132" s="1463"/>
      <c r="V1132" s="1464"/>
      <c r="W1132" s="1482"/>
      <c r="X1132" s="1307"/>
    </row>
    <row r="1133" spans="1:24" s="1308" customFormat="1" ht="15" customHeight="1" x14ac:dyDescent="0.25">
      <c r="A1133" s="730"/>
      <c r="B1133" s="1286">
        <f t="shared" si="38"/>
        <v>69</v>
      </c>
      <c r="C1133" s="1290"/>
      <c r="D1133" s="1758"/>
      <c r="E1133" s="1758" t="s">
        <v>1682</v>
      </c>
      <c r="F1133" s="1293" t="s">
        <v>1319</v>
      </c>
      <c r="G1133" s="1302"/>
      <c r="H1133" s="1322"/>
      <c r="I1133" s="1322"/>
      <c r="J1133" s="1322"/>
      <c r="K1133" s="1322"/>
      <c r="L1133" s="1322"/>
      <c r="M1133" s="1322"/>
      <c r="N1133" s="1353"/>
      <c r="O1133" s="1326"/>
      <c r="P1133" s="1322"/>
      <c r="Q1133" s="1323"/>
      <c r="R1133" s="1324"/>
      <c r="S1133" s="1325"/>
      <c r="T1133" s="1353"/>
      <c r="U1133" s="1463"/>
      <c r="V1133" s="1464"/>
      <c r="W1133" s="1482"/>
      <c r="X1133" s="1307"/>
    </row>
    <row r="1134" spans="1:24" s="1308" customFormat="1" ht="15" customHeight="1" x14ac:dyDescent="0.25">
      <c r="A1134" s="730"/>
      <c r="B1134" s="1286">
        <f t="shared" si="38"/>
        <v>70</v>
      </c>
      <c r="C1134" s="1290"/>
      <c r="D1134" s="1758"/>
      <c r="E1134" s="1758"/>
      <c r="F1134" s="1293" t="s">
        <v>1320</v>
      </c>
      <c r="G1134" s="1302"/>
      <c r="H1134" s="1322"/>
      <c r="I1134" s="1322"/>
      <c r="J1134" s="1322"/>
      <c r="K1134" s="1322"/>
      <c r="L1134" s="1322"/>
      <c r="M1134" s="1322"/>
      <c r="N1134" s="1353"/>
      <c r="O1134" s="1326"/>
      <c r="P1134" s="1322"/>
      <c r="Q1134" s="1323"/>
      <c r="R1134" s="1324"/>
      <c r="S1134" s="1325"/>
      <c r="T1134" s="1353"/>
      <c r="U1134" s="1463"/>
      <c r="V1134" s="1464"/>
      <c r="W1134" s="1482"/>
      <c r="X1134" s="1307"/>
    </row>
    <row r="1135" spans="1:24" s="1308" customFormat="1" ht="15" customHeight="1" x14ac:dyDescent="0.25">
      <c r="A1135" s="730"/>
      <c r="B1135" s="1286">
        <f t="shared" si="38"/>
        <v>71</v>
      </c>
      <c r="C1135" s="1290"/>
      <c r="D1135" s="1758" t="s">
        <v>1329</v>
      </c>
      <c r="E1135" s="1758" t="s">
        <v>1680</v>
      </c>
      <c r="F1135" s="1293" t="s">
        <v>1319</v>
      </c>
      <c r="G1135" s="1302"/>
      <c r="H1135" s="1322"/>
      <c r="I1135" s="1322"/>
      <c r="J1135" s="1322"/>
      <c r="K1135" s="1322"/>
      <c r="L1135" s="1322"/>
      <c r="M1135" s="1322"/>
      <c r="N1135" s="1353"/>
      <c r="O1135" s="1326"/>
      <c r="P1135" s="1322"/>
      <c r="Q1135" s="1323"/>
      <c r="R1135" s="1324"/>
      <c r="S1135" s="1325"/>
      <c r="T1135" s="1353"/>
      <c r="U1135" s="1463"/>
      <c r="V1135" s="1464"/>
      <c r="W1135" s="1482"/>
      <c r="X1135" s="1307"/>
    </row>
    <row r="1136" spans="1:24" s="1308" customFormat="1" ht="15" customHeight="1" x14ac:dyDescent="0.25">
      <c r="A1136" s="730"/>
      <c r="B1136" s="1286">
        <f t="shared" si="38"/>
        <v>72</v>
      </c>
      <c r="C1136" s="1290"/>
      <c r="D1136" s="1758"/>
      <c r="E1136" s="1758"/>
      <c r="F1136" s="1293" t="s">
        <v>1320</v>
      </c>
      <c r="G1136" s="1302"/>
      <c r="H1136" s="1322"/>
      <c r="I1136" s="1322"/>
      <c r="J1136" s="1322"/>
      <c r="K1136" s="1322"/>
      <c r="L1136" s="1322"/>
      <c r="M1136" s="1322"/>
      <c r="N1136" s="1353"/>
      <c r="O1136" s="1326"/>
      <c r="P1136" s="1322"/>
      <c r="Q1136" s="1323"/>
      <c r="R1136" s="1324"/>
      <c r="S1136" s="1325"/>
      <c r="T1136" s="1353"/>
      <c r="U1136" s="1463"/>
      <c r="V1136" s="1464"/>
      <c r="W1136" s="1482"/>
      <c r="X1136" s="1307"/>
    </row>
    <row r="1137" spans="1:24" s="1308" customFormat="1" ht="15" customHeight="1" x14ac:dyDescent="0.25">
      <c r="A1137" s="730"/>
      <c r="B1137" s="1286">
        <f t="shared" si="38"/>
        <v>73</v>
      </c>
      <c r="C1137" s="1290"/>
      <c r="D1137" s="1758"/>
      <c r="E1137" s="1758" t="s">
        <v>1433</v>
      </c>
      <c r="F1137" s="1293" t="s">
        <v>1319</v>
      </c>
      <c r="G1137" s="1302"/>
      <c r="H1137" s="1322"/>
      <c r="I1137" s="1322"/>
      <c r="J1137" s="1322"/>
      <c r="K1137" s="1322"/>
      <c r="L1137" s="1322"/>
      <c r="M1137" s="1322"/>
      <c r="N1137" s="1353"/>
      <c r="O1137" s="1326"/>
      <c r="P1137" s="1322"/>
      <c r="Q1137" s="1323"/>
      <c r="R1137" s="1324"/>
      <c r="S1137" s="1325"/>
      <c r="T1137" s="1353"/>
      <c r="U1137" s="1463"/>
      <c r="V1137" s="1464"/>
      <c r="W1137" s="1482"/>
      <c r="X1137" s="1307"/>
    </row>
    <row r="1138" spans="1:24" s="1308" customFormat="1" ht="15" customHeight="1" x14ac:dyDescent="0.25">
      <c r="A1138" s="730"/>
      <c r="B1138" s="1286">
        <f t="shared" si="38"/>
        <v>74</v>
      </c>
      <c r="C1138" s="1290"/>
      <c r="D1138" s="1758"/>
      <c r="E1138" s="1758"/>
      <c r="F1138" s="1293" t="s">
        <v>1320</v>
      </c>
      <c r="G1138" s="1302"/>
      <c r="H1138" s="1322"/>
      <c r="I1138" s="1322"/>
      <c r="J1138" s="1322"/>
      <c r="K1138" s="1322"/>
      <c r="L1138" s="1322"/>
      <c r="M1138" s="1322"/>
      <c r="N1138" s="1353"/>
      <c r="O1138" s="1326"/>
      <c r="P1138" s="1322"/>
      <c r="Q1138" s="1323"/>
      <c r="R1138" s="1324"/>
      <c r="S1138" s="1325"/>
      <c r="T1138" s="1353"/>
      <c r="U1138" s="1463"/>
      <c r="V1138" s="1464"/>
      <c r="W1138" s="1482"/>
      <c r="X1138" s="1307"/>
    </row>
    <row r="1139" spans="1:24" s="1308" customFormat="1" ht="15" customHeight="1" x14ac:dyDescent="0.25">
      <c r="A1139" s="730"/>
      <c r="B1139" s="1286">
        <f t="shared" si="38"/>
        <v>75</v>
      </c>
      <c r="C1139" s="1290"/>
      <c r="D1139" s="1758"/>
      <c r="E1139" s="1758" t="s">
        <v>1434</v>
      </c>
      <c r="F1139" s="1293" t="s">
        <v>1319</v>
      </c>
      <c r="G1139" s="1302"/>
      <c r="H1139" s="1322"/>
      <c r="I1139" s="1322"/>
      <c r="J1139" s="1322"/>
      <c r="K1139" s="1322"/>
      <c r="L1139" s="1322"/>
      <c r="M1139" s="1322"/>
      <c r="N1139" s="1353"/>
      <c r="O1139" s="1326"/>
      <c r="P1139" s="1322"/>
      <c r="Q1139" s="1323"/>
      <c r="R1139" s="1324"/>
      <c r="S1139" s="1325"/>
      <c r="T1139" s="1353"/>
      <c r="U1139" s="1463"/>
      <c r="V1139" s="1464"/>
      <c r="W1139" s="1482"/>
      <c r="X1139" s="1307"/>
    </row>
    <row r="1140" spans="1:24" s="1308" customFormat="1" ht="15" customHeight="1" x14ac:dyDescent="0.25">
      <c r="A1140" s="730"/>
      <c r="B1140" s="1286">
        <f t="shared" si="38"/>
        <v>76</v>
      </c>
      <c r="C1140" s="1290"/>
      <c r="D1140" s="1758"/>
      <c r="E1140" s="1758"/>
      <c r="F1140" s="1293" t="s">
        <v>1320</v>
      </c>
      <c r="G1140" s="1302"/>
      <c r="H1140" s="1322"/>
      <c r="I1140" s="1322"/>
      <c r="J1140" s="1322"/>
      <c r="K1140" s="1322"/>
      <c r="L1140" s="1322"/>
      <c r="M1140" s="1322"/>
      <c r="N1140" s="1353"/>
      <c r="O1140" s="1326"/>
      <c r="P1140" s="1322"/>
      <c r="Q1140" s="1323"/>
      <c r="R1140" s="1324"/>
      <c r="S1140" s="1325"/>
      <c r="T1140" s="1353"/>
      <c r="U1140" s="1463"/>
      <c r="V1140" s="1464"/>
      <c r="W1140" s="1482"/>
      <c r="X1140" s="1307"/>
    </row>
    <row r="1141" spans="1:24" s="1308" customFormat="1" ht="15" customHeight="1" x14ac:dyDescent="0.25">
      <c r="A1141" s="730"/>
      <c r="B1141" s="1286">
        <f t="shared" si="38"/>
        <v>77</v>
      </c>
      <c r="C1141" s="1290"/>
      <c r="D1141" s="1758"/>
      <c r="E1141" s="1758" t="s">
        <v>1681</v>
      </c>
      <c r="F1141" s="1293" t="s">
        <v>1319</v>
      </c>
      <c r="G1141" s="1302"/>
      <c r="H1141" s="1322"/>
      <c r="I1141" s="1322"/>
      <c r="J1141" s="1322"/>
      <c r="K1141" s="1322"/>
      <c r="L1141" s="1322"/>
      <c r="M1141" s="1322"/>
      <c r="N1141" s="1353"/>
      <c r="O1141" s="1326"/>
      <c r="P1141" s="1322"/>
      <c r="Q1141" s="1323"/>
      <c r="R1141" s="1324"/>
      <c r="S1141" s="1325"/>
      <c r="T1141" s="1353"/>
      <c r="U1141" s="1463"/>
      <c r="V1141" s="1464"/>
      <c r="W1141" s="1482"/>
      <c r="X1141" s="1307"/>
    </row>
    <row r="1142" spans="1:24" s="1308" customFormat="1" ht="15" customHeight="1" x14ac:dyDescent="0.25">
      <c r="A1142" s="730"/>
      <c r="B1142" s="1286">
        <f t="shared" si="38"/>
        <v>78</v>
      </c>
      <c r="C1142" s="1290"/>
      <c r="D1142" s="1758"/>
      <c r="E1142" s="1758"/>
      <c r="F1142" s="1293" t="s">
        <v>1320</v>
      </c>
      <c r="G1142" s="1302"/>
      <c r="H1142" s="1322"/>
      <c r="I1142" s="1322"/>
      <c r="J1142" s="1322"/>
      <c r="K1142" s="1322"/>
      <c r="L1142" s="1322"/>
      <c r="M1142" s="1322"/>
      <c r="N1142" s="1353"/>
      <c r="O1142" s="1326"/>
      <c r="P1142" s="1322"/>
      <c r="Q1142" s="1323"/>
      <c r="R1142" s="1324"/>
      <c r="S1142" s="1325"/>
      <c r="T1142" s="1353"/>
      <c r="U1142" s="1463"/>
      <c r="V1142" s="1464"/>
      <c r="W1142" s="1482"/>
      <c r="X1142" s="1307"/>
    </row>
    <row r="1143" spans="1:24" s="1308" customFormat="1" ht="15" customHeight="1" x14ac:dyDescent="0.25">
      <c r="A1143" s="730"/>
      <c r="B1143" s="1286">
        <f t="shared" si="38"/>
        <v>79</v>
      </c>
      <c r="C1143" s="1290"/>
      <c r="D1143" s="1758"/>
      <c r="E1143" s="1758" t="s">
        <v>1682</v>
      </c>
      <c r="F1143" s="1293" t="s">
        <v>1319</v>
      </c>
      <c r="G1143" s="1302"/>
      <c r="H1143" s="1322"/>
      <c r="I1143" s="1322"/>
      <c r="J1143" s="1322"/>
      <c r="K1143" s="1322"/>
      <c r="L1143" s="1322"/>
      <c r="M1143" s="1322"/>
      <c r="N1143" s="1353"/>
      <c r="O1143" s="1326"/>
      <c r="P1143" s="1322"/>
      <c r="Q1143" s="1323"/>
      <c r="R1143" s="1324"/>
      <c r="S1143" s="1325"/>
      <c r="T1143" s="1353"/>
      <c r="U1143" s="1463"/>
      <c r="V1143" s="1464"/>
      <c r="W1143" s="1482"/>
      <c r="X1143" s="1307"/>
    </row>
    <row r="1144" spans="1:24" s="1308" customFormat="1" ht="15" customHeight="1" x14ac:dyDescent="0.25">
      <c r="A1144" s="730"/>
      <c r="B1144" s="1286">
        <f t="shared" si="38"/>
        <v>80</v>
      </c>
      <c r="C1144" s="1290"/>
      <c r="D1144" s="1758"/>
      <c r="E1144" s="1758"/>
      <c r="F1144" s="1293" t="s">
        <v>1320</v>
      </c>
      <c r="G1144" s="1302"/>
      <c r="H1144" s="1322"/>
      <c r="I1144" s="1322"/>
      <c r="J1144" s="1322"/>
      <c r="K1144" s="1322"/>
      <c r="L1144" s="1322"/>
      <c r="M1144" s="1322"/>
      <c r="N1144" s="1353"/>
      <c r="O1144" s="1326"/>
      <c r="P1144" s="1322"/>
      <c r="Q1144" s="1323"/>
      <c r="R1144" s="1324"/>
      <c r="S1144" s="1325"/>
      <c r="T1144" s="1353"/>
      <c r="U1144" s="1463"/>
      <c r="V1144" s="1464"/>
      <c r="W1144" s="1482"/>
      <c r="X1144" s="1307"/>
    </row>
    <row r="1145" spans="1:24" s="1308" customFormat="1" ht="15" customHeight="1" x14ac:dyDescent="0.25">
      <c r="A1145" s="730"/>
      <c r="B1145" s="1286">
        <f t="shared" si="38"/>
        <v>81</v>
      </c>
      <c r="C1145" s="1290"/>
      <c r="D1145" s="1758" t="s">
        <v>1330</v>
      </c>
      <c r="E1145" s="1758" t="s">
        <v>1680</v>
      </c>
      <c r="F1145" s="1293" t="s">
        <v>1319</v>
      </c>
      <c r="G1145" s="1302"/>
      <c r="H1145" s="1322"/>
      <c r="I1145" s="1322"/>
      <c r="J1145" s="1322"/>
      <c r="K1145" s="1322"/>
      <c r="L1145" s="1322"/>
      <c r="M1145" s="1322"/>
      <c r="N1145" s="1353"/>
      <c r="O1145" s="1326"/>
      <c r="P1145" s="1322"/>
      <c r="Q1145" s="1323"/>
      <c r="R1145" s="1324"/>
      <c r="S1145" s="1325"/>
      <c r="T1145" s="1353"/>
      <c r="U1145" s="1463"/>
      <c r="V1145" s="1464"/>
      <c r="W1145" s="1482"/>
      <c r="X1145" s="1307"/>
    </row>
    <row r="1146" spans="1:24" s="1308" customFormat="1" ht="15" customHeight="1" x14ac:dyDescent="0.25">
      <c r="A1146" s="730"/>
      <c r="B1146" s="1286">
        <f t="shared" si="38"/>
        <v>82</v>
      </c>
      <c r="C1146" s="1290"/>
      <c r="D1146" s="1758"/>
      <c r="E1146" s="1758"/>
      <c r="F1146" s="1293" t="s">
        <v>1320</v>
      </c>
      <c r="G1146" s="1302"/>
      <c r="H1146" s="1322"/>
      <c r="I1146" s="1322"/>
      <c r="J1146" s="1322"/>
      <c r="K1146" s="1322"/>
      <c r="L1146" s="1322"/>
      <c r="M1146" s="1322"/>
      <c r="N1146" s="1353"/>
      <c r="O1146" s="1326"/>
      <c r="P1146" s="1322"/>
      <c r="Q1146" s="1323"/>
      <c r="R1146" s="1324"/>
      <c r="S1146" s="1325"/>
      <c r="T1146" s="1353"/>
      <c r="U1146" s="1463"/>
      <c r="V1146" s="1464"/>
      <c r="W1146" s="1482"/>
      <c r="X1146" s="1307"/>
    </row>
    <row r="1147" spans="1:24" s="1308" customFormat="1" ht="15" customHeight="1" x14ac:dyDescent="0.25">
      <c r="A1147" s="730"/>
      <c r="B1147" s="1286">
        <f t="shared" si="38"/>
        <v>83</v>
      </c>
      <c r="C1147" s="1290"/>
      <c r="D1147" s="1758"/>
      <c r="E1147" s="1758" t="s">
        <v>1433</v>
      </c>
      <c r="F1147" s="1293" t="s">
        <v>1319</v>
      </c>
      <c r="G1147" s="1302"/>
      <c r="H1147" s="1322"/>
      <c r="I1147" s="1322"/>
      <c r="J1147" s="1322"/>
      <c r="K1147" s="1322"/>
      <c r="L1147" s="1322"/>
      <c r="M1147" s="1322"/>
      <c r="N1147" s="1353"/>
      <c r="O1147" s="1326"/>
      <c r="P1147" s="1322"/>
      <c r="Q1147" s="1323"/>
      <c r="R1147" s="1324"/>
      <c r="S1147" s="1325"/>
      <c r="T1147" s="1353"/>
      <c r="U1147" s="1463"/>
      <c r="V1147" s="1464"/>
      <c r="W1147" s="1482"/>
      <c r="X1147" s="1307"/>
    </row>
    <row r="1148" spans="1:24" s="1308" customFormat="1" ht="15" customHeight="1" x14ac:dyDescent="0.25">
      <c r="A1148" s="730"/>
      <c r="B1148" s="1286">
        <f t="shared" si="38"/>
        <v>84</v>
      </c>
      <c r="C1148" s="1290"/>
      <c r="D1148" s="1758"/>
      <c r="E1148" s="1758"/>
      <c r="F1148" s="1293" t="s">
        <v>1320</v>
      </c>
      <c r="G1148" s="1302"/>
      <c r="H1148" s="1322"/>
      <c r="I1148" s="1322"/>
      <c r="J1148" s="1322"/>
      <c r="K1148" s="1322"/>
      <c r="L1148" s="1322"/>
      <c r="M1148" s="1322"/>
      <c r="N1148" s="1353"/>
      <c r="O1148" s="1326"/>
      <c r="P1148" s="1322"/>
      <c r="Q1148" s="1323"/>
      <c r="R1148" s="1324"/>
      <c r="S1148" s="1325"/>
      <c r="T1148" s="1353"/>
      <c r="U1148" s="1463"/>
      <c r="V1148" s="1464"/>
      <c r="W1148" s="1482"/>
      <c r="X1148" s="1307"/>
    </row>
    <row r="1149" spans="1:24" s="1308" customFormat="1" ht="15" customHeight="1" x14ac:dyDescent="0.25">
      <c r="A1149" s="730"/>
      <c r="B1149" s="1286">
        <f t="shared" si="38"/>
        <v>85</v>
      </c>
      <c r="C1149" s="1290"/>
      <c r="D1149" s="1758"/>
      <c r="E1149" s="1758" t="s">
        <v>1434</v>
      </c>
      <c r="F1149" s="1293" t="s">
        <v>1319</v>
      </c>
      <c r="G1149" s="1302"/>
      <c r="H1149" s="1322"/>
      <c r="I1149" s="1322"/>
      <c r="J1149" s="1322"/>
      <c r="K1149" s="1322"/>
      <c r="L1149" s="1322"/>
      <c r="M1149" s="1322"/>
      <c r="N1149" s="1353"/>
      <c r="O1149" s="1326"/>
      <c r="P1149" s="1322"/>
      <c r="Q1149" s="1323"/>
      <c r="R1149" s="1324"/>
      <c r="S1149" s="1325"/>
      <c r="T1149" s="1353"/>
      <c r="U1149" s="1463"/>
      <c r="V1149" s="1464"/>
      <c r="W1149" s="1482"/>
      <c r="X1149" s="1307"/>
    </row>
    <row r="1150" spans="1:24" s="1308" customFormat="1" ht="15" customHeight="1" x14ac:dyDescent="0.25">
      <c r="A1150" s="730"/>
      <c r="B1150" s="1286">
        <f t="shared" si="38"/>
        <v>86</v>
      </c>
      <c r="C1150" s="1290"/>
      <c r="D1150" s="1758"/>
      <c r="E1150" s="1758"/>
      <c r="F1150" s="1293" t="s">
        <v>1320</v>
      </c>
      <c r="G1150" s="1302"/>
      <c r="H1150" s="1322"/>
      <c r="I1150" s="1322"/>
      <c r="J1150" s="1322"/>
      <c r="K1150" s="1322"/>
      <c r="L1150" s="1322"/>
      <c r="M1150" s="1322"/>
      <c r="N1150" s="1353"/>
      <c r="O1150" s="1326"/>
      <c r="P1150" s="1322"/>
      <c r="Q1150" s="1323"/>
      <c r="R1150" s="1324"/>
      <c r="S1150" s="1325"/>
      <c r="T1150" s="1353"/>
      <c r="U1150" s="1463"/>
      <c r="V1150" s="1464"/>
      <c r="W1150" s="1482"/>
      <c r="X1150" s="1307"/>
    </row>
    <row r="1151" spans="1:24" s="1308" customFormat="1" ht="15" customHeight="1" x14ac:dyDescent="0.25">
      <c r="A1151" s="730"/>
      <c r="B1151" s="1286">
        <f t="shared" si="38"/>
        <v>87</v>
      </c>
      <c r="C1151" s="1290"/>
      <c r="D1151" s="1758"/>
      <c r="E1151" s="1758" t="s">
        <v>1681</v>
      </c>
      <c r="F1151" s="1293" t="s">
        <v>1319</v>
      </c>
      <c r="G1151" s="1302"/>
      <c r="H1151" s="1322"/>
      <c r="I1151" s="1322"/>
      <c r="J1151" s="1322"/>
      <c r="K1151" s="1322"/>
      <c r="L1151" s="1322"/>
      <c r="M1151" s="1322"/>
      <c r="N1151" s="1353"/>
      <c r="O1151" s="1326"/>
      <c r="P1151" s="1322"/>
      <c r="Q1151" s="1323"/>
      <c r="R1151" s="1324"/>
      <c r="S1151" s="1325"/>
      <c r="T1151" s="1353"/>
      <c r="U1151" s="1463"/>
      <c r="V1151" s="1464"/>
      <c r="W1151" s="1482"/>
      <c r="X1151" s="1307"/>
    </row>
    <row r="1152" spans="1:24" s="1308" customFormat="1" ht="15" customHeight="1" x14ac:dyDescent="0.25">
      <c r="A1152" s="730"/>
      <c r="B1152" s="1286">
        <f t="shared" si="38"/>
        <v>88</v>
      </c>
      <c r="C1152" s="1290"/>
      <c r="D1152" s="1758"/>
      <c r="E1152" s="1758"/>
      <c r="F1152" s="1293" t="s">
        <v>1320</v>
      </c>
      <c r="G1152" s="1302"/>
      <c r="H1152" s="1322"/>
      <c r="I1152" s="1322"/>
      <c r="J1152" s="1322"/>
      <c r="K1152" s="1322"/>
      <c r="L1152" s="1322"/>
      <c r="M1152" s="1322"/>
      <c r="N1152" s="1353"/>
      <c r="O1152" s="1326"/>
      <c r="P1152" s="1322"/>
      <c r="Q1152" s="1323"/>
      <c r="R1152" s="1324"/>
      <c r="S1152" s="1325"/>
      <c r="T1152" s="1353"/>
      <c r="U1152" s="1463"/>
      <c r="V1152" s="1464"/>
      <c r="W1152" s="1482"/>
      <c r="X1152" s="1307"/>
    </row>
    <row r="1153" spans="1:24" s="1308" customFormat="1" ht="15" customHeight="1" x14ac:dyDescent="0.25">
      <c r="A1153" s="730"/>
      <c r="B1153" s="1286">
        <f t="shared" si="38"/>
        <v>89</v>
      </c>
      <c r="C1153" s="1290"/>
      <c r="D1153" s="1758"/>
      <c r="E1153" s="1758" t="s">
        <v>1682</v>
      </c>
      <c r="F1153" s="1293" t="s">
        <v>1319</v>
      </c>
      <c r="G1153" s="1302"/>
      <c r="H1153" s="1322"/>
      <c r="I1153" s="1322"/>
      <c r="J1153" s="1322"/>
      <c r="K1153" s="1322"/>
      <c r="L1153" s="1322"/>
      <c r="M1153" s="1322"/>
      <c r="N1153" s="1353"/>
      <c r="O1153" s="1326"/>
      <c r="P1153" s="1322"/>
      <c r="Q1153" s="1323"/>
      <c r="R1153" s="1324"/>
      <c r="S1153" s="1325"/>
      <c r="T1153" s="1353"/>
      <c r="U1153" s="1463"/>
      <c r="V1153" s="1464"/>
      <c r="W1153" s="1482"/>
      <c r="X1153" s="1307"/>
    </row>
    <row r="1154" spans="1:24" s="1308" customFormat="1" ht="15" customHeight="1" x14ac:dyDescent="0.25">
      <c r="A1154" s="730"/>
      <c r="B1154" s="1286">
        <f t="shared" si="38"/>
        <v>90</v>
      </c>
      <c r="C1154" s="1290"/>
      <c r="D1154" s="1758"/>
      <c r="E1154" s="1758"/>
      <c r="F1154" s="1293" t="s">
        <v>1320</v>
      </c>
      <c r="G1154" s="1302"/>
      <c r="H1154" s="1322"/>
      <c r="I1154" s="1322"/>
      <c r="J1154" s="1322"/>
      <c r="K1154" s="1322"/>
      <c r="L1154" s="1322"/>
      <c r="M1154" s="1322"/>
      <c r="N1154" s="1353"/>
      <c r="O1154" s="1326"/>
      <c r="P1154" s="1322"/>
      <c r="Q1154" s="1323"/>
      <c r="R1154" s="1324"/>
      <c r="S1154" s="1325"/>
      <c r="T1154" s="1353"/>
      <c r="U1154" s="1463"/>
      <c r="V1154" s="1464"/>
      <c r="W1154" s="1482"/>
      <c r="X1154" s="1307"/>
    </row>
    <row r="1155" spans="1:24" s="1308" customFormat="1" ht="15" customHeight="1" x14ac:dyDescent="0.25">
      <c r="A1155" s="730"/>
      <c r="B1155" s="1286">
        <f t="shared" si="38"/>
        <v>91</v>
      </c>
      <c r="C1155" s="1290"/>
      <c r="D1155" s="1758" t="s">
        <v>1316</v>
      </c>
      <c r="E1155" s="1758" t="s">
        <v>1680</v>
      </c>
      <c r="F1155" s="1293" t="s">
        <v>1319</v>
      </c>
      <c r="G1155" s="1302"/>
      <c r="H1155" s="1322"/>
      <c r="I1155" s="1322"/>
      <c r="J1155" s="1322"/>
      <c r="K1155" s="1322"/>
      <c r="L1155" s="1322"/>
      <c r="M1155" s="1322"/>
      <c r="N1155" s="1353"/>
      <c r="O1155" s="1326"/>
      <c r="P1155" s="1322"/>
      <c r="Q1155" s="1323"/>
      <c r="R1155" s="1324"/>
      <c r="S1155" s="1325"/>
      <c r="T1155" s="1353"/>
      <c r="U1155" s="1463"/>
      <c r="V1155" s="1464"/>
      <c r="W1155" s="1482"/>
      <c r="X1155" s="1307"/>
    </row>
    <row r="1156" spans="1:24" s="1308" customFormat="1" ht="15" customHeight="1" x14ac:dyDescent="0.25">
      <c r="A1156" s="730"/>
      <c r="B1156" s="1286">
        <f t="shared" si="38"/>
        <v>92</v>
      </c>
      <c r="C1156" s="1290"/>
      <c r="D1156" s="1758"/>
      <c r="E1156" s="1758"/>
      <c r="F1156" s="1293" t="s">
        <v>1320</v>
      </c>
      <c r="G1156" s="1302"/>
      <c r="H1156" s="1322"/>
      <c r="I1156" s="1322"/>
      <c r="J1156" s="1322"/>
      <c r="K1156" s="1322"/>
      <c r="L1156" s="1322"/>
      <c r="M1156" s="1322"/>
      <c r="N1156" s="1353"/>
      <c r="O1156" s="1326"/>
      <c r="P1156" s="1322"/>
      <c r="Q1156" s="1323"/>
      <c r="R1156" s="1324"/>
      <c r="S1156" s="1325"/>
      <c r="T1156" s="1353"/>
      <c r="U1156" s="1463"/>
      <c r="V1156" s="1464"/>
      <c r="W1156" s="1482"/>
      <c r="X1156" s="1307"/>
    </row>
    <row r="1157" spans="1:24" s="1308" customFormat="1" ht="15" customHeight="1" x14ac:dyDescent="0.25">
      <c r="A1157" s="730"/>
      <c r="B1157" s="1286">
        <f t="shared" si="38"/>
        <v>93</v>
      </c>
      <c r="C1157" s="1290"/>
      <c r="D1157" s="1758"/>
      <c r="E1157" s="1758" t="s">
        <v>1433</v>
      </c>
      <c r="F1157" s="1293" t="s">
        <v>1319</v>
      </c>
      <c r="G1157" s="1302"/>
      <c r="H1157" s="1322"/>
      <c r="I1157" s="1322"/>
      <c r="J1157" s="1322"/>
      <c r="K1157" s="1322"/>
      <c r="L1157" s="1322"/>
      <c r="M1157" s="1322"/>
      <c r="N1157" s="1353"/>
      <c r="O1157" s="1326"/>
      <c r="P1157" s="1322"/>
      <c r="Q1157" s="1323"/>
      <c r="R1157" s="1324"/>
      <c r="S1157" s="1325"/>
      <c r="T1157" s="1353"/>
      <c r="U1157" s="1463"/>
      <c r="V1157" s="1464"/>
      <c r="W1157" s="1482"/>
      <c r="X1157" s="1307"/>
    </row>
    <row r="1158" spans="1:24" s="1308" customFormat="1" ht="15" customHeight="1" x14ac:dyDescent="0.25">
      <c r="A1158" s="730"/>
      <c r="B1158" s="1286">
        <f t="shared" si="38"/>
        <v>94</v>
      </c>
      <c r="C1158" s="1290"/>
      <c r="D1158" s="1758"/>
      <c r="E1158" s="1758"/>
      <c r="F1158" s="1293" t="s">
        <v>1320</v>
      </c>
      <c r="G1158" s="1302"/>
      <c r="H1158" s="1322"/>
      <c r="I1158" s="1322"/>
      <c r="J1158" s="1322"/>
      <c r="K1158" s="1322"/>
      <c r="L1158" s="1322"/>
      <c r="M1158" s="1322"/>
      <c r="N1158" s="1353"/>
      <c r="O1158" s="1326"/>
      <c r="P1158" s="1322"/>
      <c r="Q1158" s="1323"/>
      <c r="R1158" s="1324"/>
      <c r="S1158" s="1325"/>
      <c r="T1158" s="1353"/>
      <c r="U1158" s="1463"/>
      <c r="V1158" s="1464"/>
      <c r="W1158" s="1482"/>
      <c r="X1158" s="1307"/>
    </row>
    <row r="1159" spans="1:24" s="1308" customFormat="1" ht="15" customHeight="1" x14ac:dyDescent="0.25">
      <c r="A1159" s="730"/>
      <c r="B1159" s="1286">
        <f t="shared" si="38"/>
        <v>95</v>
      </c>
      <c r="C1159" s="1290"/>
      <c r="D1159" s="1758"/>
      <c r="E1159" s="1758" t="s">
        <v>1434</v>
      </c>
      <c r="F1159" s="1293" t="s">
        <v>1319</v>
      </c>
      <c r="G1159" s="1302"/>
      <c r="H1159" s="1322"/>
      <c r="I1159" s="1322"/>
      <c r="J1159" s="1322"/>
      <c r="K1159" s="1322"/>
      <c r="L1159" s="1322"/>
      <c r="M1159" s="1322"/>
      <c r="N1159" s="1353"/>
      <c r="O1159" s="1326"/>
      <c r="P1159" s="1322"/>
      <c r="Q1159" s="1323"/>
      <c r="R1159" s="1324"/>
      <c r="S1159" s="1325"/>
      <c r="T1159" s="1353"/>
      <c r="U1159" s="1463"/>
      <c r="V1159" s="1464"/>
      <c r="W1159" s="1482"/>
      <c r="X1159" s="1307"/>
    </row>
    <row r="1160" spans="1:24" s="1308" customFormat="1" ht="15" customHeight="1" x14ac:dyDescent="0.25">
      <c r="A1160" s="730"/>
      <c r="B1160" s="1286">
        <f t="shared" si="38"/>
        <v>96</v>
      </c>
      <c r="C1160" s="1290"/>
      <c r="D1160" s="1758"/>
      <c r="E1160" s="1758"/>
      <c r="F1160" s="1293" t="s">
        <v>1320</v>
      </c>
      <c r="G1160" s="1302"/>
      <c r="H1160" s="1322"/>
      <c r="I1160" s="1322"/>
      <c r="J1160" s="1322"/>
      <c r="K1160" s="1322"/>
      <c r="L1160" s="1322"/>
      <c r="M1160" s="1322"/>
      <c r="N1160" s="1353"/>
      <c r="O1160" s="1326"/>
      <c r="P1160" s="1322"/>
      <c r="Q1160" s="1323"/>
      <c r="R1160" s="1324"/>
      <c r="S1160" s="1325"/>
      <c r="T1160" s="1353"/>
      <c r="U1160" s="1463"/>
      <c r="V1160" s="1464"/>
      <c r="W1160" s="1482"/>
      <c r="X1160" s="1307"/>
    </row>
    <row r="1161" spans="1:24" s="1308" customFormat="1" ht="15" customHeight="1" x14ac:dyDescent="0.25">
      <c r="A1161" s="730"/>
      <c r="B1161" s="1286">
        <f t="shared" si="38"/>
        <v>97</v>
      </c>
      <c r="C1161" s="1290"/>
      <c r="D1161" s="1758"/>
      <c r="E1161" s="1758" t="s">
        <v>1681</v>
      </c>
      <c r="F1161" s="1293" t="s">
        <v>1319</v>
      </c>
      <c r="G1161" s="1302"/>
      <c r="H1161" s="1322"/>
      <c r="I1161" s="1322"/>
      <c r="J1161" s="1322"/>
      <c r="K1161" s="1322"/>
      <c r="L1161" s="1322"/>
      <c r="M1161" s="1322"/>
      <c r="N1161" s="1353"/>
      <c r="O1161" s="1326"/>
      <c r="P1161" s="1322"/>
      <c r="Q1161" s="1323"/>
      <c r="R1161" s="1324"/>
      <c r="S1161" s="1325"/>
      <c r="T1161" s="1353"/>
      <c r="U1161" s="1463"/>
      <c r="V1161" s="1464"/>
      <c r="W1161" s="1482"/>
      <c r="X1161" s="1307"/>
    </row>
    <row r="1162" spans="1:24" s="1308" customFormat="1" ht="15" customHeight="1" x14ac:dyDescent="0.25">
      <c r="A1162" s="730"/>
      <c r="B1162" s="1286">
        <f t="shared" si="38"/>
        <v>98</v>
      </c>
      <c r="C1162" s="1290"/>
      <c r="D1162" s="1758"/>
      <c r="E1162" s="1758"/>
      <c r="F1162" s="1293" t="s">
        <v>1320</v>
      </c>
      <c r="G1162" s="1302"/>
      <c r="H1162" s="1322"/>
      <c r="I1162" s="1322"/>
      <c r="J1162" s="1322"/>
      <c r="K1162" s="1322"/>
      <c r="L1162" s="1322"/>
      <c r="M1162" s="1322"/>
      <c r="N1162" s="1353"/>
      <c r="O1162" s="1326"/>
      <c r="P1162" s="1322"/>
      <c r="Q1162" s="1323"/>
      <c r="R1162" s="1324"/>
      <c r="S1162" s="1325"/>
      <c r="T1162" s="1353"/>
      <c r="U1162" s="1463"/>
      <c r="V1162" s="1464"/>
      <c r="W1162" s="1482"/>
      <c r="X1162" s="1307"/>
    </row>
    <row r="1163" spans="1:24" s="1308" customFormat="1" ht="15" customHeight="1" x14ac:dyDescent="0.25">
      <c r="A1163" s="730"/>
      <c r="B1163" s="1286">
        <f t="shared" si="38"/>
        <v>99</v>
      </c>
      <c r="C1163" s="1290"/>
      <c r="D1163" s="1758"/>
      <c r="E1163" s="1758" t="s">
        <v>1682</v>
      </c>
      <c r="F1163" s="1293" t="s">
        <v>1319</v>
      </c>
      <c r="G1163" s="1302"/>
      <c r="H1163" s="1322"/>
      <c r="I1163" s="1322"/>
      <c r="J1163" s="1322"/>
      <c r="K1163" s="1322"/>
      <c r="L1163" s="1322"/>
      <c r="M1163" s="1322"/>
      <c r="N1163" s="1353"/>
      <c r="O1163" s="1326"/>
      <c r="P1163" s="1322"/>
      <c r="Q1163" s="1323"/>
      <c r="R1163" s="1324"/>
      <c r="S1163" s="1325"/>
      <c r="T1163" s="1353"/>
      <c r="U1163" s="1463"/>
      <c r="V1163" s="1464"/>
      <c r="W1163" s="1482"/>
      <c r="X1163" s="1307"/>
    </row>
    <row r="1164" spans="1:24" s="1308" customFormat="1" ht="15" customHeight="1" x14ac:dyDescent="0.25">
      <c r="A1164" s="730"/>
      <c r="B1164" s="1287">
        <f t="shared" si="38"/>
        <v>100</v>
      </c>
      <c r="C1164" s="1291"/>
      <c r="D1164" s="1760"/>
      <c r="E1164" s="1760"/>
      <c r="F1164" s="1294" t="s">
        <v>1320</v>
      </c>
      <c r="G1164" s="1327"/>
      <c r="H1164" s="1303"/>
      <c r="I1164" s="1303"/>
      <c r="J1164" s="1303"/>
      <c r="K1164" s="1303"/>
      <c r="L1164" s="1303"/>
      <c r="M1164" s="1303"/>
      <c r="N1164" s="1351"/>
      <c r="O1164" s="1328"/>
      <c r="P1164" s="1303"/>
      <c r="Q1164" s="1304"/>
      <c r="R1164" s="1305"/>
      <c r="S1164" s="1306"/>
      <c r="T1164" s="1351"/>
      <c r="U1164" s="1466"/>
      <c r="V1164" s="1467"/>
      <c r="W1164" s="1483"/>
      <c r="X1164" s="1307"/>
    </row>
    <row r="1165" spans="1:24" s="423" customFormat="1" ht="15" customHeight="1" x14ac:dyDescent="0.25">
      <c r="A1165" s="1189"/>
      <c r="B1165" s="1442"/>
      <c r="C1165" s="1005"/>
      <c r="D1165" s="1005"/>
      <c r="E1165" s="1190"/>
      <c r="F1165" s="1191"/>
      <c r="G1165" s="1192"/>
      <c r="H1165" s="455"/>
      <c r="I1165" s="455"/>
      <c r="J1165" s="455"/>
      <c r="K1165" s="455"/>
      <c r="L1165" s="455"/>
      <c r="M1165" s="455"/>
      <c r="N1165" s="455"/>
      <c r="O1165" s="1192"/>
      <c r="P1165" s="455"/>
      <c r="Q1165" s="1193"/>
      <c r="R1165" s="1194"/>
      <c r="S1165" s="1195"/>
      <c r="T1165" s="1474"/>
      <c r="U1165" s="1475"/>
      <c r="V1165" s="1476"/>
      <c r="W1165" s="1477"/>
      <c r="X1165" s="456"/>
    </row>
    <row r="1166" spans="1:24" ht="30" customHeight="1" x14ac:dyDescent="0.3">
      <c r="A1166" s="728" t="s">
        <v>1374</v>
      </c>
      <c r="B1166" s="731"/>
      <c r="C1166" s="732"/>
      <c r="D1166" s="732"/>
      <c r="E1166" s="732"/>
      <c r="F1166" s="732"/>
      <c r="G1166" s="716"/>
      <c r="H1166" s="716"/>
      <c r="I1166" s="716"/>
      <c r="J1166" s="716"/>
      <c r="P1166" s="1767"/>
      <c r="Q1166" s="1767"/>
      <c r="T1166" s="1809"/>
      <c r="U1166" s="1809"/>
      <c r="V1166" s="1473"/>
      <c r="W1166" s="1473"/>
      <c r="X1166" s="727"/>
    </row>
    <row r="1167" spans="1:24" s="735" customFormat="1" ht="45" customHeight="1" x14ac:dyDescent="0.25">
      <c r="A1167" s="733" t="s">
        <v>1430</v>
      </c>
      <c r="B1167" s="722"/>
      <c r="C1167" s="734"/>
      <c r="D1167" s="734"/>
      <c r="E1167" s="734"/>
      <c r="F1167" s="732"/>
      <c r="T1167" s="1473"/>
      <c r="U1167" s="1473"/>
      <c r="V1167" s="1473"/>
      <c r="W1167" s="1473"/>
      <c r="X1167" s="422"/>
    </row>
    <row r="1168" spans="1:24" s="1300" customFormat="1" ht="60" customHeight="1" x14ac:dyDescent="0.25">
      <c r="A1168" s="726"/>
      <c r="B1168" s="1297"/>
      <c r="C1168" s="1298"/>
      <c r="D1168" s="1443" t="s">
        <v>1331</v>
      </c>
      <c r="E1168" s="1443" t="s">
        <v>1460</v>
      </c>
      <c r="F1168" s="1298"/>
      <c r="G1168" s="1676"/>
      <c r="H1168" s="1677"/>
      <c r="I1168" s="1677"/>
      <c r="J1168" s="1677"/>
      <c r="K1168" s="1677"/>
      <c r="L1168" s="1677"/>
      <c r="M1168" s="1677"/>
      <c r="N1168" s="1677"/>
      <c r="O1168" s="1650"/>
      <c r="P1168" s="1677"/>
      <c r="Q1168" s="1677"/>
      <c r="R1168" s="1677"/>
      <c r="S1168" s="1778"/>
      <c r="T1168" s="1810"/>
      <c r="U1168" s="1811"/>
      <c r="V1168" s="1811"/>
      <c r="W1168" s="1812"/>
      <c r="X1168" s="1299"/>
    </row>
    <row r="1169" spans="1:24" s="1308" customFormat="1" ht="30" customHeight="1" x14ac:dyDescent="0.25">
      <c r="A1169" s="730"/>
      <c r="B1169" s="1285">
        <v>1</v>
      </c>
      <c r="C1169" s="1289"/>
      <c r="D1169" s="1761" t="s">
        <v>1333</v>
      </c>
      <c r="E1169" s="1292" t="s">
        <v>1629</v>
      </c>
      <c r="F1169" s="1289"/>
      <c r="G1169" s="1316"/>
      <c r="H1169" s="1317"/>
      <c r="I1169" s="1317"/>
      <c r="J1169" s="1317"/>
      <c r="K1169" s="1317"/>
      <c r="L1169" s="1317"/>
      <c r="M1169" s="1317"/>
      <c r="N1169" s="1317"/>
      <c r="O1169" s="1321"/>
      <c r="P1169" s="1317"/>
      <c r="Q1169" s="1318"/>
      <c r="R1169" s="1319"/>
      <c r="S1169" s="1320"/>
      <c r="T1169" s="1349"/>
      <c r="U1169" s="1460"/>
      <c r="V1169" s="1461"/>
      <c r="W1169" s="1481"/>
      <c r="X1169" s="1307"/>
    </row>
    <row r="1170" spans="1:24" s="1308" customFormat="1" ht="30" customHeight="1" x14ac:dyDescent="0.25">
      <c r="A1170" s="730"/>
      <c r="B1170" s="1286">
        <f t="shared" ref="B1170:B1186" si="39">B1169+1</f>
        <v>2</v>
      </c>
      <c r="C1170" s="1295"/>
      <c r="D1170" s="1762"/>
      <c r="E1170" s="1293" t="s">
        <v>1454</v>
      </c>
      <c r="F1170" s="1295"/>
      <c r="G1170" s="1329"/>
      <c r="H1170" s="1330"/>
      <c r="I1170" s="1330"/>
      <c r="J1170" s="1330"/>
      <c r="K1170" s="1330"/>
      <c r="L1170" s="1330"/>
      <c r="M1170" s="1330"/>
      <c r="N1170" s="1330"/>
      <c r="O1170" s="1334"/>
      <c r="P1170" s="1330"/>
      <c r="Q1170" s="1331"/>
      <c r="R1170" s="1332"/>
      <c r="S1170" s="1333"/>
      <c r="T1170" s="1347"/>
      <c r="U1170" s="1468"/>
      <c r="V1170" s="1469"/>
      <c r="W1170" s="1484"/>
      <c r="X1170" s="1307"/>
    </row>
    <row r="1171" spans="1:24" s="1308" customFormat="1" ht="15" customHeight="1" x14ac:dyDescent="0.25">
      <c r="A1171" s="730"/>
      <c r="B1171" s="1286">
        <f t="shared" si="39"/>
        <v>3</v>
      </c>
      <c r="C1171" s="1290"/>
      <c r="D1171" s="1762"/>
      <c r="E1171" s="1293" t="s">
        <v>62</v>
      </c>
      <c r="F1171" s="1290"/>
      <c r="G1171" s="1302"/>
      <c r="H1171" s="1322"/>
      <c r="I1171" s="1322"/>
      <c r="J1171" s="1322"/>
      <c r="K1171" s="1322"/>
      <c r="L1171" s="1322"/>
      <c r="M1171" s="1322"/>
      <c r="N1171" s="1322"/>
      <c r="O1171" s="1326"/>
      <c r="P1171" s="1322"/>
      <c r="Q1171" s="1323"/>
      <c r="R1171" s="1324"/>
      <c r="S1171" s="1325"/>
      <c r="T1171" s="1353"/>
      <c r="U1171" s="1463"/>
      <c r="V1171" s="1464"/>
      <c r="W1171" s="1482"/>
      <c r="X1171" s="1307"/>
    </row>
    <row r="1172" spans="1:24" s="1308" customFormat="1" ht="30" customHeight="1" x14ac:dyDescent="0.25">
      <c r="A1172" s="730"/>
      <c r="B1172" s="1286">
        <f t="shared" si="39"/>
        <v>4</v>
      </c>
      <c r="C1172" s="1290"/>
      <c r="D1172" s="1758" t="s">
        <v>1627</v>
      </c>
      <c r="E1172" s="1293" t="s">
        <v>1629</v>
      </c>
      <c r="F1172" s="1290"/>
      <c r="G1172" s="1302"/>
      <c r="H1172" s="1322"/>
      <c r="I1172" s="1322"/>
      <c r="J1172" s="1322"/>
      <c r="K1172" s="1322"/>
      <c r="L1172" s="1322"/>
      <c r="M1172" s="1322"/>
      <c r="N1172" s="1322"/>
      <c r="O1172" s="1326"/>
      <c r="P1172" s="1322"/>
      <c r="Q1172" s="1323"/>
      <c r="R1172" s="1324"/>
      <c r="S1172" s="1325"/>
      <c r="T1172" s="1353"/>
      <c r="U1172" s="1463"/>
      <c r="V1172" s="1464"/>
      <c r="W1172" s="1482"/>
      <c r="X1172" s="1307"/>
    </row>
    <row r="1173" spans="1:24" s="1308" customFormat="1" ht="30" customHeight="1" x14ac:dyDescent="0.25">
      <c r="A1173" s="730"/>
      <c r="B1173" s="1286">
        <f t="shared" si="39"/>
        <v>5</v>
      </c>
      <c r="C1173" s="1290"/>
      <c r="D1173" s="1758"/>
      <c r="E1173" s="1293" t="s">
        <v>1454</v>
      </c>
      <c r="F1173" s="1290"/>
      <c r="G1173" s="1302"/>
      <c r="H1173" s="1322"/>
      <c r="I1173" s="1322"/>
      <c r="J1173" s="1322"/>
      <c r="K1173" s="1322"/>
      <c r="L1173" s="1322"/>
      <c r="M1173" s="1322"/>
      <c r="N1173" s="1322"/>
      <c r="O1173" s="1326"/>
      <c r="P1173" s="1322"/>
      <c r="Q1173" s="1323"/>
      <c r="R1173" s="1324"/>
      <c r="S1173" s="1325"/>
      <c r="T1173" s="1353"/>
      <c r="U1173" s="1463"/>
      <c r="V1173" s="1464"/>
      <c r="W1173" s="1482"/>
      <c r="X1173" s="1307"/>
    </row>
    <row r="1174" spans="1:24" s="1308" customFormat="1" ht="15" customHeight="1" x14ac:dyDescent="0.25">
      <c r="A1174" s="730"/>
      <c r="B1174" s="1286">
        <f t="shared" si="39"/>
        <v>6</v>
      </c>
      <c r="C1174" s="1290"/>
      <c r="D1174" s="1758"/>
      <c r="E1174" s="1293" t="s">
        <v>62</v>
      </c>
      <c r="F1174" s="1290"/>
      <c r="G1174" s="1302"/>
      <c r="H1174" s="1322"/>
      <c r="I1174" s="1322"/>
      <c r="J1174" s="1322"/>
      <c r="K1174" s="1322"/>
      <c r="L1174" s="1322"/>
      <c r="M1174" s="1322"/>
      <c r="N1174" s="1322"/>
      <c r="O1174" s="1326"/>
      <c r="P1174" s="1322"/>
      <c r="Q1174" s="1323"/>
      <c r="R1174" s="1324"/>
      <c r="S1174" s="1325"/>
      <c r="T1174" s="1353"/>
      <c r="U1174" s="1463"/>
      <c r="V1174" s="1464"/>
      <c r="W1174" s="1482"/>
      <c r="X1174" s="1307"/>
    </row>
    <row r="1175" spans="1:24" s="1308" customFormat="1" ht="30" customHeight="1" x14ac:dyDescent="0.25">
      <c r="A1175" s="730"/>
      <c r="B1175" s="1286">
        <f t="shared" si="39"/>
        <v>7</v>
      </c>
      <c r="C1175" s="1290"/>
      <c r="D1175" s="1758" t="s">
        <v>1339</v>
      </c>
      <c r="E1175" s="1293" t="s">
        <v>1629</v>
      </c>
      <c r="F1175" s="1290"/>
      <c r="G1175" s="1302"/>
      <c r="H1175" s="1322"/>
      <c r="I1175" s="1322"/>
      <c r="J1175" s="1322"/>
      <c r="K1175" s="1322"/>
      <c r="L1175" s="1322"/>
      <c r="M1175" s="1322"/>
      <c r="N1175" s="1322"/>
      <c r="O1175" s="1326"/>
      <c r="P1175" s="1322"/>
      <c r="Q1175" s="1323"/>
      <c r="R1175" s="1324"/>
      <c r="S1175" s="1325"/>
      <c r="T1175" s="1353"/>
      <c r="U1175" s="1463"/>
      <c r="V1175" s="1464"/>
      <c r="W1175" s="1482"/>
      <c r="X1175" s="1307"/>
    </row>
    <row r="1176" spans="1:24" s="1308" customFormat="1" ht="30" customHeight="1" x14ac:dyDescent="0.25">
      <c r="A1176" s="730"/>
      <c r="B1176" s="1286">
        <f t="shared" si="39"/>
        <v>8</v>
      </c>
      <c r="C1176" s="1290"/>
      <c r="D1176" s="1758"/>
      <c r="E1176" s="1293" t="s">
        <v>1454</v>
      </c>
      <c r="F1176" s="1290"/>
      <c r="G1176" s="1302"/>
      <c r="H1176" s="1322"/>
      <c r="I1176" s="1322"/>
      <c r="J1176" s="1322"/>
      <c r="K1176" s="1322"/>
      <c r="L1176" s="1322"/>
      <c r="M1176" s="1322"/>
      <c r="N1176" s="1322"/>
      <c r="O1176" s="1326"/>
      <c r="P1176" s="1322"/>
      <c r="Q1176" s="1323"/>
      <c r="R1176" s="1324"/>
      <c r="S1176" s="1325"/>
      <c r="T1176" s="1353"/>
      <c r="U1176" s="1463"/>
      <c r="V1176" s="1464"/>
      <c r="W1176" s="1482"/>
      <c r="X1176" s="1307"/>
    </row>
    <row r="1177" spans="1:24" s="1308" customFormat="1" ht="15" customHeight="1" x14ac:dyDescent="0.25">
      <c r="A1177" s="730"/>
      <c r="B1177" s="1286">
        <f t="shared" si="39"/>
        <v>9</v>
      </c>
      <c r="C1177" s="1290"/>
      <c r="D1177" s="1758"/>
      <c r="E1177" s="1293" t="s">
        <v>62</v>
      </c>
      <c r="F1177" s="1290"/>
      <c r="G1177" s="1302"/>
      <c r="H1177" s="1322"/>
      <c r="I1177" s="1322"/>
      <c r="J1177" s="1322"/>
      <c r="K1177" s="1322"/>
      <c r="L1177" s="1322"/>
      <c r="M1177" s="1322"/>
      <c r="N1177" s="1322"/>
      <c r="O1177" s="1326"/>
      <c r="P1177" s="1322"/>
      <c r="Q1177" s="1323"/>
      <c r="R1177" s="1324"/>
      <c r="S1177" s="1325"/>
      <c r="T1177" s="1353"/>
      <c r="U1177" s="1463"/>
      <c r="V1177" s="1464"/>
      <c r="W1177" s="1482"/>
      <c r="X1177" s="1307"/>
    </row>
    <row r="1178" spans="1:24" s="1308" customFormat="1" ht="30" customHeight="1" x14ac:dyDescent="0.25">
      <c r="A1178" s="730"/>
      <c r="B1178" s="1286">
        <f t="shared" si="39"/>
        <v>10</v>
      </c>
      <c r="C1178" s="1290"/>
      <c r="D1178" s="1758" t="s">
        <v>1340</v>
      </c>
      <c r="E1178" s="1293" t="s">
        <v>1629</v>
      </c>
      <c r="F1178" s="1290"/>
      <c r="G1178" s="1302"/>
      <c r="H1178" s="1322"/>
      <c r="I1178" s="1322"/>
      <c r="J1178" s="1322"/>
      <c r="K1178" s="1322"/>
      <c r="L1178" s="1322"/>
      <c r="M1178" s="1322"/>
      <c r="N1178" s="1322"/>
      <c r="O1178" s="1326"/>
      <c r="P1178" s="1322"/>
      <c r="Q1178" s="1323"/>
      <c r="R1178" s="1324"/>
      <c r="S1178" s="1325"/>
      <c r="T1178" s="1353"/>
      <c r="U1178" s="1463"/>
      <c r="V1178" s="1464"/>
      <c r="W1178" s="1482"/>
      <c r="X1178" s="1307"/>
    </row>
    <row r="1179" spans="1:24" s="1308" customFormat="1" ht="30" customHeight="1" x14ac:dyDescent="0.25">
      <c r="A1179" s="730"/>
      <c r="B1179" s="1286">
        <f t="shared" si="39"/>
        <v>11</v>
      </c>
      <c r="C1179" s="1290"/>
      <c r="D1179" s="1758"/>
      <c r="E1179" s="1293" t="s">
        <v>1454</v>
      </c>
      <c r="F1179" s="1290"/>
      <c r="G1179" s="1302"/>
      <c r="H1179" s="1322"/>
      <c r="I1179" s="1322"/>
      <c r="J1179" s="1322"/>
      <c r="K1179" s="1322"/>
      <c r="L1179" s="1322"/>
      <c r="M1179" s="1322"/>
      <c r="N1179" s="1322"/>
      <c r="O1179" s="1326"/>
      <c r="P1179" s="1322"/>
      <c r="Q1179" s="1323"/>
      <c r="R1179" s="1324"/>
      <c r="S1179" s="1325"/>
      <c r="T1179" s="1353"/>
      <c r="U1179" s="1463"/>
      <c r="V1179" s="1464"/>
      <c r="W1179" s="1482"/>
      <c r="X1179" s="1307"/>
    </row>
    <row r="1180" spans="1:24" s="1308" customFormat="1" ht="15" customHeight="1" x14ac:dyDescent="0.25">
      <c r="A1180" s="730"/>
      <c r="B1180" s="1286">
        <f t="shared" si="39"/>
        <v>12</v>
      </c>
      <c r="C1180" s="1290"/>
      <c r="D1180" s="1758"/>
      <c r="E1180" s="1293" t="s">
        <v>62</v>
      </c>
      <c r="F1180" s="1290"/>
      <c r="G1180" s="1302"/>
      <c r="H1180" s="1322"/>
      <c r="I1180" s="1322"/>
      <c r="J1180" s="1322"/>
      <c r="K1180" s="1322"/>
      <c r="L1180" s="1322"/>
      <c r="M1180" s="1322"/>
      <c r="N1180" s="1322"/>
      <c r="O1180" s="1326"/>
      <c r="P1180" s="1322"/>
      <c r="Q1180" s="1323"/>
      <c r="R1180" s="1324"/>
      <c r="S1180" s="1325"/>
      <c r="T1180" s="1353"/>
      <c r="U1180" s="1463"/>
      <c r="V1180" s="1464"/>
      <c r="W1180" s="1482"/>
      <c r="X1180" s="1307"/>
    </row>
    <row r="1181" spans="1:24" s="1308" customFormat="1" ht="30" customHeight="1" x14ac:dyDescent="0.25">
      <c r="A1181" s="730"/>
      <c r="B1181" s="1286">
        <f t="shared" si="39"/>
        <v>13</v>
      </c>
      <c r="C1181" s="1290"/>
      <c r="D1181" s="1758" t="s">
        <v>1341</v>
      </c>
      <c r="E1181" s="1293" t="s">
        <v>1629</v>
      </c>
      <c r="F1181" s="1290"/>
      <c r="G1181" s="1302"/>
      <c r="H1181" s="1322"/>
      <c r="I1181" s="1322"/>
      <c r="J1181" s="1322"/>
      <c r="K1181" s="1322"/>
      <c r="L1181" s="1322"/>
      <c r="M1181" s="1322"/>
      <c r="N1181" s="1322"/>
      <c r="O1181" s="1326"/>
      <c r="P1181" s="1322"/>
      <c r="Q1181" s="1323"/>
      <c r="R1181" s="1324"/>
      <c r="S1181" s="1325"/>
      <c r="T1181" s="1353"/>
      <c r="U1181" s="1463"/>
      <c r="V1181" s="1464"/>
      <c r="W1181" s="1482"/>
      <c r="X1181" s="1307"/>
    </row>
    <row r="1182" spans="1:24" s="1308" customFormat="1" ht="30" customHeight="1" x14ac:dyDescent="0.25">
      <c r="A1182" s="730"/>
      <c r="B1182" s="1286">
        <f t="shared" si="39"/>
        <v>14</v>
      </c>
      <c r="C1182" s="1290"/>
      <c r="D1182" s="1758"/>
      <c r="E1182" s="1293" t="s">
        <v>1454</v>
      </c>
      <c r="F1182" s="1290"/>
      <c r="G1182" s="1302"/>
      <c r="H1182" s="1322"/>
      <c r="I1182" s="1322"/>
      <c r="J1182" s="1322"/>
      <c r="K1182" s="1322"/>
      <c r="L1182" s="1322"/>
      <c r="M1182" s="1322"/>
      <c r="N1182" s="1322"/>
      <c r="O1182" s="1326"/>
      <c r="P1182" s="1322"/>
      <c r="Q1182" s="1323"/>
      <c r="R1182" s="1324"/>
      <c r="S1182" s="1325"/>
      <c r="T1182" s="1353"/>
      <c r="U1182" s="1463"/>
      <c r="V1182" s="1464"/>
      <c r="W1182" s="1482"/>
      <c r="X1182" s="1307"/>
    </row>
    <row r="1183" spans="1:24" s="1308" customFormat="1" ht="15" customHeight="1" x14ac:dyDescent="0.25">
      <c r="A1183" s="730"/>
      <c r="B1183" s="1286">
        <f t="shared" si="39"/>
        <v>15</v>
      </c>
      <c r="C1183" s="1290"/>
      <c r="D1183" s="1758"/>
      <c r="E1183" s="1293" t="s">
        <v>62</v>
      </c>
      <c r="F1183" s="1290"/>
      <c r="G1183" s="1302"/>
      <c r="H1183" s="1322"/>
      <c r="I1183" s="1322"/>
      <c r="J1183" s="1322"/>
      <c r="K1183" s="1322"/>
      <c r="L1183" s="1322"/>
      <c r="M1183" s="1322"/>
      <c r="N1183" s="1322"/>
      <c r="O1183" s="1326"/>
      <c r="P1183" s="1322"/>
      <c r="Q1183" s="1323"/>
      <c r="R1183" s="1324"/>
      <c r="S1183" s="1325"/>
      <c r="T1183" s="1353"/>
      <c r="U1183" s="1463"/>
      <c r="V1183" s="1464"/>
      <c r="W1183" s="1482"/>
      <c r="X1183" s="1307"/>
    </row>
    <row r="1184" spans="1:24" s="1308" customFormat="1" ht="30" customHeight="1" x14ac:dyDescent="0.25">
      <c r="A1184" s="730"/>
      <c r="B1184" s="1286">
        <f t="shared" si="39"/>
        <v>16</v>
      </c>
      <c r="C1184" s="1290"/>
      <c r="D1184" s="1758" t="s">
        <v>1335</v>
      </c>
      <c r="E1184" s="1293" t="s">
        <v>1629</v>
      </c>
      <c r="F1184" s="1290"/>
      <c r="G1184" s="1302"/>
      <c r="H1184" s="1322"/>
      <c r="I1184" s="1322"/>
      <c r="J1184" s="1322"/>
      <c r="K1184" s="1322"/>
      <c r="L1184" s="1322"/>
      <c r="M1184" s="1322"/>
      <c r="N1184" s="1322"/>
      <c r="O1184" s="1326"/>
      <c r="P1184" s="1322"/>
      <c r="Q1184" s="1323"/>
      <c r="R1184" s="1324"/>
      <c r="S1184" s="1325"/>
      <c r="T1184" s="1353"/>
      <c r="U1184" s="1463"/>
      <c r="V1184" s="1464"/>
      <c r="W1184" s="1482"/>
      <c r="X1184" s="1307"/>
    </row>
    <row r="1185" spans="1:24" s="1308" customFormat="1" ht="30" customHeight="1" x14ac:dyDescent="0.25">
      <c r="A1185" s="730"/>
      <c r="B1185" s="1286">
        <f t="shared" si="39"/>
        <v>17</v>
      </c>
      <c r="C1185" s="1296"/>
      <c r="D1185" s="1759"/>
      <c r="E1185" s="1293" t="s">
        <v>1454</v>
      </c>
      <c r="F1185" s="1296"/>
      <c r="G1185" s="1335"/>
      <c r="H1185" s="1336"/>
      <c r="I1185" s="1336"/>
      <c r="J1185" s="1336"/>
      <c r="K1185" s="1336"/>
      <c r="L1185" s="1336"/>
      <c r="M1185" s="1336"/>
      <c r="N1185" s="1336"/>
      <c r="O1185" s="1340"/>
      <c r="P1185" s="1336"/>
      <c r="Q1185" s="1337"/>
      <c r="R1185" s="1338"/>
      <c r="S1185" s="1339"/>
      <c r="T1185" s="1478"/>
      <c r="U1185" s="1479"/>
      <c r="V1185" s="1480"/>
      <c r="W1185" s="1486"/>
      <c r="X1185" s="1307"/>
    </row>
    <row r="1186" spans="1:24" s="1308" customFormat="1" ht="15" customHeight="1" x14ac:dyDescent="0.25">
      <c r="A1186" s="730"/>
      <c r="B1186" s="1287">
        <f t="shared" si="39"/>
        <v>18</v>
      </c>
      <c r="C1186" s="1291"/>
      <c r="D1186" s="1760"/>
      <c r="E1186" s="1294" t="s">
        <v>62</v>
      </c>
      <c r="F1186" s="1291"/>
      <c r="G1186" s="1327"/>
      <c r="H1186" s="1303"/>
      <c r="I1186" s="1303"/>
      <c r="J1186" s="1303"/>
      <c r="K1186" s="1303"/>
      <c r="L1186" s="1303"/>
      <c r="M1186" s="1303"/>
      <c r="N1186" s="1303"/>
      <c r="O1186" s="1328"/>
      <c r="P1186" s="1303"/>
      <c r="Q1186" s="1304"/>
      <c r="R1186" s="1305"/>
      <c r="S1186" s="1306"/>
      <c r="T1186" s="1351"/>
      <c r="U1186" s="1466"/>
      <c r="V1186" s="1467"/>
      <c r="W1186" s="1483"/>
      <c r="X1186" s="1307"/>
    </row>
    <row r="1187" spans="1:24" s="735" customFormat="1" ht="45" customHeight="1" x14ac:dyDescent="0.25">
      <c r="A1187" s="733" t="s">
        <v>1431</v>
      </c>
      <c r="B1187" s="722"/>
      <c r="C1187" s="734"/>
      <c r="D1187" s="734"/>
      <c r="E1187" s="734"/>
      <c r="F1187" s="732"/>
      <c r="X1187" s="422"/>
    </row>
    <row r="1188" spans="1:24" s="1300" customFormat="1" ht="60" customHeight="1" x14ac:dyDescent="0.25">
      <c r="A1188" s="726"/>
      <c r="B1188" s="1297"/>
      <c r="C1188" s="1298"/>
      <c r="D1188" s="1443" t="s">
        <v>1331</v>
      </c>
      <c r="E1188" s="1443" t="s">
        <v>1313</v>
      </c>
      <c r="F1188" s="1443" t="s">
        <v>1332</v>
      </c>
      <c r="G1188" s="1676"/>
      <c r="H1188" s="1677"/>
      <c r="I1188" s="1677"/>
      <c r="J1188" s="1677"/>
      <c r="K1188" s="1677"/>
      <c r="L1188" s="1677"/>
      <c r="M1188" s="1677"/>
      <c r="N1188" s="1677"/>
      <c r="O1188" s="1677"/>
      <c r="P1188" s="1677"/>
      <c r="Q1188" s="1677"/>
      <c r="R1188" s="1677"/>
      <c r="S1188" s="1677"/>
      <c r="T1188" s="1677"/>
      <c r="U1188" s="1677"/>
      <c r="V1188" s="1677"/>
      <c r="W1188" s="1778"/>
      <c r="X1188" s="1299"/>
    </row>
    <row r="1189" spans="1:24" s="1308" customFormat="1" ht="15" customHeight="1" x14ac:dyDescent="0.25">
      <c r="A1189" s="730"/>
      <c r="B1189" s="1285">
        <v>1</v>
      </c>
      <c r="C1189" s="1289"/>
      <c r="D1189" s="1763" t="s">
        <v>1333</v>
      </c>
      <c r="E1189" s="1763" t="s">
        <v>1336</v>
      </c>
      <c r="F1189" s="1292" t="s">
        <v>1334</v>
      </c>
      <c r="G1189" s="1316"/>
      <c r="H1189" s="1317"/>
      <c r="I1189" s="1317"/>
      <c r="J1189" s="1317"/>
      <c r="K1189" s="1317"/>
      <c r="L1189" s="1317"/>
      <c r="M1189" s="1317"/>
      <c r="N1189" s="1317"/>
      <c r="O1189" s="1321"/>
      <c r="P1189" s="1317"/>
      <c r="Q1189" s="1318"/>
      <c r="R1189" s="1319"/>
      <c r="S1189" s="1320"/>
      <c r="T1189" s="1349"/>
      <c r="U1189" s="1460"/>
      <c r="V1189" s="1461"/>
      <c r="W1189" s="1481"/>
      <c r="X1189" s="1307"/>
    </row>
    <row r="1190" spans="1:24" s="1308" customFormat="1" ht="15" customHeight="1" x14ac:dyDescent="0.25">
      <c r="A1190" s="730"/>
      <c r="B1190" s="1286">
        <f>B1189+1</f>
        <v>2</v>
      </c>
      <c r="C1190" s="1290"/>
      <c r="D1190" s="1758"/>
      <c r="E1190" s="1758"/>
      <c r="F1190" s="1293" t="s">
        <v>62</v>
      </c>
      <c r="G1190" s="1302"/>
      <c r="H1190" s="1322"/>
      <c r="I1190" s="1322"/>
      <c r="J1190" s="1322"/>
      <c r="K1190" s="1322"/>
      <c r="L1190" s="1322"/>
      <c r="M1190" s="1322"/>
      <c r="N1190" s="1322"/>
      <c r="O1190" s="1326"/>
      <c r="P1190" s="1322"/>
      <c r="Q1190" s="1323"/>
      <c r="R1190" s="1324"/>
      <c r="S1190" s="1325"/>
      <c r="T1190" s="1353"/>
      <c r="U1190" s="1463"/>
      <c r="V1190" s="1464"/>
      <c r="W1190" s="1482"/>
      <c r="X1190" s="1307"/>
    </row>
    <row r="1191" spans="1:24" s="1308" customFormat="1" ht="15" customHeight="1" x14ac:dyDescent="0.25">
      <c r="A1191" s="730"/>
      <c r="B1191" s="1286">
        <f t="shared" ref="B1191:B1248" si="40">B1190+1</f>
        <v>3</v>
      </c>
      <c r="C1191" s="1290"/>
      <c r="D1191" s="1758"/>
      <c r="E1191" s="1758" t="s">
        <v>1323</v>
      </c>
      <c r="F1191" s="1293" t="s">
        <v>1334</v>
      </c>
      <c r="G1191" s="1302"/>
      <c r="H1191" s="1322"/>
      <c r="I1191" s="1322"/>
      <c r="J1191" s="1322"/>
      <c r="K1191" s="1322"/>
      <c r="L1191" s="1322"/>
      <c r="M1191" s="1322"/>
      <c r="N1191" s="1322"/>
      <c r="O1191" s="1326"/>
      <c r="P1191" s="1322"/>
      <c r="Q1191" s="1323"/>
      <c r="R1191" s="1324"/>
      <c r="S1191" s="1325"/>
      <c r="T1191" s="1353"/>
      <c r="U1191" s="1463"/>
      <c r="V1191" s="1464"/>
      <c r="W1191" s="1482"/>
      <c r="X1191" s="1307"/>
    </row>
    <row r="1192" spans="1:24" s="1308" customFormat="1" ht="15" customHeight="1" x14ac:dyDescent="0.25">
      <c r="A1192" s="730"/>
      <c r="B1192" s="1286">
        <f>B1191+1</f>
        <v>4</v>
      </c>
      <c r="C1192" s="1290"/>
      <c r="D1192" s="1758"/>
      <c r="E1192" s="1758"/>
      <c r="F1192" s="1293" t="s">
        <v>62</v>
      </c>
      <c r="G1192" s="1302"/>
      <c r="H1192" s="1322"/>
      <c r="I1192" s="1322"/>
      <c r="J1192" s="1322"/>
      <c r="K1192" s="1322"/>
      <c r="L1192" s="1322"/>
      <c r="M1192" s="1322"/>
      <c r="N1192" s="1322"/>
      <c r="O1192" s="1326"/>
      <c r="P1192" s="1322"/>
      <c r="Q1192" s="1323"/>
      <c r="R1192" s="1324"/>
      <c r="S1192" s="1325"/>
      <c r="T1192" s="1353"/>
      <c r="U1192" s="1463"/>
      <c r="V1192" s="1464"/>
      <c r="W1192" s="1482"/>
      <c r="X1192" s="1307"/>
    </row>
    <row r="1193" spans="1:24" s="1308" customFormat="1" ht="15" customHeight="1" x14ac:dyDescent="0.25">
      <c r="A1193" s="730"/>
      <c r="B1193" s="1286">
        <f t="shared" si="40"/>
        <v>5</v>
      </c>
      <c r="C1193" s="1290"/>
      <c r="D1193" s="1758"/>
      <c r="E1193" s="1758" t="s">
        <v>1326</v>
      </c>
      <c r="F1193" s="1293" t="s">
        <v>1334</v>
      </c>
      <c r="G1193" s="1302"/>
      <c r="H1193" s="1322"/>
      <c r="I1193" s="1322"/>
      <c r="J1193" s="1322"/>
      <c r="K1193" s="1322"/>
      <c r="L1193" s="1322"/>
      <c r="M1193" s="1322"/>
      <c r="N1193" s="1322"/>
      <c r="O1193" s="1326"/>
      <c r="P1193" s="1322"/>
      <c r="Q1193" s="1323"/>
      <c r="R1193" s="1324"/>
      <c r="S1193" s="1325"/>
      <c r="T1193" s="1353"/>
      <c r="U1193" s="1463"/>
      <c r="V1193" s="1464"/>
      <c r="W1193" s="1482"/>
      <c r="X1193" s="1307"/>
    </row>
    <row r="1194" spans="1:24" s="1308" customFormat="1" ht="15" customHeight="1" x14ac:dyDescent="0.25">
      <c r="A1194" s="730"/>
      <c r="B1194" s="1286">
        <f>B1193+1</f>
        <v>6</v>
      </c>
      <c r="C1194" s="1290"/>
      <c r="D1194" s="1758"/>
      <c r="E1194" s="1758"/>
      <c r="F1194" s="1293" t="s">
        <v>62</v>
      </c>
      <c r="G1194" s="1302"/>
      <c r="H1194" s="1322"/>
      <c r="I1194" s="1322"/>
      <c r="J1194" s="1322"/>
      <c r="K1194" s="1322"/>
      <c r="L1194" s="1322"/>
      <c r="M1194" s="1322"/>
      <c r="N1194" s="1322"/>
      <c r="O1194" s="1326"/>
      <c r="P1194" s="1322"/>
      <c r="Q1194" s="1323"/>
      <c r="R1194" s="1324"/>
      <c r="S1194" s="1325"/>
      <c r="T1194" s="1353"/>
      <c r="U1194" s="1463"/>
      <c r="V1194" s="1464"/>
      <c r="W1194" s="1482"/>
      <c r="X1194" s="1307"/>
    </row>
    <row r="1195" spans="1:24" s="1308" customFormat="1" ht="15" customHeight="1" x14ac:dyDescent="0.25">
      <c r="A1195" s="730"/>
      <c r="B1195" s="1286">
        <f t="shared" si="40"/>
        <v>7</v>
      </c>
      <c r="C1195" s="1290"/>
      <c r="D1195" s="1758"/>
      <c r="E1195" s="1758" t="s">
        <v>1338</v>
      </c>
      <c r="F1195" s="1293" t="s">
        <v>1334</v>
      </c>
      <c r="G1195" s="1302"/>
      <c r="H1195" s="1322"/>
      <c r="I1195" s="1322"/>
      <c r="J1195" s="1322"/>
      <c r="K1195" s="1322"/>
      <c r="L1195" s="1322"/>
      <c r="M1195" s="1322"/>
      <c r="N1195" s="1322"/>
      <c r="O1195" s="1326"/>
      <c r="P1195" s="1322"/>
      <c r="Q1195" s="1323"/>
      <c r="R1195" s="1324"/>
      <c r="S1195" s="1325"/>
      <c r="T1195" s="1353"/>
      <c r="U1195" s="1463"/>
      <c r="V1195" s="1464"/>
      <c r="W1195" s="1482"/>
      <c r="X1195" s="1307"/>
    </row>
    <row r="1196" spans="1:24" s="1308" customFormat="1" ht="15" customHeight="1" x14ac:dyDescent="0.25">
      <c r="A1196" s="730"/>
      <c r="B1196" s="1286">
        <f>B1195+1</f>
        <v>8</v>
      </c>
      <c r="C1196" s="1290"/>
      <c r="D1196" s="1758"/>
      <c r="E1196" s="1758"/>
      <c r="F1196" s="1293" t="s">
        <v>62</v>
      </c>
      <c r="G1196" s="1302"/>
      <c r="H1196" s="1322"/>
      <c r="I1196" s="1322"/>
      <c r="J1196" s="1322"/>
      <c r="K1196" s="1322"/>
      <c r="L1196" s="1322"/>
      <c r="M1196" s="1322"/>
      <c r="N1196" s="1322"/>
      <c r="O1196" s="1326"/>
      <c r="P1196" s="1322"/>
      <c r="Q1196" s="1323"/>
      <c r="R1196" s="1324"/>
      <c r="S1196" s="1325"/>
      <c r="T1196" s="1353"/>
      <c r="U1196" s="1463"/>
      <c r="V1196" s="1464"/>
      <c r="W1196" s="1482"/>
      <c r="X1196" s="1307"/>
    </row>
    <row r="1197" spans="1:24" s="1308" customFormat="1" ht="15" customHeight="1" x14ac:dyDescent="0.25">
      <c r="A1197" s="730"/>
      <c r="B1197" s="1286">
        <f t="shared" si="40"/>
        <v>9</v>
      </c>
      <c r="C1197" s="1290"/>
      <c r="D1197" s="1758"/>
      <c r="E1197" s="1758" t="s">
        <v>1337</v>
      </c>
      <c r="F1197" s="1293" t="s">
        <v>1334</v>
      </c>
      <c r="G1197" s="1302"/>
      <c r="H1197" s="1322"/>
      <c r="I1197" s="1322"/>
      <c r="J1197" s="1322"/>
      <c r="K1197" s="1322"/>
      <c r="L1197" s="1322"/>
      <c r="M1197" s="1322"/>
      <c r="N1197" s="1322"/>
      <c r="O1197" s="1326"/>
      <c r="P1197" s="1322"/>
      <c r="Q1197" s="1323"/>
      <c r="R1197" s="1324"/>
      <c r="S1197" s="1325"/>
      <c r="T1197" s="1353"/>
      <c r="U1197" s="1463"/>
      <c r="V1197" s="1464"/>
      <c r="W1197" s="1482"/>
      <c r="X1197" s="1307"/>
    </row>
    <row r="1198" spans="1:24" s="1308" customFormat="1" ht="15" customHeight="1" x14ac:dyDescent="0.25">
      <c r="A1198" s="730"/>
      <c r="B1198" s="1286">
        <f>B1197+1</f>
        <v>10</v>
      </c>
      <c r="C1198" s="1290"/>
      <c r="D1198" s="1758"/>
      <c r="E1198" s="1758"/>
      <c r="F1198" s="1293" t="s">
        <v>62</v>
      </c>
      <c r="G1198" s="1302"/>
      <c r="H1198" s="1322"/>
      <c r="I1198" s="1322"/>
      <c r="J1198" s="1322"/>
      <c r="K1198" s="1322"/>
      <c r="L1198" s="1322"/>
      <c r="M1198" s="1322"/>
      <c r="N1198" s="1322"/>
      <c r="O1198" s="1326"/>
      <c r="P1198" s="1322"/>
      <c r="Q1198" s="1323"/>
      <c r="R1198" s="1324"/>
      <c r="S1198" s="1325"/>
      <c r="T1198" s="1353"/>
      <c r="U1198" s="1463"/>
      <c r="V1198" s="1464"/>
      <c r="W1198" s="1482"/>
      <c r="X1198" s="1307"/>
    </row>
    <row r="1199" spans="1:24" s="1308" customFormat="1" ht="15" customHeight="1" x14ac:dyDescent="0.25">
      <c r="A1199" s="730"/>
      <c r="B1199" s="1286">
        <f t="shared" si="40"/>
        <v>11</v>
      </c>
      <c r="C1199" s="1290"/>
      <c r="D1199" s="1758" t="s">
        <v>1627</v>
      </c>
      <c r="E1199" s="1758" t="s">
        <v>1336</v>
      </c>
      <c r="F1199" s="1293" t="s">
        <v>1334</v>
      </c>
      <c r="G1199" s="1302"/>
      <c r="H1199" s="1322"/>
      <c r="I1199" s="1322"/>
      <c r="J1199" s="1322"/>
      <c r="K1199" s="1322"/>
      <c r="L1199" s="1322"/>
      <c r="M1199" s="1322"/>
      <c r="N1199" s="1322"/>
      <c r="O1199" s="1326"/>
      <c r="P1199" s="1322"/>
      <c r="Q1199" s="1323"/>
      <c r="R1199" s="1324"/>
      <c r="S1199" s="1325"/>
      <c r="T1199" s="1353"/>
      <c r="U1199" s="1463"/>
      <c r="V1199" s="1464"/>
      <c r="W1199" s="1482"/>
      <c r="X1199" s="1307"/>
    </row>
    <row r="1200" spans="1:24" s="1308" customFormat="1" ht="15" customHeight="1" x14ac:dyDescent="0.25">
      <c r="A1200" s="730"/>
      <c r="B1200" s="1286">
        <f t="shared" si="40"/>
        <v>12</v>
      </c>
      <c r="C1200" s="1290"/>
      <c r="D1200" s="1758"/>
      <c r="E1200" s="1758"/>
      <c r="F1200" s="1293" t="s">
        <v>62</v>
      </c>
      <c r="G1200" s="1302"/>
      <c r="H1200" s="1322"/>
      <c r="I1200" s="1322"/>
      <c r="J1200" s="1322"/>
      <c r="K1200" s="1322"/>
      <c r="L1200" s="1322"/>
      <c r="M1200" s="1322"/>
      <c r="N1200" s="1322"/>
      <c r="O1200" s="1326"/>
      <c r="P1200" s="1322"/>
      <c r="Q1200" s="1323"/>
      <c r="R1200" s="1324"/>
      <c r="S1200" s="1325"/>
      <c r="T1200" s="1353"/>
      <c r="U1200" s="1463"/>
      <c r="V1200" s="1464"/>
      <c r="W1200" s="1482"/>
      <c r="X1200" s="1307"/>
    </row>
    <row r="1201" spans="1:24" s="1308" customFormat="1" ht="15" customHeight="1" x14ac:dyDescent="0.25">
      <c r="A1201" s="730"/>
      <c r="B1201" s="1286">
        <f t="shared" si="40"/>
        <v>13</v>
      </c>
      <c r="C1201" s="1290"/>
      <c r="D1201" s="1758"/>
      <c r="E1201" s="1758" t="s">
        <v>1323</v>
      </c>
      <c r="F1201" s="1293" t="s">
        <v>1334</v>
      </c>
      <c r="G1201" s="1302"/>
      <c r="H1201" s="1322"/>
      <c r="I1201" s="1322"/>
      <c r="J1201" s="1322"/>
      <c r="K1201" s="1322"/>
      <c r="L1201" s="1322"/>
      <c r="M1201" s="1322"/>
      <c r="N1201" s="1322"/>
      <c r="O1201" s="1326"/>
      <c r="P1201" s="1322"/>
      <c r="Q1201" s="1323"/>
      <c r="R1201" s="1324"/>
      <c r="S1201" s="1325"/>
      <c r="T1201" s="1353"/>
      <c r="U1201" s="1463"/>
      <c r="V1201" s="1464"/>
      <c r="W1201" s="1482"/>
      <c r="X1201" s="1307"/>
    </row>
    <row r="1202" spans="1:24" s="1308" customFormat="1" ht="15" customHeight="1" x14ac:dyDescent="0.25">
      <c r="A1202" s="730"/>
      <c r="B1202" s="1286">
        <f t="shared" si="40"/>
        <v>14</v>
      </c>
      <c r="C1202" s="1290"/>
      <c r="D1202" s="1758"/>
      <c r="E1202" s="1758"/>
      <c r="F1202" s="1293" t="s">
        <v>62</v>
      </c>
      <c r="G1202" s="1302"/>
      <c r="H1202" s="1322"/>
      <c r="I1202" s="1322"/>
      <c r="J1202" s="1322"/>
      <c r="K1202" s="1322"/>
      <c r="L1202" s="1322"/>
      <c r="M1202" s="1322"/>
      <c r="N1202" s="1322"/>
      <c r="O1202" s="1326"/>
      <c r="P1202" s="1322"/>
      <c r="Q1202" s="1323"/>
      <c r="R1202" s="1324"/>
      <c r="S1202" s="1325"/>
      <c r="T1202" s="1353"/>
      <c r="U1202" s="1463"/>
      <c r="V1202" s="1464"/>
      <c r="W1202" s="1482"/>
      <c r="X1202" s="1307"/>
    </row>
    <row r="1203" spans="1:24" s="1308" customFormat="1" ht="15" customHeight="1" x14ac:dyDescent="0.25">
      <c r="A1203" s="730"/>
      <c r="B1203" s="1286">
        <f t="shared" si="40"/>
        <v>15</v>
      </c>
      <c r="C1203" s="1290"/>
      <c r="D1203" s="1758"/>
      <c r="E1203" s="1758" t="s">
        <v>1326</v>
      </c>
      <c r="F1203" s="1293" t="s">
        <v>1334</v>
      </c>
      <c r="G1203" s="1302"/>
      <c r="H1203" s="1322"/>
      <c r="I1203" s="1322"/>
      <c r="J1203" s="1322"/>
      <c r="K1203" s="1322"/>
      <c r="L1203" s="1322"/>
      <c r="M1203" s="1322"/>
      <c r="N1203" s="1322"/>
      <c r="O1203" s="1326"/>
      <c r="P1203" s="1322"/>
      <c r="Q1203" s="1323"/>
      <c r="R1203" s="1324"/>
      <c r="S1203" s="1325"/>
      <c r="T1203" s="1353"/>
      <c r="U1203" s="1463"/>
      <c r="V1203" s="1464"/>
      <c r="W1203" s="1482"/>
      <c r="X1203" s="1307"/>
    </row>
    <row r="1204" spans="1:24" s="1308" customFormat="1" ht="15" customHeight="1" x14ac:dyDescent="0.25">
      <c r="A1204" s="730"/>
      <c r="B1204" s="1286">
        <f t="shared" si="40"/>
        <v>16</v>
      </c>
      <c r="C1204" s="1290"/>
      <c r="D1204" s="1758"/>
      <c r="E1204" s="1758"/>
      <c r="F1204" s="1293" t="s">
        <v>62</v>
      </c>
      <c r="G1204" s="1302"/>
      <c r="H1204" s="1322"/>
      <c r="I1204" s="1322"/>
      <c r="J1204" s="1322"/>
      <c r="K1204" s="1322"/>
      <c r="L1204" s="1322"/>
      <c r="M1204" s="1322"/>
      <c r="N1204" s="1322"/>
      <c r="O1204" s="1326"/>
      <c r="P1204" s="1322"/>
      <c r="Q1204" s="1323"/>
      <c r="R1204" s="1324"/>
      <c r="S1204" s="1325"/>
      <c r="T1204" s="1353"/>
      <c r="U1204" s="1463"/>
      <c r="V1204" s="1464"/>
      <c r="W1204" s="1482"/>
      <c r="X1204" s="1307"/>
    </row>
    <row r="1205" spans="1:24" s="1308" customFormat="1" ht="15" customHeight="1" x14ac:dyDescent="0.25">
      <c r="A1205" s="730"/>
      <c r="B1205" s="1286">
        <f t="shared" si="40"/>
        <v>17</v>
      </c>
      <c r="C1205" s="1290"/>
      <c r="D1205" s="1758"/>
      <c r="E1205" s="1758" t="s">
        <v>1338</v>
      </c>
      <c r="F1205" s="1293" t="s">
        <v>1334</v>
      </c>
      <c r="G1205" s="1302"/>
      <c r="H1205" s="1322"/>
      <c r="I1205" s="1322"/>
      <c r="J1205" s="1322"/>
      <c r="K1205" s="1322"/>
      <c r="L1205" s="1322"/>
      <c r="M1205" s="1322"/>
      <c r="N1205" s="1322"/>
      <c r="O1205" s="1326"/>
      <c r="P1205" s="1322"/>
      <c r="Q1205" s="1323"/>
      <c r="R1205" s="1324"/>
      <c r="S1205" s="1325"/>
      <c r="T1205" s="1353"/>
      <c r="U1205" s="1463"/>
      <c r="V1205" s="1464"/>
      <c r="W1205" s="1482"/>
      <c r="X1205" s="1307"/>
    </row>
    <row r="1206" spans="1:24" s="1308" customFormat="1" ht="15" customHeight="1" x14ac:dyDescent="0.25">
      <c r="A1206" s="730"/>
      <c r="B1206" s="1286">
        <f t="shared" si="40"/>
        <v>18</v>
      </c>
      <c r="C1206" s="1290"/>
      <c r="D1206" s="1758"/>
      <c r="E1206" s="1758"/>
      <c r="F1206" s="1293" t="s">
        <v>62</v>
      </c>
      <c r="G1206" s="1302"/>
      <c r="H1206" s="1322"/>
      <c r="I1206" s="1322"/>
      <c r="J1206" s="1322"/>
      <c r="K1206" s="1322"/>
      <c r="L1206" s="1322"/>
      <c r="M1206" s="1322"/>
      <c r="N1206" s="1322"/>
      <c r="O1206" s="1326"/>
      <c r="P1206" s="1322"/>
      <c r="Q1206" s="1323"/>
      <c r="R1206" s="1324"/>
      <c r="S1206" s="1325"/>
      <c r="T1206" s="1353"/>
      <c r="U1206" s="1463"/>
      <c r="V1206" s="1464"/>
      <c r="W1206" s="1482"/>
      <c r="X1206" s="1307"/>
    </row>
    <row r="1207" spans="1:24" s="1308" customFormat="1" ht="15" customHeight="1" x14ac:dyDescent="0.25">
      <c r="A1207" s="730"/>
      <c r="B1207" s="1286">
        <f t="shared" si="40"/>
        <v>19</v>
      </c>
      <c r="C1207" s="1290"/>
      <c r="D1207" s="1758"/>
      <c r="E1207" s="1758" t="s">
        <v>1337</v>
      </c>
      <c r="F1207" s="1293" t="s">
        <v>1334</v>
      </c>
      <c r="G1207" s="1302"/>
      <c r="H1207" s="1322"/>
      <c r="I1207" s="1322"/>
      <c r="J1207" s="1322"/>
      <c r="K1207" s="1322"/>
      <c r="L1207" s="1322"/>
      <c r="M1207" s="1322"/>
      <c r="N1207" s="1322"/>
      <c r="O1207" s="1326"/>
      <c r="P1207" s="1322"/>
      <c r="Q1207" s="1323"/>
      <c r="R1207" s="1324"/>
      <c r="S1207" s="1325"/>
      <c r="T1207" s="1353"/>
      <c r="U1207" s="1463"/>
      <c r="V1207" s="1464"/>
      <c r="W1207" s="1482"/>
      <c r="X1207" s="1307"/>
    </row>
    <row r="1208" spans="1:24" s="1308" customFormat="1" ht="15" customHeight="1" x14ac:dyDescent="0.25">
      <c r="A1208" s="730"/>
      <c r="B1208" s="1286">
        <f t="shared" si="40"/>
        <v>20</v>
      </c>
      <c r="C1208" s="1290"/>
      <c r="D1208" s="1758"/>
      <c r="E1208" s="1758"/>
      <c r="F1208" s="1293" t="s">
        <v>62</v>
      </c>
      <c r="G1208" s="1302"/>
      <c r="H1208" s="1322"/>
      <c r="I1208" s="1322"/>
      <c r="J1208" s="1322"/>
      <c r="K1208" s="1322"/>
      <c r="L1208" s="1322"/>
      <c r="M1208" s="1322"/>
      <c r="N1208" s="1322"/>
      <c r="O1208" s="1326"/>
      <c r="P1208" s="1322"/>
      <c r="Q1208" s="1323"/>
      <c r="R1208" s="1324"/>
      <c r="S1208" s="1325"/>
      <c r="T1208" s="1353"/>
      <c r="U1208" s="1463"/>
      <c r="V1208" s="1464"/>
      <c r="W1208" s="1482"/>
      <c r="X1208" s="1307"/>
    </row>
    <row r="1209" spans="1:24" s="1308" customFormat="1" ht="15" customHeight="1" x14ac:dyDescent="0.25">
      <c r="A1209" s="730"/>
      <c r="B1209" s="1286">
        <f t="shared" si="40"/>
        <v>21</v>
      </c>
      <c r="C1209" s="1290"/>
      <c r="D1209" s="1758" t="s">
        <v>1339</v>
      </c>
      <c r="E1209" s="1758" t="s">
        <v>1336</v>
      </c>
      <c r="F1209" s="1293" t="s">
        <v>1334</v>
      </c>
      <c r="G1209" s="1302"/>
      <c r="H1209" s="1322"/>
      <c r="I1209" s="1322"/>
      <c r="J1209" s="1322"/>
      <c r="K1209" s="1322"/>
      <c r="L1209" s="1322"/>
      <c r="M1209" s="1322"/>
      <c r="N1209" s="1322"/>
      <c r="O1209" s="1326"/>
      <c r="P1209" s="1322"/>
      <c r="Q1209" s="1323"/>
      <c r="R1209" s="1324"/>
      <c r="S1209" s="1325"/>
      <c r="T1209" s="1353"/>
      <c r="U1209" s="1463"/>
      <c r="V1209" s="1464"/>
      <c r="W1209" s="1482"/>
      <c r="X1209" s="1307"/>
    </row>
    <row r="1210" spans="1:24" s="1308" customFormat="1" ht="15" customHeight="1" x14ac:dyDescent="0.25">
      <c r="A1210" s="730"/>
      <c r="B1210" s="1286">
        <f t="shared" si="40"/>
        <v>22</v>
      </c>
      <c r="C1210" s="1290"/>
      <c r="D1210" s="1758"/>
      <c r="E1210" s="1758"/>
      <c r="F1210" s="1293" t="s">
        <v>62</v>
      </c>
      <c r="G1210" s="1302"/>
      <c r="H1210" s="1322"/>
      <c r="I1210" s="1322"/>
      <c r="J1210" s="1322"/>
      <c r="K1210" s="1322"/>
      <c r="L1210" s="1322"/>
      <c r="M1210" s="1322"/>
      <c r="N1210" s="1322"/>
      <c r="O1210" s="1326"/>
      <c r="P1210" s="1322"/>
      <c r="Q1210" s="1323"/>
      <c r="R1210" s="1324"/>
      <c r="S1210" s="1325"/>
      <c r="T1210" s="1353"/>
      <c r="U1210" s="1463"/>
      <c r="V1210" s="1464"/>
      <c r="W1210" s="1482"/>
      <c r="X1210" s="1307"/>
    </row>
    <row r="1211" spans="1:24" s="1308" customFormat="1" ht="15" customHeight="1" x14ac:dyDescent="0.25">
      <c r="A1211" s="730"/>
      <c r="B1211" s="1286">
        <f t="shared" si="40"/>
        <v>23</v>
      </c>
      <c r="C1211" s="1290"/>
      <c r="D1211" s="1758"/>
      <c r="E1211" s="1758" t="s">
        <v>1323</v>
      </c>
      <c r="F1211" s="1293" t="s">
        <v>1334</v>
      </c>
      <c r="G1211" s="1302"/>
      <c r="H1211" s="1322"/>
      <c r="I1211" s="1322"/>
      <c r="J1211" s="1322"/>
      <c r="K1211" s="1322"/>
      <c r="L1211" s="1322"/>
      <c r="M1211" s="1322"/>
      <c r="N1211" s="1322"/>
      <c r="O1211" s="1326"/>
      <c r="P1211" s="1322"/>
      <c r="Q1211" s="1323"/>
      <c r="R1211" s="1324"/>
      <c r="S1211" s="1325"/>
      <c r="T1211" s="1353"/>
      <c r="U1211" s="1463"/>
      <c r="V1211" s="1464"/>
      <c r="W1211" s="1482"/>
      <c r="X1211" s="1307"/>
    </row>
    <row r="1212" spans="1:24" s="1308" customFormat="1" ht="15" customHeight="1" x14ac:dyDescent="0.25">
      <c r="A1212" s="730"/>
      <c r="B1212" s="1286">
        <f t="shared" si="40"/>
        <v>24</v>
      </c>
      <c r="C1212" s="1290"/>
      <c r="D1212" s="1758"/>
      <c r="E1212" s="1758"/>
      <c r="F1212" s="1293" t="s">
        <v>62</v>
      </c>
      <c r="G1212" s="1302"/>
      <c r="H1212" s="1322"/>
      <c r="I1212" s="1322"/>
      <c r="J1212" s="1322"/>
      <c r="K1212" s="1322"/>
      <c r="L1212" s="1322"/>
      <c r="M1212" s="1322"/>
      <c r="N1212" s="1322"/>
      <c r="O1212" s="1326"/>
      <c r="P1212" s="1322"/>
      <c r="Q1212" s="1323"/>
      <c r="R1212" s="1324"/>
      <c r="S1212" s="1325"/>
      <c r="T1212" s="1353"/>
      <c r="U1212" s="1463"/>
      <c r="V1212" s="1464"/>
      <c r="W1212" s="1482"/>
      <c r="X1212" s="1307"/>
    </row>
    <row r="1213" spans="1:24" s="1308" customFormat="1" ht="15" customHeight="1" x14ac:dyDescent="0.25">
      <c r="A1213" s="730"/>
      <c r="B1213" s="1286">
        <f t="shared" si="40"/>
        <v>25</v>
      </c>
      <c r="C1213" s="1290"/>
      <c r="D1213" s="1758"/>
      <c r="E1213" s="1758" t="s">
        <v>1326</v>
      </c>
      <c r="F1213" s="1293" t="s">
        <v>1334</v>
      </c>
      <c r="G1213" s="1302"/>
      <c r="H1213" s="1322"/>
      <c r="I1213" s="1322"/>
      <c r="J1213" s="1322"/>
      <c r="K1213" s="1322"/>
      <c r="L1213" s="1322"/>
      <c r="M1213" s="1322"/>
      <c r="N1213" s="1322"/>
      <c r="O1213" s="1326"/>
      <c r="P1213" s="1322"/>
      <c r="Q1213" s="1323"/>
      <c r="R1213" s="1324"/>
      <c r="S1213" s="1325"/>
      <c r="T1213" s="1353"/>
      <c r="U1213" s="1463"/>
      <c r="V1213" s="1464"/>
      <c r="W1213" s="1482"/>
      <c r="X1213" s="1307"/>
    </row>
    <row r="1214" spans="1:24" s="1308" customFormat="1" ht="15" customHeight="1" x14ac:dyDescent="0.25">
      <c r="A1214" s="730"/>
      <c r="B1214" s="1286">
        <f t="shared" si="40"/>
        <v>26</v>
      </c>
      <c r="C1214" s="1290"/>
      <c r="D1214" s="1758"/>
      <c r="E1214" s="1758"/>
      <c r="F1214" s="1293" t="s">
        <v>62</v>
      </c>
      <c r="G1214" s="1302"/>
      <c r="H1214" s="1322"/>
      <c r="I1214" s="1322"/>
      <c r="J1214" s="1322"/>
      <c r="K1214" s="1322"/>
      <c r="L1214" s="1322"/>
      <c r="M1214" s="1322"/>
      <c r="N1214" s="1322"/>
      <c r="O1214" s="1326"/>
      <c r="P1214" s="1322"/>
      <c r="Q1214" s="1323"/>
      <c r="R1214" s="1324"/>
      <c r="S1214" s="1325"/>
      <c r="T1214" s="1353"/>
      <c r="U1214" s="1463"/>
      <c r="V1214" s="1464"/>
      <c r="W1214" s="1482"/>
      <c r="X1214" s="1307"/>
    </row>
    <row r="1215" spans="1:24" s="1308" customFormat="1" ht="15" customHeight="1" x14ac:dyDescent="0.25">
      <c r="A1215" s="730"/>
      <c r="B1215" s="1286">
        <f t="shared" si="40"/>
        <v>27</v>
      </c>
      <c r="C1215" s="1290"/>
      <c r="D1215" s="1758"/>
      <c r="E1215" s="1758" t="s">
        <v>1338</v>
      </c>
      <c r="F1215" s="1293" t="s">
        <v>1334</v>
      </c>
      <c r="G1215" s="1302"/>
      <c r="H1215" s="1322"/>
      <c r="I1215" s="1322"/>
      <c r="J1215" s="1322"/>
      <c r="K1215" s="1322"/>
      <c r="L1215" s="1322"/>
      <c r="M1215" s="1322"/>
      <c r="N1215" s="1322"/>
      <c r="O1215" s="1326"/>
      <c r="P1215" s="1322"/>
      <c r="Q1215" s="1323"/>
      <c r="R1215" s="1324"/>
      <c r="S1215" s="1325"/>
      <c r="T1215" s="1353"/>
      <c r="U1215" s="1463"/>
      <c r="V1215" s="1464"/>
      <c r="W1215" s="1482"/>
      <c r="X1215" s="1307"/>
    </row>
    <row r="1216" spans="1:24" s="1308" customFormat="1" ht="15" customHeight="1" x14ac:dyDescent="0.25">
      <c r="A1216" s="730"/>
      <c r="B1216" s="1286">
        <f t="shared" si="40"/>
        <v>28</v>
      </c>
      <c r="C1216" s="1290"/>
      <c r="D1216" s="1758"/>
      <c r="E1216" s="1758"/>
      <c r="F1216" s="1293" t="s">
        <v>62</v>
      </c>
      <c r="G1216" s="1302"/>
      <c r="H1216" s="1322"/>
      <c r="I1216" s="1322"/>
      <c r="J1216" s="1322"/>
      <c r="K1216" s="1322"/>
      <c r="L1216" s="1322"/>
      <c r="M1216" s="1322"/>
      <c r="N1216" s="1322"/>
      <c r="O1216" s="1326"/>
      <c r="P1216" s="1322"/>
      <c r="Q1216" s="1323"/>
      <c r="R1216" s="1324"/>
      <c r="S1216" s="1325"/>
      <c r="T1216" s="1353"/>
      <c r="U1216" s="1463"/>
      <c r="V1216" s="1464"/>
      <c r="W1216" s="1482"/>
      <c r="X1216" s="1307"/>
    </row>
    <row r="1217" spans="1:24" s="1308" customFormat="1" ht="15" customHeight="1" x14ac:dyDescent="0.25">
      <c r="A1217" s="730"/>
      <c r="B1217" s="1286">
        <f t="shared" si="40"/>
        <v>29</v>
      </c>
      <c r="C1217" s="1290"/>
      <c r="D1217" s="1758"/>
      <c r="E1217" s="1758" t="s">
        <v>1337</v>
      </c>
      <c r="F1217" s="1293" t="s">
        <v>1334</v>
      </c>
      <c r="G1217" s="1302"/>
      <c r="H1217" s="1322"/>
      <c r="I1217" s="1322"/>
      <c r="J1217" s="1322"/>
      <c r="K1217" s="1322"/>
      <c r="L1217" s="1322"/>
      <c r="M1217" s="1322"/>
      <c r="N1217" s="1322"/>
      <c r="O1217" s="1326"/>
      <c r="P1217" s="1322"/>
      <c r="Q1217" s="1323"/>
      <c r="R1217" s="1324"/>
      <c r="S1217" s="1325"/>
      <c r="T1217" s="1353"/>
      <c r="U1217" s="1463"/>
      <c r="V1217" s="1464"/>
      <c r="W1217" s="1482"/>
      <c r="X1217" s="1307"/>
    </row>
    <row r="1218" spans="1:24" s="1308" customFormat="1" ht="15" customHeight="1" x14ac:dyDescent="0.25">
      <c r="A1218" s="730"/>
      <c r="B1218" s="1286">
        <f t="shared" si="40"/>
        <v>30</v>
      </c>
      <c r="C1218" s="1290"/>
      <c r="D1218" s="1758"/>
      <c r="E1218" s="1758"/>
      <c r="F1218" s="1293" t="s">
        <v>62</v>
      </c>
      <c r="G1218" s="1302"/>
      <c r="H1218" s="1322"/>
      <c r="I1218" s="1322"/>
      <c r="J1218" s="1322"/>
      <c r="K1218" s="1322"/>
      <c r="L1218" s="1322"/>
      <c r="M1218" s="1322"/>
      <c r="N1218" s="1322"/>
      <c r="O1218" s="1326"/>
      <c r="P1218" s="1322"/>
      <c r="Q1218" s="1323"/>
      <c r="R1218" s="1324"/>
      <c r="S1218" s="1325"/>
      <c r="T1218" s="1353"/>
      <c r="U1218" s="1463"/>
      <c r="V1218" s="1464"/>
      <c r="W1218" s="1482"/>
      <c r="X1218" s="1307"/>
    </row>
    <row r="1219" spans="1:24" s="1308" customFormat="1" ht="15" customHeight="1" x14ac:dyDescent="0.25">
      <c r="A1219" s="730"/>
      <c r="B1219" s="1286">
        <f t="shared" si="40"/>
        <v>31</v>
      </c>
      <c r="C1219" s="1290"/>
      <c r="D1219" s="1758" t="s">
        <v>1340</v>
      </c>
      <c r="E1219" s="1758" t="s">
        <v>1336</v>
      </c>
      <c r="F1219" s="1293" t="s">
        <v>1334</v>
      </c>
      <c r="G1219" s="1302"/>
      <c r="H1219" s="1322"/>
      <c r="I1219" s="1322"/>
      <c r="J1219" s="1322"/>
      <c r="K1219" s="1322"/>
      <c r="L1219" s="1322"/>
      <c r="M1219" s="1322"/>
      <c r="N1219" s="1322"/>
      <c r="O1219" s="1326"/>
      <c r="P1219" s="1322"/>
      <c r="Q1219" s="1323"/>
      <c r="R1219" s="1324"/>
      <c r="S1219" s="1325"/>
      <c r="T1219" s="1353"/>
      <c r="U1219" s="1463"/>
      <c r="V1219" s="1464"/>
      <c r="W1219" s="1482"/>
      <c r="X1219" s="1307"/>
    </row>
    <row r="1220" spans="1:24" s="1308" customFormat="1" ht="15" customHeight="1" x14ac:dyDescent="0.25">
      <c r="A1220" s="730"/>
      <c r="B1220" s="1286">
        <f t="shared" si="40"/>
        <v>32</v>
      </c>
      <c r="C1220" s="1290"/>
      <c r="D1220" s="1758"/>
      <c r="E1220" s="1758"/>
      <c r="F1220" s="1293" t="s">
        <v>62</v>
      </c>
      <c r="G1220" s="1302"/>
      <c r="H1220" s="1322"/>
      <c r="I1220" s="1322"/>
      <c r="J1220" s="1322"/>
      <c r="K1220" s="1322"/>
      <c r="L1220" s="1322"/>
      <c r="M1220" s="1322"/>
      <c r="N1220" s="1322"/>
      <c r="O1220" s="1326"/>
      <c r="P1220" s="1322"/>
      <c r="Q1220" s="1323"/>
      <c r="R1220" s="1324"/>
      <c r="S1220" s="1325"/>
      <c r="T1220" s="1353"/>
      <c r="U1220" s="1463"/>
      <c r="V1220" s="1464"/>
      <c r="W1220" s="1482"/>
      <c r="X1220" s="1307"/>
    </row>
    <row r="1221" spans="1:24" s="1308" customFormat="1" ht="15" customHeight="1" x14ac:dyDescent="0.25">
      <c r="A1221" s="730"/>
      <c r="B1221" s="1286">
        <f t="shared" si="40"/>
        <v>33</v>
      </c>
      <c r="C1221" s="1290"/>
      <c r="D1221" s="1758"/>
      <c r="E1221" s="1758" t="s">
        <v>1323</v>
      </c>
      <c r="F1221" s="1293" t="s">
        <v>1334</v>
      </c>
      <c r="G1221" s="1302"/>
      <c r="H1221" s="1322"/>
      <c r="I1221" s="1322"/>
      <c r="J1221" s="1322"/>
      <c r="K1221" s="1322"/>
      <c r="L1221" s="1322"/>
      <c r="M1221" s="1322"/>
      <c r="N1221" s="1322"/>
      <c r="O1221" s="1326"/>
      <c r="P1221" s="1322"/>
      <c r="Q1221" s="1323"/>
      <c r="R1221" s="1324"/>
      <c r="S1221" s="1325"/>
      <c r="T1221" s="1353"/>
      <c r="U1221" s="1463"/>
      <c r="V1221" s="1464"/>
      <c r="W1221" s="1482"/>
      <c r="X1221" s="1307"/>
    </row>
    <row r="1222" spans="1:24" s="1308" customFormat="1" ht="15" customHeight="1" x14ac:dyDescent="0.25">
      <c r="A1222" s="730"/>
      <c r="B1222" s="1286">
        <f t="shared" si="40"/>
        <v>34</v>
      </c>
      <c r="C1222" s="1290"/>
      <c r="D1222" s="1758"/>
      <c r="E1222" s="1758"/>
      <c r="F1222" s="1293" t="s">
        <v>62</v>
      </c>
      <c r="G1222" s="1302"/>
      <c r="H1222" s="1322"/>
      <c r="I1222" s="1322"/>
      <c r="J1222" s="1322"/>
      <c r="K1222" s="1322"/>
      <c r="L1222" s="1322"/>
      <c r="M1222" s="1322"/>
      <c r="N1222" s="1322"/>
      <c r="O1222" s="1326"/>
      <c r="P1222" s="1322"/>
      <c r="Q1222" s="1323"/>
      <c r="R1222" s="1324"/>
      <c r="S1222" s="1325"/>
      <c r="T1222" s="1353"/>
      <c r="U1222" s="1463"/>
      <c r="V1222" s="1464"/>
      <c r="W1222" s="1482"/>
      <c r="X1222" s="1307"/>
    </row>
    <row r="1223" spans="1:24" s="1308" customFormat="1" ht="15" customHeight="1" x14ac:dyDescent="0.25">
      <c r="A1223" s="730"/>
      <c r="B1223" s="1286">
        <f t="shared" si="40"/>
        <v>35</v>
      </c>
      <c r="C1223" s="1290"/>
      <c r="D1223" s="1758"/>
      <c r="E1223" s="1758" t="s">
        <v>1326</v>
      </c>
      <c r="F1223" s="1293" t="s">
        <v>1334</v>
      </c>
      <c r="G1223" s="1302"/>
      <c r="H1223" s="1322"/>
      <c r="I1223" s="1322"/>
      <c r="J1223" s="1322"/>
      <c r="K1223" s="1322"/>
      <c r="L1223" s="1322"/>
      <c r="M1223" s="1322"/>
      <c r="N1223" s="1322"/>
      <c r="O1223" s="1326"/>
      <c r="P1223" s="1322"/>
      <c r="Q1223" s="1323"/>
      <c r="R1223" s="1324"/>
      <c r="S1223" s="1325"/>
      <c r="T1223" s="1353"/>
      <c r="U1223" s="1463"/>
      <c r="V1223" s="1464"/>
      <c r="W1223" s="1482"/>
      <c r="X1223" s="1307"/>
    </row>
    <row r="1224" spans="1:24" s="1308" customFormat="1" ht="15" customHeight="1" x14ac:dyDescent="0.25">
      <c r="A1224" s="730"/>
      <c r="B1224" s="1286">
        <f t="shared" si="40"/>
        <v>36</v>
      </c>
      <c r="C1224" s="1290"/>
      <c r="D1224" s="1758"/>
      <c r="E1224" s="1758"/>
      <c r="F1224" s="1293" t="s">
        <v>62</v>
      </c>
      <c r="G1224" s="1302"/>
      <c r="H1224" s="1322"/>
      <c r="I1224" s="1322"/>
      <c r="J1224" s="1322"/>
      <c r="K1224" s="1322"/>
      <c r="L1224" s="1322"/>
      <c r="M1224" s="1322"/>
      <c r="N1224" s="1322"/>
      <c r="O1224" s="1326"/>
      <c r="P1224" s="1322"/>
      <c r="Q1224" s="1323"/>
      <c r="R1224" s="1324"/>
      <c r="S1224" s="1325"/>
      <c r="T1224" s="1353"/>
      <c r="U1224" s="1463"/>
      <c r="V1224" s="1464"/>
      <c r="W1224" s="1482"/>
      <c r="X1224" s="1307"/>
    </row>
    <row r="1225" spans="1:24" s="1308" customFormat="1" ht="15" customHeight="1" x14ac:dyDescent="0.25">
      <c r="A1225" s="730"/>
      <c r="B1225" s="1286">
        <f t="shared" si="40"/>
        <v>37</v>
      </c>
      <c r="C1225" s="1290"/>
      <c r="D1225" s="1758"/>
      <c r="E1225" s="1758" t="s">
        <v>1338</v>
      </c>
      <c r="F1225" s="1293" t="s">
        <v>1334</v>
      </c>
      <c r="G1225" s="1302"/>
      <c r="H1225" s="1322"/>
      <c r="I1225" s="1322"/>
      <c r="J1225" s="1322"/>
      <c r="K1225" s="1322"/>
      <c r="L1225" s="1322"/>
      <c r="M1225" s="1322"/>
      <c r="N1225" s="1322"/>
      <c r="O1225" s="1326"/>
      <c r="P1225" s="1322"/>
      <c r="Q1225" s="1323"/>
      <c r="R1225" s="1324"/>
      <c r="S1225" s="1325"/>
      <c r="T1225" s="1353"/>
      <c r="U1225" s="1463"/>
      <c r="V1225" s="1464"/>
      <c r="W1225" s="1482"/>
      <c r="X1225" s="1307"/>
    </row>
    <row r="1226" spans="1:24" s="1308" customFormat="1" ht="15" customHeight="1" x14ac:dyDescent="0.25">
      <c r="A1226" s="730"/>
      <c r="B1226" s="1286">
        <f t="shared" si="40"/>
        <v>38</v>
      </c>
      <c r="C1226" s="1290"/>
      <c r="D1226" s="1758"/>
      <c r="E1226" s="1758"/>
      <c r="F1226" s="1293" t="s">
        <v>62</v>
      </c>
      <c r="G1226" s="1302"/>
      <c r="H1226" s="1322"/>
      <c r="I1226" s="1322"/>
      <c r="J1226" s="1322"/>
      <c r="K1226" s="1322"/>
      <c r="L1226" s="1322"/>
      <c r="M1226" s="1322"/>
      <c r="N1226" s="1322"/>
      <c r="O1226" s="1326"/>
      <c r="P1226" s="1322"/>
      <c r="Q1226" s="1323"/>
      <c r="R1226" s="1324"/>
      <c r="S1226" s="1325"/>
      <c r="T1226" s="1353"/>
      <c r="U1226" s="1463"/>
      <c r="V1226" s="1464"/>
      <c r="W1226" s="1482"/>
      <c r="X1226" s="1307"/>
    </row>
    <row r="1227" spans="1:24" s="1308" customFormat="1" ht="15" customHeight="1" x14ac:dyDescent="0.25">
      <c r="A1227" s="730"/>
      <c r="B1227" s="1286">
        <f t="shared" si="40"/>
        <v>39</v>
      </c>
      <c r="C1227" s="1290"/>
      <c r="D1227" s="1758"/>
      <c r="E1227" s="1758" t="s">
        <v>1337</v>
      </c>
      <c r="F1227" s="1293" t="s">
        <v>1334</v>
      </c>
      <c r="G1227" s="1302"/>
      <c r="H1227" s="1322"/>
      <c r="I1227" s="1322"/>
      <c r="J1227" s="1322"/>
      <c r="K1227" s="1322"/>
      <c r="L1227" s="1322"/>
      <c r="M1227" s="1322"/>
      <c r="N1227" s="1322"/>
      <c r="O1227" s="1326"/>
      <c r="P1227" s="1322"/>
      <c r="Q1227" s="1323"/>
      <c r="R1227" s="1324"/>
      <c r="S1227" s="1325"/>
      <c r="T1227" s="1353"/>
      <c r="U1227" s="1463"/>
      <c r="V1227" s="1464"/>
      <c r="W1227" s="1482"/>
      <c r="X1227" s="1307"/>
    </row>
    <row r="1228" spans="1:24" s="1308" customFormat="1" ht="15" customHeight="1" x14ac:dyDescent="0.25">
      <c r="A1228" s="730"/>
      <c r="B1228" s="1286">
        <f t="shared" si="40"/>
        <v>40</v>
      </c>
      <c r="C1228" s="1290"/>
      <c r="D1228" s="1758"/>
      <c r="E1228" s="1758"/>
      <c r="F1228" s="1293" t="s">
        <v>62</v>
      </c>
      <c r="G1228" s="1302"/>
      <c r="H1228" s="1322"/>
      <c r="I1228" s="1322"/>
      <c r="J1228" s="1322"/>
      <c r="K1228" s="1322"/>
      <c r="L1228" s="1322"/>
      <c r="M1228" s="1322"/>
      <c r="N1228" s="1322"/>
      <c r="O1228" s="1326"/>
      <c r="P1228" s="1322"/>
      <c r="Q1228" s="1323"/>
      <c r="R1228" s="1324"/>
      <c r="S1228" s="1325"/>
      <c r="T1228" s="1353"/>
      <c r="U1228" s="1463"/>
      <c r="V1228" s="1464"/>
      <c r="W1228" s="1482"/>
      <c r="X1228" s="1307"/>
    </row>
    <row r="1229" spans="1:24" s="1308" customFormat="1" ht="15" customHeight="1" x14ac:dyDescent="0.25">
      <c r="A1229" s="730"/>
      <c r="B1229" s="1286">
        <f t="shared" si="40"/>
        <v>41</v>
      </c>
      <c r="C1229" s="1290"/>
      <c r="D1229" s="1758" t="s">
        <v>1341</v>
      </c>
      <c r="E1229" s="1758" t="s">
        <v>1336</v>
      </c>
      <c r="F1229" s="1293" t="s">
        <v>1334</v>
      </c>
      <c r="G1229" s="1302"/>
      <c r="H1229" s="1322"/>
      <c r="I1229" s="1322"/>
      <c r="J1229" s="1322"/>
      <c r="K1229" s="1322"/>
      <c r="L1229" s="1322"/>
      <c r="M1229" s="1322"/>
      <c r="N1229" s="1322"/>
      <c r="O1229" s="1326"/>
      <c r="P1229" s="1322"/>
      <c r="Q1229" s="1323"/>
      <c r="R1229" s="1324"/>
      <c r="S1229" s="1325"/>
      <c r="T1229" s="1353"/>
      <c r="U1229" s="1463"/>
      <c r="V1229" s="1464"/>
      <c r="W1229" s="1482"/>
      <c r="X1229" s="1307"/>
    </row>
    <row r="1230" spans="1:24" s="1308" customFormat="1" ht="15" customHeight="1" x14ac:dyDescent="0.25">
      <c r="A1230" s="730"/>
      <c r="B1230" s="1286">
        <f t="shared" si="40"/>
        <v>42</v>
      </c>
      <c r="C1230" s="1290"/>
      <c r="D1230" s="1758"/>
      <c r="E1230" s="1758"/>
      <c r="F1230" s="1293" t="s">
        <v>62</v>
      </c>
      <c r="G1230" s="1302"/>
      <c r="H1230" s="1322"/>
      <c r="I1230" s="1322"/>
      <c r="J1230" s="1322"/>
      <c r="K1230" s="1322"/>
      <c r="L1230" s="1322"/>
      <c r="M1230" s="1322"/>
      <c r="N1230" s="1322"/>
      <c r="O1230" s="1326"/>
      <c r="P1230" s="1322"/>
      <c r="Q1230" s="1323"/>
      <c r="R1230" s="1324"/>
      <c r="S1230" s="1325"/>
      <c r="T1230" s="1353"/>
      <c r="U1230" s="1463"/>
      <c r="V1230" s="1464"/>
      <c r="W1230" s="1482"/>
      <c r="X1230" s="1307"/>
    </row>
    <row r="1231" spans="1:24" s="1308" customFormat="1" ht="15" customHeight="1" x14ac:dyDescent="0.25">
      <c r="A1231" s="730"/>
      <c r="B1231" s="1286">
        <f t="shared" si="40"/>
        <v>43</v>
      </c>
      <c r="C1231" s="1290"/>
      <c r="D1231" s="1758"/>
      <c r="E1231" s="1758" t="s">
        <v>1323</v>
      </c>
      <c r="F1231" s="1293" t="s">
        <v>1334</v>
      </c>
      <c r="G1231" s="1302"/>
      <c r="H1231" s="1322"/>
      <c r="I1231" s="1322"/>
      <c r="J1231" s="1322"/>
      <c r="K1231" s="1322"/>
      <c r="L1231" s="1322"/>
      <c r="M1231" s="1322"/>
      <c r="N1231" s="1322"/>
      <c r="O1231" s="1326"/>
      <c r="P1231" s="1322"/>
      <c r="Q1231" s="1323"/>
      <c r="R1231" s="1324"/>
      <c r="S1231" s="1325"/>
      <c r="T1231" s="1353"/>
      <c r="U1231" s="1463"/>
      <c r="V1231" s="1464"/>
      <c r="W1231" s="1482"/>
      <c r="X1231" s="1307"/>
    </row>
    <row r="1232" spans="1:24" s="1308" customFormat="1" ht="15" customHeight="1" x14ac:dyDescent="0.25">
      <c r="A1232" s="730"/>
      <c r="B1232" s="1286">
        <f t="shared" si="40"/>
        <v>44</v>
      </c>
      <c r="C1232" s="1290"/>
      <c r="D1232" s="1758"/>
      <c r="E1232" s="1758"/>
      <c r="F1232" s="1293" t="s">
        <v>62</v>
      </c>
      <c r="G1232" s="1302"/>
      <c r="H1232" s="1322"/>
      <c r="I1232" s="1322"/>
      <c r="J1232" s="1322"/>
      <c r="K1232" s="1322"/>
      <c r="L1232" s="1322"/>
      <c r="M1232" s="1322"/>
      <c r="N1232" s="1322"/>
      <c r="O1232" s="1326"/>
      <c r="P1232" s="1322"/>
      <c r="Q1232" s="1323"/>
      <c r="R1232" s="1324"/>
      <c r="S1232" s="1325"/>
      <c r="T1232" s="1353"/>
      <c r="U1232" s="1463"/>
      <c r="V1232" s="1464"/>
      <c r="W1232" s="1482"/>
      <c r="X1232" s="1307"/>
    </row>
    <row r="1233" spans="1:24" s="1308" customFormat="1" ht="15" customHeight="1" x14ac:dyDescent="0.25">
      <c r="A1233" s="730"/>
      <c r="B1233" s="1286">
        <f t="shared" si="40"/>
        <v>45</v>
      </c>
      <c r="C1233" s="1290"/>
      <c r="D1233" s="1758"/>
      <c r="E1233" s="1758" t="s">
        <v>1326</v>
      </c>
      <c r="F1233" s="1293" t="s">
        <v>1334</v>
      </c>
      <c r="G1233" s="1302"/>
      <c r="H1233" s="1322"/>
      <c r="I1233" s="1322"/>
      <c r="J1233" s="1322"/>
      <c r="K1233" s="1322"/>
      <c r="L1233" s="1322"/>
      <c r="M1233" s="1322"/>
      <c r="N1233" s="1322"/>
      <c r="O1233" s="1326"/>
      <c r="P1233" s="1322"/>
      <c r="Q1233" s="1323"/>
      <c r="R1233" s="1324"/>
      <c r="S1233" s="1325"/>
      <c r="T1233" s="1353"/>
      <c r="U1233" s="1463"/>
      <c r="V1233" s="1464"/>
      <c r="W1233" s="1482"/>
      <c r="X1233" s="1307"/>
    </row>
    <row r="1234" spans="1:24" s="1308" customFormat="1" ht="15" customHeight="1" x14ac:dyDescent="0.25">
      <c r="A1234" s="730"/>
      <c r="B1234" s="1286">
        <f t="shared" si="40"/>
        <v>46</v>
      </c>
      <c r="C1234" s="1290"/>
      <c r="D1234" s="1758"/>
      <c r="E1234" s="1758"/>
      <c r="F1234" s="1293" t="s">
        <v>62</v>
      </c>
      <c r="G1234" s="1302"/>
      <c r="H1234" s="1322"/>
      <c r="I1234" s="1322"/>
      <c r="J1234" s="1322"/>
      <c r="K1234" s="1322"/>
      <c r="L1234" s="1322"/>
      <c r="M1234" s="1322"/>
      <c r="N1234" s="1322"/>
      <c r="O1234" s="1326"/>
      <c r="P1234" s="1322"/>
      <c r="Q1234" s="1323"/>
      <c r="R1234" s="1324"/>
      <c r="S1234" s="1325"/>
      <c r="T1234" s="1353"/>
      <c r="U1234" s="1463"/>
      <c r="V1234" s="1464"/>
      <c r="W1234" s="1482"/>
      <c r="X1234" s="1307"/>
    </row>
    <row r="1235" spans="1:24" s="1308" customFormat="1" ht="15" customHeight="1" x14ac:dyDescent="0.25">
      <c r="A1235" s="730"/>
      <c r="B1235" s="1286">
        <f t="shared" si="40"/>
        <v>47</v>
      </c>
      <c r="C1235" s="1290"/>
      <c r="D1235" s="1758"/>
      <c r="E1235" s="1758" t="s">
        <v>1338</v>
      </c>
      <c r="F1235" s="1293" t="s">
        <v>1334</v>
      </c>
      <c r="G1235" s="1302"/>
      <c r="H1235" s="1322"/>
      <c r="I1235" s="1322"/>
      <c r="J1235" s="1322"/>
      <c r="K1235" s="1322"/>
      <c r="L1235" s="1322"/>
      <c r="M1235" s="1322"/>
      <c r="N1235" s="1322"/>
      <c r="O1235" s="1326"/>
      <c r="P1235" s="1322"/>
      <c r="Q1235" s="1323"/>
      <c r="R1235" s="1324"/>
      <c r="S1235" s="1325"/>
      <c r="T1235" s="1353"/>
      <c r="U1235" s="1463"/>
      <c r="V1235" s="1464"/>
      <c r="W1235" s="1482"/>
      <c r="X1235" s="1307"/>
    </row>
    <row r="1236" spans="1:24" s="1308" customFormat="1" ht="15" customHeight="1" x14ac:dyDescent="0.25">
      <c r="A1236" s="730"/>
      <c r="B1236" s="1286">
        <f t="shared" si="40"/>
        <v>48</v>
      </c>
      <c r="C1236" s="1290"/>
      <c r="D1236" s="1758"/>
      <c r="E1236" s="1758"/>
      <c r="F1236" s="1293" t="s">
        <v>62</v>
      </c>
      <c r="G1236" s="1302"/>
      <c r="H1236" s="1322"/>
      <c r="I1236" s="1322"/>
      <c r="J1236" s="1322"/>
      <c r="K1236" s="1322"/>
      <c r="L1236" s="1322"/>
      <c r="M1236" s="1322"/>
      <c r="N1236" s="1322"/>
      <c r="O1236" s="1326"/>
      <c r="P1236" s="1322"/>
      <c r="Q1236" s="1323"/>
      <c r="R1236" s="1324"/>
      <c r="S1236" s="1325"/>
      <c r="T1236" s="1353"/>
      <c r="U1236" s="1463"/>
      <c r="V1236" s="1464"/>
      <c r="W1236" s="1482"/>
      <c r="X1236" s="1307"/>
    </row>
    <row r="1237" spans="1:24" s="1308" customFormat="1" ht="15" customHeight="1" x14ac:dyDescent="0.25">
      <c r="A1237" s="730"/>
      <c r="B1237" s="1286">
        <f t="shared" si="40"/>
        <v>49</v>
      </c>
      <c r="C1237" s="1290"/>
      <c r="D1237" s="1758"/>
      <c r="E1237" s="1758" t="s">
        <v>1337</v>
      </c>
      <c r="F1237" s="1293" t="s">
        <v>1334</v>
      </c>
      <c r="G1237" s="1302"/>
      <c r="H1237" s="1322"/>
      <c r="I1237" s="1322"/>
      <c r="J1237" s="1322"/>
      <c r="K1237" s="1322"/>
      <c r="L1237" s="1322"/>
      <c r="M1237" s="1322"/>
      <c r="N1237" s="1322"/>
      <c r="O1237" s="1326"/>
      <c r="P1237" s="1322"/>
      <c r="Q1237" s="1323"/>
      <c r="R1237" s="1324"/>
      <c r="S1237" s="1325"/>
      <c r="T1237" s="1353"/>
      <c r="U1237" s="1463"/>
      <c r="V1237" s="1464"/>
      <c r="W1237" s="1482"/>
      <c r="X1237" s="1307"/>
    </row>
    <row r="1238" spans="1:24" s="1308" customFormat="1" ht="15" customHeight="1" x14ac:dyDescent="0.25">
      <c r="A1238" s="730"/>
      <c r="B1238" s="1286">
        <f t="shared" si="40"/>
        <v>50</v>
      </c>
      <c r="C1238" s="1290"/>
      <c r="D1238" s="1758"/>
      <c r="E1238" s="1758"/>
      <c r="F1238" s="1293" t="s">
        <v>62</v>
      </c>
      <c r="G1238" s="1302"/>
      <c r="H1238" s="1322"/>
      <c r="I1238" s="1322"/>
      <c r="J1238" s="1322"/>
      <c r="K1238" s="1322"/>
      <c r="L1238" s="1322"/>
      <c r="M1238" s="1322"/>
      <c r="N1238" s="1322"/>
      <c r="O1238" s="1326"/>
      <c r="P1238" s="1322"/>
      <c r="Q1238" s="1323"/>
      <c r="R1238" s="1324"/>
      <c r="S1238" s="1325"/>
      <c r="T1238" s="1353"/>
      <c r="U1238" s="1463"/>
      <c r="V1238" s="1464"/>
      <c r="W1238" s="1482"/>
      <c r="X1238" s="1307"/>
    </row>
    <row r="1239" spans="1:24" s="1308" customFormat="1" ht="15" customHeight="1" x14ac:dyDescent="0.25">
      <c r="A1239" s="730"/>
      <c r="B1239" s="1286">
        <f t="shared" si="40"/>
        <v>51</v>
      </c>
      <c r="C1239" s="1290"/>
      <c r="D1239" s="1758" t="s">
        <v>1335</v>
      </c>
      <c r="E1239" s="1758" t="s">
        <v>1336</v>
      </c>
      <c r="F1239" s="1293" t="s">
        <v>1334</v>
      </c>
      <c r="G1239" s="1302"/>
      <c r="H1239" s="1322"/>
      <c r="I1239" s="1322"/>
      <c r="J1239" s="1322"/>
      <c r="K1239" s="1322"/>
      <c r="L1239" s="1322"/>
      <c r="M1239" s="1322"/>
      <c r="N1239" s="1322"/>
      <c r="O1239" s="1326"/>
      <c r="P1239" s="1322"/>
      <c r="Q1239" s="1323"/>
      <c r="R1239" s="1324"/>
      <c r="S1239" s="1325"/>
      <c r="T1239" s="1353"/>
      <c r="U1239" s="1463"/>
      <c r="V1239" s="1464"/>
      <c r="W1239" s="1482"/>
      <c r="X1239" s="1307"/>
    </row>
    <row r="1240" spans="1:24" s="1308" customFormat="1" ht="15" customHeight="1" x14ac:dyDescent="0.25">
      <c r="A1240" s="730"/>
      <c r="B1240" s="1286">
        <f t="shared" si="40"/>
        <v>52</v>
      </c>
      <c r="C1240" s="1290"/>
      <c r="D1240" s="1758"/>
      <c r="E1240" s="1758"/>
      <c r="F1240" s="1293" t="s">
        <v>62</v>
      </c>
      <c r="G1240" s="1302"/>
      <c r="H1240" s="1322"/>
      <c r="I1240" s="1322"/>
      <c r="J1240" s="1322"/>
      <c r="K1240" s="1322"/>
      <c r="L1240" s="1322"/>
      <c r="M1240" s="1322"/>
      <c r="N1240" s="1322"/>
      <c r="O1240" s="1326"/>
      <c r="P1240" s="1322"/>
      <c r="Q1240" s="1323"/>
      <c r="R1240" s="1324"/>
      <c r="S1240" s="1325"/>
      <c r="T1240" s="1353"/>
      <c r="U1240" s="1463"/>
      <c r="V1240" s="1464"/>
      <c r="W1240" s="1482"/>
      <c r="X1240" s="1307"/>
    </row>
    <row r="1241" spans="1:24" s="1308" customFormat="1" ht="15" customHeight="1" x14ac:dyDescent="0.25">
      <c r="A1241" s="730"/>
      <c r="B1241" s="1286">
        <f t="shared" si="40"/>
        <v>53</v>
      </c>
      <c r="C1241" s="1290"/>
      <c r="D1241" s="1758"/>
      <c r="E1241" s="1758" t="s">
        <v>1323</v>
      </c>
      <c r="F1241" s="1293" t="s">
        <v>1334</v>
      </c>
      <c r="G1241" s="1302"/>
      <c r="H1241" s="1322"/>
      <c r="I1241" s="1322"/>
      <c r="J1241" s="1322"/>
      <c r="K1241" s="1322"/>
      <c r="L1241" s="1322"/>
      <c r="M1241" s="1322"/>
      <c r="N1241" s="1322"/>
      <c r="O1241" s="1326"/>
      <c r="P1241" s="1322"/>
      <c r="Q1241" s="1323"/>
      <c r="R1241" s="1324"/>
      <c r="S1241" s="1325"/>
      <c r="T1241" s="1353"/>
      <c r="U1241" s="1463"/>
      <c r="V1241" s="1464"/>
      <c r="W1241" s="1482"/>
      <c r="X1241" s="1307"/>
    </row>
    <row r="1242" spans="1:24" s="1308" customFormat="1" ht="15" customHeight="1" x14ac:dyDescent="0.25">
      <c r="A1242" s="730"/>
      <c r="B1242" s="1286">
        <f t="shared" si="40"/>
        <v>54</v>
      </c>
      <c r="C1242" s="1290"/>
      <c r="D1242" s="1758"/>
      <c r="E1242" s="1758"/>
      <c r="F1242" s="1293" t="s">
        <v>62</v>
      </c>
      <c r="G1242" s="1302"/>
      <c r="H1242" s="1322"/>
      <c r="I1242" s="1322"/>
      <c r="J1242" s="1322"/>
      <c r="K1242" s="1322"/>
      <c r="L1242" s="1322"/>
      <c r="M1242" s="1322"/>
      <c r="N1242" s="1322"/>
      <c r="O1242" s="1326"/>
      <c r="P1242" s="1322"/>
      <c r="Q1242" s="1323"/>
      <c r="R1242" s="1324"/>
      <c r="S1242" s="1325"/>
      <c r="T1242" s="1353"/>
      <c r="U1242" s="1463"/>
      <c r="V1242" s="1464"/>
      <c r="W1242" s="1482"/>
      <c r="X1242" s="1307"/>
    </row>
    <row r="1243" spans="1:24" s="1308" customFormat="1" ht="15" customHeight="1" x14ac:dyDescent="0.25">
      <c r="A1243" s="730"/>
      <c r="B1243" s="1286">
        <f t="shared" si="40"/>
        <v>55</v>
      </c>
      <c r="C1243" s="1290"/>
      <c r="D1243" s="1758"/>
      <c r="E1243" s="1758" t="s">
        <v>1326</v>
      </c>
      <c r="F1243" s="1293" t="s">
        <v>1334</v>
      </c>
      <c r="G1243" s="1302"/>
      <c r="H1243" s="1322"/>
      <c r="I1243" s="1322"/>
      <c r="J1243" s="1322"/>
      <c r="K1243" s="1322"/>
      <c r="L1243" s="1322"/>
      <c r="M1243" s="1322"/>
      <c r="N1243" s="1322"/>
      <c r="O1243" s="1326"/>
      <c r="P1243" s="1322"/>
      <c r="Q1243" s="1323"/>
      <c r="R1243" s="1324"/>
      <c r="S1243" s="1325"/>
      <c r="T1243" s="1353"/>
      <c r="U1243" s="1463"/>
      <c r="V1243" s="1464"/>
      <c r="W1243" s="1482"/>
      <c r="X1243" s="1307"/>
    </row>
    <row r="1244" spans="1:24" s="1308" customFormat="1" ht="15" customHeight="1" x14ac:dyDescent="0.25">
      <c r="A1244" s="730"/>
      <c r="B1244" s="1286">
        <f t="shared" si="40"/>
        <v>56</v>
      </c>
      <c r="C1244" s="1290"/>
      <c r="D1244" s="1758"/>
      <c r="E1244" s="1758"/>
      <c r="F1244" s="1293" t="s">
        <v>62</v>
      </c>
      <c r="G1244" s="1302"/>
      <c r="H1244" s="1322"/>
      <c r="I1244" s="1322"/>
      <c r="J1244" s="1322"/>
      <c r="K1244" s="1322"/>
      <c r="L1244" s="1322"/>
      <c r="M1244" s="1322"/>
      <c r="N1244" s="1322"/>
      <c r="O1244" s="1326"/>
      <c r="P1244" s="1322"/>
      <c r="Q1244" s="1323"/>
      <c r="R1244" s="1324"/>
      <c r="S1244" s="1325"/>
      <c r="T1244" s="1353"/>
      <c r="U1244" s="1463"/>
      <c r="V1244" s="1464"/>
      <c r="W1244" s="1482"/>
      <c r="X1244" s="1307"/>
    </row>
    <row r="1245" spans="1:24" s="1308" customFormat="1" ht="15" customHeight="1" x14ac:dyDescent="0.25">
      <c r="A1245" s="730"/>
      <c r="B1245" s="1286">
        <f t="shared" si="40"/>
        <v>57</v>
      </c>
      <c r="C1245" s="1290"/>
      <c r="D1245" s="1758"/>
      <c r="E1245" s="1758" t="s">
        <v>1338</v>
      </c>
      <c r="F1245" s="1293" t="s">
        <v>1334</v>
      </c>
      <c r="G1245" s="1302"/>
      <c r="H1245" s="1322"/>
      <c r="I1245" s="1322"/>
      <c r="J1245" s="1322"/>
      <c r="K1245" s="1322"/>
      <c r="L1245" s="1322"/>
      <c r="M1245" s="1322"/>
      <c r="N1245" s="1322"/>
      <c r="O1245" s="1326"/>
      <c r="P1245" s="1322"/>
      <c r="Q1245" s="1323"/>
      <c r="R1245" s="1324"/>
      <c r="S1245" s="1325"/>
      <c r="T1245" s="1353"/>
      <c r="U1245" s="1463"/>
      <c r="V1245" s="1464"/>
      <c r="W1245" s="1482"/>
      <c r="X1245" s="1307"/>
    </row>
    <row r="1246" spans="1:24" s="1308" customFormat="1" ht="15" customHeight="1" x14ac:dyDescent="0.25">
      <c r="A1246" s="730"/>
      <c r="B1246" s="1286">
        <f t="shared" si="40"/>
        <v>58</v>
      </c>
      <c r="C1246" s="1290"/>
      <c r="D1246" s="1758"/>
      <c r="E1246" s="1758"/>
      <c r="F1246" s="1293" t="s">
        <v>62</v>
      </c>
      <c r="G1246" s="1302"/>
      <c r="H1246" s="1322"/>
      <c r="I1246" s="1322"/>
      <c r="J1246" s="1322"/>
      <c r="K1246" s="1322"/>
      <c r="L1246" s="1322"/>
      <c r="M1246" s="1322"/>
      <c r="N1246" s="1322"/>
      <c r="O1246" s="1326"/>
      <c r="P1246" s="1322"/>
      <c r="Q1246" s="1323"/>
      <c r="R1246" s="1324"/>
      <c r="S1246" s="1325"/>
      <c r="T1246" s="1353"/>
      <c r="U1246" s="1463"/>
      <c r="V1246" s="1464"/>
      <c r="W1246" s="1482"/>
      <c r="X1246" s="1307"/>
    </row>
    <row r="1247" spans="1:24" s="1308" customFormat="1" ht="15" customHeight="1" x14ac:dyDescent="0.25">
      <c r="A1247" s="730"/>
      <c r="B1247" s="1286">
        <f t="shared" si="40"/>
        <v>59</v>
      </c>
      <c r="C1247" s="1290"/>
      <c r="D1247" s="1758"/>
      <c r="E1247" s="1758" t="s">
        <v>1337</v>
      </c>
      <c r="F1247" s="1293" t="s">
        <v>1334</v>
      </c>
      <c r="G1247" s="1302"/>
      <c r="H1247" s="1322"/>
      <c r="I1247" s="1322"/>
      <c r="J1247" s="1322"/>
      <c r="K1247" s="1322"/>
      <c r="L1247" s="1322"/>
      <c r="M1247" s="1322"/>
      <c r="N1247" s="1322"/>
      <c r="O1247" s="1326"/>
      <c r="P1247" s="1322"/>
      <c r="Q1247" s="1323"/>
      <c r="R1247" s="1324"/>
      <c r="S1247" s="1325"/>
      <c r="T1247" s="1353"/>
      <c r="U1247" s="1463"/>
      <c r="V1247" s="1464"/>
      <c r="W1247" s="1482"/>
      <c r="X1247" s="1307"/>
    </row>
    <row r="1248" spans="1:24" s="1308" customFormat="1" ht="15" customHeight="1" x14ac:dyDescent="0.25">
      <c r="A1248" s="730"/>
      <c r="B1248" s="1287">
        <f t="shared" si="40"/>
        <v>60</v>
      </c>
      <c r="C1248" s="1291"/>
      <c r="D1248" s="1760"/>
      <c r="E1248" s="1760"/>
      <c r="F1248" s="1294" t="s">
        <v>62</v>
      </c>
      <c r="G1248" s="1327"/>
      <c r="H1248" s="1303"/>
      <c r="I1248" s="1303"/>
      <c r="J1248" s="1303"/>
      <c r="K1248" s="1303"/>
      <c r="L1248" s="1303"/>
      <c r="M1248" s="1303"/>
      <c r="N1248" s="1303"/>
      <c r="O1248" s="1328"/>
      <c r="P1248" s="1303"/>
      <c r="Q1248" s="1304"/>
      <c r="R1248" s="1305"/>
      <c r="S1248" s="1306"/>
      <c r="T1248" s="1351"/>
      <c r="U1248" s="1466"/>
      <c r="V1248" s="1467"/>
      <c r="W1248" s="1483"/>
      <c r="X1248" s="1307"/>
    </row>
    <row r="1249" spans="1:24" s="423" customFormat="1" ht="15" customHeight="1" x14ac:dyDescent="0.25">
      <c r="A1249" s="1189"/>
      <c r="B1249" s="1442"/>
      <c r="C1249" s="1005"/>
      <c r="D1249" s="1005"/>
      <c r="E1249" s="1190"/>
      <c r="F1249" s="1191"/>
      <c r="G1249" s="1192"/>
      <c r="H1249" s="455"/>
      <c r="I1249" s="455"/>
      <c r="J1249" s="455"/>
      <c r="K1249" s="455"/>
      <c r="L1249" s="455"/>
      <c r="M1249" s="455"/>
      <c r="N1249" s="455"/>
      <c r="O1249" s="1192"/>
      <c r="P1249" s="455"/>
      <c r="Q1249" s="1193"/>
      <c r="R1249" s="1194"/>
      <c r="S1249" s="1195"/>
      <c r="T1249" s="455"/>
      <c r="U1249" s="1193"/>
      <c r="V1249" s="1194"/>
      <c r="W1249" s="1195"/>
      <c r="X1249" s="456"/>
    </row>
    <row r="1250" spans="1:24" ht="30" customHeight="1" x14ac:dyDescent="0.3">
      <c r="A1250" s="728" t="s">
        <v>1342</v>
      </c>
      <c r="B1250" s="731"/>
      <c r="C1250" s="732"/>
      <c r="D1250" s="732"/>
      <c r="E1250" s="732"/>
      <c r="F1250" s="732"/>
      <c r="G1250" s="716"/>
      <c r="H1250" s="716"/>
      <c r="I1250" s="716"/>
      <c r="J1250" s="716"/>
      <c r="P1250" s="1767"/>
      <c r="Q1250" s="1767"/>
      <c r="T1250" s="1767"/>
      <c r="U1250" s="1767"/>
      <c r="X1250" s="727"/>
    </row>
    <row r="1251" spans="1:24" s="735" customFormat="1" ht="45" customHeight="1" x14ac:dyDescent="0.25">
      <c r="A1251" s="733" t="s">
        <v>1430</v>
      </c>
      <c r="B1251" s="722"/>
      <c r="C1251" s="734"/>
      <c r="D1251" s="734"/>
      <c r="E1251" s="734"/>
      <c r="F1251" s="732"/>
      <c r="X1251" s="422"/>
    </row>
    <row r="1252" spans="1:24" s="1300" customFormat="1" ht="15" customHeight="1" x14ac:dyDescent="0.25">
      <c r="A1252" s="726"/>
      <c r="B1252" s="1297"/>
      <c r="C1252" s="1298"/>
      <c r="D1252" s="1443" t="s">
        <v>1314</v>
      </c>
      <c r="E1252" s="1443" t="s">
        <v>820</v>
      </c>
      <c r="F1252" s="1443"/>
      <c r="G1252" s="1676"/>
      <c r="H1252" s="1677"/>
      <c r="I1252" s="1677"/>
      <c r="J1252" s="1677"/>
      <c r="K1252" s="1677"/>
      <c r="L1252" s="1677"/>
      <c r="M1252" s="1677"/>
      <c r="N1252" s="1677"/>
      <c r="O1252" s="1677"/>
      <c r="P1252" s="1677"/>
      <c r="Q1252" s="1677"/>
      <c r="R1252" s="1677"/>
      <c r="S1252" s="1677"/>
      <c r="T1252" s="1677"/>
      <c r="U1252" s="1677"/>
      <c r="V1252" s="1677"/>
      <c r="W1252" s="1778"/>
      <c r="X1252" s="1299"/>
    </row>
    <row r="1253" spans="1:24" s="1308" customFormat="1" ht="15" customHeight="1" x14ac:dyDescent="0.25">
      <c r="A1253" s="730"/>
      <c r="B1253" s="1285">
        <v>1</v>
      </c>
      <c r="C1253" s="1289"/>
      <c r="D1253" s="1763" t="s">
        <v>1317</v>
      </c>
      <c r="E1253" s="1292" t="s">
        <v>1319</v>
      </c>
      <c r="F1253" s="1289"/>
      <c r="G1253" s="1316"/>
      <c r="H1253" s="1317"/>
      <c r="I1253" s="1317"/>
      <c r="J1253" s="1317"/>
      <c r="K1253" s="1317"/>
      <c r="L1253" s="1317"/>
      <c r="M1253" s="1317"/>
      <c r="N1253" s="1317"/>
      <c r="O1253" s="1321"/>
      <c r="P1253" s="1317"/>
      <c r="Q1253" s="1318"/>
      <c r="R1253" s="1319"/>
      <c r="S1253" s="1320"/>
      <c r="T1253" s="1349"/>
      <c r="U1253" s="1460"/>
      <c r="V1253" s="1461"/>
      <c r="W1253" s="1481"/>
      <c r="X1253" s="1307"/>
    </row>
    <row r="1254" spans="1:24" s="1308" customFormat="1" ht="15" customHeight="1" x14ac:dyDescent="0.25">
      <c r="A1254" s="730"/>
      <c r="B1254" s="1286">
        <f t="shared" ref="B1254:B1264" si="41">B1253+1</f>
        <v>2</v>
      </c>
      <c r="C1254" s="1290"/>
      <c r="D1254" s="1758"/>
      <c r="E1254" s="1293" t="s">
        <v>1320</v>
      </c>
      <c r="F1254" s="1290"/>
      <c r="G1254" s="1302"/>
      <c r="H1254" s="1322"/>
      <c r="I1254" s="1322"/>
      <c r="J1254" s="1322"/>
      <c r="K1254" s="1322"/>
      <c r="L1254" s="1322"/>
      <c r="M1254" s="1322"/>
      <c r="N1254" s="1322"/>
      <c r="O1254" s="1326"/>
      <c r="P1254" s="1322"/>
      <c r="Q1254" s="1323"/>
      <c r="R1254" s="1324"/>
      <c r="S1254" s="1325"/>
      <c r="T1254" s="1353"/>
      <c r="U1254" s="1463"/>
      <c r="V1254" s="1464"/>
      <c r="W1254" s="1482"/>
      <c r="X1254" s="1307"/>
    </row>
    <row r="1255" spans="1:24" s="1308" customFormat="1" ht="15" customHeight="1" x14ac:dyDescent="0.25">
      <c r="A1255" s="730"/>
      <c r="B1255" s="1286">
        <f t="shared" si="41"/>
        <v>3</v>
      </c>
      <c r="C1255" s="1290"/>
      <c r="D1255" s="1758" t="s">
        <v>1626</v>
      </c>
      <c r="E1255" s="1293" t="s">
        <v>1319</v>
      </c>
      <c r="F1255" s="1290"/>
      <c r="G1255" s="1302"/>
      <c r="H1255" s="1322"/>
      <c r="I1255" s="1322"/>
      <c r="J1255" s="1322"/>
      <c r="K1255" s="1322"/>
      <c r="L1255" s="1322"/>
      <c r="M1255" s="1322"/>
      <c r="N1255" s="1322"/>
      <c r="O1255" s="1326"/>
      <c r="P1255" s="1322"/>
      <c r="Q1255" s="1323"/>
      <c r="R1255" s="1324"/>
      <c r="S1255" s="1325"/>
      <c r="T1255" s="1353"/>
      <c r="U1255" s="1463"/>
      <c r="V1255" s="1464"/>
      <c r="W1255" s="1482"/>
      <c r="X1255" s="1307"/>
    </row>
    <row r="1256" spans="1:24" s="1308" customFormat="1" ht="15" customHeight="1" x14ac:dyDescent="0.25">
      <c r="A1256" s="730"/>
      <c r="B1256" s="1286">
        <f t="shared" si="41"/>
        <v>4</v>
      </c>
      <c r="C1256" s="1290"/>
      <c r="D1256" s="1758"/>
      <c r="E1256" s="1293" t="s">
        <v>1320</v>
      </c>
      <c r="F1256" s="1290"/>
      <c r="G1256" s="1302"/>
      <c r="H1256" s="1322"/>
      <c r="I1256" s="1322"/>
      <c r="J1256" s="1322"/>
      <c r="K1256" s="1322"/>
      <c r="L1256" s="1322"/>
      <c r="M1256" s="1322"/>
      <c r="N1256" s="1322"/>
      <c r="O1256" s="1326"/>
      <c r="P1256" s="1322"/>
      <c r="Q1256" s="1323"/>
      <c r="R1256" s="1324"/>
      <c r="S1256" s="1325"/>
      <c r="T1256" s="1353"/>
      <c r="U1256" s="1463"/>
      <c r="V1256" s="1464"/>
      <c r="W1256" s="1482"/>
      <c r="X1256" s="1307"/>
    </row>
    <row r="1257" spans="1:24" s="1308" customFormat="1" ht="15" customHeight="1" x14ac:dyDescent="0.25">
      <c r="A1257" s="730"/>
      <c r="B1257" s="1286">
        <f t="shared" si="41"/>
        <v>5</v>
      </c>
      <c r="C1257" s="1290"/>
      <c r="D1257" s="1758" t="s">
        <v>1321</v>
      </c>
      <c r="E1257" s="1293" t="s">
        <v>1319</v>
      </c>
      <c r="F1257" s="1290"/>
      <c r="G1257" s="1302"/>
      <c r="H1257" s="1322"/>
      <c r="I1257" s="1322"/>
      <c r="J1257" s="1322"/>
      <c r="K1257" s="1322"/>
      <c r="L1257" s="1322"/>
      <c r="M1257" s="1322"/>
      <c r="N1257" s="1322"/>
      <c r="O1257" s="1326"/>
      <c r="P1257" s="1322"/>
      <c r="Q1257" s="1323"/>
      <c r="R1257" s="1324"/>
      <c r="S1257" s="1325"/>
      <c r="T1257" s="1353"/>
      <c r="U1257" s="1463"/>
      <c r="V1257" s="1464"/>
      <c r="W1257" s="1482"/>
      <c r="X1257" s="1307"/>
    </row>
    <row r="1258" spans="1:24" s="1308" customFormat="1" ht="15" customHeight="1" x14ac:dyDescent="0.25">
      <c r="A1258" s="730"/>
      <c r="B1258" s="1286">
        <f t="shared" si="41"/>
        <v>6</v>
      </c>
      <c r="C1258" s="1290"/>
      <c r="D1258" s="1758"/>
      <c r="E1258" s="1293" t="s">
        <v>1320</v>
      </c>
      <c r="F1258" s="1290"/>
      <c r="G1258" s="1302"/>
      <c r="H1258" s="1322"/>
      <c r="I1258" s="1322"/>
      <c r="J1258" s="1322"/>
      <c r="K1258" s="1322"/>
      <c r="L1258" s="1322"/>
      <c r="M1258" s="1322"/>
      <c r="N1258" s="1322"/>
      <c r="O1258" s="1326"/>
      <c r="P1258" s="1322"/>
      <c r="Q1258" s="1323"/>
      <c r="R1258" s="1324"/>
      <c r="S1258" s="1325"/>
      <c r="T1258" s="1353"/>
      <c r="U1258" s="1463"/>
      <c r="V1258" s="1464"/>
      <c r="W1258" s="1482"/>
      <c r="X1258" s="1307"/>
    </row>
    <row r="1259" spans="1:24" s="1308" customFormat="1" ht="15" customHeight="1" x14ac:dyDescent="0.25">
      <c r="A1259" s="730"/>
      <c r="B1259" s="1286">
        <f t="shared" si="41"/>
        <v>7</v>
      </c>
      <c r="C1259" s="1290"/>
      <c r="D1259" s="1758" t="s">
        <v>1322</v>
      </c>
      <c r="E1259" s="1293" t="s">
        <v>1319</v>
      </c>
      <c r="F1259" s="1290"/>
      <c r="G1259" s="1302"/>
      <c r="H1259" s="1322"/>
      <c r="I1259" s="1322"/>
      <c r="J1259" s="1322"/>
      <c r="K1259" s="1322"/>
      <c r="L1259" s="1322"/>
      <c r="M1259" s="1322"/>
      <c r="N1259" s="1322"/>
      <c r="O1259" s="1326"/>
      <c r="P1259" s="1322"/>
      <c r="Q1259" s="1323"/>
      <c r="R1259" s="1324"/>
      <c r="S1259" s="1325"/>
      <c r="T1259" s="1353"/>
      <c r="U1259" s="1463"/>
      <c r="V1259" s="1464"/>
      <c r="W1259" s="1482"/>
      <c r="X1259" s="1307"/>
    </row>
    <row r="1260" spans="1:24" s="1308" customFormat="1" ht="15" customHeight="1" x14ac:dyDescent="0.25">
      <c r="A1260" s="730"/>
      <c r="B1260" s="1286">
        <f t="shared" si="41"/>
        <v>8</v>
      </c>
      <c r="C1260" s="1290"/>
      <c r="D1260" s="1758"/>
      <c r="E1260" s="1293" t="s">
        <v>1320</v>
      </c>
      <c r="F1260" s="1290"/>
      <c r="G1260" s="1302"/>
      <c r="H1260" s="1322"/>
      <c r="I1260" s="1322"/>
      <c r="J1260" s="1322"/>
      <c r="K1260" s="1322"/>
      <c r="L1260" s="1322"/>
      <c r="M1260" s="1322"/>
      <c r="N1260" s="1322"/>
      <c r="O1260" s="1326"/>
      <c r="P1260" s="1322"/>
      <c r="Q1260" s="1323"/>
      <c r="R1260" s="1324"/>
      <c r="S1260" s="1325"/>
      <c r="T1260" s="1353"/>
      <c r="U1260" s="1463"/>
      <c r="V1260" s="1464"/>
      <c r="W1260" s="1482"/>
      <c r="X1260" s="1307"/>
    </row>
    <row r="1261" spans="1:24" s="1308" customFormat="1" ht="15" customHeight="1" x14ac:dyDescent="0.25">
      <c r="A1261" s="730"/>
      <c r="B1261" s="1286">
        <f t="shared" si="41"/>
        <v>9</v>
      </c>
      <c r="C1261" s="1290"/>
      <c r="D1261" s="1758" t="s">
        <v>1323</v>
      </c>
      <c r="E1261" s="1293" t="s">
        <v>1319</v>
      </c>
      <c r="F1261" s="1290"/>
      <c r="G1261" s="1302"/>
      <c r="H1261" s="1322"/>
      <c r="I1261" s="1322"/>
      <c r="J1261" s="1322"/>
      <c r="K1261" s="1322"/>
      <c r="L1261" s="1322"/>
      <c r="M1261" s="1322"/>
      <c r="N1261" s="1322"/>
      <c r="O1261" s="1326"/>
      <c r="P1261" s="1322"/>
      <c r="Q1261" s="1323"/>
      <c r="R1261" s="1324"/>
      <c r="S1261" s="1325"/>
      <c r="T1261" s="1353"/>
      <c r="U1261" s="1463"/>
      <c r="V1261" s="1464"/>
      <c r="W1261" s="1482"/>
      <c r="X1261" s="1307"/>
    </row>
    <row r="1262" spans="1:24" s="1308" customFormat="1" ht="15" customHeight="1" x14ac:dyDescent="0.25">
      <c r="A1262" s="730"/>
      <c r="B1262" s="1286">
        <f t="shared" si="41"/>
        <v>10</v>
      </c>
      <c r="C1262" s="1290"/>
      <c r="D1262" s="1758"/>
      <c r="E1262" s="1293" t="s">
        <v>1320</v>
      </c>
      <c r="F1262" s="1290"/>
      <c r="G1262" s="1302"/>
      <c r="H1262" s="1322"/>
      <c r="I1262" s="1322"/>
      <c r="J1262" s="1322"/>
      <c r="K1262" s="1322"/>
      <c r="L1262" s="1322"/>
      <c r="M1262" s="1322"/>
      <c r="N1262" s="1322"/>
      <c r="O1262" s="1326"/>
      <c r="P1262" s="1322"/>
      <c r="Q1262" s="1323"/>
      <c r="R1262" s="1324"/>
      <c r="S1262" s="1325"/>
      <c r="T1262" s="1353"/>
      <c r="U1262" s="1463"/>
      <c r="V1262" s="1464"/>
      <c r="W1262" s="1482"/>
      <c r="X1262" s="1307"/>
    </row>
    <row r="1263" spans="1:24" s="1308" customFormat="1" ht="15" customHeight="1" x14ac:dyDescent="0.25">
      <c r="A1263" s="730"/>
      <c r="B1263" s="1286">
        <f t="shared" si="41"/>
        <v>11</v>
      </c>
      <c r="C1263" s="1290"/>
      <c r="D1263" s="1758" t="s">
        <v>1318</v>
      </c>
      <c r="E1263" s="1293" t="s">
        <v>1319</v>
      </c>
      <c r="F1263" s="1290"/>
      <c r="G1263" s="1302"/>
      <c r="H1263" s="1322"/>
      <c r="I1263" s="1322"/>
      <c r="J1263" s="1322"/>
      <c r="K1263" s="1322"/>
      <c r="L1263" s="1322"/>
      <c r="M1263" s="1322"/>
      <c r="N1263" s="1322"/>
      <c r="O1263" s="1326"/>
      <c r="P1263" s="1322"/>
      <c r="Q1263" s="1323"/>
      <c r="R1263" s="1324"/>
      <c r="S1263" s="1325"/>
      <c r="T1263" s="1353"/>
      <c r="U1263" s="1463"/>
      <c r="V1263" s="1464"/>
      <c r="W1263" s="1482"/>
      <c r="X1263" s="1307"/>
    </row>
    <row r="1264" spans="1:24" s="1308" customFormat="1" ht="15" customHeight="1" x14ac:dyDescent="0.25">
      <c r="A1264" s="730"/>
      <c r="B1264" s="1287">
        <f t="shared" si="41"/>
        <v>12</v>
      </c>
      <c r="C1264" s="1291"/>
      <c r="D1264" s="1760"/>
      <c r="E1264" s="1294" t="s">
        <v>1320</v>
      </c>
      <c r="F1264" s="1291"/>
      <c r="G1264" s="1327"/>
      <c r="H1264" s="1303"/>
      <c r="I1264" s="1303"/>
      <c r="J1264" s="1303"/>
      <c r="K1264" s="1303"/>
      <c r="L1264" s="1303"/>
      <c r="M1264" s="1303"/>
      <c r="N1264" s="1303"/>
      <c r="O1264" s="1328"/>
      <c r="P1264" s="1303"/>
      <c r="Q1264" s="1304"/>
      <c r="R1264" s="1305"/>
      <c r="S1264" s="1306"/>
      <c r="T1264" s="1351"/>
      <c r="U1264" s="1466"/>
      <c r="V1264" s="1467"/>
      <c r="W1264" s="1483"/>
      <c r="X1264" s="1307"/>
    </row>
    <row r="1265" spans="1:24" s="735" customFormat="1" ht="45" customHeight="1" x14ac:dyDescent="0.25">
      <c r="A1265" s="733" t="s">
        <v>1431</v>
      </c>
      <c r="B1265" s="722"/>
      <c r="C1265" s="734"/>
      <c r="D1265" s="734"/>
      <c r="E1265" s="734"/>
      <c r="F1265" s="732"/>
      <c r="X1265" s="422"/>
    </row>
    <row r="1266" spans="1:24" s="1300" customFormat="1" ht="15" customHeight="1" x14ac:dyDescent="0.25">
      <c r="A1266" s="726"/>
      <c r="B1266" s="1297"/>
      <c r="C1266" s="1298"/>
      <c r="D1266" s="1443" t="s">
        <v>1343</v>
      </c>
      <c r="E1266" s="1443" t="s">
        <v>820</v>
      </c>
      <c r="F1266" s="1443"/>
      <c r="G1266" s="1676"/>
      <c r="H1266" s="1677"/>
      <c r="I1266" s="1677"/>
      <c r="J1266" s="1677"/>
      <c r="K1266" s="1677"/>
      <c r="L1266" s="1677"/>
      <c r="M1266" s="1677"/>
      <c r="N1266" s="1677"/>
      <c r="O1266" s="1677"/>
      <c r="P1266" s="1677"/>
      <c r="Q1266" s="1677"/>
      <c r="R1266" s="1677"/>
      <c r="S1266" s="1677"/>
      <c r="T1266" s="1677"/>
      <c r="U1266" s="1677"/>
      <c r="V1266" s="1677"/>
      <c r="W1266" s="1778"/>
      <c r="X1266" s="1299"/>
    </row>
    <row r="1267" spans="1:24" s="1308" customFormat="1" ht="15" customHeight="1" x14ac:dyDescent="0.25">
      <c r="A1267" s="730"/>
      <c r="B1267" s="1285">
        <v>1</v>
      </c>
      <c r="C1267" s="1289"/>
      <c r="D1267" s="1763" t="s">
        <v>1345</v>
      </c>
      <c r="E1267" s="1292" t="s">
        <v>1319</v>
      </c>
      <c r="F1267" s="1289"/>
      <c r="G1267" s="1316"/>
      <c r="H1267" s="1317"/>
      <c r="I1267" s="1317"/>
      <c r="J1267" s="1317"/>
      <c r="K1267" s="1317"/>
      <c r="L1267" s="1317"/>
      <c r="M1267" s="1317"/>
      <c r="N1267" s="1317"/>
      <c r="O1267" s="1321"/>
      <c r="P1267" s="1317"/>
      <c r="Q1267" s="1318"/>
      <c r="R1267" s="1319"/>
      <c r="S1267" s="1320"/>
      <c r="T1267" s="1349"/>
      <c r="U1267" s="1460"/>
      <c r="V1267" s="1461"/>
      <c r="W1267" s="1481"/>
      <c r="X1267" s="1307"/>
    </row>
    <row r="1268" spans="1:24" s="1308" customFormat="1" ht="15" customHeight="1" x14ac:dyDescent="0.25">
      <c r="A1268" s="730"/>
      <c r="B1268" s="1286">
        <f t="shared" ref="B1268:B1270" si="42">B1267+1</f>
        <v>2</v>
      </c>
      <c r="C1268" s="1290"/>
      <c r="D1268" s="1758"/>
      <c r="E1268" s="1293" t="s">
        <v>1320</v>
      </c>
      <c r="F1268" s="1290"/>
      <c r="G1268" s="1302"/>
      <c r="H1268" s="1322"/>
      <c r="I1268" s="1322"/>
      <c r="J1268" s="1322"/>
      <c r="K1268" s="1322"/>
      <c r="L1268" s="1322"/>
      <c r="M1268" s="1322"/>
      <c r="N1268" s="1322"/>
      <c r="O1268" s="1326"/>
      <c r="P1268" s="1322"/>
      <c r="Q1268" s="1323"/>
      <c r="R1268" s="1324"/>
      <c r="S1268" s="1325"/>
      <c r="T1268" s="1353"/>
      <c r="U1268" s="1463"/>
      <c r="V1268" s="1464"/>
      <c r="W1268" s="1482"/>
      <c r="X1268" s="1307"/>
    </row>
    <row r="1269" spans="1:24" s="1308" customFormat="1" ht="15" customHeight="1" x14ac:dyDescent="0.25">
      <c r="A1269" s="730"/>
      <c r="B1269" s="1286">
        <f t="shared" si="42"/>
        <v>3</v>
      </c>
      <c r="C1269" s="1290"/>
      <c r="D1269" s="1758" t="s">
        <v>1344</v>
      </c>
      <c r="E1269" s="1293" t="s">
        <v>1319</v>
      </c>
      <c r="F1269" s="1290"/>
      <c r="G1269" s="1302"/>
      <c r="H1269" s="1322"/>
      <c r="I1269" s="1322"/>
      <c r="J1269" s="1322"/>
      <c r="K1269" s="1322"/>
      <c r="L1269" s="1322"/>
      <c r="M1269" s="1322"/>
      <c r="N1269" s="1322"/>
      <c r="O1269" s="1326"/>
      <c r="P1269" s="1322"/>
      <c r="Q1269" s="1323"/>
      <c r="R1269" s="1324"/>
      <c r="S1269" s="1325"/>
      <c r="T1269" s="1353"/>
      <c r="U1269" s="1463"/>
      <c r="V1269" s="1464"/>
      <c r="W1269" s="1482"/>
      <c r="X1269" s="1307"/>
    </row>
    <row r="1270" spans="1:24" s="1308" customFormat="1" ht="15" customHeight="1" x14ac:dyDescent="0.25">
      <c r="A1270" s="730"/>
      <c r="B1270" s="1287">
        <f t="shared" si="42"/>
        <v>4</v>
      </c>
      <c r="C1270" s="1291"/>
      <c r="D1270" s="1760"/>
      <c r="E1270" s="1294" t="s">
        <v>1320</v>
      </c>
      <c r="F1270" s="1291"/>
      <c r="G1270" s="1327"/>
      <c r="H1270" s="1303"/>
      <c r="I1270" s="1303"/>
      <c r="J1270" s="1303"/>
      <c r="K1270" s="1303"/>
      <c r="L1270" s="1303"/>
      <c r="M1270" s="1303"/>
      <c r="N1270" s="1303"/>
      <c r="O1270" s="1328"/>
      <c r="P1270" s="1303"/>
      <c r="Q1270" s="1304"/>
      <c r="R1270" s="1305"/>
      <c r="S1270" s="1306"/>
      <c r="T1270" s="1351"/>
      <c r="U1270" s="1466"/>
      <c r="V1270" s="1467"/>
      <c r="W1270" s="1483"/>
      <c r="X1270" s="1307"/>
    </row>
    <row r="1271" spans="1:24" s="735" customFormat="1" ht="45" customHeight="1" x14ac:dyDescent="0.25">
      <c r="A1271" s="733" t="s">
        <v>1435</v>
      </c>
      <c r="B1271" s="722"/>
      <c r="C1271" s="734"/>
      <c r="D1271" s="734"/>
      <c r="E1271" s="734"/>
      <c r="F1271" s="732"/>
      <c r="X1271" s="422"/>
    </row>
    <row r="1272" spans="1:24" s="1300" customFormat="1" ht="15" customHeight="1" x14ac:dyDescent="0.25">
      <c r="A1272" s="726"/>
      <c r="B1272" s="1297"/>
      <c r="C1272" s="1298"/>
      <c r="D1272" s="1443" t="s">
        <v>1346</v>
      </c>
      <c r="E1272" s="1443" t="s">
        <v>820</v>
      </c>
      <c r="F1272" s="1443"/>
      <c r="G1272" s="1676"/>
      <c r="H1272" s="1677"/>
      <c r="I1272" s="1677"/>
      <c r="J1272" s="1677"/>
      <c r="K1272" s="1677"/>
      <c r="L1272" s="1677"/>
      <c r="M1272" s="1677"/>
      <c r="N1272" s="1677"/>
      <c r="O1272" s="1677"/>
      <c r="P1272" s="1677"/>
      <c r="Q1272" s="1677"/>
      <c r="R1272" s="1677"/>
      <c r="S1272" s="1677"/>
      <c r="T1272" s="1677"/>
      <c r="U1272" s="1677"/>
      <c r="V1272" s="1677"/>
      <c r="W1272" s="1778"/>
      <c r="X1272" s="1299"/>
    </row>
    <row r="1273" spans="1:24" s="1308" customFormat="1" ht="15" customHeight="1" x14ac:dyDescent="0.25">
      <c r="A1273" s="730"/>
      <c r="B1273" s="1285">
        <v>1</v>
      </c>
      <c r="C1273" s="1289"/>
      <c r="D1273" s="1763" t="s">
        <v>1347</v>
      </c>
      <c r="E1273" s="1292" t="s">
        <v>1319</v>
      </c>
      <c r="F1273" s="1289"/>
      <c r="G1273" s="1316"/>
      <c r="H1273" s="1317"/>
      <c r="I1273" s="1317"/>
      <c r="J1273" s="1317"/>
      <c r="K1273" s="1317"/>
      <c r="L1273" s="1317"/>
      <c r="M1273" s="1317"/>
      <c r="N1273" s="1317"/>
      <c r="O1273" s="1321"/>
      <c r="P1273" s="1317"/>
      <c r="Q1273" s="1318"/>
      <c r="R1273" s="1319"/>
      <c r="S1273" s="1320"/>
      <c r="T1273" s="1349"/>
      <c r="U1273" s="1460"/>
      <c r="V1273" s="1461"/>
      <c r="W1273" s="1481"/>
      <c r="X1273" s="1307"/>
    </row>
    <row r="1274" spans="1:24" s="1308" customFormat="1" ht="15" customHeight="1" x14ac:dyDescent="0.25">
      <c r="A1274" s="730"/>
      <c r="B1274" s="1286">
        <f t="shared" ref="B1274:B1284" si="43">B1273+1</f>
        <v>2</v>
      </c>
      <c r="C1274" s="1290"/>
      <c r="D1274" s="1758"/>
      <c r="E1274" s="1293" t="s">
        <v>1320</v>
      </c>
      <c r="F1274" s="1290"/>
      <c r="G1274" s="1302"/>
      <c r="H1274" s="1322"/>
      <c r="I1274" s="1322"/>
      <c r="J1274" s="1322"/>
      <c r="K1274" s="1322"/>
      <c r="L1274" s="1322"/>
      <c r="M1274" s="1322"/>
      <c r="N1274" s="1322"/>
      <c r="O1274" s="1326"/>
      <c r="P1274" s="1322"/>
      <c r="Q1274" s="1323"/>
      <c r="R1274" s="1324"/>
      <c r="S1274" s="1325"/>
      <c r="T1274" s="1353"/>
      <c r="U1274" s="1463"/>
      <c r="V1274" s="1464"/>
      <c r="W1274" s="1482"/>
      <c r="X1274" s="1307"/>
    </row>
    <row r="1275" spans="1:24" s="1308" customFormat="1" ht="15" customHeight="1" x14ac:dyDescent="0.25">
      <c r="A1275" s="730"/>
      <c r="B1275" s="1286">
        <f t="shared" si="43"/>
        <v>3</v>
      </c>
      <c r="C1275" s="1290"/>
      <c r="D1275" s="1758" t="s">
        <v>1628</v>
      </c>
      <c r="E1275" s="1293" t="s">
        <v>1319</v>
      </c>
      <c r="F1275" s="1290"/>
      <c r="G1275" s="1302"/>
      <c r="H1275" s="1322"/>
      <c r="I1275" s="1322"/>
      <c r="J1275" s="1322"/>
      <c r="K1275" s="1322"/>
      <c r="L1275" s="1322"/>
      <c r="M1275" s="1322"/>
      <c r="N1275" s="1322"/>
      <c r="O1275" s="1326"/>
      <c r="P1275" s="1322"/>
      <c r="Q1275" s="1323"/>
      <c r="R1275" s="1324"/>
      <c r="S1275" s="1325"/>
      <c r="T1275" s="1353"/>
      <c r="U1275" s="1463"/>
      <c r="V1275" s="1464"/>
      <c r="W1275" s="1482"/>
      <c r="X1275" s="1307"/>
    </row>
    <row r="1276" spans="1:24" s="1308" customFormat="1" ht="15" customHeight="1" x14ac:dyDescent="0.25">
      <c r="A1276" s="730"/>
      <c r="B1276" s="1286">
        <f t="shared" si="43"/>
        <v>4</v>
      </c>
      <c r="C1276" s="1290"/>
      <c r="D1276" s="1758"/>
      <c r="E1276" s="1293" t="s">
        <v>1320</v>
      </c>
      <c r="F1276" s="1290"/>
      <c r="G1276" s="1302"/>
      <c r="H1276" s="1322"/>
      <c r="I1276" s="1322"/>
      <c r="J1276" s="1322"/>
      <c r="K1276" s="1322"/>
      <c r="L1276" s="1322"/>
      <c r="M1276" s="1322"/>
      <c r="N1276" s="1322"/>
      <c r="O1276" s="1326"/>
      <c r="P1276" s="1322"/>
      <c r="Q1276" s="1323"/>
      <c r="R1276" s="1324"/>
      <c r="S1276" s="1325"/>
      <c r="T1276" s="1353"/>
      <c r="U1276" s="1463"/>
      <c r="V1276" s="1464"/>
      <c r="W1276" s="1482"/>
      <c r="X1276" s="1307"/>
    </row>
    <row r="1277" spans="1:24" s="1308" customFormat="1" ht="15" customHeight="1" x14ac:dyDescent="0.25">
      <c r="A1277" s="730"/>
      <c r="B1277" s="1286">
        <f t="shared" si="43"/>
        <v>5</v>
      </c>
      <c r="C1277" s="1290"/>
      <c r="D1277" s="1758" t="s">
        <v>1350</v>
      </c>
      <c r="E1277" s="1293" t="s">
        <v>1319</v>
      </c>
      <c r="F1277" s="1290"/>
      <c r="G1277" s="1302"/>
      <c r="H1277" s="1322"/>
      <c r="I1277" s="1322"/>
      <c r="J1277" s="1322"/>
      <c r="K1277" s="1322"/>
      <c r="L1277" s="1322"/>
      <c r="M1277" s="1322"/>
      <c r="N1277" s="1322"/>
      <c r="O1277" s="1326"/>
      <c r="P1277" s="1322"/>
      <c r="Q1277" s="1323"/>
      <c r="R1277" s="1324"/>
      <c r="S1277" s="1325"/>
      <c r="T1277" s="1353"/>
      <c r="U1277" s="1463"/>
      <c r="V1277" s="1464"/>
      <c r="W1277" s="1482"/>
      <c r="X1277" s="1307"/>
    </row>
    <row r="1278" spans="1:24" s="1308" customFormat="1" ht="15" customHeight="1" x14ac:dyDescent="0.25">
      <c r="A1278" s="730"/>
      <c r="B1278" s="1286">
        <f t="shared" si="43"/>
        <v>6</v>
      </c>
      <c r="C1278" s="1290"/>
      <c r="D1278" s="1758"/>
      <c r="E1278" s="1293" t="s">
        <v>1320</v>
      </c>
      <c r="F1278" s="1290"/>
      <c r="G1278" s="1302"/>
      <c r="H1278" s="1322"/>
      <c r="I1278" s="1322"/>
      <c r="J1278" s="1322"/>
      <c r="K1278" s="1322"/>
      <c r="L1278" s="1322"/>
      <c r="M1278" s="1322"/>
      <c r="N1278" s="1322"/>
      <c r="O1278" s="1326"/>
      <c r="P1278" s="1322"/>
      <c r="Q1278" s="1323"/>
      <c r="R1278" s="1324"/>
      <c r="S1278" s="1325"/>
      <c r="T1278" s="1353"/>
      <c r="U1278" s="1463"/>
      <c r="V1278" s="1464"/>
      <c r="W1278" s="1482"/>
      <c r="X1278" s="1307"/>
    </row>
    <row r="1279" spans="1:24" s="1308" customFormat="1" ht="15" customHeight="1" x14ac:dyDescent="0.25">
      <c r="A1279" s="730"/>
      <c r="B1279" s="1286">
        <f t="shared" si="43"/>
        <v>7</v>
      </c>
      <c r="C1279" s="1290"/>
      <c r="D1279" s="1758" t="s">
        <v>1351</v>
      </c>
      <c r="E1279" s="1293" t="s">
        <v>1319</v>
      </c>
      <c r="F1279" s="1290"/>
      <c r="G1279" s="1302"/>
      <c r="H1279" s="1322"/>
      <c r="I1279" s="1322"/>
      <c r="J1279" s="1322"/>
      <c r="K1279" s="1322"/>
      <c r="L1279" s="1322"/>
      <c r="M1279" s="1322"/>
      <c r="N1279" s="1322"/>
      <c r="O1279" s="1326"/>
      <c r="P1279" s="1322"/>
      <c r="Q1279" s="1323"/>
      <c r="R1279" s="1324"/>
      <c r="S1279" s="1325"/>
      <c r="T1279" s="1353"/>
      <c r="U1279" s="1463"/>
      <c r="V1279" s="1464"/>
      <c r="W1279" s="1482"/>
      <c r="X1279" s="1307"/>
    </row>
    <row r="1280" spans="1:24" s="1308" customFormat="1" ht="15" customHeight="1" x14ac:dyDescent="0.25">
      <c r="A1280" s="730"/>
      <c r="B1280" s="1286">
        <f t="shared" si="43"/>
        <v>8</v>
      </c>
      <c r="C1280" s="1290"/>
      <c r="D1280" s="1758"/>
      <c r="E1280" s="1293" t="s">
        <v>1320</v>
      </c>
      <c r="F1280" s="1290"/>
      <c r="G1280" s="1302"/>
      <c r="H1280" s="1322"/>
      <c r="I1280" s="1322"/>
      <c r="J1280" s="1322"/>
      <c r="K1280" s="1322"/>
      <c r="L1280" s="1322"/>
      <c r="M1280" s="1322"/>
      <c r="N1280" s="1322"/>
      <c r="O1280" s="1326"/>
      <c r="P1280" s="1322"/>
      <c r="Q1280" s="1323"/>
      <c r="R1280" s="1324"/>
      <c r="S1280" s="1325"/>
      <c r="T1280" s="1353"/>
      <c r="U1280" s="1463"/>
      <c r="V1280" s="1464"/>
      <c r="W1280" s="1482"/>
      <c r="X1280" s="1307"/>
    </row>
    <row r="1281" spans="1:24" s="1308" customFormat="1" ht="15" customHeight="1" x14ac:dyDescent="0.25">
      <c r="A1281" s="730"/>
      <c r="B1281" s="1286">
        <f t="shared" si="43"/>
        <v>9</v>
      </c>
      <c r="C1281" s="1290"/>
      <c r="D1281" s="1758" t="s">
        <v>1352</v>
      </c>
      <c r="E1281" s="1293" t="s">
        <v>1319</v>
      </c>
      <c r="F1281" s="1290"/>
      <c r="G1281" s="1302"/>
      <c r="H1281" s="1322"/>
      <c r="I1281" s="1322"/>
      <c r="J1281" s="1322"/>
      <c r="K1281" s="1322"/>
      <c r="L1281" s="1322"/>
      <c r="M1281" s="1322"/>
      <c r="N1281" s="1322"/>
      <c r="O1281" s="1326"/>
      <c r="P1281" s="1322"/>
      <c r="Q1281" s="1323"/>
      <c r="R1281" s="1324"/>
      <c r="S1281" s="1325"/>
      <c r="T1281" s="1353"/>
      <c r="U1281" s="1463"/>
      <c r="V1281" s="1464"/>
      <c r="W1281" s="1482"/>
      <c r="X1281" s="1307"/>
    </row>
    <row r="1282" spans="1:24" s="1308" customFormat="1" ht="15" customHeight="1" x14ac:dyDescent="0.25">
      <c r="A1282" s="730"/>
      <c r="B1282" s="1286">
        <f t="shared" si="43"/>
        <v>10</v>
      </c>
      <c r="C1282" s="1290"/>
      <c r="D1282" s="1758"/>
      <c r="E1282" s="1293" t="s">
        <v>1320</v>
      </c>
      <c r="F1282" s="1290"/>
      <c r="G1282" s="1302"/>
      <c r="H1282" s="1322"/>
      <c r="I1282" s="1322"/>
      <c r="J1282" s="1322"/>
      <c r="K1282" s="1322"/>
      <c r="L1282" s="1322"/>
      <c r="M1282" s="1322"/>
      <c r="N1282" s="1322"/>
      <c r="O1282" s="1326"/>
      <c r="P1282" s="1322"/>
      <c r="Q1282" s="1323"/>
      <c r="R1282" s="1324"/>
      <c r="S1282" s="1325"/>
      <c r="T1282" s="1353"/>
      <c r="U1282" s="1463"/>
      <c r="V1282" s="1464"/>
      <c r="W1282" s="1482"/>
      <c r="X1282" s="1307"/>
    </row>
    <row r="1283" spans="1:24" s="1308" customFormat="1" ht="15" customHeight="1" x14ac:dyDescent="0.25">
      <c r="A1283" s="730"/>
      <c r="B1283" s="1286">
        <f t="shared" si="43"/>
        <v>11</v>
      </c>
      <c r="C1283" s="1290"/>
      <c r="D1283" s="1758" t="s">
        <v>1348</v>
      </c>
      <c r="E1283" s="1293" t="s">
        <v>1319</v>
      </c>
      <c r="F1283" s="1290"/>
      <c r="G1283" s="1302"/>
      <c r="H1283" s="1322"/>
      <c r="I1283" s="1322"/>
      <c r="J1283" s="1322"/>
      <c r="K1283" s="1322"/>
      <c r="L1283" s="1322"/>
      <c r="M1283" s="1322"/>
      <c r="N1283" s="1322"/>
      <c r="O1283" s="1326"/>
      <c r="P1283" s="1322"/>
      <c r="Q1283" s="1323"/>
      <c r="R1283" s="1324"/>
      <c r="S1283" s="1325"/>
      <c r="T1283" s="1353"/>
      <c r="U1283" s="1463"/>
      <c r="V1283" s="1464"/>
      <c r="W1283" s="1482"/>
      <c r="X1283" s="1307"/>
    </row>
    <row r="1284" spans="1:24" s="1308" customFormat="1" ht="15" customHeight="1" x14ac:dyDescent="0.25">
      <c r="A1284" s="730"/>
      <c r="B1284" s="1287">
        <f t="shared" si="43"/>
        <v>12</v>
      </c>
      <c r="C1284" s="1291"/>
      <c r="D1284" s="1760"/>
      <c r="E1284" s="1294" t="s">
        <v>1320</v>
      </c>
      <c r="F1284" s="1291"/>
      <c r="G1284" s="1327"/>
      <c r="H1284" s="1303"/>
      <c r="I1284" s="1303"/>
      <c r="J1284" s="1303"/>
      <c r="K1284" s="1303"/>
      <c r="L1284" s="1303"/>
      <c r="M1284" s="1303"/>
      <c r="N1284" s="1303"/>
      <c r="O1284" s="1328"/>
      <c r="P1284" s="1303"/>
      <c r="Q1284" s="1304"/>
      <c r="R1284" s="1305"/>
      <c r="S1284" s="1306"/>
      <c r="T1284" s="1351"/>
      <c r="U1284" s="1466"/>
      <c r="V1284" s="1467"/>
      <c r="W1284" s="1483"/>
      <c r="X1284" s="1307"/>
    </row>
    <row r="1285" spans="1:24" s="735" customFormat="1" ht="45" customHeight="1" x14ac:dyDescent="0.25">
      <c r="A1285" s="733" t="s">
        <v>1436</v>
      </c>
      <c r="B1285" s="722"/>
      <c r="C1285" s="734"/>
      <c r="D1285" s="734"/>
      <c r="E1285" s="734"/>
      <c r="F1285" s="732"/>
      <c r="X1285" s="422"/>
    </row>
    <row r="1286" spans="1:24" s="1300" customFormat="1" ht="30" customHeight="1" x14ac:dyDescent="0.25">
      <c r="A1286" s="726"/>
      <c r="B1286" s="1297"/>
      <c r="C1286" s="1298"/>
      <c r="D1286" s="1443" t="s">
        <v>1349</v>
      </c>
      <c r="E1286" s="1443" t="s">
        <v>820</v>
      </c>
      <c r="F1286" s="1443"/>
      <c r="G1286" s="1676"/>
      <c r="H1286" s="1677"/>
      <c r="I1286" s="1677"/>
      <c r="J1286" s="1677"/>
      <c r="K1286" s="1677"/>
      <c r="L1286" s="1677"/>
      <c r="M1286" s="1677"/>
      <c r="N1286" s="1677"/>
      <c r="O1286" s="1677"/>
      <c r="P1286" s="1677"/>
      <c r="Q1286" s="1677"/>
      <c r="R1286" s="1677"/>
      <c r="S1286" s="1677"/>
      <c r="T1286" s="1677"/>
      <c r="U1286" s="1677"/>
      <c r="V1286" s="1677"/>
      <c r="W1286" s="1778"/>
      <c r="X1286" s="1299"/>
    </row>
    <row r="1287" spans="1:24" s="1308" customFormat="1" ht="15" customHeight="1" x14ac:dyDescent="0.25">
      <c r="A1287" s="730"/>
      <c r="B1287" s="1285">
        <v>1</v>
      </c>
      <c r="C1287" s="1289"/>
      <c r="D1287" s="1763" t="s">
        <v>1347</v>
      </c>
      <c r="E1287" s="1292" t="s">
        <v>1319</v>
      </c>
      <c r="F1287" s="1289"/>
      <c r="G1287" s="1316"/>
      <c r="H1287" s="1317"/>
      <c r="I1287" s="1317"/>
      <c r="J1287" s="1317"/>
      <c r="K1287" s="1317"/>
      <c r="L1287" s="1317"/>
      <c r="M1287" s="1317"/>
      <c r="N1287" s="1317"/>
      <c r="O1287" s="1321"/>
      <c r="P1287" s="1317"/>
      <c r="Q1287" s="1318"/>
      <c r="R1287" s="1319"/>
      <c r="S1287" s="1320"/>
      <c r="T1287" s="1349"/>
      <c r="U1287" s="1460"/>
      <c r="V1287" s="1461"/>
      <c r="W1287" s="1481"/>
      <c r="X1287" s="1307"/>
    </row>
    <row r="1288" spans="1:24" s="1308" customFormat="1" ht="15" customHeight="1" x14ac:dyDescent="0.25">
      <c r="A1288" s="730"/>
      <c r="B1288" s="1286">
        <f t="shared" ref="B1288:B1298" si="44">B1287+1</f>
        <v>2</v>
      </c>
      <c r="C1288" s="1290"/>
      <c r="D1288" s="1758"/>
      <c r="E1288" s="1293" t="s">
        <v>1320</v>
      </c>
      <c r="F1288" s="1290"/>
      <c r="G1288" s="1302"/>
      <c r="H1288" s="1322"/>
      <c r="I1288" s="1322"/>
      <c r="J1288" s="1322"/>
      <c r="K1288" s="1322"/>
      <c r="L1288" s="1322"/>
      <c r="M1288" s="1322"/>
      <c r="N1288" s="1322"/>
      <c r="O1288" s="1326"/>
      <c r="P1288" s="1322"/>
      <c r="Q1288" s="1323"/>
      <c r="R1288" s="1324"/>
      <c r="S1288" s="1325"/>
      <c r="T1288" s="1353"/>
      <c r="U1288" s="1463"/>
      <c r="V1288" s="1464"/>
      <c r="W1288" s="1482"/>
      <c r="X1288" s="1307"/>
    </row>
    <row r="1289" spans="1:24" s="1308" customFormat="1" ht="15" customHeight="1" x14ac:dyDescent="0.25">
      <c r="A1289" s="730"/>
      <c r="B1289" s="1286">
        <f t="shared" si="44"/>
        <v>3</v>
      </c>
      <c r="C1289" s="1290"/>
      <c r="D1289" s="1758" t="s">
        <v>1628</v>
      </c>
      <c r="E1289" s="1293" t="s">
        <v>1319</v>
      </c>
      <c r="F1289" s="1290"/>
      <c r="G1289" s="1302"/>
      <c r="H1289" s="1322"/>
      <c r="I1289" s="1322"/>
      <c r="J1289" s="1322"/>
      <c r="K1289" s="1322"/>
      <c r="L1289" s="1322"/>
      <c r="M1289" s="1322"/>
      <c r="N1289" s="1322"/>
      <c r="O1289" s="1326"/>
      <c r="P1289" s="1322"/>
      <c r="Q1289" s="1323"/>
      <c r="R1289" s="1324"/>
      <c r="S1289" s="1325"/>
      <c r="T1289" s="1353"/>
      <c r="U1289" s="1463"/>
      <c r="V1289" s="1464"/>
      <c r="W1289" s="1482"/>
      <c r="X1289" s="1307"/>
    </row>
    <row r="1290" spans="1:24" s="1308" customFormat="1" ht="15" customHeight="1" x14ac:dyDescent="0.25">
      <c r="A1290" s="730"/>
      <c r="B1290" s="1286">
        <f t="shared" si="44"/>
        <v>4</v>
      </c>
      <c r="C1290" s="1290"/>
      <c r="D1290" s="1758"/>
      <c r="E1290" s="1293" t="s">
        <v>1320</v>
      </c>
      <c r="F1290" s="1290"/>
      <c r="G1290" s="1302"/>
      <c r="H1290" s="1322"/>
      <c r="I1290" s="1322"/>
      <c r="J1290" s="1322"/>
      <c r="K1290" s="1322"/>
      <c r="L1290" s="1322"/>
      <c r="M1290" s="1322"/>
      <c r="N1290" s="1322"/>
      <c r="O1290" s="1326"/>
      <c r="P1290" s="1322"/>
      <c r="Q1290" s="1323"/>
      <c r="R1290" s="1324"/>
      <c r="S1290" s="1325"/>
      <c r="T1290" s="1353"/>
      <c r="U1290" s="1463"/>
      <c r="V1290" s="1464"/>
      <c r="W1290" s="1482"/>
      <c r="X1290" s="1307"/>
    </row>
    <row r="1291" spans="1:24" s="1308" customFormat="1" ht="15" customHeight="1" x14ac:dyDescent="0.25">
      <c r="A1291" s="730"/>
      <c r="B1291" s="1286">
        <f t="shared" si="44"/>
        <v>5</v>
      </c>
      <c r="C1291" s="1290"/>
      <c r="D1291" s="1758" t="s">
        <v>1350</v>
      </c>
      <c r="E1291" s="1293" t="s">
        <v>1319</v>
      </c>
      <c r="F1291" s="1290"/>
      <c r="G1291" s="1302"/>
      <c r="H1291" s="1322"/>
      <c r="I1291" s="1322"/>
      <c r="J1291" s="1322"/>
      <c r="K1291" s="1322"/>
      <c r="L1291" s="1322"/>
      <c r="M1291" s="1322"/>
      <c r="N1291" s="1322"/>
      <c r="O1291" s="1326"/>
      <c r="P1291" s="1322"/>
      <c r="Q1291" s="1323"/>
      <c r="R1291" s="1324"/>
      <c r="S1291" s="1325"/>
      <c r="T1291" s="1353"/>
      <c r="U1291" s="1463"/>
      <c r="V1291" s="1464"/>
      <c r="W1291" s="1482"/>
      <c r="X1291" s="1307"/>
    </row>
    <row r="1292" spans="1:24" s="1308" customFormat="1" ht="15" customHeight="1" x14ac:dyDescent="0.25">
      <c r="A1292" s="730"/>
      <c r="B1292" s="1286">
        <f t="shared" si="44"/>
        <v>6</v>
      </c>
      <c r="C1292" s="1290"/>
      <c r="D1292" s="1758"/>
      <c r="E1292" s="1293" t="s">
        <v>1320</v>
      </c>
      <c r="F1292" s="1290"/>
      <c r="G1292" s="1302"/>
      <c r="H1292" s="1322"/>
      <c r="I1292" s="1322"/>
      <c r="J1292" s="1322"/>
      <c r="K1292" s="1322"/>
      <c r="L1292" s="1322"/>
      <c r="M1292" s="1322"/>
      <c r="N1292" s="1322"/>
      <c r="O1292" s="1326"/>
      <c r="P1292" s="1322"/>
      <c r="Q1292" s="1323"/>
      <c r="R1292" s="1324"/>
      <c r="S1292" s="1325"/>
      <c r="T1292" s="1353"/>
      <c r="U1292" s="1463"/>
      <c r="V1292" s="1464"/>
      <c r="W1292" s="1482"/>
      <c r="X1292" s="1307"/>
    </row>
    <row r="1293" spans="1:24" s="1308" customFormat="1" ht="15" customHeight="1" x14ac:dyDescent="0.25">
      <c r="A1293" s="730"/>
      <c r="B1293" s="1286">
        <f t="shared" si="44"/>
        <v>7</v>
      </c>
      <c r="C1293" s="1290"/>
      <c r="D1293" s="1758" t="s">
        <v>1351</v>
      </c>
      <c r="E1293" s="1293" t="s">
        <v>1319</v>
      </c>
      <c r="F1293" s="1290"/>
      <c r="G1293" s="1302"/>
      <c r="H1293" s="1322"/>
      <c r="I1293" s="1322"/>
      <c r="J1293" s="1322"/>
      <c r="K1293" s="1322"/>
      <c r="L1293" s="1322"/>
      <c r="M1293" s="1322"/>
      <c r="N1293" s="1322"/>
      <c r="O1293" s="1326"/>
      <c r="P1293" s="1322"/>
      <c r="Q1293" s="1323"/>
      <c r="R1293" s="1324"/>
      <c r="S1293" s="1325"/>
      <c r="T1293" s="1353"/>
      <c r="U1293" s="1463"/>
      <c r="V1293" s="1464"/>
      <c r="W1293" s="1482"/>
      <c r="X1293" s="1307"/>
    </row>
    <row r="1294" spans="1:24" s="1308" customFormat="1" ht="15" customHeight="1" x14ac:dyDescent="0.25">
      <c r="A1294" s="730"/>
      <c r="B1294" s="1286">
        <f t="shared" si="44"/>
        <v>8</v>
      </c>
      <c r="C1294" s="1290"/>
      <c r="D1294" s="1758"/>
      <c r="E1294" s="1293" t="s">
        <v>1320</v>
      </c>
      <c r="F1294" s="1290"/>
      <c r="G1294" s="1302"/>
      <c r="H1294" s="1322"/>
      <c r="I1294" s="1322"/>
      <c r="J1294" s="1322"/>
      <c r="K1294" s="1322"/>
      <c r="L1294" s="1322"/>
      <c r="M1294" s="1322"/>
      <c r="N1294" s="1322"/>
      <c r="O1294" s="1326"/>
      <c r="P1294" s="1322"/>
      <c r="Q1294" s="1323"/>
      <c r="R1294" s="1324"/>
      <c r="S1294" s="1325"/>
      <c r="T1294" s="1353"/>
      <c r="U1294" s="1463"/>
      <c r="V1294" s="1464"/>
      <c r="W1294" s="1482"/>
      <c r="X1294" s="1307"/>
    </row>
    <row r="1295" spans="1:24" s="1308" customFormat="1" ht="15" customHeight="1" x14ac:dyDescent="0.25">
      <c r="A1295" s="730"/>
      <c r="B1295" s="1286">
        <f t="shared" si="44"/>
        <v>9</v>
      </c>
      <c r="C1295" s="1290"/>
      <c r="D1295" s="1758" t="s">
        <v>1352</v>
      </c>
      <c r="E1295" s="1293" t="s">
        <v>1319</v>
      </c>
      <c r="F1295" s="1290"/>
      <c r="G1295" s="1302"/>
      <c r="H1295" s="1322"/>
      <c r="I1295" s="1322"/>
      <c r="J1295" s="1322"/>
      <c r="K1295" s="1322"/>
      <c r="L1295" s="1322"/>
      <c r="M1295" s="1322"/>
      <c r="N1295" s="1322"/>
      <c r="O1295" s="1326"/>
      <c r="P1295" s="1322"/>
      <c r="Q1295" s="1323"/>
      <c r="R1295" s="1324"/>
      <c r="S1295" s="1325"/>
      <c r="T1295" s="1353"/>
      <c r="U1295" s="1463"/>
      <c r="V1295" s="1464"/>
      <c r="W1295" s="1482"/>
      <c r="X1295" s="1307"/>
    </row>
    <row r="1296" spans="1:24" s="1308" customFormat="1" ht="15" customHeight="1" x14ac:dyDescent="0.25">
      <c r="A1296" s="730"/>
      <c r="B1296" s="1286">
        <f t="shared" si="44"/>
        <v>10</v>
      </c>
      <c r="C1296" s="1290"/>
      <c r="D1296" s="1758"/>
      <c r="E1296" s="1293" t="s">
        <v>1320</v>
      </c>
      <c r="F1296" s="1290"/>
      <c r="G1296" s="1302"/>
      <c r="H1296" s="1322"/>
      <c r="I1296" s="1322"/>
      <c r="J1296" s="1322"/>
      <c r="K1296" s="1322"/>
      <c r="L1296" s="1322"/>
      <c r="M1296" s="1322"/>
      <c r="N1296" s="1322"/>
      <c r="O1296" s="1326"/>
      <c r="P1296" s="1322"/>
      <c r="Q1296" s="1323"/>
      <c r="R1296" s="1324"/>
      <c r="S1296" s="1325"/>
      <c r="T1296" s="1353"/>
      <c r="U1296" s="1463"/>
      <c r="V1296" s="1464"/>
      <c r="W1296" s="1482"/>
      <c r="X1296" s="1307"/>
    </row>
    <row r="1297" spans="1:24" s="1308" customFormat="1" ht="15" customHeight="1" x14ac:dyDescent="0.25">
      <c r="A1297" s="730"/>
      <c r="B1297" s="1286">
        <f t="shared" si="44"/>
        <v>11</v>
      </c>
      <c r="C1297" s="1290"/>
      <c r="D1297" s="1758" t="s">
        <v>1348</v>
      </c>
      <c r="E1297" s="1293" t="s">
        <v>1319</v>
      </c>
      <c r="F1297" s="1290"/>
      <c r="G1297" s="1302"/>
      <c r="H1297" s="1322"/>
      <c r="I1297" s="1322"/>
      <c r="J1297" s="1322"/>
      <c r="K1297" s="1322"/>
      <c r="L1297" s="1322"/>
      <c r="M1297" s="1322"/>
      <c r="N1297" s="1322"/>
      <c r="O1297" s="1326"/>
      <c r="P1297" s="1322"/>
      <c r="Q1297" s="1323"/>
      <c r="R1297" s="1324"/>
      <c r="S1297" s="1325"/>
      <c r="T1297" s="1353"/>
      <c r="U1297" s="1463"/>
      <c r="V1297" s="1464"/>
      <c r="W1297" s="1482"/>
      <c r="X1297" s="1307"/>
    </row>
    <row r="1298" spans="1:24" s="1308" customFormat="1" ht="15" customHeight="1" x14ac:dyDescent="0.25">
      <c r="A1298" s="730"/>
      <c r="B1298" s="1287">
        <f t="shared" si="44"/>
        <v>12</v>
      </c>
      <c r="C1298" s="1291"/>
      <c r="D1298" s="1760"/>
      <c r="E1298" s="1294" t="s">
        <v>1320</v>
      </c>
      <c r="F1298" s="1291"/>
      <c r="G1298" s="1327"/>
      <c r="H1298" s="1303"/>
      <c r="I1298" s="1303"/>
      <c r="J1298" s="1303"/>
      <c r="K1298" s="1303"/>
      <c r="L1298" s="1303"/>
      <c r="M1298" s="1303"/>
      <c r="N1298" s="1303"/>
      <c r="O1298" s="1328"/>
      <c r="P1298" s="1303"/>
      <c r="Q1298" s="1304"/>
      <c r="R1298" s="1305"/>
      <c r="S1298" s="1306"/>
      <c r="T1298" s="1351"/>
      <c r="U1298" s="1466"/>
      <c r="V1298" s="1467"/>
      <c r="W1298" s="1483"/>
      <c r="X1298" s="1307"/>
    </row>
    <row r="1299" spans="1:24" s="423" customFormat="1" ht="15" customHeight="1" x14ac:dyDescent="0.25">
      <c r="A1299" s="1189"/>
      <c r="B1299" s="1442"/>
      <c r="C1299" s="1005"/>
      <c r="D1299" s="1005"/>
      <c r="E1299" s="1190"/>
      <c r="F1299" s="1191"/>
      <c r="G1299" s="1192"/>
      <c r="H1299" s="455"/>
      <c r="I1299" s="455"/>
      <c r="J1299" s="455"/>
      <c r="K1299" s="455"/>
      <c r="L1299" s="455"/>
      <c r="M1299" s="455"/>
      <c r="N1299" s="455"/>
      <c r="O1299" s="1192"/>
      <c r="P1299" s="455"/>
      <c r="Q1299" s="1193"/>
      <c r="R1299" s="1194"/>
      <c r="S1299" s="1195"/>
      <c r="T1299" s="455"/>
      <c r="U1299" s="1193"/>
      <c r="V1299" s="1194"/>
      <c r="W1299" s="1195"/>
      <c r="X1299" s="456"/>
    </row>
    <row r="1300" spans="1:24" ht="15" hidden="1" customHeight="1" x14ac:dyDescent="0.25">
      <c r="A1300" s="716"/>
      <c r="B1300" s="716"/>
      <c r="G1300" s="716"/>
      <c r="H1300" s="716"/>
      <c r="I1300" s="716"/>
      <c r="J1300" s="716"/>
    </row>
    <row r="1301" spans="1:24" ht="15" hidden="1" customHeight="1" x14ac:dyDescent="0.25"/>
    <row r="1302" spans="1:24" ht="15" hidden="1" customHeight="1" x14ac:dyDescent="0.25"/>
    <row r="1303" spans="1:24" ht="15" hidden="1" customHeight="1" x14ac:dyDescent="0.25"/>
    <row r="1304" spans="1:24" ht="15" hidden="1" customHeight="1" x14ac:dyDescent="0.25"/>
    <row r="1305" spans="1:24" ht="15" hidden="1" customHeight="1" x14ac:dyDescent="0.25"/>
    <row r="1306" spans="1:24" ht="15" hidden="1" customHeight="1" x14ac:dyDescent="0.25"/>
    <row r="1307" spans="1:24" ht="15" hidden="1" customHeight="1" x14ac:dyDescent="0.25"/>
    <row r="1308" spans="1:24" ht="15" hidden="1" customHeight="1" x14ac:dyDescent="0.25"/>
    <row r="1309" spans="1:24" ht="15" hidden="1" customHeight="1" x14ac:dyDescent="0.25"/>
    <row r="1310" spans="1:24" ht="15" hidden="1" customHeight="1" x14ac:dyDescent="0.25"/>
    <row r="1311" spans="1:24" ht="15" hidden="1" customHeight="1" x14ac:dyDescent="0.25"/>
    <row r="1312" spans="1:24" ht="15" hidden="1" customHeight="1" x14ac:dyDescent="0.25"/>
    <row r="1313" ht="15" hidden="1" customHeight="1" x14ac:dyDescent="0.25"/>
    <row r="1314" ht="15" hidden="1" customHeight="1" x14ac:dyDescent="0.25"/>
    <row r="1315" ht="15" hidden="1" customHeight="1" x14ac:dyDescent="0.25"/>
    <row r="1316" ht="15" hidden="1" customHeight="1" x14ac:dyDescent="0.25"/>
    <row r="1317" ht="15" hidden="1" customHeight="1" x14ac:dyDescent="0.25"/>
    <row r="1318" ht="15" hidden="1" customHeight="1" x14ac:dyDescent="0.25"/>
    <row r="1319" ht="15" hidden="1" customHeight="1" x14ac:dyDescent="0.25"/>
    <row r="1320" ht="15" hidden="1" customHeight="1" x14ac:dyDescent="0.25"/>
    <row r="1321" ht="15" hidden="1" customHeight="1" x14ac:dyDescent="0.25"/>
    <row r="1322" ht="15" hidden="1" customHeight="1" x14ac:dyDescent="0.25"/>
    <row r="1323" ht="15" hidden="1" customHeight="1" x14ac:dyDescent="0.25"/>
    <row r="1324" ht="15" hidden="1" customHeight="1" x14ac:dyDescent="0.25"/>
    <row r="1325" ht="15" hidden="1" customHeight="1" x14ac:dyDescent="0.25"/>
    <row r="1326" ht="15" hidden="1" customHeight="1" x14ac:dyDescent="0.25"/>
    <row r="1327" ht="15" hidden="1" customHeight="1" x14ac:dyDescent="0.25"/>
    <row r="1328" ht="15" hidden="1" customHeight="1" x14ac:dyDescent="0.25"/>
    <row r="1329" ht="15" hidden="1" customHeight="1" x14ac:dyDescent="0.25"/>
    <row r="1330" ht="15" hidden="1" customHeight="1" x14ac:dyDescent="0.25"/>
    <row r="1331" ht="15" hidden="1" customHeight="1" x14ac:dyDescent="0.25"/>
    <row r="1332" ht="15" hidden="1" customHeight="1" x14ac:dyDescent="0.25"/>
    <row r="1333" ht="15" hidden="1" customHeight="1" x14ac:dyDescent="0.25"/>
    <row r="1334" ht="15" hidden="1" customHeight="1" x14ac:dyDescent="0.25"/>
    <row r="1335" ht="15" hidden="1" customHeight="1" x14ac:dyDescent="0.25"/>
    <row r="1336" ht="15" hidden="1" customHeight="1" x14ac:dyDescent="0.25"/>
    <row r="1337" ht="15" hidden="1" customHeight="1" x14ac:dyDescent="0.25"/>
    <row r="1338" ht="15" hidden="1" customHeight="1" x14ac:dyDescent="0.25"/>
    <row r="1339" ht="15" hidden="1" customHeight="1" x14ac:dyDescent="0.25"/>
    <row r="1340" ht="15" hidden="1" customHeight="1" x14ac:dyDescent="0.25"/>
    <row r="1341" ht="15" hidden="1" customHeight="1" x14ac:dyDescent="0.25"/>
    <row r="1342" ht="15" hidden="1" customHeight="1" x14ac:dyDescent="0.25"/>
    <row r="1343" ht="15" hidden="1" customHeight="1" x14ac:dyDescent="0.25"/>
    <row r="1344" ht="15" hidden="1" customHeight="1" x14ac:dyDescent="0.25"/>
    <row r="1345" ht="15" hidden="1" customHeight="1" x14ac:dyDescent="0.25"/>
    <row r="1346" ht="15" hidden="1" customHeight="1" x14ac:dyDescent="0.25"/>
    <row r="1347" ht="15" hidden="1" customHeight="1" x14ac:dyDescent="0.25"/>
    <row r="1348" ht="15" hidden="1" customHeight="1" x14ac:dyDescent="0.25"/>
    <row r="1349" ht="15" hidden="1" customHeight="1" x14ac:dyDescent="0.25"/>
    <row r="1350" ht="15" hidden="1" customHeight="1" x14ac:dyDescent="0.25"/>
    <row r="1351" ht="15" hidden="1" customHeight="1" x14ac:dyDescent="0.25"/>
    <row r="1352" ht="15" hidden="1" customHeight="1" x14ac:dyDescent="0.25"/>
    <row r="1353" ht="15" hidden="1" customHeight="1" x14ac:dyDescent="0.25"/>
    <row r="1354" ht="15" hidden="1" customHeight="1" x14ac:dyDescent="0.25"/>
    <row r="1355" ht="15" hidden="1" customHeight="1" x14ac:dyDescent="0.25"/>
    <row r="1356" ht="15" hidden="1" customHeight="1" x14ac:dyDescent="0.25"/>
    <row r="1357" ht="15" hidden="1" customHeight="1" x14ac:dyDescent="0.25"/>
    <row r="1358" ht="15" hidden="1" customHeight="1" x14ac:dyDescent="0.25"/>
    <row r="1359" ht="15" hidden="1" customHeight="1" x14ac:dyDescent="0.25"/>
    <row r="1360" ht="15" hidden="1" customHeight="1" x14ac:dyDescent="0.25"/>
    <row r="1361" ht="15" hidden="1" customHeight="1" x14ac:dyDescent="0.25"/>
    <row r="1362" ht="15" hidden="1" customHeight="1" x14ac:dyDescent="0.25"/>
    <row r="1363" ht="15" hidden="1" customHeight="1" x14ac:dyDescent="0.25"/>
    <row r="1364" ht="15" hidden="1" customHeight="1" x14ac:dyDescent="0.25"/>
    <row r="1365" ht="15" hidden="1" customHeight="1" x14ac:dyDescent="0.25"/>
    <row r="1366" ht="15" hidden="1" customHeight="1" x14ac:dyDescent="0.25"/>
    <row r="1367" ht="15" hidden="1" customHeight="1" x14ac:dyDescent="0.25"/>
    <row r="1368" ht="15" hidden="1" customHeight="1" x14ac:dyDescent="0.25"/>
    <row r="1369" ht="15" hidden="1" customHeight="1" x14ac:dyDescent="0.25"/>
    <row r="1370" ht="15" hidden="1" customHeight="1" x14ac:dyDescent="0.25"/>
    <row r="1371" ht="15" hidden="1" customHeight="1" x14ac:dyDescent="0.25"/>
    <row r="1372" ht="15" hidden="1" customHeight="1" x14ac:dyDescent="0.25"/>
    <row r="1373" ht="15" hidden="1" customHeight="1" x14ac:dyDescent="0.25"/>
    <row r="1374" ht="15" hidden="1" customHeight="1" x14ac:dyDescent="0.25"/>
    <row r="1375" ht="15" hidden="1" customHeight="1" x14ac:dyDescent="0.25"/>
  </sheetData>
  <mergeCells count="758">
    <mergeCell ref="P3:W3"/>
    <mergeCell ref="G537:W537"/>
    <mergeCell ref="G103:W103"/>
    <mergeCell ref="C27:F27"/>
    <mergeCell ref="C29:F29"/>
    <mergeCell ref="C3:C5"/>
    <mergeCell ref="E462:E463"/>
    <mergeCell ref="C464:C499"/>
    <mergeCell ref="D464:D469"/>
    <mergeCell ref="E464:E465"/>
    <mergeCell ref="E466:E467"/>
    <mergeCell ref="E468:E469"/>
    <mergeCell ref="D470:D475"/>
    <mergeCell ref="E470:E471"/>
    <mergeCell ref="E472:E473"/>
    <mergeCell ref="E474:E475"/>
    <mergeCell ref="D476:D481"/>
    <mergeCell ref="C40:F40"/>
    <mergeCell ref="E410:E411"/>
    <mergeCell ref="E412:E413"/>
    <mergeCell ref="D452:D457"/>
    <mergeCell ref="E452:E453"/>
    <mergeCell ref="E454:E455"/>
    <mergeCell ref="E456:E457"/>
    <mergeCell ref="G566:W566"/>
    <mergeCell ref="G736:W736"/>
    <mergeCell ref="G922:W922"/>
    <mergeCell ref="G1064:W1064"/>
    <mergeCell ref="G1188:W1188"/>
    <mergeCell ref="G1252:W1252"/>
    <mergeCell ref="T4:T5"/>
    <mergeCell ref="U4:U5"/>
    <mergeCell ref="V4:V5"/>
    <mergeCell ref="W4:W5"/>
    <mergeCell ref="T52:U52"/>
    <mergeCell ref="T101:U101"/>
    <mergeCell ref="T563:U563"/>
    <mergeCell ref="T564:U564"/>
    <mergeCell ref="T858:W858"/>
    <mergeCell ref="T920:U920"/>
    <mergeCell ref="P563:Q563"/>
    <mergeCell ref="Q4:Q5"/>
    <mergeCell ref="R4:R5"/>
    <mergeCell ref="S4:S5"/>
    <mergeCell ref="O3:O4"/>
    <mergeCell ref="P564:Q564"/>
    <mergeCell ref="G3:N3"/>
    <mergeCell ref="P52:Q52"/>
    <mergeCell ref="D889:E889"/>
    <mergeCell ref="D890:E890"/>
    <mergeCell ref="G1286:W1286"/>
    <mergeCell ref="T1166:U1166"/>
    <mergeCell ref="T1168:W1168"/>
    <mergeCell ref="T1250:U1250"/>
    <mergeCell ref="E1023:E1024"/>
    <mergeCell ref="E1037:E1038"/>
    <mergeCell ref="E1051:E1052"/>
    <mergeCell ref="P1166:Q1166"/>
    <mergeCell ref="G1168:N1168"/>
    <mergeCell ref="P1168:S1168"/>
    <mergeCell ref="E1049:E1050"/>
    <mergeCell ref="E1053:E1054"/>
    <mergeCell ref="E1055:E1056"/>
    <mergeCell ref="E1057:E1058"/>
    <mergeCell ref="E1059:E1060"/>
    <mergeCell ref="E1061:E1062"/>
    <mergeCell ref="E1077:E1078"/>
    <mergeCell ref="E1079:E1080"/>
    <mergeCell ref="E1081:E1082"/>
    <mergeCell ref="E1083:E1084"/>
    <mergeCell ref="E1085:E1086"/>
    <mergeCell ref="E1213:E1214"/>
    <mergeCell ref="C817:C836"/>
    <mergeCell ref="D817:D820"/>
    <mergeCell ref="C48:F48"/>
    <mergeCell ref="C837:C856"/>
    <mergeCell ref="D837:D840"/>
    <mergeCell ref="D841:D844"/>
    <mergeCell ref="D845:D848"/>
    <mergeCell ref="D849:D852"/>
    <mergeCell ref="D853:D856"/>
    <mergeCell ref="C51:F51"/>
    <mergeCell ref="C49:F49"/>
    <mergeCell ref="C50:F50"/>
    <mergeCell ref="C554:C555"/>
    <mergeCell ref="C556:C557"/>
    <mergeCell ref="C558:C559"/>
    <mergeCell ref="C560:C561"/>
    <mergeCell ref="D538:D561"/>
    <mergeCell ref="C544:C545"/>
    <mergeCell ref="C546:C547"/>
    <mergeCell ref="C548:C549"/>
    <mergeCell ref="C550:C551"/>
    <mergeCell ref="C552:C553"/>
    <mergeCell ref="C538:C539"/>
    <mergeCell ref="C540:C541"/>
    <mergeCell ref="D860:E860"/>
    <mergeCell ref="D861:E861"/>
    <mergeCell ref="D862:E862"/>
    <mergeCell ref="D863:E863"/>
    <mergeCell ref="D659:D662"/>
    <mergeCell ref="D663:D666"/>
    <mergeCell ref="D687:D690"/>
    <mergeCell ref="D647:D650"/>
    <mergeCell ref="D691:D694"/>
    <mergeCell ref="D711:D714"/>
    <mergeCell ref="D715:D718"/>
    <mergeCell ref="D858:E858"/>
    <mergeCell ref="D859:E859"/>
    <mergeCell ref="D894:E894"/>
    <mergeCell ref="D895:E895"/>
    <mergeCell ref="D896:E896"/>
    <mergeCell ref="D897:E897"/>
    <mergeCell ref="D898:E898"/>
    <mergeCell ref="D899:E899"/>
    <mergeCell ref="E937:E938"/>
    <mergeCell ref="D873:E873"/>
    <mergeCell ref="D874:E874"/>
    <mergeCell ref="D875:E875"/>
    <mergeCell ref="D876:E876"/>
    <mergeCell ref="D877:E877"/>
    <mergeCell ref="D878:E878"/>
    <mergeCell ref="D912:E912"/>
    <mergeCell ref="D913:E913"/>
    <mergeCell ref="D914:E914"/>
    <mergeCell ref="D915:E915"/>
    <mergeCell ref="D882:E882"/>
    <mergeCell ref="D883:E883"/>
    <mergeCell ref="D884:E884"/>
    <mergeCell ref="D885:E885"/>
    <mergeCell ref="D886:E886"/>
    <mergeCell ref="D887:E887"/>
    <mergeCell ref="D888:E888"/>
    <mergeCell ref="D879:E879"/>
    <mergeCell ref="D880:E880"/>
    <mergeCell ref="D881:E881"/>
    <mergeCell ref="D864:E864"/>
    <mergeCell ref="D865:E865"/>
    <mergeCell ref="D866:E866"/>
    <mergeCell ref="D867:E867"/>
    <mergeCell ref="D868:E868"/>
    <mergeCell ref="D869:E869"/>
    <mergeCell ref="D870:E870"/>
    <mergeCell ref="D871:E871"/>
    <mergeCell ref="D872:E872"/>
    <mergeCell ref="C542:C543"/>
    <mergeCell ref="C567:C594"/>
    <mergeCell ref="C595:C622"/>
    <mergeCell ref="D595:D598"/>
    <mergeCell ref="D599:D602"/>
    <mergeCell ref="D611:D614"/>
    <mergeCell ref="D615:D618"/>
    <mergeCell ref="D619:D622"/>
    <mergeCell ref="C623:C650"/>
    <mergeCell ref="D623:D626"/>
    <mergeCell ref="D627:D630"/>
    <mergeCell ref="D639:D642"/>
    <mergeCell ref="D643:D646"/>
    <mergeCell ref="D583:D586"/>
    <mergeCell ref="D579:D582"/>
    <mergeCell ref="D603:D606"/>
    <mergeCell ref="D607:D610"/>
    <mergeCell ref="D631:D634"/>
    <mergeCell ref="D635:D638"/>
    <mergeCell ref="D1295:D1296"/>
    <mergeCell ref="D1297:D1298"/>
    <mergeCell ref="D1279:D1280"/>
    <mergeCell ref="D1281:D1282"/>
    <mergeCell ref="D1283:D1284"/>
    <mergeCell ref="D1287:D1288"/>
    <mergeCell ref="D1289:D1290"/>
    <mergeCell ref="D1291:D1292"/>
    <mergeCell ref="D1293:D1294"/>
    <mergeCell ref="D1269:D1270"/>
    <mergeCell ref="D1273:D1274"/>
    <mergeCell ref="D1275:D1276"/>
    <mergeCell ref="D1277:D1278"/>
    <mergeCell ref="P1250:Q1250"/>
    <mergeCell ref="D1253:D1254"/>
    <mergeCell ref="D1255:D1256"/>
    <mergeCell ref="D1257:D1258"/>
    <mergeCell ref="D1259:D1260"/>
    <mergeCell ref="D1261:D1262"/>
    <mergeCell ref="D1263:D1264"/>
    <mergeCell ref="G1266:W1266"/>
    <mergeCell ref="G1272:W1272"/>
    <mergeCell ref="E458:E459"/>
    <mergeCell ref="E460:E461"/>
    <mergeCell ref="D1267:D1268"/>
    <mergeCell ref="D567:D570"/>
    <mergeCell ref="D571:D574"/>
    <mergeCell ref="D575:D578"/>
    <mergeCell ref="D587:D590"/>
    <mergeCell ref="D591:D594"/>
    <mergeCell ref="D821:D824"/>
    <mergeCell ref="D825:D828"/>
    <mergeCell ref="D829:D832"/>
    <mergeCell ref="D833:D836"/>
    <mergeCell ref="D918:E918"/>
    <mergeCell ref="E931:E932"/>
    <mergeCell ref="E939:E940"/>
    <mergeCell ref="D891:E891"/>
    <mergeCell ref="D892:E892"/>
    <mergeCell ref="D893:E893"/>
    <mergeCell ref="E520:E521"/>
    <mergeCell ref="E478:E479"/>
    <mergeCell ref="E476:E477"/>
    <mergeCell ref="E941:E942"/>
    <mergeCell ref="E943:E944"/>
    <mergeCell ref="E945:E946"/>
    <mergeCell ref="C428:C463"/>
    <mergeCell ref="D428:D433"/>
    <mergeCell ref="C36:F36"/>
    <mergeCell ref="L4:N4"/>
    <mergeCell ref="P4:P5"/>
    <mergeCell ref="D530:D535"/>
    <mergeCell ref="E530:E531"/>
    <mergeCell ref="E532:E533"/>
    <mergeCell ref="E534:E535"/>
    <mergeCell ref="E490:E491"/>
    <mergeCell ref="E492:E493"/>
    <mergeCell ref="D494:D499"/>
    <mergeCell ref="E494:E495"/>
    <mergeCell ref="E496:E497"/>
    <mergeCell ref="E498:E499"/>
    <mergeCell ref="E480:E481"/>
    <mergeCell ref="D482:D487"/>
    <mergeCell ref="E482:E483"/>
    <mergeCell ref="E484:E485"/>
    <mergeCell ref="E486:E487"/>
    <mergeCell ref="D458:D463"/>
    <mergeCell ref="D488:D493"/>
    <mergeCell ref="E488:E489"/>
    <mergeCell ref="E414:E415"/>
    <mergeCell ref="D3:F5"/>
    <mergeCell ref="C24:F24"/>
    <mergeCell ref="C25:F25"/>
    <mergeCell ref="B3:B5"/>
    <mergeCell ref="E522:E523"/>
    <mergeCell ref="D524:D529"/>
    <mergeCell ref="E524:E525"/>
    <mergeCell ref="E526:E527"/>
    <mergeCell ref="E528:E529"/>
    <mergeCell ref="C500:C535"/>
    <mergeCell ref="D500:D505"/>
    <mergeCell ref="E500:E501"/>
    <mergeCell ref="E502:E503"/>
    <mergeCell ref="E504:E505"/>
    <mergeCell ref="D506:D511"/>
    <mergeCell ref="E506:E507"/>
    <mergeCell ref="E508:E509"/>
    <mergeCell ref="E510:E511"/>
    <mergeCell ref="D512:D517"/>
    <mergeCell ref="E512:E513"/>
    <mergeCell ref="E514:E515"/>
    <mergeCell ref="E516:E517"/>
    <mergeCell ref="D518:D523"/>
    <mergeCell ref="E518:E519"/>
    <mergeCell ref="E450:E451"/>
    <mergeCell ref="E428:E429"/>
    <mergeCell ref="E430:E431"/>
    <mergeCell ref="E432:E433"/>
    <mergeCell ref="D434:D439"/>
    <mergeCell ref="E434:E435"/>
    <mergeCell ref="E436:E437"/>
    <mergeCell ref="E438:E439"/>
    <mergeCell ref="D440:D445"/>
    <mergeCell ref="E440:E441"/>
    <mergeCell ref="E442:E443"/>
    <mergeCell ref="E444:E445"/>
    <mergeCell ref="D446:D451"/>
    <mergeCell ref="E446:E447"/>
    <mergeCell ref="E448:E449"/>
    <mergeCell ref="E388:E389"/>
    <mergeCell ref="E390:E391"/>
    <mergeCell ref="C392:C427"/>
    <mergeCell ref="D392:D397"/>
    <mergeCell ref="E392:E393"/>
    <mergeCell ref="E394:E395"/>
    <mergeCell ref="E396:E397"/>
    <mergeCell ref="D398:D403"/>
    <mergeCell ref="E398:E399"/>
    <mergeCell ref="E400:E401"/>
    <mergeCell ref="E402:E403"/>
    <mergeCell ref="D404:D409"/>
    <mergeCell ref="E404:E405"/>
    <mergeCell ref="E406:E407"/>
    <mergeCell ref="D416:D421"/>
    <mergeCell ref="E416:E417"/>
    <mergeCell ref="E418:E419"/>
    <mergeCell ref="E420:E421"/>
    <mergeCell ref="D422:D427"/>
    <mergeCell ref="E422:E423"/>
    <mergeCell ref="E424:E425"/>
    <mergeCell ref="E426:E427"/>
    <mergeCell ref="E408:E409"/>
    <mergeCell ref="D410:D415"/>
    <mergeCell ref="E342:E343"/>
    <mergeCell ref="E378:E379"/>
    <mergeCell ref="D380:D385"/>
    <mergeCell ref="E380:E381"/>
    <mergeCell ref="E382:E383"/>
    <mergeCell ref="E384:E385"/>
    <mergeCell ref="C356:C391"/>
    <mergeCell ref="D356:D361"/>
    <mergeCell ref="E356:E357"/>
    <mergeCell ref="E358:E359"/>
    <mergeCell ref="E360:E361"/>
    <mergeCell ref="D362:D367"/>
    <mergeCell ref="E362:E363"/>
    <mergeCell ref="E364:E365"/>
    <mergeCell ref="E366:E367"/>
    <mergeCell ref="D368:D373"/>
    <mergeCell ref="E368:E369"/>
    <mergeCell ref="E370:E371"/>
    <mergeCell ref="E372:E373"/>
    <mergeCell ref="D374:D379"/>
    <mergeCell ref="E374:E375"/>
    <mergeCell ref="E376:E377"/>
    <mergeCell ref="D386:D391"/>
    <mergeCell ref="E386:E387"/>
    <mergeCell ref="C320:C355"/>
    <mergeCell ref="D320:D325"/>
    <mergeCell ref="E320:E321"/>
    <mergeCell ref="E322:E323"/>
    <mergeCell ref="E324:E325"/>
    <mergeCell ref="D326:D331"/>
    <mergeCell ref="E326:E327"/>
    <mergeCell ref="E328:E329"/>
    <mergeCell ref="E330:E331"/>
    <mergeCell ref="D332:D337"/>
    <mergeCell ref="E332:E333"/>
    <mergeCell ref="E334:E335"/>
    <mergeCell ref="D344:D349"/>
    <mergeCell ref="E344:E345"/>
    <mergeCell ref="E346:E347"/>
    <mergeCell ref="E348:E349"/>
    <mergeCell ref="D350:D355"/>
    <mergeCell ref="E350:E351"/>
    <mergeCell ref="E352:E353"/>
    <mergeCell ref="E354:E355"/>
    <mergeCell ref="E336:E337"/>
    <mergeCell ref="D338:D343"/>
    <mergeCell ref="E338:E339"/>
    <mergeCell ref="E340:E341"/>
    <mergeCell ref="C284:C319"/>
    <mergeCell ref="D284:D289"/>
    <mergeCell ref="E284:E285"/>
    <mergeCell ref="E286:E287"/>
    <mergeCell ref="E288:E289"/>
    <mergeCell ref="D290:D295"/>
    <mergeCell ref="E290:E291"/>
    <mergeCell ref="E292:E293"/>
    <mergeCell ref="E294:E295"/>
    <mergeCell ref="D296:D301"/>
    <mergeCell ref="E296:E297"/>
    <mergeCell ref="E298:E299"/>
    <mergeCell ref="E300:E301"/>
    <mergeCell ref="D302:D307"/>
    <mergeCell ref="E302:E303"/>
    <mergeCell ref="E304:E305"/>
    <mergeCell ref="D314:D319"/>
    <mergeCell ref="E314:E315"/>
    <mergeCell ref="E316:E317"/>
    <mergeCell ref="E318:E319"/>
    <mergeCell ref="D266:D271"/>
    <mergeCell ref="E266:E267"/>
    <mergeCell ref="E268:E269"/>
    <mergeCell ref="E270:E271"/>
    <mergeCell ref="E306:E307"/>
    <mergeCell ref="D308:D313"/>
    <mergeCell ref="E308:E309"/>
    <mergeCell ref="E310:E311"/>
    <mergeCell ref="E312:E313"/>
    <mergeCell ref="E242:E243"/>
    <mergeCell ref="E244:E245"/>
    <mergeCell ref="E246:E247"/>
    <mergeCell ref="C248:C283"/>
    <mergeCell ref="D248:D253"/>
    <mergeCell ref="E248:E249"/>
    <mergeCell ref="E250:E251"/>
    <mergeCell ref="E252:E253"/>
    <mergeCell ref="D254:D259"/>
    <mergeCell ref="E254:E255"/>
    <mergeCell ref="E256:E257"/>
    <mergeCell ref="E258:E259"/>
    <mergeCell ref="D260:D265"/>
    <mergeCell ref="E260:E261"/>
    <mergeCell ref="E262:E263"/>
    <mergeCell ref="D272:D277"/>
    <mergeCell ref="E272:E273"/>
    <mergeCell ref="E274:E275"/>
    <mergeCell ref="E276:E277"/>
    <mergeCell ref="D278:D283"/>
    <mergeCell ref="E278:E279"/>
    <mergeCell ref="E280:E281"/>
    <mergeCell ref="E282:E283"/>
    <mergeCell ref="E264:E265"/>
    <mergeCell ref="E196:E197"/>
    <mergeCell ref="E198:E199"/>
    <mergeCell ref="E234:E235"/>
    <mergeCell ref="D236:D241"/>
    <mergeCell ref="E236:E237"/>
    <mergeCell ref="E238:E239"/>
    <mergeCell ref="E240:E241"/>
    <mergeCell ref="C212:C247"/>
    <mergeCell ref="D212:D217"/>
    <mergeCell ref="E212:E213"/>
    <mergeCell ref="E214:E215"/>
    <mergeCell ref="E216:E217"/>
    <mergeCell ref="D218:D223"/>
    <mergeCell ref="E218:E219"/>
    <mergeCell ref="E220:E221"/>
    <mergeCell ref="E222:E223"/>
    <mergeCell ref="D224:D229"/>
    <mergeCell ref="E224:E225"/>
    <mergeCell ref="E226:E227"/>
    <mergeCell ref="E228:E229"/>
    <mergeCell ref="D230:D235"/>
    <mergeCell ref="E230:E231"/>
    <mergeCell ref="E232:E233"/>
    <mergeCell ref="D242:D247"/>
    <mergeCell ref="E174:E175"/>
    <mergeCell ref="C176:C211"/>
    <mergeCell ref="D176:D181"/>
    <mergeCell ref="E176:E177"/>
    <mergeCell ref="E178:E179"/>
    <mergeCell ref="E180:E181"/>
    <mergeCell ref="D182:D187"/>
    <mergeCell ref="E182:E183"/>
    <mergeCell ref="E184:E185"/>
    <mergeCell ref="E186:E187"/>
    <mergeCell ref="D188:D193"/>
    <mergeCell ref="E188:E189"/>
    <mergeCell ref="E190:E191"/>
    <mergeCell ref="D200:D205"/>
    <mergeCell ref="E200:E201"/>
    <mergeCell ref="E202:E203"/>
    <mergeCell ref="E204:E205"/>
    <mergeCell ref="D206:D211"/>
    <mergeCell ref="E206:E207"/>
    <mergeCell ref="E208:E209"/>
    <mergeCell ref="E210:E211"/>
    <mergeCell ref="E192:E193"/>
    <mergeCell ref="D194:D199"/>
    <mergeCell ref="E194:E195"/>
    <mergeCell ref="C140:C175"/>
    <mergeCell ref="D140:D145"/>
    <mergeCell ref="E140:E141"/>
    <mergeCell ref="E142:E143"/>
    <mergeCell ref="E144:E145"/>
    <mergeCell ref="D146:D151"/>
    <mergeCell ref="E146:E147"/>
    <mergeCell ref="E148:E149"/>
    <mergeCell ref="E150:E151"/>
    <mergeCell ref="D152:D157"/>
    <mergeCell ref="E152:E153"/>
    <mergeCell ref="E154:E155"/>
    <mergeCell ref="E156:E157"/>
    <mergeCell ref="D158:D163"/>
    <mergeCell ref="E158:E159"/>
    <mergeCell ref="E160:E161"/>
    <mergeCell ref="E162:E163"/>
    <mergeCell ref="D164:D169"/>
    <mergeCell ref="E164:E165"/>
    <mergeCell ref="E166:E167"/>
    <mergeCell ref="E168:E169"/>
    <mergeCell ref="D170:D175"/>
    <mergeCell ref="E170:E171"/>
    <mergeCell ref="E172:E173"/>
    <mergeCell ref="E124:E125"/>
    <mergeCell ref="E126:E127"/>
    <mergeCell ref="E128:E129"/>
    <mergeCell ref="E130:E131"/>
    <mergeCell ref="E132:E133"/>
    <mergeCell ref="E134:E135"/>
    <mergeCell ref="C104:C139"/>
    <mergeCell ref="D122:D127"/>
    <mergeCell ref="D128:D133"/>
    <mergeCell ref="D134:D139"/>
    <mergeCell ref="E110:E111"/>
    <mergeCell ref="E112:E113"/>
    <mergeCell ref="E114:E115"/>
    <mergeCell ref="E116:E117"/>
    <mergeCell ref="E118:E119"/>
    <mergeCell ref="E120:E121"/>
    <mergeCell ref="E122:E123"/>
    <mergeCell ref="E136:E137"/>
    <mergeCell ref="E138:E139"/>
    <mergeCell ref="C94:C100"/>
    <mergeCell ref="C31:F31"/>
    <mergeCell ref="C33:F33"/>
    <mergeCell ref="C35:F35"/>
    <mergeCell ref="C39:F39"/>
    <mergeCell ref="C41:F41"/>
    <mergeCell ref="C44:F44"/>
    <mergeCell ref="C47:F47"/>
    <mergeCell ref="C26:F26"/>
    <mergeCell ref="C28:F28"/>
    <mergeCell ref="C30:F30"/>
    <mergeCell ref="C32:F32"/>
    <mergeCell ref="C34:F34"/>
    <mergeCell ref="C37:F37"/>
    <mergeCell ref="C42:F42"/>
    <mergeCell ref="C45:F45"/>
    <mergeCell ref="C38:F38"/>
    <mergeCell ref="C43:F43"/>
    <mergeCell ref="C46:F46"/>
    <mergeCell ref="G4:G5"/>
    <mergeCell ref="H4:H5"/>
    <mergeCell ref="I4:K4"/>
    <mergeCell ref="D110:D115"/>
    <mergeCell ref="D116:D121"/>
    <mergeCell ref="P101:Q101"/>
    <mergeCell ref="E104:E105"/>
    <mergeCell ref="E106:E107"/>
    <mergeCell ref="E108:E109"/>
    <mergeCell ref="D104:D109"/>
    <mergeCell ref="C8:F8"/>
    <mergeCell ref="C9:F9"/>
    <mergeCell ref="C10:F10"/>
    <mergeCell ref="C11:F11"/>
    <mergeCell ref="C12:F12"/>
    <mergeCell ref="C20:F20"/>
    <mergeCell ref="C21:F21"/>
    <mergeCell ref="C18:F18"/>
    <mergeCell ref="C19:F19"/>
    <mergeCell ref="C13:F13"/>
    <mergeCell ref="C14:F14"/>
    <mergeCell ref="C15:F15"/>
    <mergeCell ref="C16:F16"/>
    <mergeCell ref="C17:F17"/>
    <mergeCell ref="C651:C678"/>
    <mergeCell ref="D651:D654"/>
    <mergeCell ref="D655:D658"/>
    <mergeCell ref="D667:D670"/>
    <mergeCell ref="D671:D674"/>
    <mergeCell ref="D675:D678"/>
    <mergeCell ref="G858:N858"/>
    <mergeCell ref="P858:S858"/>
    <mergeCell ref="C859:C868"/>
    <mergeCell ref="C737:C756"/>
    <mergeCell ref="D737:D740"/>
    <mergeCell ref="D741:D744"/>
    <mergeCell ref="D745:D748"/>
    <mergeCell ref="D749:D752"/>
    <mergeCell ref="D753:D756"/>
    <mergeCell ref="C777:C796"/>
    <mergeCell ref="D777:D780"/>
    <mergeCell ref="D781:D784"/>
    <mergeCell ref="D785:D788"/>
    <mergeCell ref="D789:D792"/>
    <mergeCell ref="D793:D796"/>
    <mergeCell ref="C797:C816"/>
    <mergeCell ref="D797:D800"/>
    <mergeCell ref="D801:D804"/>
    <mergeCell ref="C869:C878"/>
    <mergeCell ref="C879:C888"/>
    <mergeCell ref="C889:C898"/>
    <mergeCell ref="C679:C706"/>
    <mergeCell ref="D679:D682"/>
    <mergeCell ref="D683:D686"/>
    <mergeCell ref="D695:D698"/>
    <mergeCell ref="D699:D702"/>
    <mergeCell ref="D703:D706"/>
    <mergeCell ref="C707:C734"/>
    <mergeCell ref="D707:D710"/>
    <mergeCell ref="D719:D722"/>
    <mergeCell ref="D723:D726"/>
    <mergeCell ref="D727:D730"/>
    <mergeCell ref="D731:D734"/>
    <mergeCell ref="C757:C776"/>
    <mergeCell ref="D757:D760"/>
    <mergeCell ref="D761:D764"/>
    <mergeCell ref="D765:D768"/>
    <mergeCell ref="D769:D772"/>
    <mergeCell ref="D773:D776"/>
    <mergeCell ref="D805:D808"/>
    <mergeCell ref="D809:D812"/>
    <mergeCell ref="D813:D816"/>
    <mergeCell ref="C899:C908"/>
    <mergeCell ref="C909:C918"/>
    <mergeCell ref="P920:Q920"/>
    <mergeCell ref="E923:E924"/>
    <mergeCell ref="E925:E926"/>
    <mergeCell ref="E927:E928"/>
    <mergeCell ref="D923:D936"/>
    <mergeCell ref="E929:E930"/>
    <mergeCell ref="E933:E934"/>
    <mergeCell ref="E935:E936"/>
    <mergeCell ref="D900:E900"/>
    <mergeCell ref="D901:E901"/>
    <mergeCell ref="D902:E902"/>
    <mergeCell ref="D903:E903"/>
    <mergeCell ref="D904:E904"/>
    <mergeCell ref="D905:E905"/>
    <mergeCell ref="D906:E906"/>
    <mergeCell ref="D907:E907"/>
    <mergeCell ref="D908:E908"/>
    <mergeCell ref="D909:E909"/>
    <mergeCell ref="D910:E910"/>
    <mergeCell ref="D911:E911"/>
    <mergeCell ref="D916:E916"/>
    <mergeCell ref="D917:E917"/>
    <mergeCell ref="E947:E948"/>
    <mergeCell ref="E949:E950"/>
    <mergeCell ref="E951:E952"/>
    <mergeCell ref="E955:E956"/>
    <mergeCell ref="E957:E958"/>
    <mergeCell ref="E953:E954"/>
    <mergeCell ref="E959:E960"/>
    <mergeCell ref="E961:E962"/>
    <mergeCell ref="E963:E964"/>
    <mergeCell ref="E965:E966"/>
    <mergeCell ref="E969:E970"/>
    <mergeCell ref="E971:E972"/>
    <mergeCell ref="E1001:E1002"/>
    <mergeCell ref="E1003:E1004"/>
    <mergeCell ref="E1005:E1006"/>
    <mergeCell ref="E993:E994"/>
    <mergeCell ref="E997:E998"/>
    <mergeCell ref="E999:E1000"/>
    <mergeCell ref="E967:E968"/>
    <mergeCell ref="E981:E982"/>
    <mergeCell ref="E995:E996"/>
    <mergeCell ref="E1007:E1008"/>
    <mergeCell ref="E1011:E1012"/>
    <mergeCell ref="E1013:E1014"/>
    <mergeCell ref="E973:E974"/>
    <mergeCell ref="E975:E976"/>
    <mergeCell ref="E977:E978"/>
    <mergeCell ref="E979:E980"/>
    <mergeCell ref="E983:E984"/>
    <mergeCell ref="E985:E986"/>
    <mergeCell ref="E987:E988"/>
    <mergeCell ref="E989:E990"/>
    <mergeCell ref="E991:E992"/>
    <mergeCell ref="E1009:E1010"/>
    <mergeCell ref="D1049:D1062"/>
    <mergeCell ref="D1035:D1048"/>
    <mergeCell ref="D1021:D1034"/>
    <mergeCell ref="D937:D950"/>
    <mergeCell ref="D951:D964"/>
    <mergeCell ref="D965:D978"/>
    <mergeCell ref="E1035:E1036"/>
    <mergeCell ref="E1039:E1040"/>
    <mergeCell ref="E1041:E1042"/>
    <mergeCell ref="E1043:E1044"/>
    <mergeCell ref="E1045:E1046"/>
    <mergeCell ref="E1047:E1048"/>
    <mergeCell ref="D1007:D1020"/>
    <mergeCell ref="D993:D1006"/>
    <mergeCell ref="D979:D992"/>
    <mergeCell ref="E1015:E1016"/>
    <mergeCell ref="E1017:E1018"/>
    <mergeCell ref="E1019:E1020"/>
    <mergeCell ref="E1021:E1022"/>
    <mergeCell ref="E1025:E1026"/>
    <mergeCell ref="E1027:E1028"/>
    <mergeCell ref="E1029:E1030"/>
    <mergeCell ref="E1031:E1032"/>
    <mergeCell ref="E1033:E1034"/>
    <mergeCell ref="D1065:D1074"/>
    <mergeCell ref="E1065:E1066"/>
    <mergeCell ref="E1067:E1068"/>
    <mergeCell ref="E1069:E1070"/>
    <mergeCell ref="E1071:E1072"/>
    <mergeCell ref="E1073:E1074"/>
    <mergeCell ref="E1247:E1248"/>
    <mergeCell ref="D1189:D1198"/>
    <mergeCell ref="D1199:D1208"/>
    <mergeCell ref="D1209:D1218"/>
    <mergeCell ref="D1219:D1228"/>
    <mergeCell ref="D1229:D1238"/>
    <mergeCell ref="D1239:D1248"/>
    <mergeCell ref="E1229:E1230"/>
    <mergeCell ref="E1231:E1232"/>
    <mergeCell ref="E1233:E1234"/>
    <mergeCell ref="E1235:E1236"/>
    <mergeCell ref="E1237:E1238"/>
    <mergeCell ref="E1239:E1240"/>
    <mergeCell ref="E1241:E1242"/>
    <mergeCell ref="E1243:E1244"/>
    <mergeCell ref="E1245:E1246"/>
    <mergeCell ref="D1075:D1084"/>
    <mergeCell ref="E1075:E1076"/>
    <mergeCell ref="D1085:D1094"/>
    <mergeCell ref="E1087:E1088"/>
    <mergeCell ref="E1089:E1090"/>
    <mergeCell ref="E1091:E1092"/>
    <mergeCell ref="E1093:E1094"/>
    <mergeCell ref="D1095:D1104"/>
    <mergeCell ref="E1095:E1096"/>
    <mergeCell ref="E1097:E1098"/>
    <mergeCell ref="E1099:E1100"/>
    <mergeCell ref="E1101:E1102"/>
    <mergeCell ref="E1103:E1104"/>
    <mergeCell ref="D1105:D1114"/>
    <mergeCell ref="E1105:E1106"/>
    <mergeCell ref="E1107:E1108"/>
    <mergeCell ref="E1109:E1110"/>
    <mergeCell ref="E1111:E1112"/>
    <mergeCell ref="E1113:E1114"/>
    <mergeCell ref="D1115:D1124"/>
    <mergeCell ref="E1115:E1116"/>
    <mergeCell ref="E1117:E1118"/>
    <mergeCell ref="E1119:E1120"/>
    <mergeCell ref="E1121:E1122"/>
    <mergeCell ref="E1123:E1124"/>
    <mergeCell ref="D1125:D1134"/>
    <mergeCell ref="E1125:E1126"/>
    <mergeCell ref="E1127:E1128"/>
    <mergeCell ref="E1129:E1130"/>
    <mergeCell ref="E1131:E1132"/>
    <mergeCell ref="E1133:E1134"/>
    <mergeCell ref="D1135:D1144"/>
    <mergeCell ref="E1135:E1136"/>
    <mergeCell ref="E1137:E1138"/>
    <mergeCell ref="E1139:E1140"/>
    <mergeCell ref="E1141:E1142"/>
    <mergeCell ref="E1143:E1144"/>
    <mergeCell ref="E1223:E1224"/>
    <mergeCell ref="E1191:E1192"/>
    <mergeCell ref="E1193:E1194"/>
    <mergeCell ref="D1155:D1164"/>
    <mergeCell ref="E1155:E1156"/>
    <mergeCell ref="E1157:E1158"/>
    <mergeCell ref="E1159:E1160"/>
    <mergeCell ref="E1161:E1162"/>
    <mergeCell ref="E1163:E1164"/>
    <mergeCell ref="D1169:D1171"/>
    <mergeCell ref="D1172:D1174"/>
    <mergeCell ref="E1211:E1212"/>
    <mergeCell ref="E1189:E1190"/>
    <mergeCell ref="E1225:E1226"/>
    <mergeCell ref="E1199:E1200"/>
    <mergeCell ref="E1227:E1228"/>
    <mergeCell ref="E1201:E1202"/>
    <mergeCell ref="E1203:E1204"/>
    <mergeCell ref="E1205:E1206"/>
    <mergeCell ref="E1207:E1208"/>
    <mergeCell ref="E1209:E1210"/>
    <mergeCell ref="D1145:D1154"/>
    <mergeCell ref="E1145:E1146"/>
    <mergeCell ref="E1147:E1148"/>
    <mergeCell ref="E1149:E1150"/>
    <mergeCell ref="E1151:E1152"/>
    <mergeCell ref="E1153:E1154"/>
    <mergeCell ref="E1195:E1196"/>
    <mergeCell ref="E1197:E1198"/>
    <mergeCell ref="D1175:D1177"/>
    <mergeCell ref="D1178:D1180"/>
    <mergeCell ref="D1181:D1183"/>
    <mergeCell ref="D1184:D1186"/>
    <mergeCell ref="E1215:E1216"/>
    <mergeCell ref="E1217:E1218"/>
    <mergeCell ref="E1219:E1220"/>
    <mergeCell ref="E1221:E1222"/>
  </mergeCells>
  <conditionalFormatting sqref="G25:S25 G27:S27 G29:S29 G31:S31 G33:S33 G36:S36 G39:S39 G41:S41 G44:S44 G47:S47 G54:S65 G67:S78 G80:S91 G93:S100 G104:S535 G538:S561 G567:S734 G737:S918 G923:S1062 G1065:S1164 G1169:S1186 G1189:S1248 G1253:S1264 G1267:S1270 G1273:S1284 G1287:S1298 G8:W21">
    <cfRule type="cellIs" dxfId="70" priority="4501" stopIfTrue="1" operator="lessThan">
      <formula>0</formula>
    </cfRule>
  </conditionalFormatting>
  <conditionalFormatting sqref="G26:P26 G28:P28 G30:P30 G32:P32 G34:P34 G37:P38 G40:P40 G42:P43 G45:P46 G48:P51">
    <cfRule type="cellIs" dxfId="69" priority="910" stopIfTrue="1" operator="equal">
      <formula>"Fail"</formula>
    </cfRule>
    <cfRule type="cellIs" dxfId="68" priority="911" stopIfTrue="1" operator="equal">
      <formula>"Pass"</formula>
    </cfRule>
  </conditionalFormatting>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26" manualBreakCount="26">
    <brk id="100" max="23" man="1"/>
    <brk id="139" max="23" man="1"/>
    <brk id="175" max="23" man="1"/>
    <brk id="211" max="23" man="1"/>
    <brk id="247" max="23" man="1"/>
    <brk id="283" max="23" man="1"/>
    <brk id="319" max="23" man="1"/>
    <brk id="355" max="23" man="1"/>
    <brk id="391" max="23" man="1"/>
    <brk id="427" max="23" man="1"/>
    <brk id="463" max="23" man="1"/>
    <brk id="499" max="23" man="1"/>
    <brk id="535" max="23" man="1"/>
    <brk id="594" max="23" man="1"/>
    <brk id="678" max="23" man="1"/>
    <brk id="734" max="23" man="1"/>
    <brk id="776" max="23" man="1"/>
    <brk id="836" max="23" man="1"/>
    <brk id="888" max="23" man="1"/>
    <brk id="936" max="23" man="1"/>
    <brk id="1006" max="23" man="1"/>
    <brk id="1062" max="23" man="1"/>
    <brk id="1114" max="23" man="1"/>
    <brk id="1165" max="23" man="1"/>
    <brk id="1218" max="23" man="1"/>
    <brk id="1270" max="2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58</vt:i4>
      </vt:variant>
    </vt:vector>
  </HeadingPairs>
  <TitlesOfParts>
    <vt:vector size="78" baseType="lpstr">
      <vt:lpstr>General Info</vt:lpstr>
      <vt:lpstr>Requirements</vt:lpstr>
      <vt:lpstr>DefCap</vt:lpstr>
      <vt:lpstr>DefCap-MI</vt:lpstr>
      <vt:lpstr>Floors</vt:lpstr>
      <vt:lpstr>Leverage Ratio</vt:lpstr>
      <vt:lpstr>LCR</vt:lpstr>
      <vt:lpstr>NSFR</vt:lpstr>
      <vt:lpstr>BB SA general</vt:lpstr>
      <vt:lpstr>BB SA additional</vt:lpstr>
      <vt:lpstr>TB general</vt:lpstr>
      <vt:lpstr>TB SBA</vt:lpstr>
      <vt:lpstr>TB IMA</vt:lpstr>
      <vt:lpstr>TB IMA P&amp;L</vt:lpstr>
      <vt:lpstr>TLAC holdings</vt:lpstr>
      <vt:lpstr>G-SIB TLAC external</vt:lpstr>
      <vt:lpstr>G-SIB TLAC internal</vt:lpstr>
      <vt:lpstr>G-SIB TLAC location</vt:lpstr>
      <vt:lpstr>Checks</vt:lpstr>
      <vt:lpstr>Parameters</vt:lpstr>
      <vt:lpstr>Accounting</vt:lpstr>
      <vt:lpstr>ApprovalStatus</vt:lpstr>
      <vt:lpstr>BankType</vt:lpstr>
      <vt:lpstr>BankTypeNumeric</vt:lpstr>
      <vt:lpstr>Basel12</vt:lpstr>
      <vt:lpstr>CCROTC</vt:lpstr>
      <vt:lpstr>CCRSFT</vt:lpstr>
      <vt:lpstr>CreditRisk</vt:lpstr>
      <vt:lpstr>CreditRiskEquity</vt:lpstr>
      <vt:lpstr>Group</vt:lpstr>
      <vt:lpstr>LegalEntity</vt:lpstr>
      <vt:lpstr>OpRisk</vt:lpstr>
      <vt:lpstr>PartialUseIrbCalc</vt:lpstr>
      <vt:lpstr>'BB SA additional'!Print_Area</vt:lpstr>
      <vt:lpstr>'BB SA general'!Print_Area</vt:lpstr>
      <vt:lpstr>Checks!Print_Area</vt:lpstr>
      <vt:lpstr>DefCap!Print_Area</vt:lpstr>
      <vt:lpstr>'DefCap-MI'!Print_Area</vt:lpstr>
      <vt:lpstr>'General Info'!Print_Area</vt:lpstr>
      <vt:lpstr>'G-SIB TLAC external'!Print_Area</vt:lpstr>
      <vt:lpstr>'G-SIB TLAC internal'!Print_Area</vt:lpstr>
      <vt:lpstr>'G-SIB TLAC location'!Print_Area</vt:lpstr>
      <vt:lpstr>LCR!Print_Area</vt:lpstr>
      <vt:lpstr>'Leverage Ratio'!Print_Area</vt:lpstr>
      <vt:lpstr>NSFR!Print_Area</vt:lpstr>
      <vt:lpstr>Parameters!Print_Area</vt:lpstr>
      <vt:lpstr>Requirements!Print_Area</vt:lpstr>
      <vt:lpstr>'TB general'!Print_Area</vt:lpstr>
      <vt:lpstr>'TB IMA'!Print_Area</vt:lpstr>
      <vt:lpstr>'TB IMA P&amp;L'!Print_Area</vt:lpstr>
      <vt:lpstr>'TB SBA'!Print_Area</vt:lpstr>
      <vt:lpstr>'TLAC holdings'!Print_Area</vt:lpstr>
      <vt:lpstr>'BB SA additional'!Print_Titles</vt:lpstr>
      <vt:lpstr>'BB SA general'!Print_Titles</vt:lpstr>
      <vt:lpstr>Checks!Print_Titles</vt:lpstr>
      <vt:lpstr>Floors!Print_Titles</vt:lpstr>
      <vt:lpstr>'General Info'!Print_Titles</vt:lpstr>
      <vt:lpstr>'G-SIB TLAC external'!Print_Titles</vt:lpstr>
      <vt:lpstr>'G-SIB TLAC internal'!Print_Titles</vt:lpstr>
      <vt:lpstr>'G-SIB TLAC location'!Print_Titles</vt:lpstr>
      <vt:lpstr>Parameters!Print_Titles</vt:lpstr>
      <vt:lpstr>Requirements!Print_Titles</vt:lpstr>
      <vt:lpstr>'TB general'!Print_Titles</vt:lpstr>
      <vt:lpstr>'TB IMA'!Print_Titles</vt:lpstr>
      <vt:lpstr>'TB IMA P&amp;L'!Print_Titles</vt:lpstr>
      <vt:lpstr>'TB SBA'!Print_Titles</vt:lpstr>
      <vt:lpstr>QNumeric100</vt:lpstr>
      <vt:lpstr>QNumeric3</vt:lpstr>
      <vt:lpstr>QNumeric5</vt:lpstr>
      <vt:lpstr>QNumeric6</vt:lpstr>
      <vt:lpstr>QNumericZ100</vt:lpstr>
      <vt:lpstr>RegDesks</vt:lpstr>
      <vt:lpstr>RiskClass</vt:lpstr>
      <vt:lpstr>SecuritisationHierarchy</vt:lpstr>
      <vt:lpstr>UnitT</vt:lpstr>
      <vt:lpstr>UnitW</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Wehrli, Gabriela</dc:creator>
  <cp:lastModifiedBy>Wehrli, Gabriela</cp:lastModifiedBy>
  <cp:lastPrinted>2015-02-13T14:16:26Z</cp:lastPrinted>
  <dcterms:created xsi:type="dcterms:W3CDTF">2004-05-06T15:11:03Z</dcterms:created>
  <dcterms:modified xsi:type="dcterms:W3CDTF">2015-03-26T08:59:04Z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