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5" yWindow="-15" windowWidth="21840" windowHeight="5910" tabRatio="927"/>
  </bookViews>
  <sheets>
    <sheet name="General Info" sheetId="1" r:id="rId1"/>
    <sheet name="Requirements" sheetId="39" r:id="rId2"/>
    <sheet name="DefCapB3" sheetId="28" r:id="rId3"/>
    <sheet name="DefCapB3-MI" sheetId="31" r:id="rId4"/>
    <sheet name="Leverage Ratio" sheetId="32" r:id="rId5"/>
    <sheet name="LCR" sheetId="8" r:id="rId6"/>
    <sheet name="NSFR" sheetId="30" r:id="rId7"/>
    <sheet name="TB boundary TP" sheetId="40" r:id="rId8"/>
    <sheet name="TB SBA - current" sheetId="52" r:id="rId9"/>
    <sheet name="TB SBA - revised" sheetId="55" r:id="rId10"/>
    <sheet name="TB Default CTP" sheetId="50" r:id="rId11"/>
    <sheet name="TB IMA general" sheetId="37" r:id="rId12"/>
    <sheet name="TB IMA JiLP" sheetId="41" r:id="rId13"/>
    <sheet name="TB IMA risk measures - stress" sheetId="44" r:id="rId14"/>
    <sheet name="TB IMA backtesting - P&amp;L" sheetId="43" r:id="rId15"/>
    <sheet name="OpRisk" sheetId="48" r:id="rId16"/>
    <sheet name="Checks" sheetId="22" r:id="rId17"/>
    <sheet name="Parameters" sheetId="20" r:id="rId18"/>
  </sheets>
  <definedNames>
    <definedName name="Accounting">Parameters!$D$169:$D$171</definedName>
    <definedName name="ApprovalStatus">Parameters!$D$188:$D$189</definedName>
    <definedName name="BankType">Parameters!$D$172:$D$174</definedName>
    <definedName name="BankTypeNumeric">Parameters!$C$175:$C$181</definedName>
    <definedName name="Basel12">Parameters!$D$167:$D$168</definedName>
    <definedName name="CCROTC">Parameters!$D$152:$D$154</definedName>
    <definedName name="CCRSFT">Parameters!$D$155:$D$158</definedName>
    <definedName name="CreditRisk">Parameters!$D$159:$D$160</definedName>
    <definedName name="CreditRiskEquity">Parameters!$D$161:$D$162</definedName>
    <definedName name="Group">Parameters!$D$147:$D$148</definedName>
    <definedName name="OpRisk">Parameters!$D$163:$D$166</definedName>
    <definedName name="PartialUseIrbCalc">Parameters!$D$182:$D$187</definedName>
    <definedName name="_xlnm.Print_Area" localSheetId="16">Checks!$A$1:$N$131</definedName>
    <definedName name="_xlnm.Print_Area" localSheetId="2">DefCapB3!$A$1:$E$252</definedName>
    <definedName name="_xlnm.Print_Area" localSheetId="3">'DefCapB3-MI'!$A$1:$AI$32</definedName>
    <definedName name="_xlnm.Print_Area" localSheetId="0">'General Info'!$A$1:$K$95</definedName>
    <definedName name="_xlnm.Print_Area" localSheetId="5">LCR!$A$1:$K$444</definedName>
    <definedName name="_xlnm.Print_Area" localSheetId="4">'Leverage Ratio'!$A$1:$O$151</definedName>
    <definedName name="_xlnm.Print_Area" localSheetId="6">NSFR!$A$1:$Q$333</definedName>
    <definedName name="_xlnm.Print_Area" localSheetId="15">OpRisk!$A$1:$N$280</definedName>
    <definedName name="_xlnm.Print_Area" localSheetId="17">Parameters!$A$1:$I$86</definedName>
    <definedName name="_xlnm.Print_Area" localSheetId="1">Requirements!$A$1:$K$184</definedName>
    <definedName name="_xlnm.Print_Area" localSheetId="7">'TB boundary TP'!$A$1:$J$40</definedName>
    <definedName name="_xlnm.Print_Area" localSheetId="10">'TB Default CTP'!$A$1:$Q$107</definedName>
    <definedName name="_xlnm.Print_Area" localSheetId="14">'TB IMA backtesting - P&amp;L'!$A$1:$AV$526</definedName>
    <definedName name="_xlnm.Print_Area" localSheetId="11">'TB IMA general'!$A$1:$H$319</definedName>
    <definedName name="_xlnm.Print_Area" localSheetId="12">'TB IMA JiLP'!$A$1:$Y$105</definedName>
    <definedName name="_xlnm.Print_Area" localSheetId="13">'TB IMA risk measures - stress'!$A$1:$O$361</definedName>
    <definedName name="_xlnm.Print_Area" localSheetId="8">'TB SBA - current'!$A$1:$BK$41,'TB SBA - current'!$A$42:$Q$124,'TB SBA - current'!$A$125:$AK$145,'TB SBA - current'!$A$146:$Q$266,'TB SBA - current'!$A$267:$AD$313</definedName>
    <definedName name="_xlnm.Print_Area" localSheetId="9">'TB SBA - revised'!$A$1:$BK$41,'TB SBA - revised'!$A$42:$Q$124,'TB SBA - revised'!$A$125:$AK$145,'TB SBA - revised'!$A$146:$Q$266,'TB SBA - revised'!$A$267:$AD$313</definedName>
    <definedName name="_xlnm.Print_Titles" localSheetId="16">Checks!$1:$1</definedName>
    <definedName name="_xlnm.Print_Titles" localSheetId="0">'General Info'!$A:$B</definedName>
    <definedName name="_xlnm.Print_Titles" localSheetId="15">OpRisk!$B:$C,OpRisk!$3:$3</definedName>
    <definedName name="_xlnm.Print_Titles" localSheetId="17">Parameters!$1:$1</definedName>
    <definedName name="_xlnm.Print_Titles" localSheetId="1">Requirements!$A:$B</definedName>
    <definedName name="_xlnm.Print_Titles" localSheetId="7">'TB boundary TP'!$B:$B</definedName>
    <definedName name="_xlnm.Print_Titles" localSheetId="10">'TB Default CTP'!$B:$B</definedName>
    <definedName name="_xlnm.Print_Titles" localSheetId="14">'TB IMA backtesting - P&amp;L'!$B:$C,'TB IMA backtesting - P&amp;L'!$3:$4</definedName>
    <definedName name="_xlnm.Print_Titles" localSheetId="11">'TB IMA general'!$B:$B</definedName>
    <definedName name="_xlnm.Print_Titles" localSheetId="12">'TB IMA JiLP'!$B:$C,'TB IMA JiLP'!$3:$4</definedName>
    <definedName name="_xlnm.Print_Titles" localSheetId="13">'TB IMA risk measures - stress'!$B:$C,'TB IMA risk measures - stress'!$3:$3</definedName>
    <definedName name="_xlnm.Print_Titles" localSheetId="8">'TB SBA - current'!$B:$D</definedName>
    <definedName name="_xlnm.Print_Titles" localSheetId="9">'TB SBA - revised'!$B:$D</definedName>
    <definedName name="QNumeric100">Parameters!$C$196:$C$295</definedName>
    <definedName name="QNumeric3">Parameters!$C$196:$C$198</definedName>
    <definedName name="QNumeric5">Parameters!$C$196:$C$200</definedName>
    <definedName name="QNumeric6">Parameters!$C$196:$C$201</definedName>
    <definedName name="QNumericZ100">Parameters!$C$195:$C$295</definedName>
    <definedName name="RegDesks">Parameters!$D$296:$D$316</definedName>
    <definedName name="RiskClass">Parameters!$D$190:$D$194</definedName>
    <definedName name="UnitT">Parameters!$E$149:$F$151</definedName>
    <definedName name="UnitW">Parameters!$D$149:$D$151</definedName>
    <definedName name="YesNo">Parameters!$D$144:$D$145</definedName>
    <definedName name="YesNoNA">Parameters!$D$144:$D$146</definedName>
    <definedName name="Z_15489521_78C1_4B59_8BC9_AACD7EBC6362_.wvu.PrintArea" localSheetId="16" hidden="1">Checks!$A$1:$N$131</definedName>
    <definedName name="Z_15489521_78C1_4B59_8BC9_AACD7EBC6362_.wvu.PrintArea" localSheetId="2" hidden="1">DefCapB3!#REF!</definedName>
    <definedName name="Z_15489521_78C1_4B59_8BC9_AACD7EBC6362_.wvu.PrintArea" localSheetId="3" hidden="1">'DefCapB3-MI'!#REF!</definedName>
    <definedName name="Z_15489521_78C1_4B59_8BC9_AACD7EBC6362_.wvu.PrintArea" localSheetId="0" hidden="1">'General Info'!$A$1:$C$95,'General Info'!#REF!</definedName>
    <definedName name="Z_15489521_78C1_4B59_8BC9_AACD7EBC6362_.wvu.PrintArea" localSheetId="5" hidden="1">LCR!#REF!</definedName>
    <definedName name="Z_15489521_78C1_4B59_8BC9_AACD7EBC6362_.wvu.PrintArea" localSheetId="4" hidden="1">'Leverage Ratio'!#REF!</definedName>
    <definedName name="Z_15489521_78C1_4B59_8BC9_AACD7EBC6362_.wvu.PrintArea" localSheetId="6" hidden="1">NSFR!#REF!</definedName>
    <definedName name="Z_15489521_78C1_4B59_8BC9_AACD7EBC6362_.wvu.PrintArea" localSheetId="17" hidden="1">Parameters!$B$1:$I$169</definedName>
    <definedName name="Z_15489521_78C1_4B59_8BC9_AACD7EBC6362_.wvu.PrintArea" localSheetId="1" hidden="1">Requirements!$A$1:$C$184,Requirements!#REF!</definedName>
    <definedName name="Z_15489521_78C1_4B59_8BC9_AACD7EBC6362_.wvu.PrintTitles" localSheetId="16" hidden="1">Checks!$1:$1</definedName>
    <definedName name="Z_15489521_78C1_4B59_8BC9_AACD7EBC6362_.wvu.PrintTitles" localSheetId="2" hidden="1">DefCapB3!#REF!</definedName>
    <definedName name="Z_15489521_78C1_4B59_8BC9_AACD7EBC6362_.wvu.PrintTitles" localSheetId="3" hidden="1">'DefCapB3-MI'!#REF!</definedName>
    <definedName name="Z_15489521_78C1_4B59_8BC9_AACD7EBC6362_.wvu.PrintTitles" localSheetId="0" hidden="1">'General Info'!$A:$B</definedName>
    <definedName name="Z_15489521_78C1_4B59_8BC9_AACD7EBC6362_.wvu.PrintTitles" localSheetId="4" hidden="1">'Leverage Ratio'!#REF!</definedName>
    <definedName name="Z_15489521_78C1_4B59_8BC9_AACD7EBC6362_.wvu.PrintTitles" localSheetId="17" hidden="1">Parameters!$1:$1</definedName>
    <definedName name="Z_15489521_78C1_4B59_8BC9_AACD7EBC6362_.wvu.PrintTitles" localSheetId="1" hidden="1">Requirements!$A:$B</definedName>
    <definedName name="Z_53E8D147_A870_4F3F_BF63_24587CEF7636_.wvu.PrintArea" localSheetId="16" hidden="1">Checks!$A$1:$N$131</definedName>
    <definedName name="Z_53E8D147_A870_4F3F_BF63_24587CEF7636_.wvu.PrintArea" localSheetId="2" hidden="1">DefCapB3!#REF!</definedName>
    <definedName name="Z_53E8D147_A870_4F3F_BF63_24587CEF7636_.wvu.PrintArea" localSheetId="3" hidden="1">'DefCapB3-MI'!#REF!</definedName>
    <definedName name="Z_53E8D147_A870_4F3F_BF63_24587CEF7636_.wvu.PrintArea" localSheetId="0" hidden="1">'General Info'!$A$1:$C$95,'General Info'!#REF!</definedName>
    <definedName name="Z_53E8D147_A870_4F3F_BF63_24587CEF7636_.wvu.PrintArea" localSheetId="5" hidden="1">LCR!#REF!</definedName>
    <definedName name="Z_53E8D147_A870_4F3F_BF63_24587CEF7636_.wvu.PrintArea" localSheetId="4" hidden="1">'Leverage Ratio'!#REF!</definedName>
    <definedName name="Z_53E8D147_A870_4F3F_BF63_24587CEF7636_.wvu.PrintArea" localSheetId="6" hidden="1">NSFR!#REF!</definedName>
    <definedName name="Z_53E8D147_A870_4F3F_BF63_24587CEF7636_.wvu.PrintArea" localSheetId="17" hidden="1">Parameters!$B$1:$I$169</definedName>
    <definedName name="Z_53E8D147_A870_4F3F_BF63_24587CEF7636_.wvu.PrintArea" localSheetId="1" hidden="1">Requirements!$A$1:$C$184,Requirements!#REF!</definedName>
    <definedName name="Z_53E8D147_A870_4F3F_BF63_24587CEF7636_.wvu.PrintTitles" localSheetId="16" hidden="1">Checks!$1:$1</definedName>
    <definedName name="Z_53E8D147_A870_4F3F_BF63_24587CEF7636_.wvu.PrintTitles" localSheetId="2" hidden="1">DefCapB3!#REF!</definedName>
    <definedName name="Z_53E8D147_A870_4F3F_BF63_24587CEF7636_.wvu.PrintTitles" localSheetId="3" hidden="1">'DefCapB3-MI'!#REF!</definedName>
    <definedName name="Z_53E8D147_A870_4F3F_BF63_24587CEF7636_.wvu.PrintTitles" localSheetId="0" hidden="1">'General Info'!$A:$B</definedName>
    <definedName name="Z_53E8D147_A870_4F3F_BF63_24587CEF7636_.wvu.PrintTitles" localSheetId="5" hidden="1">LCR!#REF!</definedName>
    <definedName name="Z_53E8D147_A870_4F3F_BF63_24587CEF7636_.wvu.PrintTitles" localSheetId="4" hidden="1">'Leverage Ratio'!#REF!</definedName>
    <definedName name="Z_53E8D147_A870_4F3F_BF63_24587CEF7636_.wvu.PrintTitles" localSheetId="6" hidden="1">NSFR!#REF!</definedName>
    <definedName name="Z_53E8D147_A870_4F3F_BF63_24587CEF7636_.wvu.PrintTitles" localSheetId="17" hidden="1">Parameters!$1:$1</definedName>
    <definedName name="Z_53E8D147_A870_4F3F_BF63_24587CEF7636_.wvu.PrintTitles" localSheetId="1" hidden="1">Requirements!$A:$B</definedName>
    <definedName name="Z_7608A575_AD39_4DFE_B654_965E0A886A86_.wvu.PrintArea" localSheetId="16" hidden="1">Checks!$A$1:$N$131</definedName>
    <definedName name="Z_7608A575_AD39_4DFE_B654_965E0A886A86_.wvu.PrintArea" localSheetId="2" hidden="1">DefCapB3!#REF!</definedName>
    <definedName name="Z_7608A575_AD39_4DFE_B654_965E0A886A86_.wvu.PrintArea" localSheetId="3" hidden="1">'DefCapB3-MI'!#REF!</definedName>
    <definedName name="Z_7608A575_AD39_4DFE_B654_965E0A886A86_.wvu.PrintArea" localSheetId="0" hidden="1">'General Info'!$A$1:$C$95,'General Info'!#REF!</definedName>
    <definedName name="Z_7608A575_AD39_4DFE_B654_965E0A886A86_.wvu.PrintArea" localSheetId="5" hidden="1">LCR!#REF!</definedName>
    <definedName name="Z_7608A575_AD39_4DFE_B654_965E0A886A86_.wvu.PrintArea" localSheetId="4" hidden="1">'Leverage Ratio'!#REF!</definedName>
    <definedName name="Z_7608A575_AD39_4DFE_B654_965E0A886A86_.wvu.PrintArea" localSheetId="6" hidden="1">NSFR!#REF!</definedName>
    <definedName name="Z_7608A575_AD39_4DFE_B654_965E0A886A86_.wvu.PrintArea" localSheetId="17" hidden="1">Parameters!$B$1:$I$169</definedName>
    <definedName name="Z_7608A575_AD39_4DFE_B654_965E0A886A86_.wvu.PrintArea" localSheetId="1" hidden="1">Requirements!$A$1:$C$184,Requirements!#REF!</definedName>
    <definedName name="Z_7608A575_AD39_4DFE_B654_965E0A886A86_.wvu.PrintTitles" localSheetId="16" hidden="1">Checks!$1:$1</definedName>
    <definedName name="Z_7608A575_AD39_4DFE_B654_965E0A886A86_.wvu.PrintTitles" localSheetId="2" hidden="1">DefCapB3!#REF!</definedName>
    <definedName name="Z_7608A575_AD39_4DFE_B654_965E0A886A86_.wvu.PrintTitles" localSheetId="3" hidden="1">'DefCapB3-MI'!#REF!</definedName>
    <definedName name="Z_7608A575_AD39_4DFE_B654_965E0A886A86_.wvu.PrintTitles" localSheetId="0" hidden="1">'General Info'!$A:$B</definedName>
    <definedName name="Z_7608A575_AD39_4DFE_B654_965E0A886A86_.wvu.PrintTitles" localSheetId="4" hidden="1">'Leverage Ratio'!#REF!</definedName>
    <definedName name="Z_7608A575_AD39_4DFE_B654_965E0A886A86_.wvu.PrintTitles" localSheetId="17" hidden="1">Parameters!$1:$1</definedName>
    <definedName name="Z_7608A575_AD39_4DFE_B654_965E0A886A86_.wvu.PrintTitles" localSheetId="1" hidden="1">Requirements!$A:$B</definedName>
  </definedNames>
  <calcPr calcId="145621"/>
  <customWorkbookViews>
    <customWorkbookView name="Martin Birn - Personal View" guid="{15489521-78C1-4B59-8BC9-AACD7EBC6362}" mergeInterval="0" personalView="1" maximized="1" windowWidth="1676" windowHeight="821" tabRatio="803" activeSheetId="7"/>
    <customWorkbookView name="Mary Craig - Personal View" guid="{53E8D147-A870-4F3F-BF63-24587CEF7636}" mergeInterval="0" personalView="1" maximized="1" windowWidth="1276" windowHeight="852" tabRatio="803" activeSheetId="7" showComments="commIndAndComment"/>
    <customWorkbookView name="Noel Reynolds - Personal View" guid="{7608A575-AD39-4DFE-B654-965E0A886A86}" mergeInterval="0" personalView="1" maximized="1" windowWidth="1676" windowHeight="843" tabRatio="803" activeSheetId="2"/>
  </customWorkbookViews>
</workbook>
</file>

<file path=xl/calcChain.xml><?xml version="1.0" encoding="utf-8"?>
<calcChain xmlns="http://schemas.openxmlformats.org/spreadsheetml/2006/main">
  <c r="J150" i="32" l="1"/>
  <c r="D4" i="44" l="1"/>
  <c r="D50" i="50"/>
  <c r="C47" i="22" l="1"/>
  <c r="Q245" i="55" l="1"/>
  <c r="O245" i="55"/>
  <c r="M245" i="55"/>
  <c r="K245" i="55"/>
  <c r="I245" i="55"/>
  <c r="G245" i="55"/>
  <c r="Q244" i="55"/>
  <c r="O244" i="55"/>
  <c r="M244" i="55"/>
  <c r="K244" i="55"/>
  <c r="I244" i="55"/>
  <c r="G244" i="55"/>
  <c r="Q243" i="55"/>
  <c r="O243" i="55"/>
  <c r="M243" i="55"/>
  <c r="K243" i="55"/>
  <c r="I243" i="55"/>
  <c r="G243" i="55"/>
  <c r="Q242" i="55"/>
  <c r="O242" i="55"/>
  <c r="M242" i="55"/>
  <c r="K242" i="55"/>
  <c r="I242" i="55"/>
  <c r="G242" i="55"/>
  <c r="Q241" i="55"/>
  <c r="O241" i="55"/>
  <c r="M241" i="55"/>
  <c r="K241" i="55"/>
  <c r="I241" i="55"/>
  <c r="G241" i="55"/>
  <c r="Q240" i="55"/>
  <c r="O240" i="55"/>
  <c r="M240" i="55"/>
  <c r="K240" i="55"/>
  <c r="I240" i="55"/>
  <c r="G240" i="55"/>
  <c r="Q239" i="55"/>
  <c r="O239" i="55"/>
  <c r="M239" i="55"/>
  <c r="K239" i="55"/>
  <c r="I239" i="55"/>
  <c r="G239" i="55"/>
  <c r="Q238" i="55"/>
  <c r="O238" i="55"/>
  <c r="M238" i="55"/>
  <c r="K238" i="55"/>
  <c r="I238" i="55"/>
  <c r="G238" i="55"/>
  <c r="Q237" i="55"/>
  <c r="O237" i="55"/>
  <c r="M237" i="55"/>
  <c r="K237" i="55"/>
  <c r="I237" i="55"/>
  <c r="G237" i="55"/>
  <c r="H236" i="55"/>
  <c r="I247" i="55" s="1"/>
  <c r="P235" i="55"/>
  <c r="N235" i="55"/>
  <c r="P236" i="55" s="1"/>
  <c r="Q247" i="55" s="1"/>
  <c r="L235" i="55"/>
  <c r="J235" i="55"/>
  <c r="L236" i="55" s="1"/>
  <c r="M247" i="55" s="1"/>
  <c r="H235" i="55"/>
  <c r="F235" i="55"/>
  <c r="F184" i="55"/>
  <c r="F144" i="55"/>
  <c r="F123" i="55"/>
  <c r="F103" i="55"/>
  <c r="F87" i="55"/>
  <c r="F64" i="55"/>
  <c r="F40" i="55"/>
  <c r="F40" i="52"/>
  <c r="I249" i="55" l="1"/>
  <c r="N357" i="44"/>
  <c r="M357" i="44"/>
  <c r="L357" i="44"/>
  <c r="K357" i="44"/>
  <c r="J357" i="44"/>
  <c r="I357" i="44"/>
  <c r="H357" i="44"/>
  <c r="G357" i="44"/>
  <c r="F357" i="44"/>
  <c r="E357" i="44"/>
  <c r="N350" i="44"/>
  <c r="M350" i="44"/>
  <c r="L350" i="44"/>
  <c r="K350" i="44"/>
  <c r="J350" i="44"/>
  <c r="I350" i="44"/>
  <c r="H350" i="44"/>
  <c r="G350" i="44"/>
  <c r="F350" i="44"/>
  <c r="E350" i="44"/>
  <c r="N343" i="44"/>
  <c r="M343" i="44"/>
  <c r="L343" i="44"/>
  <c r="K343" i="44"/>
  <c r="J343" i="44"/>
  <c r="I343" i="44"/>
  <c r="H343" i="44"/>
  <c r="G343" i="44"/>
  <c r="F343" i="44"/>
  <c r="E343" i="44"/>
  <c r="N336" i="44"/>
  <c r="M336" i="44"/>
  <c r="L336" i="44"/>
  <c r="K336" i="44"/>
  <c r="J336" i="44"/>
  <c r="I336" i="44"/>
  <c r="H336" i="44"/>
  <c r="G336" i="44"/>
  <c r="F336" i="44"/>
  <c r="E336" i="44"/>
  <c r="N329" i="44"/>
  <c r="M329" i="44"/>
  <c r="L329" i="44"/>
  <c r="K329" i="44"/>
  <c r="J329" i="44"/>
  <c r="I329" i="44"/>
  <c r="H329" i="44"/>
  <c r="G329" i="44"/>
  <c r="F329" i="44"/>
  <c r="E329" i="44"/>
  <c r="C130" i="22" l="1"/>
  <c r="C129" i="22"/>
  <c r="F128" i="22"/>
  <c r="E128" i="22"/>
  <c r="D128" i="22"/>
  <c r="H10" i="22"/>
  <c r="G10" i="22"/>
  <c r="F10" i="22"/>
  <c r="N321" i="44" l="1"/>
  <c r="M321" i="44"/>
  <c r="L321" i="44"/>
  <c r="K321" i="44"/>
  <c r="J321" i="44"/>
  <c r="I321" i="44"/>
  <c r="H321" i="44"/>
  <c r="G321" i="44"/>
  <c r="F321" i="44"/>
  <c r="E321" i="44"/>
  <c r="D69" i="37"/>
  <c r="C69" i="37"/>
  <c r="D65" i="37"/>
  <c r="C65" i="37"/>
  <c r="D61" i="37"/>
  <c r="C61" i="37"/>
  <c r="D57" i="37"/>
  <c r="C57" i="37"/>
  <c r="D53" i="37"/>
  <c r="C53" i="37"/>
  <c r="D49" i="37"/>
  <c r="C49" i="37"/>
  <c r="D39" i="37"/>
  <c r="C39" i="37"/>
  <c r="C15" i="37"/>
  <c r="D129" i="22" s="1"/>
  <c r="G83" i="39"/>
  <c r="H18" i="22" s="1"/>
  <c r="G79" i="39"/>
  <c r="H17" i="22" s="1"/>
  <c r="G58" i="39"/>
  <c r="H11" i="22" s="1"/>
  <c r="G75" i="39"/>
  <c r="H16" i="22" s="1"/>
  <c r="G74" i="39"/>
  <c r="G106" i="50"/>
  <c r="F106" i="50"/>
  <c r="E106" i="50"/>
  <c r="D106" i="50"/>
  <c r="G92" i="50"/>
  <c r="F92" i="50"/>
  <c r="E92" i="50"/>
  <c r="D92" i="50"/>
  <c r="G78" i="50"/>
  <c r="F78" i="50"/>
  <c r="E78" i="50"/>
  <c r="D78" i="50"/>
  <c r="O62" i="50"/>
  <c r="N62" i="50"/>
  <c r="M62" i="50"/>
  <c r="L62" i="50"/>
  <c r="G62" i="50"/>
  <c r="F62" i="50"/>
  <c r="E62" i="50"/>
  <c r="D62" i="50"/>
  <c r="O50" i="50"/>
  <c r="N50" i="50"/>
  <c r="M50" i="50"/>
  <c r="L50" i="50"/>
  <c r="G50" i="50"/>
  <c r="F50" i="50"/>
  <c r="E50" i="50"/>
  <c r="O42" i="50"/>
  <c r="N42" i="50"/>
  <c r="M42" i="50"/>
  <c r="L42" i="50"/>
  <c r="G42" i="50"/>
  <c r="F42" i="50"/>
  <c r="E42" i="50"/>
  <c r="D42" i="50"/>
  <c r="O34" i="50"/>
  <c r="N34" i="50"/>
  <c r="M34" i="50"/>
  <c r="L34" i="50"/>
  <c r="G34" i="50"/>
  <c r="F34" i="50"/>
  <c r="E34" i="50"/>
  <c r="D34" i="50"/>
  <c r="O26" i="50"/>
  <c r="N26" i="50"/>
  <c r="M26" i="50"/>
  <c r="L26" i="50"/>
  <c r="G26" i="50"/>
  <c r="F26" i="50"/>
  <c r="E26" i="50"/>
  <c r="D26" i="50"/>
  <c r="O15" i="50"/>
  <c r="N15" i="50"/>
  <c r="M15" i="50"/>
  <c r="L15" i="50"/>
  <c r="G15" i="50"/>
  <c r="F15" i="50"/>
  <c r="E15" i="50"/>
  <c r="D15" i="50"/>
  <c r="Q237" i="52"/>
  <c r="J123" i="22" l="1"/>
  <c r="I123" i="22"/>
  <c r="H123" i="22"/>
  <c r="G123" i="22"/>
  <c r="F123" i="22"/>
  <c r="E123" i="22"/>
  <c r="D123" i="22"/>
  <c r="J125" i="22"/>
  <c r="H125" i="22"/>
  <c r="G125" i="22"/>
  <c r="C125" i="22"/>
  <c r="F124" i="22"/>
  <c r="E124" i="22"/>
  <c r="C124" i="22"/>
  <c r="M186" i="22"/>
  <c r="L186" i="22"/>
  <c r="M185" i="22"/>
  <c r="L185" i="22"/>
  <c r="K185" i="22"/>
  <c r="J185" i="22"/>
  <c r="I185" i="22"/>
  <c r="H185" i="22"/>
  <c r="G185" i="22"/>
  <c r="M184" i="22"/>
  <c r="L184" i="22"/>
  <c r="K184" i="22"/>
  <c r="J184" i="22"/>
  <c r="I184" i="22"/>
  <c r="H184" i="22"/>
  <c r="G184" i="22"/>
  <c r="M183" i="22"/>
  <c r="L183" i="22"/>
  <c r="K183" i="22"/>
  <c r="J183" i="22"/>
  <c r="I183" i="22"/>
  <c r="M182" i="22"/>
  <c r="L182" i="22"/>
  <c r="K182" i="22"/>
  <c r="J182" i="22"/>
  <c r="I182" i="22"/>
  <c r="M181" i="22"/>
  <c r="L181" i="22"/>
  <c r="K181" i="22"/>
  <c r="J181" i="22"/>
  <c r="I181" i="22"/>
  <c r="M180" i="22"/>
  <c r="L180" i="22"/>
  <c r="K180" i="22"/>
  <c r="J180" i="22"/>
  <c r="I180" i="22"/>
  <c r="M179" i="22"/>
  <c r="L179" i="22"/>
  <c r="K179" i="22"/>
  <c r="J179" i="22"/>
  <c r="I179" i="22"/>
  <c r="M178" i="22"/>
  <c r="L178" i="22"/>
  <c r="K178" i="22"/>
  <c r="J178" i="22"/>
  <c r="I178" i="22"/>
  <c r="M177" i="22"/>
  <c r="L177" i="22"/>
  <c r="K177" i="22"/>
  <c r="J177" i="22"/>
  <c r="I177" i="22"/>
  <c r="M176" i="22"/>
  <c r="L176" i="22"/>
  <c r="K176" i="22"/>
  <c r="J176" i="22"/>
  <c r="I176" i="22"/>
  <c r="M175" i="22"/>
  <c r="L175" i="22"/>
  <c r="K175" i="22"/>
  <c r="J175" i="22"/>
  <c r="I175" i="22"/>
  <c r="M174" i="22"/>
  <c r="L174" i="22"/>
  <c r="K174" i="22"/>
  <c r="J174" i="22"/>
  <c r="I174" i="22"/>
  <c r="M173" i="22"/>
  <c r="L173" i="22"/>
  <c r="K173" i="22"/>
  <c r="J173" i="22"/>
  <c r="I173" i="22"/>
  <c r="M172" i="22"/>
  <c r="L172" i="22"/>
  <c r="K172" i="22"/>
  <c r="J172" i="22"/>
  <c r="I172" i="22"/>
  <c r="M171" i="22"/>
  <c r="L171" i="22"/>
  <c r="K171" i="22"/>
  <c r="J171" i="22"/>
  <c r="I171" i="22"/>
  <c r="M170" i="22"/>
  <c r="L170" i="22"/>
  <c r="K170" i="22"/>
  <c r="J170" i="22"/>
  <c r="I170" i="22"/>
  <c r="M169" i="22"/>
  <c r="L169" i="22"/>
  <c r="K169" i="22"/>
  <c r="J169" i="22"/>
  <c r="I169" i="22"/>
  <c r="M168" i="22"/>
  <c r="L168" i="22"/>
  <c r="K168" i="22"/>
  <c r="J168" i="22"/>
  <c r="I168" i="22"/>
  <c r="M167" i="22"/>
  <c r="L167" i="22"/>
  <c r="K167" i="22"/>
  <c r="J167" i="22"/>
  <c r="I167" i="22"/>
  <c r="H167" i="22"/>
  <c r="G167" i="22"/>
  <c r="F167" i="22"/>
  <c r="E167" i="22"/>
  <c r="M166" i="22"/>
  <c r="L166" i="22"/>
  <c r="K166" i="22"/>
  <c r="J166" i="22"/>
  <c r="I166" i="22"/>
  <c r="H166" i="22"/>
  <c r="G166" i="22"/>
  <c r="F166" i="22"/>
  <c r="E166" i="22"/>
  <c r="M165" i="22"/>
  <c r="L165" i="22"/>
  <c r="K165" i="22"/>
  <c r="J165" i="22"/>
  <c r="I165" i="22"/>
  <c r="H165" i="22"/>
  <c r="G165" i="22"/>
  <c r="F165" i="22"/>
  <c r="E165" i="22"/>
  <c r="M164" i="22"/>
  <c r="L164" i="22"/>
  <c r="K164" i="22"/>
  <c r="J164" i="22"/>
  <c r="I164" i="22"/>
  <c r="H164" i="22"/>
  <c r="G164" i="22"/>
  <c r="F164" i="22"/>
  <c r="E164" i="22"/>
  <c r="M163" i="22"/>
  <c r="L163" i="22"/>
  <c r="K163" i="22"/>
  <c r="J163" i="22"/>
  <c r="I163" i="22"/>
  <c r="H163" i="22"/>
  <c r="G163" i="22"/>
  <c r="F163" i="22"/>
  <c r="E163" i="22"/>
  <c r="M162" i="22"/>
  <c r="L162" i="22"/>
  <c r="K162" i="22"/>
  <c r="J162" i="22"/>
  <c r="I162" i="22"/>
  <c r="H162" i="22"/>
  <c r="G162" i="22"/>
  <c r="F162" i="22"/>
  <c r="E162" i="22"/>
  <c r="M161" i="22"/>
  <c r="L161" i="22"/>
  <c r="K161" i="22"/>
  <c r="J161" i="22"/>
  <c r="I161" i="22"/>
  <c r="H161" i="22"/>
  <c r="G161" i="22"/>
  <c r="F161" i="22"/>
  <c r="E161" i="22"/>
  <c r="M160" i="22"/>
  <c r="L160" i="22"/>
  <c r="K160" i="22"/>
  <c r="J160" i="22"/>
  <c r="I160" i="22"/>
  <c r="H160" i="22"/>
  <c r="G160" i="22"/>
  <c r="F160" i="22"/>
  <c r="E160" i="22"/>
  <c r="M159" i="22"/>
  <c r="L159" i="22"/>
  <c r="K159" i="22"/>
  <c r="J159" i="22"/>
  <c r="I159" i="22"/>
  <c r="H159" i="22"/>
  <c r="G159" i="22"/>
  <c r="F159" i="22"/>
  <c r="E159" i="22"/>
  <c r="M158" i="22"/>
  <c r="L158" i="22"/>
  <c r="K158" i="22"/>
  <c r="J158" i="22"/>
  <c r="I158" i="22"/>
  <c r="H158" i="22"/>
  <c r="G158" i="22"/>
  <c r="F158" i="22"/>
  <c r="E158" i="22"/>
  <c r="M157" i="22"/>
  <c r="L157" i="22"/>
  <c r="K157" i="22"/>
  <c r="J157" i="22"/>
  <c r="I157" i="22"/>
  <c r="H157" i="22"/>
  <c r="G157" i="22"/>
  <c r="F157" i="22"/>
  <c r="E157" i="22"/>
  <c r="M156" i="22"/>
  <c r="L156" i="22"/>
  <c r="K156" i="22"/>
  <c r="J156" i="22"/>
  <c r="I156" i="22"/>
  <c r="H156" i="22"/>
  <c r="G156" i="22"/>
  <c r="F156" i="22"/>
  <c r="E156" i="22"/>
  <c r="M155" i="22"/>
  <c r="L155" i="22"/>
  <c r="K155" i="22"/>
  <c r="J155" i="22"/>
  <c r="I155" i="22"/>
  <c r="H155" i="22"/>
  <c r="G155" i="22"/>
  <c r="F155" i="22"/>
  <c r="E155" i="22"/>
  <c r="M154" i="22"/>
  <c r="L154" i="22"/>
  <c r="K154" i="22"/>
  <c r="J154" i="22"/>
  <c r="I154" i="22"/>
  <c r="H154" i="22"/>
  <c r="G154" i="22"/>
  <c r="F154" i="22"/>
  <c r="E154" i="22"/>
  <c r="M153" i="22"/>
  <c r="L153" i="22"/>
  <c r="K153" i="22"/>
  <c r="J153" i="22"/>
  <c r="I153" i="22"/>
  <c r="H153" i="22"/>
  <c r="G153" i="22"/>
  <c r="F153" i="22"/>
  <c r="E153" i="22"/>
  <c r="M152" i="22"/>
  <c r="L152" i="22"/>
  <c r="K152" i="22"/>
  <c r="J152" i="22"/>
  <c r="I152" i="22"/>
  <c r="H152" i="22"/>
  <c r="G152" i="22"/>
  <c r="F152" i="22"/>
  <c r="E152" i="22"/>
  <c r="M151" i="22"/>
  <c r="L151" i="22"/>
  <c r="K151" i="22"/>
  <c r="J151" i="22"/>
  <c r="I151" i="22"/>
  <c r="H151" i="22"/>
  <c r="G151" i="22"/>
  <c r="F151" i="22"/>
  <c r="E151" i="22"/>
  <c r="M150" i="22"/>
  <c r="L150" i="22"/>
  <c r="K150" i="22"/>
  <c r="J150" i="22"/>
  <c r="I150" i="22"/>
  <c r="H150" i="22"/>
  <c r="G150" i="22"/>
  <c r="F150" i="22"/>
  <c r="E150" i="22"/>
  <c r="M149" i="22"/>
  <c r="L149" i="22"/>
  <c r="K149" i="22"/>
  <c r="J149" i="22"/>
  <c r="I149" i="22"/>
  <c r="H149" i="22"/>
  <c r="G149" i="22"/>
  <c r="F149" i="22"/>
  <c r="E149" i="22"/>
  <c r="M148" i="22"/>
  <c r="L148" i="22"/>
  <c r="K148" i="22"/>
  <c r="J148" i="22"/>
  <c r="I148" i="22"/>
  <c r="H148" i="22"/>
  <c r="G148" i="22"/>
  <c r="F148" i="22"/>
  <c r="E148" i="22"/>
  <c r="M147" i="22"/>
  <c r="L147" i="22"/>
  <c r="K147" i="22"/>
  <c r="J147" i="22"/>
  <c r="I147" i="22"/>
  <c r="H147" i="22"/>
  <c r="G147" i="22"/>
  <c r="F147" i="22"/>
  <c r="E147" i="22"/>
  <c r="M146" i="22"/>
  <c r="L146" i="22"/>
  <c r="K146" i="22"/>
  <c r="J146" i="22"/>
  <c r="I146" i="22"/>
  <c r="H146" i="22"/>
  <c r="G146" i="22"/>
  <c r="F146" i="22"/>
  <c r="E146" i="22"/>
  <c r="M145" i="22"/>
  <c r="L145" i="22"/>
  <c r="K145" i="22"/>
  <c r="J145" i="22"/>
  <c r="I145" i="22"/>
  <c r="H145" i="22"/>
  <c r="G145" i="22"/>
  <c r="F145" i="22"/>
  <c r="E145" i="22"/>
  <c r="M144" i="22"/>
  <c r="L144" i="22"/>
  <c r="K144" i="22"/>
  <c r="J144" i="22"/>
  <c r="I144" i="22"/>
  <c r="H144" i="22"/>
  <c r="G144" i="22"/>
  <c r="F144" i="22"/>
  <c r="E144" i="22"/>
  <c r="M143" i="22"/>
  <c r="L143" i="22"/>
  <c r="K143" i="22"/>
  <c r="J143" i="22"/>
  <c r="I143" i="22"/>
  <c r="H143" i="22"/>
  <c r="G143" i="22"/>
  <c r="F143" i="22"/>
  <c r="E143" i="22"/>
  <c r="M142" i="22"/>
  <c r="L142" i="22"/>
  <c r="K142" i="22"/>
  <c r="J142" i="22"/>
  <c r="I142" i="22"/>
  <c r="H142" i="22"/>
  <c r="G142" i="22"/>
  <c r="F142" i="22"/>
  <c r="E142" i="22"/>
  <c r="M141" i="22"/>
  <c r="L141" i="22"/>
  <c r="K141" i="22"/>
  <c r="J141" i="22"/>
  <c r="I141" i="22"/>
  <c r="H141" i="22"/>
  <c r="G141" i="22"/>
  <c r="F141" i="22"/>
  <c r="E141" i="22"/>
  <c r="M140" i="22"/>
  <c r="L140" i="22"/>
  <c r="K140" i="22"/>
  <c r="J140" i="22"/>
  <c r="I140" i="22"/>
  <c r="H140" i="22"/>
  <c r="G140" i="22"/>
  <c r="F140" i="22"/>
  <c r="E140" i="22"/>
  <c r="M139" i="22"/>
  <c r="L139" i="22"/>
  <c r="K139" i="22"/>
  <c r="J139" i="22"/>
  <c r="I139" i="22"/>
  <c r="H139" i="22"/>
  <c r="G139" i="22"/>
  <c r="F139" i="22"/>
  <c r="E139" i="22"/>
  <c r="M138" i="22"/>
  <c r="L138" i="22"/>
  <c r="K138" i="22"/>
  <c r="J138" i="22"/>
  <c r="I138" i="22"/>
  <c r="H138" i="22"/>
  <c r="G138" i="22"/>
  <c r="F138" i="22"/>
  <c r="E138" i="22"/>
  <c r="M137" i="22"/>
  <c r="L137" i="22"/>
  <c r="K137" i="22"/>
  <c r="J137" i="22"/>
  <c r="I137" i="22"/>
  <c r="H137" i="22"/>
  <c r="G137" i="22"/>
  <c r="F137" i="22"/>
  <c r="E137" i="22"/>
  <c r="M136" i="22"/>
  <c r="L136" i="22"/>
  <c r="K136" i="22"/>
  <c r="J136" i="22"/>
  <c r="I136" i="22"/>
  <c r="H136" i="22"/>
  <c r="G136" i="22"/>
  <c r="F136" i="22"/>
  <c r="E136" i="22"/>
  <c r="M135" i="22"/>
  <c r="L135" i="22"/>
  <c r="K135" i="22"/>
  <c r="J135" i="22"/>
  <c r="I135" i="22"/>
  <c r="H135" i="22"/>
  <c r="G135" i="22"/>
  <c r="F135" i="22"/>
  <c r="E135" i="22"/>
  <c r="D166" i="22"/>
  <c r="D162" i="22"/>
  <c r="D167" i="22"/>
  <c r="D165" i="22"/>
  <c r="D164" i="22"/>
  <c r="D163" i="22"/>
  <c r="D161" i="22"/>
  <c r="D160" i="22"/>
  <c r="D159" i="22"/>
  <c r="D158" i="22"/>
  <c r="D157" i="22"/>
  <c r="D156" i="22"/>
  <c r="D155" i="22"/>
  <c r="D154" i="22"/>
  <c r="D153" i="22"/>
  <c r="D152" i="22"/>
  <c r="D151" i="22"/>
  <c r="D150" i="22"/>
  <c r="D149" i="22"/>
  <c r="D148" i="22"/>
  <c r="D147" i="22"/>
  <c r="D146" i="22"/>
  <c r="D145" i="22"/>
  <c r="D144" i="22"/>
  <c r="D143" i="22"/>
  <c r="D142" i="22"/>
  <c r="D141" i="22"/>
  <c r="D140" i="22"/>
  <c r="D139" i="22"/>
  <c r="D138" i="22"/>
  <c r="D137" i="22"/>
  <c r="D136" i="22"/>
  <c r="C18" i="22"/>
  <c r="C17" i="22"/>
  <c r="C16" i="22"/>
  <c r="C15" i="22"/>
  <c r="C14" i="22"/>
  <c r="C13" i="22"/>
  <c r="C12" i="22"/>
  <c r="C11" i="22"/>
  <c r="E10" i="22"/>
  <c r="D10" i="22"/>
  <c r="C186" i="22"/>
  <c r="C183" i="22"/>
  <c r="C182" i="22"/>
  <c r="C181" i="22"/>
  <c r="C180" i="22"/>
  <c r="C179" i="22"/>
  <c r="C178" i="22"/>
  <c r="C177" i="22"/>
  <c r="C176" i="22"/>
  <c r="C175" i="22"/>
  <c r="C174" i="22"/>
  <c r="C173" i="22"/>
  <c r="C172" i="22"/>
  <c r="C171" i="22"/>
  <c r="C170" i="22"/>
  <c r="C169" i="22"/>
  <c r="C168" i="22"/>
  <c r="C167" i="22"/>
  <c r="C166" i="22"/>
  <c r="C165" i="22"/>
  <c r="C164" i="22"/>
  <c r="C163" i="22"/>
  <c r="C162" i="22"/>
  <c r="C161" i="22"/>
  <c r="C160" i="22"/>
  <c r="C159" i="22"/>
  <c r="C158" i="22"/>
  <c r="C157" i="22"/>
  <c r="C156" i="22"/>
  <c r="C155" i="22"/>
  <c r="C154" i="22"/>
  <c r="C153" i="22"/>
  <c r="C152" i="22"/>
  <c r="C151" i="22"/>
  <c r="C150" i="22"/>
  <c r="C149" i="22"/>
  <c r="C148" i="22"/>
  <c r="C147" i="22"/>
  <c r="C146" i="22"/>
  <c r="C145" i="22"/>
  <c r="C144" i="22"/>
  <c r="C143" i="22"/>
  <c r="C142" i="22"/>
  <c r="C141" i="22"/>
  <c r="C140" i="22"/>
  <c r="C139" i="22"/>
  <c r="C138" i="22"/>
  <c r="C137" i="22"/>
  <c r="C136" i="22"/>
  <c r="C135" i="22"/>
  <c r="M134" i="22"/>
  <c r="L134" i="22"/>
  <c r="K134" i="22"/>
  <c r="J134" i="22"/>
  <c r="I134" i="22"/>
  <c r="H134" i="22"/>
  <c r="G134" i="22"/>
  <c r="F134" i="22"/>
  <c r="E134" i="22"/>
  <c r="D134" i="22"/>
  <c r="C53" i="30"/>
  <c r="Q245" i="52" l="1"/>
  <c r="O245" i="52"/>
  <c r="M245" i="52"/>
  <c r="K245" i="52"/>
  <c r="I245" i="52"/>
  <c r="G245" i="52"/>
  <c r="Q244" i="52"/>
  <c r="O244" i="52"/>
  <c r="M244" i="52"/>
  <c r="K244" i="52"/>
  <c r="I244" i="52"/>
  <c r="G244" i="52"/>
  <c r="Q243" i="52"/>
  <c r="O243" i="52"/>
  <c r="M243" i="52"/>
  <c r="K243" i="52"/>
  <c r="I243" i="52"/>
  <c r="G243" i="52"/>
  <c r="Q242" i="52"/>
  <c r="O242" i="52"/>
  <c r="M242" i="52"/>
  <c r="K242" i="52"/>
  <c r="I242" i="52"/>
  <c r="G242" i="52"/>
  <c r="Q241" i="52"/>
  <c r="O241" i="52"/>
  <c r="M241" i="52"/>
  <c r="K241" i="52"/>
  <c r="I241" i="52"/>
  <c r="G241" i="52"/>
  <c r="Q240" i="52"/>
  <c r="O240" i="52"/>
  <c r="M240" i="52"/>
  <c r="K240" i="52"/>
  <c r="I240" i="52"/>
  <c r="G240" i="52"/>
  <c r="Q239" i="52"/>
  <c r="O239" i="52"/>
  <c r="M239" i="52"/>
  <c r="K239" i="52"/>
  <c r="I239" i="52"/>
  <c r="G239" i="52"/>
  <c r="Q238" i="52"/>
  <c r="O238" i="52"/>
  <c r="M238" i="52"/>
  <c r="K238" i="52"/>
  <c r="I238" i="52"/>
  <c r="G238" i="52"/>
  <c r="O237" i="52"/>
  <c r="M237" i="52"/>
  <c r="K237" i="52"/>
  <c r="I237" i="52"/>
  <c r="G237" i="52"/>
  <c r="P235" i="52"/>
  <c r="N235" i="52"/>
  <c r="P236" i="52" s="1"/>
  <c r="Q247" i="52" s="1"/>
  <c r="L235" i="52"/>
  <c r="J235" i="52"/>
  <c r="H235" i="52"/>
  <c r="F235" i="52"/>
  <c r="H236" i="52" s="1"/>
  <c r="I247" i="52" s="1"/>
  <c r="F184" i="52"/>
  <c r="F144" i="52"/>
  <c r="F123" i="52"/>
  <c r="F103" i="52"/>
  <c r="F87" i="52"/>
  <c r="F64" i="52"/>
  <c r="L236" i="52" l="1"/>
  <c r="M247" i="52" s="1"/>
  <c r="I249" i="52" s="1"/>
  <c r="C524" i="43"/>
  <c r="B524" i="43"/>
  <c r="C523" i="43"/>
  <c r="B523" i="43"/>
  <c r="C522" i="43"/>
  <c r="B522" i="43"/>
  <c r="C521" i="43"/>
  <c r="B521" i="43"/>
  <c r="C520" i="43"/>
  <c r="B520" i="43"/>
  <c r="C519" i="43"/>
  <c r="B519" i="43"/>
  <c r="C518" i="43"/>
  <c r="B518" i="43"/>
  <c r="C517" i="43"/>
  <c r="B517" i="43"/>
  <c r="C516" i="43"/>
  <c r="B516" i="43"/>
  <c r="C515" i="43"/>
  <c r="B515" i="43"/>
  <c r="C514" i="43"/>
  <c r="B514" i="43"/>
  <c r="C513" i="43"/>
  <c r="B513" i="43"/>
  <c r="C512" i="43"/>
  <c r="B512" i="43"/>
  <c r="C511" i="43"/>
  <c r="B511" i="43"/>
  <c r="C510" i="43"/>
  <c r="B510" i="43"/>
  <c r="C509" i="43"/>
  <c r="B509" i="43"/>
  <c r="C508" i="43"/>
  <c r="B508" i="43"/>
  <c r="C507" i="43"/>
  <c r="B507" i="43"/>
  <c r="C506" i="43"/>
  <c r="B506" i="43"/>
  <c r="C505" i="43"/>
  <c r="B505" i="43"/>
  <c r="C504" i="43"/>
  <c r="B504" i="43"/>
  <c r="C503" i="43"/>
  <c r="B503" i="43"/>
  <c r="C502" i="43"/>
  <c r="B502" i="43"/>
  <c r="C501" i="43"/>
  <c r="B501" i="43"/>
  <c r="C500" i="43"/>
  <c r="B500" i="43"/>
  <c r="C499" i="43"/>
  <c r="B499" i="43"/>
  <c r="C498" i="43"/>
  <c r="B498" i="43"/>
  <c r="C497" i="43"/>
  <c r="B497" i="43"/>
  <c r="C496" i="43"/>
  <c r="B496" i="43"/>
  <c r="C495" i="43"/>
  <c r="B495" i="43"/>
  <c r="C494" i="43"/>
  <c r="B494" i="43"/>
  <c r="C493" i="43"/>
  <c r="B493" i="43"/>
  <c r="C492" i="43"/>
  <c r="B492" i="43"/>
  <c r="C491" i="43"/>
  <c r="B491" i="43"/>
  <c r="C490" i="43"/>
  <c r="B490" i="43"/>
  <c r="C489" i="43"/>
  <c r="B489" i="43"/>
  <c r="C488" i="43"/>
  <c r="B488" i="43"/>
  <c r="C487" i="43"/>
  <c r="B487" i="43"/>
  <c r="C486" i="43"/>
  <c r="B486" i="43"/>
  <c r="C485" i="43"/>
  <c r="B485" i="43"/>
  <c r="C484" i="43"/>
  <c r="B484" i="43"/>
  <c r="C483" i="43"/>
  <c r="B483" i="43"/>
  <c r="C482" i="43"/>
  <c r="B482" i="43"/>
  <c r="C481" i="43"/>
  <c r="B481" i="43"/>
  <c r="C480" i="43"/>
  <c r="B480" i="43"/>
  <c r="C479" i="43"/>
  <c r="B479" i="43"/>
  <c r="C478" i="43"/>
  <c r="B478" i="43"/>
  <c r="C477" i="43"/>
  <c r="B477" i="43"/>
  <c r="C476" i="43"/>
  <c r="B476" i="43"/>
  <c r="C475" i="43"/>
  <c r="B475" i="43"/>
  <c r="C474" i="43"/>
  <c r="B474" i="43"/>
  <c r="C473" i="43"/>
  <c r="B473" i="43"/>
  <c r="C472" i="43"/>
  <c r="B472" i="43"/>
  <c r="C471" i="43"/>
  <c r="B471" i="43"/>
  <c r="C470" i="43"/>
  <c r="B470" i="43"/>
  <c r="C469" i="43"/>
  <c r="B469" i="43"/>
  <c r="C468" i="43"/>
  <c r="B468" i="43"/>
  <c r="C467" i="43"/>
  <c r="B467" i="43"/>
  <c r="C466" i="43"/>
  <c r="B466" i="43"/>
  <c r="C465" i="43"/>
  <c r="B465" i="43"/>
  <c r="C464" i="43"/>
  <c r="B464" i="43"/>
  <c r="C463" i="43"/>
  <c r="B463" i="43"/>
  <c r="C462" i="43"/>
  <c r="B462" i="43"/>
  <c r="C461" i="43"/>
  <c r="B461" i="43"/>
  <c r="C460" i="43"/>
  <c r="B460" i="43"/>
  <c r="C459" i="43"/>
  <c r="B459" i="43"/>
  <c r="C458" i="43"/>
  <c r="B458" i="43"/>
  <c r="C457" i="43"/>
  <c r="B457" i="43"/>
  <c r="C456" i="43"/>
  <c r="B456" i="43"/>
  <c r="C455" i="43"/>
  <c r="B455" i="43"/>
  <c r="C454" i="43"/>
  <c r="B454" i="43"/>
  <c r="C453" i="43"/>
  <c r="B453" i="43"/>
  <c r="C452" i="43"/>
  <c r="B452" i="43"/>
  <c r="C451" i="43"/>
  <c r="B451" i="43"/>
  <c r="C450" i="43"/>
  <c r="B450" i="43"/>
  <c r="C449" i="43"/>
  <c r="B449" i="43"/>
  <c r="C448" i="43"/>
  <c r="B448" i="43"/>
  <c r="C447" i="43"/>
  <c r="B447" i="43"/>
  <c r="C446" i="43"/>
  <c r="B446" i="43"/>
  <c r="C445" i="43"/>
  <c r="B445" i="43"/>
  <c r="C444" i="43"/>
  <c r="B444" i="43"/>
  <c r="C443" i="43"/>
  <c r="B443" i="43"/>
  <c r="C442" i="43"/>
  <c r="B442" i="43"/>
  <c r="C441" i="43"/>
  <c r="B441" i="43"/>
  <c r="C440" i="43"/>
  <c r="B440" i="43"/>
  <c r="C439" i="43"/>
  <c r="B439" i="43"/>
  <c r="C438" i="43"/>
  <c r="B438" i="43"/>
  <c r="C437" i="43"/>
  <c r="B437" i="43"/>
  <c r="C436" i="43"/>
  <c r="B436" i="43"/>
  <c r="C435" i="43"/>
  <c r="B435" i="43"/>
  <c r="C434" i="43"/>
  <c r="B434" i="43"/>
  <c r="C433" i="43"/>
  <c r="B433" i="43"/>
  <c r="C432" i="43"/>
  <c r="B432" i="43"/>
  <c r="C431" i="43"/>
  <c r="B431" i="43"/>
  <c r="C430" i="43"/>
  <c r="B430" i="43"/>
  <c r="C429" i="43"/>
  <c r="B429" i="43"/>
  <c r="C428" i="43"/>
  <c r="B428" i="43"/>
  <c r="C427" i="43"/>
  <c r="B427" i="43"/>
  <c r="C426" i="43"/>
  <c r="B426" i="43"/>
  <c r="C425" i="43"/>
  <c r="B425" i="43"/>
  <c r="C525" i="43"/>
  <c r="M252" i="48" l="1"/>
  <c r="L252" i="48"/>
  <c r="K252" i="48"/>
  <c r="J252" i="48"/>
  <c r="I252" i="48"/>
  <c r="C252" i="48"/>
  <c r="M249" i="48"/>
  <c r="L249" i="48"/>
  <c r="K249" i="48"/>
  <c r="J249" i="48"/>
  <c r="I249" i="48"/>
  <c r="C249" i="48"/>
  <c r="M244" i="48"/>
  <c r="L244" i="48"/>
  <c r="K244" i="48"/>
  <c r="J244" i="48"/>
  <c r="I244" i="48"/>
  <c r="C244" i="48"/>
  <c r="M241" i="48"/>
  <c r="L241" i="48"/>
  <c r="K241" i="48"/>
  <c r="J241" i="48"/>
  <c r="I241" i="48"/>
  <c r="C241" i="48"/>
  <c r="M236" i="48"/>
  <c r="L236" i="48"/>
  <c r="K236" i="48"/>
  <c r="J236" i="48"/>
  <c r="I236" i="48"/>
  <c r="C236" i="48"/>
  <c r="M233" i="48"/>
  <c r="L233" i="48"/>
  <c r="K233" i="48"/>
  <c r="J233" i="48"/>
  <c r="I233" i="48"/>
  <c r="C233" i="48"/>
  <c r="M228" i="48"/>
  <c r="L228" i="48"/>
  <c r="K228" i="48"/>
  <c r="J228" i="48"/>
  <c r="I228" i="48"/>
  <c r="C228" i="48"/>
  <c r="M225" i="48"/>
  <c r="L225" i="48"/>
  <c r="K225" i="48"/>
  <c r="J225" i="48"/>
  <c r="I225" i="48"/>
  <c r="C225" i="48"/>
  <c r="M220" i="48"/>
  <c r="L220" i="48"/>
  <c r="K220" i="48"/>
  <c r="J220" i="48"/>
  <c r="I220" i="48"/>
  <c r="C220" i="48"/>
  <c r="M217" i="48"/>
  <c r="L217" i="48"/>
  <c r="K217" i="48"/>
  <c r="J217" i="48"/>
  <c r="I217" i="48"/>
  <c r="C217" i="48"/>
  <c r="M212" i="48"/>
  <c r="L212" i="48"/>
  <c r="K212" i="48"/>
  <c r="J212" i="48"/>
  <c r="I212" i="48"/>
  <c r="C212" i="48"/>
  <c r="M209" i="48"/>
  <c r="L209" i="48"/>
  <c r="K209" i="48"/>
  <c r="J209" i="48"/>
  <c r="I209" i="48"/>
  <c r="C209" i="48"/>
  <c r="M204" i="48"/>
  <c r="L204" i="48"/>
  <c r="K204" i="48"/>
  <c r="J204" i="48"/>
  <c r="I204" i="48"/>
  <c r="C204" i="48"/>
  <c r="M201" i="48"/>
  <c r="L201" i="48"/>
  <c r="K201" i="48"/>
  <c r="J201" i="48"/>
  <c r="I201" i="48"/>
  <c r="C201" i="48"/>
  <c r="M196" i="48"/>
  <c r="L196" i="48"/>
  <c r="K196" i="48"/>
  <c r="J196" i="48"/>
  <c r="I196" i="48"/>
  <c r="C196" i="48"/>
  <c r="M193" i="48"/>
  <c r="L193" i="48"/>
  <c r="K193" i="48"/>
  <c r="J193" i="48"/>
  <c r="I193" i="48"/>
  <c r="C193" i="48"/>
  <c r="E189" i="48"/>
  <c r="F189" i="48" s="1"/>
  <c r="G189" i="48" s="1"/>
  <c r="H189" i="48" s="1"/>
  <c r="I189" i="48" s="1"/>
  <c r="J189" i="48" s="1"/>
  <c r="K189" i="48" s="1"/>
  <c r="L189" i="48" s="1"/>
  <c r="M189" i="48" s="1"/>
  <c r="M275" i="48"/>
  <c r="L275" i="48"/>
  <c r="B275" i="48"/>
  <c r="M266" i="48"/>
  <c r="L266" i="48"/>
  <c r="K266" i="48"/>
  <c r="J266" i="48"/>
  <c r="I266" i="48"/>
  <c r="H266" i="48"/>
  <c r="G266" i="48"/>
  <c r="B266" i="48"/>
  <c r="C185" i="22" s="1"/>
  <c r="M264" i="48"/>
  <c r="L264" i="48"/>
  <c r="K264" i="48"/>
  <c r="J264" i="48"/>
  <c r="I264" i="48"/>
  <c r="H264" i="48"/>
  <c r="G264" i="48"/>
  <c r="B264" i="48"/>
  <c r="C184" i="22" s="1"/>
  <c r="M183" i="48"/>
  <c r="L183" i="48"/>
  <c r="K183" i="48"/>
  <c r="J183" i="48"/>
  <c r="I183" i="48"/>
  <c r="H183" i="48"/>
  <c r="G183" i="48"/>
  <c r="F183" i="48"/>
  <c r="E183" i="48"/>
  <c r="D183" i="48"/>
  <c r="C183" i="48"/>
  <c r="M179" i="48"/>
  <c r="L179" i="48"/>
  <c r="K179" i="48"/>
  <c r="J179" i="48"/>
  <c r="I179" i="48"/>
  <c r="H179" i="48"/>
  <c r="G179" i="48"/>
  <c r="F179" i="48"/>
  <c r="E179" i="48"/>
  <c r="D179" i="48"/>
  <c r="B179" i="48"/>
  <c r="M178" i="48"/>
  <c r="L178" i="48"/>
  <c r="K178" i="48"/>
  <c r="J178" i="48"/>
  <c r="I178" i="48"/>
  <c r="H178" i="48"/>
  <c r="G178" i="48"/>
  <c r="F178" i="48"/>
  <c r="E178" i="48"/>
  <c r="D178" i="48"/>
  <c r="M174" i="48"/>
  <c r="L174" i="48"/>
  <c r="K174" i="48"/>
  <c r="J174" i="48"/>
  <c r="I174" i="48"/>
  <c r="H174" i="48"/>
  <c r="G174" i="48"/>
  <c r="F174" i="48"/>
  <c r="E174" i="48"/>
  <c r="D174" i="48"/>
  <c r="M170" i="48"/>
  <c r="L170" i="48"/>
  <c r="K170" i="48"/>
  <c r="J170" i="48"/>
  <c r="I170" i="48"/>
  <c r="H170" i="48"/>
  <c r="G170" i="48"/>
  <c r="F170" i="48"/>
  <c r="E170" i="48"/>
  <c r="D170" i="48"/>
  <c r="M165" i="48"/>
  <c r="L165" i="48"/>
  <c r="K165" i="48"/>
  <c r="J165" i="48"/>
  <c r="I165" i="48"/>
  <c r="H165" i="48"/>
  <c r="G165" i="48"/>
  <c r="F165" i="48"/>
  <c r="E165" i="48"/>
  <c r="D165" i="48"/>
  <c r="M161" i="48"/>
  <c r="L161" i="48"/>
  <c r="K161" i="48"/>
  <c r="J161" i="48"/>
  <c r="I161" i="48"/>
  <c r="H161" i="48"/>
  <c r="G161" i="48"/>
  <c r="F161" i="48"/>
  <c r="E161" i="48"/>
  <c r="D161" i="48"/>
  <c r="M157" i="48"/>
  <c r="L157" i="48"/>
  <c r="K157" i="48"/>
  <c r="J157" i="48"/>
  <c r="I157" i="48"/>
  <c r="H157" i="48"/>
  <c r="G157" i="48"/>
  <c r="F157" i="48"/>
  <c r="E157" i="48"/>
  <c r="D157" i="48"/>
  <c r="M166" i="48"/>
  <c r="L166" i="48"/>
  <c r="K166" i="48"/>
  <c r="J166" i="48"/>
  <c r="I166" i="48"/>
  <c r="H166" i="48"/>
  <c r="G166" i="48"/>
  <c r="F166" i="48"/>
  <c r="E166" i="48"/>
  <c r="D166" i="48"/>
  <c r="B166" i="48"/>
  <c r="M143" i="48"/>
  <c r="L143" i="48"/>
  <c r="K143" i="48"/>
  <c r="J143" i="48"/>
  <c r="I143" i="48"/>
  <c r="H143" i="48"/>
  <c r="G143" i="48"/>
  <c r="F143" i="48"/>
  <c r="E143" i="48"/>
  <c r="D143" i="48"/>
  <c r="C143" i="48"/>
  <c r="M138" i="48"/>
  <c r="L138" i="48"/>
  <c r="K138" i="48"/>
  <c r="J138" i="48"/>
  <c r="I138" i="48"/>
  <c r="H138" i="48"/>
  <c r="G138" i="48"/>
  <c r="F138" i="48"/>
  <c r="E138" i="48"/>
  <c r="D138" i="48"/>
  <c r="C138" i="48"/>
  <c r="M147" i="48"/>
  <c r="L147" i="48"/>
  <c r="K147" i="48"/>
  <c r="J147" i="48"/>
  <c r="I147" i="48"/>
  <c r="H147" i="48"/>
  <c r="G147" i="48"/>
  <c r="F147" i="48"/>
  <c r="E147" i="48"/>
  <c r="D147" i="48"/>
  <c r="C147" i="48"/>
  <c r="M128" i="48"/>
  <c r="L128" i="48"/>
  <c r="K128" i="48"/>
  <c r="J128" i="48"/>
  <c r="I128" i="48"/>
  <c r="H128" i="48"/>
  <c r="G128" i="48"/>
  <c r="F128" i="48"/>
  <c r="E128" i="48"/>
  <c r="D128" i="48"/>
  <c r="C128" i="48"/>
  <c r="M123" i="48"/>
  <c r="L123" i="48"/>
  <c r="K123" i="48"/>
  <c r="J123" i="48"/>
  <c r="I123" i="48"/>
  <c r="H123" i="48"/>
  <c r="G123" i="48"/>
  <c r="F123" i="48"/>
  <c r="E123" i="48"/>
  <c r="D123" i="48"/>
  <c r="C123" i="48"/>
  <c r="M132" i="48"/>
  <c r="L132" i="48"/>
  <c r="K132" i="48"/>
  <c r="J132" i="48"/>
  <c r="I132" i="48"/>
  <c r="H132" i="48"/>
  <c r="G132" i="48"/>
  <c r="F132" i="48"/>
  <c r="E132" i="48"/>
  <c r="D132" i="48"/>
  <c r="C132" i="48"/>
  <c r="M113" i="48"/>
  <c r="L113" i="48"/>
  <c r="K113" i="48"/>
  <c r="J113" i="48"/>
  <c r="I113" i="48"/>
  <c r="H113" i="48"/>
  <c r="G113" i="48"/>
  <c r="F113" i="48"/>
  <c r="E113" i="48"/>
  <c r="D113" i="48"/>
  <c r="C113" i="48"/>
  <c r="M108" i="48"/>
  <c r="L108" i="48"/>
  <c r="K108" i="48"/>
  <c r="J108" i="48"/>
  <c r="I108" i="48"/>
  <c r="H108" i="48"/>
  <c r="G108" i="48"/>
  <c r="F108" i="48"/>
  <c r="E108" i="48"/>
  <c r="D108" i="48"/>
  <c r="C108" i="48"/>
  <c r="M117" i="48"/>
  <c r="L117" i="48"/>
  <c r="K117" i="48"/>
  <c r="J117" i="48"/>
  <c r="I117" i="48"/>
  <c r="H117" i="48"/>
  <c r="G117" i="48"/>
  <c r="F117" i="48"/>
  <c r="E117" i="48"/>
  <c r="D117" i="48"/>
  <c r="C117" i="48"/>
  <c r="M98" i="48"/>
  <c r="L98" i="48"/>
  <c r="K98" i="48"/>
  <c r="J98" i="48"/>
  <c r="I98" i="48"/>
  <c r="H98" i="48"/>
  <c r="G98" i="48"/>
  <c r="F98" i="48"/>
  <c r="E98" i="48"/>
  <c r="D98" i="48"/>
  <c r="C98" i="48"/>
  <c r="M93" i="48"/>
  <c r="L93" i="48"/>
  <c r="K93" i="48"/>
  <c r="J93" i="48"/>
  <c r="I93" i="48"/>
  <c r="H93" i="48"/>
  <c r="G93" i="48"/>
  <c r="F93" i="48"/>
  <c r="E93" i="48"/>
  <c r="D93" i="48"/>
  <c r="C93" i="48"/>
  <c r="M102" i="48"/>
  <c r="L102" i="48"/>
  <c r="K102" i="48"/>
  <c r="J102" i="48"/>
  <c r="I102" i="48"/>
  <c r="H102" i="48"/>
  <c r="G102" i="48"/>
  <c r="F102" i="48"/>
  <c r="E102" i="48"/>
  <c r="D102" i="48"/>
  <c r="C102" i="48"/>
  <c r="M83" i="48"/>
  <c r="L83" i="48"/>
  <c r="K83" i="48"/>
  <c r="J83" i="48"/>
  <c r="I83" i="48"/>
  <c r="H83" i="48"/>
  <c r="G83" i="48"/>
  <c r="F83" i="48"/>
  <c r="E83" i="48"/>
  <c r="D83" i="48"/>
  <c r="C83" i="48"/>
  <c r="M78" i="48"/>
  <c r="L78" i="48"/>
  <c r="K78" i="48"/>
  <c r="J78" i="48"/>
  <c r="I78" i="48"/>
  <c r="H78" i="48"/>
  <c r="G78" i="48"/>
  <c r="F78" i="48"/>
  <c r="E78" i="48"/>
  <c r="D78" i="48"/>
  <c r="C78" i="48"/>
  <c r="M87" i="48"/>
  <c r="L87" i="48"/>
  <c r="K87" i="48"/>
  <c r="J87" i="48"/>
  <c r="I87" i="48"/>
  <c r="H87" i="48"/>
  <c r="G87" i="48"/>
  <c r="F87" i="48"/>
  <c r="E87" i="48"/>
  <c r="D87" i="48"/>
  <c r="C87" i="48"/>
  <c r="M72" i="48"/>
  <c r="L72" i="48"/>
  <c r="K72" i="48"/>
  <c r="J72" i="48"/>
  <c r="I72" i="48"/>
  <c r="H72" i="48"/>
  <c r="G72" i="48"/>
  <c r="F72" i="48"/>
  <c r="E72" i="48"/>
  <c r="D72" i="48"/>
  <c r="C72" i="48"/>
  <c r="M68" i="48"/>
  <c r="L68" i="48"/>
  <c r="K68" i="48"/>
  <c r="J68" i="48"/>
  <c r="I68" i="48"/>
  <c r="H68" i="48"/>
  <c r="G68" i="48"/>
  <c r="F68" i="48"/>
  <c r="E68" i="48"/>
  <c r="D68" i="48"/>
  <c r="C68" i="48"/>
  <c r="M63" i="48"/>
  <c r="L63" i="48"/>
  <c r="K63" i="48"/>
  <c r="J63" i="48"/>
  <c r="I63" i="48"/>
  <c r="H63" i="48"/>
  <c r="G63" i="48"/>
  <c r="F63" i="48"/>
  <c r="E63" i="48"/>
  <c r="D63" i="48"/>
  <c r="C63" i="48"/>
  <c r="M53" i="48"/>
  <c r="L53" i="48"/>
  <c r="K53" i="48"/>
  <c r="J53" i="48"/>
  <c r="I53" i="48"/>
  <c r="H53" i="48"/>
  <c r="G53" i="48"/>
  <c r="F53" i="48"/>
  <c r="E53" i="48"/>
  <c r="D53" i="48"/>
  <c r="C53" i="48"/>
  <c r="M48" i="48"/>
  <c r="L48" i="48"/>
  <c r="K48" i="48"/>
  <c r="J48" i="48"/>
  <c r="I48" i="48"/>
  <c r="H48" i="48"/>
  <c r="G48" i="48"/>
  <c r="F48" i="48"/>
  <c r="E48" i="48"/>
  <c r="D48" i="48"/>
  <c r="C48" i="48"/>
  <c r="M57" i="48"/>
  <c r="L57" i="48"/>
  <c r="K57" i="48"/>
  <c r="J57" i="48"/>
  <c r="I57" i="48"/>
  <c r="H57" i="48"/>
  <c r="G57" i="48"/>
  <c r="F57" i="48"/>
  <c r="E57" i="48"/>
  <c r="D57" i="48"/>
  <c r="C57" i="48"/>
  <c r="M42" i="48"/>
  <c r="L42" i="48"/>
  <c r="K42" i="48"/>
  <c r="J42" i="48"/>
  <c r="I42" i="48"/>
  <c r="H42" i="48"/>
  <c r="G42" i="48"/>
  <c r="F42" i="48"/>
  <c r="E42" i="48"/>
  <c r="D42" i="48"/>
  <c r="M38" i="48"/>
  <c r="L38" i="48"/>
  <c r="K38" i="48"/>
  <c r="J38" i="48"/>
  <c r="I38" i="48"/>
  <c r="H38" i="48"/>
  <c r="G38" i="48"/>
  <c r="F38" i="48"/>
  <c r="E38" i="48"/>
  <c r="D38" i="48"/>
  <c r="M33" i="48"/>
  <c r="L33" i="48"/>
  <c r="K33" i="48"/>
  <c r="J33" i="48"/>
  <c r="I33" i="48"/>
  <c r="H33" i="48"/>
  <c r="G33" i="48"/>
  <c r="F33" i="48"/>
  <c r="E33" i="48"/>
  <c r="D33" i="48"/>
  <c r="D135" i="22" s="1"/>
  <c r="C42" i="48"/>
  <c r="C33" i="48"/>
  <c r="C38" i="48"/>
  <c r="C25" i="37"/>
  <c r="C22" i="37"/>
  <c r="C20" i="37" s="1"/>
  <c r="C33" i="37" s="1"/>
  <c r="C17" i="37"/>
  <c r="D130" i="22" s="1"/>
  <c r="D20" i="1" l="1"/>
  <c r="P54" i="30" l="1"/>
  <c r="C178" i="48" l="1"/>
  <c r="C174" i="48"/>
  <c r="C170" i="48"/>
  <c r="C165" i="48"/>
  <c r="C161" i="48"/>
  <c r="C157" i="48"/>
  <c r="D44" i="8" l="1"/>
  <c r="H40" i="8"/>
  <c r="E28" i="48" l="1"/>
  <c r="F28" i="48" s="1"/>
  <c r="G28" i="48" s="1"/>
  <c r="H28" i="48" s="1"/>
  <c r="I28" i="48" s="1"/>
  <c r="J28" i="48" s="1"/>
  <c r="K28" i="48" s="1"/>
  <c r="L28" i="48" s="1"/>
  <c r="M28" i="48" s="1"/>
  <c r="E3" i="48"/>
  <c r="F3" i="48" s="1"/>
  <c r="G3" i="48" s="1"/>
  <c r="H3" i="48" s="1"/>
  <c r="I3" i="48" s="1"/>
  <c r="J3" i="48" s="1"/>
  <c r="K3" i="48" s="1"/>
  <c r="L3" i="48" s="1"/>
  <c r="M3" i="48" s="1"/>
  <c r="D79" i="37" l="1"/>
  <c r="D48" i="37" s="1"/>
  <c r="C79" i="37"/>
  <c r="C48" i="37" s="1"/>
  <c r="E25" i="37" l="1"/>
  <c r="E22" i="37"/>
  <c r="E17" i="37"/>
  <c r="F130" i="22" s="1"/>
  <c r="E15" i="37"/>
  <c r="F129" i="22" s="1"/>
  <c r="D73" i="37"/>
  <c r="B108" i="43"/>
  <c r="B107" i="43"/>
  <c r="B106" i="43"/>
  <c r="B105" i="43"/>
  <c r="B104" i="43"/>
  <c r="B103" i="43"/>
  <c r="B102" i="43"/>
  <c r="B101" i="43"/>
  <c r="B100" i="43"/>
  <c r="B99" i="43"/>
  <c r="B98" i="43"/>
  <c r="B97" i="43"/>
  <c r="B96" i="43"/>
  <c r="B95" i="43"/>
  <c r="B94" i="43"/>
  <c r="B93" i="43"/>
  <c r="B92" i="43"/>
  <c r="B91" i="43"/>
  <c r="B90" i="43"/>
  <c r="B89" i="43"/>
  <c r="B88" i="43"/>
  <c r="B87" i="43"/>
  <c r="B86" i="43"/>
  <c r="B85" i="43"/>
  <c r="B84" i="43"/>
  <c r="B83" i="43"/>
  <c r="B82" i="43"/>
  <c r="B81" i="43"/>
  <c r="B80" i="43"/>
  <c r="B79" i="43"/>
  <c r="B78" i="43"/>
  <c r="B77" i="43"/>
  <c r="B76" i="43"/>
  <c r="B75" i="43"/>
  <c r="B74" i="43"/>
  <c r="B73" i="43"/>
  <c r="B72" i="43"/>
  <c r="B71" i="43"/>
  <c r="B70" i="43"/>
  <c r="B69" i="43"/>
  <c r="B68" i="43"/>
  <c r="B67" i="43"/>
  <c r="B66" i="43"/>
  <c r="B65" i="43"/>
  <c r="B64" i="43"/>
  <c r="B63" i="43"/>
  <c r="B62" i="43"/>
  <c r="B61" i="43"/>
  <c r="B60" i="43"/>
  <c r="B59" i="43"/>
  <c r="B58" i="43"/>
  <c r="B57" i="43"/>
  <c r="B56" i="43"/>
  <c r="B55" i="43"/>
  <c r="B54" i="43"/>
  <c r="B53" i="43"/>
  <c r="B52" i="43"/>
  <c r="B51" i="43"/>
  <c r="B50" i="43"/>
  <c r="B49" i="43"/>
  <c r="B48" i="43"/>
  <c r="B47" i="43"/>
  <c r="B46" i="43"/>
  <c r="B45" i="43"/>
  <c r="B44" i="43"/>
  <c r="B43" i="43"/>
  <c r="B42" i="43"/>
  <c r="B41" i="43"/>
  <c r="B40" i="43"/>
  <c r="B39" i="43"/>
  <c r="B38" i="43"/>
  <c r="B37" i="43"/>
  <c r="B36" i="43"/>
  <c r="B35" i="43"/>
  <c r="B34" i="43"/>
  <c r="B33" i="43"/>
  <c r="B32" i="43"/>
  <c r="B31" i="43"/>
  <c r="B30" i="43"/>
  <c r="B29" i="43"/>
  <c r="B28" i="43"/>
  <c r="B27" i="43"/>
  <c r="B26" i="43"/>
  <c r="B25" i="43"/>
  <c r="B24" i="43"/>
  <c r="B23" i="43"/>
  <c r="B22" i="43"/>
  <c r="B21" i="43"/>
  <c r="B20" i="43"/>
  <c r="B19" i="43"/>
  <c r="B18" i="43"/>
  <c r="B17" i="43"/>
  <c r="B16" i="43"/>
  <c r="B15" i="43"/>
  <c r="B14" i="43"/>
  <c r="B13" i="43"/>
  <c r="B12" i="43"/>
  <c r="B11" i="43"/>
  <c r="B10" i="43"/>
  <c r="B214" i="37"/>
  <c r="B213" i="37"/>
  <c r="B212" i="37"/>
  <c r="B211" i="37"/>
  <c r="B210" i="37"/>
  <c r="B107" i="44"/>
  <c r="B106" i="44"/>
  <c r="B105" i="44"/>
  <c r="B104" i="44"/>
  <c r="B103" i="44"/>
  <c r="B102" i="44"/>
  <c r="B101" i="44"/>
  <c r="B100" i="44"/>
  <c r="B99" i="44"/>
  <c r="B98" i="44"/>
  <c r="B97" i="44"/>
  <c r="B96" i="44"/>
  <c r="B95" i="44"/>
  <c r="B94" i="44"/>
  <c r="B93" i="44"/>
  <c r="B92" i="44"/>
  <c r="B91" i="44"/>
  <c r="B90" i="44"/>
  <c r="B89" i="44"/>
  <c r="B88" i="44"/>
  <c r="B87" i="44"/>
  <c r="B86" i="44"/>
  <c r="B85" i="44"/>
  <c r="B84" i="44"/>
  <c r="B83" i="44"/>
  <c r="B82" i="44"/>
  <c r="B81" i="44"/>
  <c r="B80" i="44"/>
  <c r="B79" i="44"/>
  <c r="B78" i="44"/>
  <c r="B77" i="44"/>
  <c r="B76" i="44"/>
  <c r="B75" i="44"/>
  <c r="B74" i="44"/>
  <c r="B73" i="44"/>
  <c r="B72" i="44"/>
  <c r="B71" i="44"/>
  <c r="B70" i="44"/>
  <c r="B69" i="44"/>
  <c r="B68" i="44"/>
  <c r="B67" i="44"/>
  <c r="B66" i="44"/>
  <c r="B65" i="44"/>
  <c r="B64" i="44"/>
  <c r="B63" i="44"/>
  <c r="B62" i="44"/>
  <c r="B61" i="44"/>
  <c r="B60" i="44"/>
  <c r="B59" i="44"/>
  <c r="B58" i="44"/>
  <c r="B57" i="44"/>
  <c r="B56" i="44"/>
  <c r="B55" i="44"/>
  <c r="B54" i="44"/>
  <c r="B53" i="44"/>
  <c r="B52" i="44"/>
  <c r="B51" i="44"/>
  <c r="B50" i="44"/>
  <c r="B49" i="44"/>
  <c r="B48" i="44"/>
  <c r="B47" i="44"/>
  <c r="B46" i="44"/>
  <c r="B45" i="44"/>
  <c r="B44" i="44"/>
  <c r="B43" i="44"/>
  <c r="B42" i="44"/>
  <c r="B41" i="44"/>
  <c r="B40" i="44"/>
  <c r="B39" i="44"/>
  <c r="B38" i="44"/>
  <c r="B37" i="44"/>
  <c r="B36" i="44"/>
  <c r="B35" i="44"/>
  <c r="B34" i="44"/>
  <c r="B33" i="44"/>
  <c r="B32" i="44"/>
  <c r="B31" i="44"/>
  <c r="B30" i="44"/>
  <c r="B29" i="44"/>
  <c r="B28" i="44"/>
  <c r="B27" i="44"/>
  <c r="B26" i="44"/>
  <c r="B25" i="44"/>
  <c r="B24" i="44"/>
  <c r="B23" i="44"/>
  <c r="B22" i="44"/>
  <c r="B21" i="44"/>
  <c r="B20" i="44"/>
  <c r="B19" i="44"/>
  <c r="B18" i="44"/>
  <c r="B17" i="44"/>
  <c r="B16" i="44"/>
  <c r="B15" i="44"/>
  <c r="B14" i="44"/>
  <c r="B13" i="44"/>
  <c r="B12" i="44"/>
  <c r="B11" i="44"/>
  <c r="B10" i="44"/>
  <c r="B9" i="44"/>
  <c r="D81" i="37" l="1"/>
  <c r="E20" i="37"/>
  <c r="E33" i="37" s="1"/>
  <c r="D360" i="44"/>
  <c r="D359" i="44"/>
  <c r="D358" i="44"/>
  <c r="D353" i="44"/>
  <c r="D352" i="44"/>
  <c r="D351" i="44"/>
  <c r="D346" i="44"/>
  <c r="D345" i="44"/>
  <c r="D344" i="44"/>
  <c r="D339" i="44"/>
  <c r="D338" i="44"/>
  <c r="D337" i="44"/>
  <c r="D332" i="44"/>
  <c r="D331" i="44"/>
  <c r="D330" i="44"/>
  <c r="D325" i="44"/>
  <c r="D324" i="44"/>
  <c r="D323" i="44"/>
  <c r="D322" i="44"/>
  <c r="C420" i="43"/>
  <c r="C419" i="43"/>
  <c r="C418" i="43"/>
  <c r="C417" i="43"/>
  <c r="C416" i="43"/>
  <c r="C415" i="43"/>
  <c r="C414" i="43"/>
  <c r="C413" i="43"/>
  <c r="C412" i="43"/>
  <c r="C411" i="43"/>
  <c r="C410" i="43"/>
  <c r="C409" i="43"/>
  <c r="C408" i="43"/>
  <c r="C407" i="43"/>
  <c r="C406" i="43"/>
  <c r="C405" i="43"/>
  <c r="C404" i="43"/>
  <c r="C403" i="43"/>
  <c r="C402" i="43"/>
  <c r="C401" i="43"/>
  <c r="C400" i="43"/>
  <c r="C399" i="43"/>
  <c r="C398" i="43"/>
  <c r="C397" i="43"/>
  <c r="C396" i="43"/>
  <c r="C395" i="43"/>
  <c r="C394" i="43"/>
  <c r="C393" i="43"/>
  <c r="C392" i="43"/>
  <c r="C391" i="43"/>
  <c r="C390" i="43"/>
  <c r="C389" i="43"/>
  <c r="C388" i="43"/>
  <c r="C387" i="43"/>
  <c r="C386" i="43"/>
  <c r="C385" i="43"/>
  <c r="C384" i="43"/>
  <c r="C383" i="43"/>
  <c r="C382" i="43"/>
  <c r="C381" i="43"/>
  <c r="C380" i="43"/>
  <c r="C379" i="43"/>
  <c r="C378" i="43"/>
  <c r="C377" i="43"/>
  <c r="C376" i="43"/>
  <c r="C375" i="43"/>
  <c r="C374" i="43"/>
  <c r="C373" i="43"/>
  <c r="C372" i="43"/>
  <c r="C371" i="43"/>
  <c r="C370" i="43"/>
  <c r="C369" i="43"/>
  <c r="C368" i="43"/>
  <c r="C367" i="43"/>
  <c r="C366" i="43"/>
  <c r="C365" i="43"/>
  <c r="C364" i="43"/>
  <c r="C363" i="43"/>
  <c r="C362" i="43"/>
  <c r="C361" i="43"/>
  <c r="C360" i="43"/>
  <c r="C359" i="43"/>
  <c r="C358" i="43"/>
  <c r="C357" i="43"/>
  <c r="C356" i="43"/>
  <c r="C355" i="43"/>
  <c r="C354" i="43"/>
  <c r="C353" i="43"/>
  <c r="C352" i="43"/>
  <c r="C351" i="43"/>
  <c r="C350" i="43"/>
  <c r="C349" i="43"/>
  <c r="C348" i="43"/>
  <c r="C347" i="43"/>
  <c r="C346" i="43"/>
  <c r="C345" i="43"/>
  <c r="C344" i="43"/>
  <c r="C343" i="43"/>
  <c r="C342" i="43"/>
  <c r="C341" i="43"/>
  <c r="C340" i="43"/>
  <c r="C339" i="43"/>
  <c r="C338" i="43"/>
  <c r="C337" i="43"/>
  <c r="C336" i="43"/>
  <c r="C335" i="43"/>
  <c r="C334" i="43"/>
  <c r="C333" i="43"/>
  <c r="C332" i="43"/>
  <c r="C331" i="43"/>
  <c r="C330" i="43"/>
  <c r="C329" i="43"/>
  <c r="C328" i="43"/>
  <c r="C327" i="43"/>
  <c r="C326" i="43"/>
  <c r="C325" i="43"/>
  <c r="C324" i="43"/>
  <c r="C323" i="43"/>
  <c r="C322" i="43"/>
  <c r="C321" i="43"/>
  <c r="B420" i="43"/>
  <c r="B419" i="43"/>
  <c r="B418" i="43"/>
  <c r="B417" i="43"/>
  <c r="B416" i="43"/>
  <c r="B415" i="43"/>
  <c r="B414" i="43"/>
  <c r="B413" i="43"/>
  <c r="B412" i="43"/>
  <c r="B411" i="43"/>
  <c r="B410" i="43"/>
  <c r="B409" i="43"/>
  <c r="B408" i="43"/>
  <c r="B407" i="43"/>
  <c r="B406" i="43"/>
  <c r="B405" i="43"/>
  <c r="B404" i="43"/>
  <c r="B403" i="43"/>
  <c r="B402" i="43"/>
  <c r="B401" i="43"/>
  <c r="B400" i="43"/>
  <c r="B399" i="43"/>
  <c r="B398" i="43"/>
  <c r="B397" i="43"/>
  <c r="B396" i="43"/>
  <c r="B395" i="43"/>
  <c r="B394" i="43"/>
  <c r="B393" i="43"/>
  <c r="B392" i="43"/>
  <c r="B391" i="43"/>
  <c r="B390" i="43"/>
  <c r="B389" i="43"/>
  <c r="B388" i="43"/>
  <c r="B387" i="43"/>
  <c r="B386" i="43"/>
  <c r="B385" i="43"/>
  <c r="B384" i="43"/>
  <c r="B383" i="43"/>
  <c r="B382" i="43"/>
  <c r="B381" i="43"/>
  <c r="B380" i="43"/>
  <c r="B379" i="43"/>
  <c r="B378" i="43"/>
  <c r="B377" i="43"/>
  <c r="B376" i="43"/>
  <c r="B375" i="43"/>
  <c r="B374" i="43"/>
  <c r="B373" i="43"/>
  <c r="B372" i="43"/>
  <c r="B371" i="43"/>
  <c r="B370" i="43"/>
  <c r="B369" i="43"/>
  <c r="B368" i="43"/>
  <c r="B367" i="43"/>
  <c r="B366" i="43"/>
  <c r="B365" i="43"/>
  <c r="B364" i="43"/>
  <c r="B363" i="43"/>
  <c r="B362" i="43"/>
  <c r="B361" i="43"/>
  <c r="B360" i="43"/>
  <c r="B359" i="43"/>
  <c r="B358" i="43"/>
  <c r="B357" i="43"/>
  <c r="B356" i="43"/>
  <c r="B355" i="43"/>
  <c r="B354" i="43"/>
  <c r="B353" i="43"/>
  <c r="B352" i="43"/>
  <c r="B351" i="43"/>
  <c r="B350" i="43"/>
  <c r="B349" i="43"/>
  <c r="B348" i="43"/>
  <c r="B347" i="43"/>
  <c r="B346" i="43"/>
  <c r="B345" i="43"/>
  <c r="B344" i="43"/>
  <c r="B343" i="43"/>
  <c r="B342" i="43"/>
  <c r="B341" i="43"/>
  <c r="B340" i="43"/>
  <c r="B339" i="43"/>
  <c r="B338" i="43"/>
  <c r="B337" i="43"/>
  <c r="B336" i="43"/>
  <c r="B335" i="43"/>
  <c r="B334" i="43"/>
  <c r="B333" i="43"/>
  <c r="B332" i="43"/>
  <c r="B331" i="43"/>
  <c r="B330" i="43"/>
  <c r="B329" i="43"/>
  <c r="B328" i="43"/>
  <c r="B327" i="43"/>
  <c r="B326" i="43"/>
  <c r="B325" i="43"/>
  <c r="B324" i="43"/>
  <c r="B323" i="43"/>
  <c r="B322" i="43"/>
  <c r="B321" i="43"/>
  <c r="C421" i="43"/>
  <c r="C316" i="44"/>
  <c r="C315" i="44"/>
  <c r="B315" i="44"/>
  <c r="C314" i="44"/>
  <c r="B314" i="44"/>
  <c r="C313" i="44"/>
  <c r="B313" i="44"/>
  <c r="C312" i="44"/>
  <c r="B312" i="44"/>
  <c r="C311" i="44"/>
  <c r="B311" i="44"/>
  <c r="C310" i="44"/>
  <c r="B310" i="44"/>
  <c r="C309" i="44"/>
  <c r="B309" i="44"/>
  <c r="C308" i="44"/>
  <c r="B308" i="44"/>
  <c r="C307" i="44"/>
  <c r="B307" i="44"/>
  <c r="C306" i="44"/>
  <c r="B306" i="44"/>
  <c r="C305" i="44"/>
  <c r="B305" i="44"/>
  <c r="C304" i="44"/>
  <c r="B304" i="44"/>
  <c r="C303" i="44"/>
  <c r="B303" i="44"/>
  <c r="C302" i="44"/>
  <c r="B302" i="44"/>
  <c r="C301" i="44"/>
  <c r="B301" i="44"/>
  <c r="C300" i="44"/>
  <c r="B300" i="44"/>
  <c r="C299" i="44"/>
  <c r="B299" i="44"/>
  <c r="C298" i="44"/>
  <c r="B298" i="44"/>
  <c r="C297" i="44"/>
  <c r="B297" i="44"/>
  <c r="C296" i="44"/>
  <c r="B296" i="44"/>
  <c r="C295" i="44"/>
  <c r="B295" i="44"/>
  <c r="C294" i="44"/>
  <c r="B294" i="44"/>
  <c r="C293" i="44"/>
  <c r="B293" i="44"/>
  <c r="C292" i="44"/>
  <c r="B292" i="44"/>
  <c r="C291" i="44"/>
  <c r="B291" i="44"/>
  <c r="C290" i="44"/>
  <c r="B290" i="44"/>
  <c r="C289" i="44"/>
  <c r="B289" i="44"/>
  <c r="C288" i="44"/>
  <c r="B288" i="44"/>
  <c r="C287" i="44"/>
  <c r="B287" i="44"/>
  <c r="C286" i="44"/>
  <c r="B286" i="44"/>
  <c r="C285" i="44"/>
  <c r="B285" i="44"/>
  <c r="C284" i="44"/>
  <c r="B284" i="44"/>
  <c r="C283" i="44"/>
  <c r="B283" i="44"/>
  <c r="C282" i="44"/>
  <c r="B282" i="44"/>
  <c r="C281" i="44"/>
  <c r="B281" i="44"/>
  <c r="C280" i="44"/>
  <c r="B280" i="44"/>
  <c r="C279" i="44"/>
  <c r="B279" i="44"/>
  <c r="C278" i="44"/>
  <c r="B278" i="44"/>
  <c r="C277" i="44"/>
  <c r="B277" i="44"/>
  <c r="C276" i="44"/>
  <c r="B276" i="44"/>
  <c r="C275" i="44"/>
  <c r="B275" i="44"/>
  <c r="C274" i="44"/>
  <c r="B274" i="44"/>
  <c r="C273" i="44"/>
  <c r="B273" i="44"/>
  <c r="C272" i="44"/>
  <c r="B272" i="44"/>
  <c r="C271" i="44"/>
  <c r="B271" i="44"/>
  <c r="C270" i="44"/>
  <c r="B270" i="44"/>
  <c r="C269" i="44"/>
  <c r="B269" i="44"/>
  <c r="C268" i="44"/>
  <c r="B268" i="44"/>
  <c r="C267" i="44"/>
  <c r="B267" i="44"/>
  <c r="C266" i="44"/>
  <c r="B266" i="44"/>
  <c r="C265" i="44"/>
  <c r="B265" i="44"/>
  <c r="C264" i="44"/>
  <c r="B264" i="44"/>
  <c r="C263" i="44"/>
  <c r="B263" i="44"/>
  <c r="C262" i="44"/>
  <c r="B262" i="44"/>
  <c r="C261" i="44"/>
  <c r="B261" i="44"/>
  <c r="C260" i="44"/>
  <c r="B260" i="44"/>
  <c r="C259" i="44"/>
  <c r="B259" i="44"/>
  <c r="C258" i="44"/>
  <c r="B258" i="44"/>
  <c r="C257" i="44"/>
  <c r="B257" i="44"/>
  <c r="C256" i="44"/>
  <c r="B256" i="44"/>
  <c r="C255" i="44"/>
  <c r="B255" i="44"/>
  <c r="C254" i="44"/>
  <c r="B254" i="44"/>
  <c r="C253" i="44"/>
  <c r="B253" i="44"/>
  <c r="C252" i="44"/>
  <c r="B252" i="44"/>
  <c r="C251" i="44"/>
  <c r="B251" i="44"/>
  <c r="C250" i="44"/>
  <c r="B250" i="44"/>
  <c r="C249" i="44"/>
  <c r="B249" i="44"/>
  <c r="C248" i="44"/>
  <c r="B248" i="44"/>
  <c r="C247" i="44"/>
  <c r="B247" i="44"/>
  <c r="C246" i="44"/>
  <c r="B246" i="44"/>
  <c r="C245" i="44"/>
  <c r="B245" i="44"/>
  <c r="C244" i="44"/>
  <c r="B244" i="44"/>
  <c r="C243" i="44"/>
  <c r="B243" i="44"/>
  <c r="C242" i="44"/>
  <c r="B242" i="44"/>
  <c r="C241" i="44"/>
  <c r="B241" i="44"/>
  <c r="C240" i="44"/>
  <c r="B240" i="44"/>
  <c r="C239" i="44"/>
  <c r="B239" i="44"/>
  <c r="C238" i="44"/>
  <c r="B238" i="44"/>
  <c r="C237" i="44"/>
  <c r="B237" i="44"/>
  <c r="C236" i="44"/>
  <c r="B236" i="44"/>
  <c r="C235" i="44"/>
  <c r="B235" i="44"/>
  <c r="C234" i="44"/>
  <c r="B234" i="44"/>
  <c r="C233" i="44"/>
  <c r="B233" i="44"/>
  <c r="C232" i="44"/>
  <c r="B232" i="44"/>
  <c r="C231" i="44"/>
  <c r="B231" i="44"/>
  <c r="C230" i="44"/>
  <c r="B230" i="44"/>
  <c r="C229" i="44"/>
  <c r="B229" i="44"/>
  <c r="C228" i="44"/>
  <c r="B228" i="44"/>
  <c r="C227" i="44"/>
  <c r="B227" i="44"/>
  <c r="C226" i="44"/>
  <c r="B226" i="44"/>
  <c r="C225" i="44"/>
  <c r="B225" i="44"/>
  <c r="C224" i="44"/>
  <c r="B224" i="44"/>
  <c r="C223" i="44"/>
  <c r="B223" i="44"/>
  <c r="C222" i="44"/>
  <c r="B222" i="44"/>
  <c r="C221" i="44"/>
  <c r="B221" i="44"/>
  <c r="C220" i="44"/>
  <c r="B220" i="44"/>
  <c r="C219" i="44"/>
  <c r="B219" i="44"/>
  <c r="C218" i="44"/>
  <c r="B218" i="44"/>
  <c r="C217" i="44"/>
  <c r="B217" i="44"/>
  <c r="C216" i="44"/>
  <c r="B216" i="44"/>
  <c r="C211" i="44"/>
  <c r="B211" i="44"/>
  <c r="C210" i="44"/>
  <c r="B210" i="44"/>
  <c r="C209" i="44"/>
  <c r="B209" i="44"/>
  <c r="C208" i="44"/>
  <c r="B208" i="44"/>
  <c r="C207" i="44"/>
  <c r="B207" i="44"/>
  <c r="C206" i="44"/>
  <c r="B206" i="44"/>
  <c r="C205" i="44"/>
  <c r="B205" i="44"/>
  <c r="C204" i="44"/>
  <c r="B204" i="44"/>
  <c r="C203" i="44"/>
  <c r="B203" i="44"/>
  <c r="C202" i="44"/>
  <c r="B202" i="44"/>
  <c r="C201" i="44"/>
  <c r="B201" i="44"/>
  <c r="C200" i="44"/>
  <c r="B200" i="44"/>
  <c r="C199" i="44"/>
  <c r="B199" i="44"/>
  <c r="C198" i="44"/>
  <c r="B198" i="44"/>
  <c r="C197" i="44"/>
  <c r="B197" i="44"/>
  <c r="C196" i="44"/>
  <c r="B196" i="44"/>
  <c r="C195" i="44"/>
  <c r="B195" i="44"/>
  <c r="C194" i="44"/>
  <c r="B194" i="44"/>
  <c r="C193" i="44"/>
  <c r="B193" i="44"/>
  <c r="C192" i="44"/>
  <c r="B192" i="44"/>
  <c r="C191" i="44"/>
  <c r="B191" i="44"/>
  <c r="C190" i="44"/>
  <c r="B190" i="44"/>
  <c r="C189" i="44"/>
  <c r="B189" i="44"/>
  <c r="C188" i="44"/>
  <c r="B188" i="44"/>
  <c r="C187" i="44"/>
  <c r="B187" i="44"/>
  <c r="C186" i="44"/>
  <c r="B186" i="44"/>
  <c r="C185" i="44"/>
  <c r="B185" i="44"/>
  <c r="C184" i="44"/>
  <c r="B184" i="44"/>
  <c r="C183" i="44"/>
  <c r="B183" i="44"/>
  <c r="C182" i="44"/>
  <c r="B182" i="44"/>
  <c r="C181" i="44"/>
  <c r="B181" i="44"/>
  <c r="C180" i="44"/>
  <c r="B180" i="44"/>
  <c r="C179" i="44"/>
  <c r="B179" i="44"/>
  <c r="C178" i="44"/>
  <c r="B178" i="44"/>
  <c r="C177" i="44"/>
  <c r="B177" i="44"/>
  <c r="C176" i="44"/>
  <c r="B176" i="44"/>
  <c r="C175" i="44"/>
  <c r="B175" i="44"/>
  <c r="C174" i="44"/>
  <c r="B174" i="44"/>
  <c r="C173" i="44"/>
  <c r="B173" i="44"/>
  <c r="C172" i="44"/>
  <c r="B172" i="44"/>
  <c r="C171" i="44"/>
  <c r="B171" i="44"/>
  <c r="C170" i="44"/>
  <c r="B170" i="44"/>
  <c r="C169" i="44"/>
  <c r="B169" i="44"/>
  <c r="C168" i="44"/>
  <c r="B168" i="44"/>
  <c r="C167" i="44"/>
  <c r="B167" i="44"/>
  <c r="C166" i="44"/>
  <c r="B166" i="44"/>
  <c r="C165" i="44"/>
  <c r="B165" i="44"/>
  <c r="C164" i="44"/>
  <c r="B164" i="44"/>
  <c r="C163" i="44"/>
  <c r="B163" i="44"/>
  <c r="C162" i="44"/>
  <c r="B162" i="44"/>
  <c r="C161" i="44"/>
  <c r="B161" i="44"/>
  <c r="C160" i="44"/>
  <c r="B160" i="44"/>
  <c r="C159" i="44"/>
  <c r="B159" i="44"/>
  <c r="C158" i="44"/>
  <c r="B158" i="44"/>
  <c r="C157" i="44"/>
  <c r="B157" i="44"/>
  <c r="C156" i="44"/>
  <c r="B156" i="44"/>
  <c r="C155" i="44"/>
  <c r="B155" i="44"/>
  <c r="C154" i="44"/>
  <c r="B154" i="44"/>
  <c r="C153" i="44"/>
  <c r="B153" i="44"/>
  <c r="C152" i="44"/>
  <c r="B152" i="44"/>
  <c r="C151" i="44"/>
  <c r="B151" i="44"/>
  <c r="C150" i="44"/>
  <c r="B150" i="44"/>
  <c r="C149" i="44"/>
  <c r="B149" i="44"/>
  <c r="C148" i="44"/>
  <c r="B148" i="44"/>
  <c r="C147" i="44"/>
  <c r="B147" i="44"/>
  <c r="C146" i="44"/>
  <c r="B146" i="44"/>
  <c r="C145" i="44"/>
  <c r="B145" i="44"/>
  <c r="C144" i="44"/>
  <c r="B144" i="44"/>
  <c r="C143" i="44"/>
  <c r="B143" i="44"/>
  <c r="C142" i="44"/>
  <c r="B142" i="44"/>
  <c r="C141" i="44"/>
  <c r="B141" i="44"/>
  <c r="C140" i="44"/>
  <c r="B140" i="44"/>
  <c r="C139" i="44"/>
  <c r="B139" i="44"/>
  <c r="C138" i="44"/>
  <c r="B138" i="44"/>
  <c r="C137" i="44"/>
  <c r="B137" i="44"/>
  <c r="C136" i="44"/>
  <c r="B136" i="44"/>
  <c r="C135" i="44"/>
  <c r="B135" i="44"/>
  <c r="C134" i="44"/>
  <c r="B134" i="44"/>
  <c r="C133" i="44"/>
  <c r="B133" i="44"/>
  <c r="C132" i="44"/>
  <c r="B132" i="44"/>
  <c r="C131" i="44"/>
  <c r="B131" i="44"/>
  <c r="C130" i="44"/>
  <c r="B130" i="44"/>
  <c r="C129" i="44"/>
  <c r="B129" i="44"/>
  <c r="C128" i="44"/>
  <c r="B128" i="44"/>
  <c r="C127" i="44"/>
  <c r="B127" i="44"/>
  <c r="C126" i="44"/>
  <c r="B126" i="44"/>
  <c r="C125" i="44"/>
  <c r="B125" i="44"/>
  <c r="C124" i="44"/>
  <c r="B124" i="44"/>
  <c r="C123" i="44"/>
  <c r="B123" i="44"/>
  <c r="C122" i="44"/>
  <c r="B122" i="44"/>
  <c r="C121" i="44"/>
  <c r="B121" i="44"/>
  <c r="C120" i="44"/>
  <c r="B120" i="44"/>
  <c r="C119" i="44"/>
  <c r="B119" i="44"/>
  <c r="C118" i="44"/>
  <c r="B118" i="44"/>
  <c r="C117" i="44"/>
  <c r="B117" i="44"/>
  <c r="C116" i="44"/>
  <c r="B116" i="44"/>
  <c r="C115" i="44"/>
  <c r="B115" i="44"/>
  <c r="C114" i="44"/>
  <c r="B114" i="44"/>
  <c r="C113" i="44"/>
  <c r="B113" i="44"/>
  <c r="C112" i="44"/>
  <c r="B112" i="44"/>
  <c r="C107" i="44"/>
  <c r="C106" i="44"/>
  <c r="C105" i="44"/>
  <c r="C104" i="44"/>
  <c r="C103" i="44"/>
  <c r="C102" i="44"/>
  <c r="C101" i="44"/>
  <c r="C100" i="44"/>
  <c r="C99" i="44"/>
  <c r="C98" i="44"/>
  <c r="C97" i="44"/>
  <c r="C96" i="44"/>
  <c r="C95" i="44"/>
  <c r="C94" i="44"/>
  <c r="C93" i="44"/>
  <c r="C92" i="44"/>
  <c r="C91" i="44"/>
  <c r="C90" i="44"/>
  <c r="C89" i="44"/>
  <c r="C88" i="44"/>
  <c r="C87" i="44"/>
  <c r="C86" i="44"/>
  <c r="C85" i="44"/>
  <c r="C84" i="44"/>
  <c r="C83" i="44"/>
  <c r="C82" i="44"/>
  <c r="C81" i="44"/>
  <c r="C80" i="44"/>
  <c r="C79" i="44"/>
  <c r="C78" i="44"/>
  <c r="C77" i="44"/>
  <c r="C76" i="44"/>
  <c r="C75" i="44"/>
  <c r="C74" i="44"/>
  <c r="C73" i="44"/>
  <c r="C72" i="44"/>
  <c r="C71" i="44"/>
  <c r="C70" i="44"/>
  <c r="C69" i="44"/>
  <c r="C68" i="44"/>
  <c r="C67" i="44"/>
  <c r="C66" i="44"/>
  <c r="C65" i="44"/>
  <c r="C64" i="44"/>
  <c r="C63" i="44"/>
  <c r="C62" i="44"/>
  <c r="C61" i="44"/>
  <c r="C60" i="44"/>
  <c r="C59" i="44"/>
  <c r="C58" i="44"/>
  <c r="C57" i="44"/>
  <c r="C56" i="44"/>
  <c r="C55" i="44"/>
  <c r="C54" i="44"/>
  <c r="C53" i="44"/>
  <c r="C52" i="44"/>
  <c r="C51" i="44"/>
  <c r="C50" i="44"/>
  <c r="C49" i="44"/>
  <c r="C48" i="44"/>
  <c r="C47" i="44"/>
  <c r="C46" i="44"/>
  <c r="C45" i="44"/>
  <c r="C44" i="44"/>
  <c r="C43" i="44"/>
  <c r="C42" i="44"/>
  <c r="C41" i="44"/>
  <c r="C40" i="44"/>
  <c r="C39" i="44"/>
  <c r="C38" i="44"/>
  <c r="C37" i="44"/>
  <c r="C36" i="44"/>
  <c r="C35" i="44"/>
  <c r="C34" i="44"/>
  <c r="C33" i="44"/>
  <c r="C32" i="44"/>
  <c r="C31" i="44"/>
  <c r="C30" i="44"/>
  <c r="C29" i="44"/>
  <c r="C28" i="44"/>
  <c r="C27" i="44"/>
  <c r="C26" i="44"/>
  <c r="C25" i="44"/>
  <c r="C24" i="44"/>
  <c r="C23" i="44"/>
  <c r="C22" i="44"/>
  <c r="C21" i="44"/>
  <c r="C20" i="44"/>
  <c r="C19" i="44"/>
  <c r="C18" i="44"/>
  <c r="C17" i="44"/>
  <c r="C16" i="44"/>
  <c r="C15" i="44"/>
  <c r="C14" i="44"/>
  <c r="C13" i="44"/>
  <c r="C12" i="44"/>
  <c r="C11" i="44"/>
  <c r="C10" i="44"/>
  <c r="C9" i="44"/>
  <c r="C8" i="44"/>
  <c r="B8" i="44"/>
  <c r="N3" i="44"/>
  <c r="M3" i="44"/>
  <c r="L3" i="44"/>
  <c r="K3" i="44"/>
  <c r="J3" i="44"/>
  <c r="I3" i="44"/>
  <c r="H3" i="44"/>
  <c r="G3" i="44"/>
  <c r="F3" i="44"/>
  <c r="E3" i="44"/>
  <c r="C316" i="43"/>
  <c r="B316" i="43"/>
  <c r="C315" i="43"/>
  <c r="B315" i="43"/>
  <c r="C314" i="43"/>
  <c r="B314" i="43"/>
  <c r="C313" i="43"/>
  <c r="B313" i="43"/>
  <c r="C312" i="43"/>
  <c r="B312" i="43"/>
  <c r="C311" i="43"/>
  <c r="B311" i="43"/>
  <c r="C310" i="43"/>
  <c r="B310" i="43"/>
  <c r="C309" i="43"/>
  <c r="B309" i="43"/>
  <c r="C308" i="43"/>
  <c r="B308" i="43"/>
  <c r="C307" i="43"/>
  <c r="B307" i="43"/>
  <c r="C306" i="43"/>
  <c r="B306" i="43"/>
  <c r="C305" i="43"/>
  <c r="B305" i="43"/>
  <c r="C304" i="43"/>
  <c r="B304" i="43"/>
  <c r="C303" i="43"/>
  <c r="B303" i="43"/>
  <c r="C302" i="43"/>
  <c r="B302" i="43"/>
  <c r="C301" i="43"/>
  <c r="B301" i="43"/>
  <c r="C300" i="43"/>
  <c r="B300" i="43"/>
  <c r="C299" i="43"/>
  <c r="B299" i="43"/>
  <c r="C298" i="43"/>
  <c r="B298" i="43"/>
  <c r="C297" i="43"/>
  <c r="B297" i="43"/>
  <c r="C296" i="43"/>
  <c r="B296" i="43"/>
  <c r="C295" i="43"/>
  <c r="B295" i="43"/>
  <c r="C294" i="43"/>
  <c r="B294" i="43"/>
  <c r="C293" i="43"/>
  <c r="B293" i="43"/>
  <c r="C292" i="43"/>
  <c r="B292" i="43"/>
  <c r="C291" i="43"/>
  <c r="B291" i="43"/>
  <c r="C290" i="43"/>
  <c r="B290" i="43"/>
  <c r="C289" i="43"/>
  <c r="B289" i="43"/>
  <c r="C288" i="43"/>
  <c r="B288" i="43"/>
  <c r="C287" i="43"/>
  <c r="B287" i="43"/>
  <c r="C286" i="43"/>
  <c r="B286" i="43"/>
  <c r="C285" i="43"/>
  <c r="B285" i="43"/>
  <c r="C284" i="43"/>
  <c r="B284" i="43"/>
  <c r="C283" i="43"/>
  <c r="B283" i="43"/>
  <c r="C282" i="43"/>
  <c r="B282" i="43"/>
  <c r="C281" i="43"/>
  <c r="B281" i="43"/>
  <c r="C280" i="43"/>
  <c r="B280" i="43"/>
  <c r="C279" i="43"/>
  <c r="B279" i="43"/>
  <c r="C278" i="43"/>
  <c r="B278" i="43"/>
  <c r="C277" i="43"/>
  <c r="B277" i="43"/>
  <c r="C276" i="43"/>
  <c r="B276" i="43"/>
  <c r="C275" i="43"/>
  <c r="B275" i="43"/>
  <c r="C274" i="43"/>
  <c r="B274" i="43"/>
  <c r="C273" i="43"/>
  <c r="B273" i="43"/>
  <c r="C272" i="43"/>
  <c r="B272" i="43"/>
  <c r="C271" i="43"/>
  <c r="B271" i="43"/>
  <c r="C270" i="43"/>
  <c r="B270" i="43"/>
  <c r="C269" i="43"/>
  <c r="B269" i="43"/>
  <c r="C268" i="43"/>
  <c r="B268" i="43"/>
  <c r="C267" i="43"/>
  <c r="B267" i="43"/>
  <c r="C266" i="43"/>
  <c r="B266" i="43"/>
  <c r="C265" i="43"/>
  <c r="B265" i="43"/>
  <c r="C264" i="43"/>
  <c r="B264" i="43"/>
  <c r="C263" i="43"/>
  <c r="B263" i="43"/>
  <c r="C262" i="43"/>
  <c r="B262" i="43"/>
  <c r="C261" i="43"/>
  <c r="B261" i="43"/>
  <c r="C260" i="43"/>
  <c r="B260" i="43"/>
  <c r="C259" i="43"/>
  <c r="B259" i="43"/>
  <c r="C258" i="43"/>
  <c r="B258" i="43"/>
  <c r="C257" i="43"/>
  <c r="B257" i="43"/>
  <c r="C256" i="43"/>
  <c r="B256" i="43"/>
  <c r="C255" i="43"/>
  <c r="B255" i="43"/>
  <c r="C254" i="43"/>
  <c r="B254" i="43"/>
  <c r="C253" i="43"/>
  <c r="B253" i="43"/>
  <c r="C252" i="43"/>
  <c r="B252" i="43"/>
  <c r="C251" i="43"/>
  <c r="B251" i="43"/>
  <c r="C250" i="43"/>
  <c r="B250" i="43"/>
  <c r="C249" i="43"/>
  <c r="B249" i="43"/>
  <c r="C248" i="43"/>
  <c r="B248" i="43"/>
  <c r="C247" i="43"/>
  <c r="B247" i="43"/>
  <c r="C246" i="43"/>
  <c r="B246" i="43"/>
  <c r="C245" i="43"/>
  <c r="B245" i="43"/>
  <c r="C244" i="43"/>
  <c r="B244" i="43"/>
  <c r="C243" i="43"/>
  <c r="B243" i="43"/>
  <c r="C242" i="43"/>
  <c r="B242" i="43"/>
  <c r="C241" i="43"/>
  <c r="B241" i="43"/>
  <c r="C240" i="43"/>
  <c r="B240" i="43"/>
  <c r="C239" i="43"/>
  <c r="B239" i="43"/>
  <c r="C238" i="43"/>
  <c r="B238" i="43"/>
  <c r="C237" i="43"/>
  <c r="B237" i="43"/>
  <c r="C236" i="43"/>
  <c r="B236" i="43"/>
  <c r="C235" i="43"/>
  <c r="B235" i="43"/>
  <c r="C234" i="43"/>
  <c r="B234" i="43"/>
  <c r="C233" i="43"/>
  <c r="B233" i="43"/>
  <c r="C232" i="43"/>
  <c r="B232" i="43"/>
  <c r="C231" i="43"/>
  <c r="B231" i="43"/>
  <c r="C230" i="43"/>
  <c r="B230" i="43"/>
  <c r="C229" i="43"/>
  <c r="B229" i="43"/>
  <c r="C228" i="43"/>
  <c r="B228" i="43"/>
  <c r="C227" i="43"/>
  <c r="B227" i="43"/>
  <c r="C226" i="43"/>
  <c r="B226" i="43"/>
  <c r="C225" i="43"/>
  <c r="B225" i="43"/>
  <c r="C224" i="43"/>
  <c r="B224" i="43"/>
  <c r="C223" i="43"/>
  <c r="B223" i="43"/>
  <c r="C222" i="43"/>
  <c r="B222" i="43"/>
  <c r="C221" i="43"/>
  <c r="B221" i="43"/>
  <c r="C220" i="43"/>
  <c r="B220" i="43"/>
  <c r="C219" i="43"/>
  <c r="B219" i="43"/>
  <c r="C218" i="43"/>
  <c r="B218" i="43"/>
  <c r="C317" i="43"/>
  <c r="C217" i="43"/>
  <c r="C113" i="43"/>
  <c r="B217" i="43"/>
  <c r="C212" i="43"/>
  <c r="B212" i="43"/>
  <c r="C211" i="43"/>
  <c r="B211" i="43"/>
  <c r="C210" i="43"/>
  <c r="B210" i="43"/>
  <c r="C209" i="43"/>
  <c r="B209" i="43"/>
  <c r="C208" i="43"/>
  <c r="B208" i="43"/>
  <c r="C207" i="43"/>
  <c r="B207" i="43"/>
  <c r="C206" i="43"/>
  <c r="B206" i="43"/>
  <c r="C205" i="43"/>
  <c r="B205" i="43"/>
  <c r="C204" i="43"/>
  <c r="B204" i="43"/>
  <c r="C203" i="43"/>
  <c r="B203" i="43"/>
  <c r="C202" i="43"/>
  <c r="B202" i="43"/>
  <c r="C201" i="43"/>
  <c r="B201" i="43"/>
  <c r="C200" i="43"/>
  <c r="B200" i="43"/>
  <c r="C199" i="43"/>
  <c r="B199" i="43"/>
  <c r="C198" i="43"/>
  <c r="B198" i="43"/>
  <c r="C197" i="43"/>
  <c r="B197" i="43"/>
  <c r="C196" i="43"/>
  <c r="B196" i="43"/>
  <c r="C195" i="43"/>
  <c r="B195" i="43"/>
  <c r="C194" i="43"/>
  <c r="B194" i="43"/>
  <c r="C193" i="43"/>
  <c r="B193" i="43"/>
  <c r="C192" i="43"/>
  <c r="B192" i="43"/>
  <c r="C191" i="43"/>
  <c r="B191" i="43"/>
  <c r="C190" i="43"/>
  <c r="B190" i="43"/>
  <c r="C189" i="43"/>
  <c r="B189" i="43"/>
  <c r="C188" i="43"/>
  <c r="B188" i="43"/>
  <c r="C187" i="43"/>
  <c r="B187" i="43"/>
  <c r="C186" i="43"/>
  <c r="B186" i="43"/>
  <c r="C185" i="43"/>
  <c r="B185" i="43"/>
  <c r="C184" i="43"/>
  <c r="B184" i="43"/>
  <c r="C183" i="43"/>
  <c r="B183" i="43"/>
  <c r="C182" i="43"/>
  <c r="B182" i="43"/>
  <c r="C181" i="43"/>
  <c r="B181" i="43"/>
  <c r="C180" i="43"/>
  <c r="B180" i="43"/>
  <c r="C179" i="43"/>
  <c r="B179" i="43"/>
  <c r="C178" i="43"/>
  <c r="B178" i="43"/>
  <c r="C177" i="43"/>
  <c r="B177" i="43"/>
  <c r="C176" i="43"/>
  <c r="B176" i="43"/>
  <c r="C175" i="43"/>
  <c r="B175" i="43"/>
  <c r="C174" i="43"/>
  <c r="B174" i="43"/>
  <c r="C173" i="43"/>
  <c r="B173" i="43"/>
  <c r="C172" i="43"/>
  <c r="B172" i="43"/>
  <c r="C171" i="43"/>
  <c r="B171" i="43"/>
  <c r="C170" i="43"/>
  <c r="B170" i="43"/>
  <c r="C169" i="43"/>
  <c r="B169" i="43"/>
  <c r="C168" i="43"/>
  <c r="B168" i="43"/>
  <c r="C167" i="43"/>
  <c r="B167" i="43"/>
  <c r="C166" i="43"/>
  <c r="B166" i="43"/>
  <c r="C165" i="43"/>
  <c r="B165" i="43"/>
  <c r="C164" i="43"/>
  <c r="B164" i="43"/>
  <c r="C163" i="43"/>
  <c r="B163" i="43"/>
  <c r="C162" i="43"/>
  <c r="B162" i="43"/>
  <c r="C161" i="43"/>
  <c r="B161" i="43"/>
  <c r="C160" i="43"/>
  <c r="B160" i="43"/>
  <c r="C159" i="43"/>
  <c r="B159" i="43"/>
  <c r="C158" i="43"/>
  <c r="B158" i="43"/>
  <c r="C157" i="43"/>
  <c r="B157" i="43"/>
  <c r="C156" i="43"/>
  <c r="B156" i="43"/>
  <c r="C155" i="43"/>
  <c r="B155" i="43"/>
  <c r="C154" i="43"/>
  <c r="B154" i="43"/>
  <c r="C153" i="43"/>
  <c r="B153" i="43"/>
  <c r="C152" i="43"/>
  <c r="B152" i="43"/>
  <c r="C151" i="43"/>
  <c r="B151" i="43"/>
  <c r="C150" i="43"/>
  <c r="B150" i="43"/>
  <c r="C149" i="43"/>
  <c r="B149" i="43"/>
  <c r="C148" i="43"/>
  <c r="B148" i="43"/>
  <c r="C147" i="43"/>
  <c r="B147" i="43"/>
  <c r="C146" i="43"/>
  <c r="B146" i="43"/>
  <c r="C145" i="43"/>
  <c r="B145" i="43"/>
  <c r="C144" i="43"/>
  <c r="B144" i="43"/>
  <c r="C143" i="43"/>
  <c r="B143" i="43"/>
  <c r="C142" i="43"/>
  <c r="B142" i="43"/>
  <c r="C141" i="43"/>
  <c r="B141" i="43"/>
  <c r="C140" i="43"/>
  <c r="B140" i="43"/>
  <c r="C139" i="43"/>
  <c r="B139" i="43"/>
  <c r="C138" i="43"/>
  <c r="B138" i="43"/>
  <c r="C137" i="43"/>
  <c r="B137" i="43"/>
  <c r="C136" i="43"/>
  <c r="B136" i="43"/>
  <c r="C135" i="43"/>
  <c r="B135" i="43"/>
  <c r="C134" i="43"/>
  <c r="B134" i="43"/>
  <c r="C133" i="43"/>
  <c r="B133" i="43"/>
  <c r="C132" i="43"/>
  <c r="B132" i="43"/>
  <c r="C131" i="43"/>
  <c r="B131" i="43"/>
  <c r="C130" i="43"/>
  <c r="B130" i="43"/>
  <c r="C129" i="43"/>
  <c r="B129" i="43"/>
  <c r="C128" i="43"/>
  <c r="B128" i="43"/>
  <c r="C127" i="43"/>
  <c r="B127" i="43"/>
  <c r="C126" i="43"/>
  <c r="B126" i="43"/>
  <c r="C125" i="43"/>
  <c r="B125" i="43"/>
  <c r="C124" i="43"/>
  <c r="B124" i="43"/>
  <c r="C123" i="43"/>
  <c r="B123" i="43"/>
  <c r="C122" i="43"/>
  <c r="B122" i="43"/>
  <c r="C121" i="43"/>
  <c r="B121" i="43"/>
  <c r="C120" i="43"/>
  <c r="B120" i="43"/>
  <c r="C119" i="43"/>
  <c r="B119" i="43"/>
  <c r="C118" i="43"/>
  <c r="B118" i="43"/>
  <c r="C117" i="43"/>
  <c r="B117" i="43"/>
  <c r="C116" i="43"/>
  <c r="B116" i="43"/>
  <c r="C115" i="43"/>
  <c r="B115" i="43"/>
  <c r="C114" i="43"/>
  <c r="B114" i="43"/>
  <c r="B113" i="43"/>
  <c r="B9" i="43"/>
  <c r="AU3" i="43"/>
  <c r="AT3" i="43"/>
  <c r="AS3" i="43"/>
  <c r="AR3" i="43"/>
  <c r="AQ3" i="43"/>
  <c r="AP3" i="43"/>
  <c r="AO3" i="43"/>
  <c r="AN3" i="43"/>
  <c r="AM3" i="43"/>
  <c r="AL3" i="43"/>
  <c r="AK3" i="43"/>
  <c r="AJ3" i="43"/>
  <c r="AI3" i="43"/>
  <c r="AH3" i="43"/>
  <c r="AG3" i="43"/>
  <c r="AF3" i="43"/>
  <c r="AE3" i="43"/>
  <c r="AD3" i="43"/>
  <c r="AC3" i="43"/>
  <c r="AB3" i="43"/>
  <c r="AA3" i="43"/>
  <c r="Z3" i="43"/>
  <c r="Y3" i="43"/>
  <c r="X3" i="43"/>
  <c r="W3" i="43"/>
  <c r="V3" i="43"/>
  <c r="U3" i="43"/>
  <c r="T3" i="43"/>
  <c r="S3" i="43"/>
  <c r="R3" i="43"/>
  <c r="Q3" i="43"/>
  <c r="P3" i="43"/>
  <c r="O3" i="43"/>
  <c r="N3" i="43"/>
  <c r="M3" i="43"/>
  <c r="L3" i="43"/>
  <c r="K3" i="43"/>
  <c r="J3" i="43"/>
  <c r="I3" i="43"/>
  <c r="H3" i="43"/>
  <c r="G3" i="43"/>
  <c r="F3" i="43"/>
  <c r="E3" i="43"/>
  <c r="C108" i="43"/>
  <c r="C107" i="43"/>
  <c r="C106" i="43"/>
  <c r="C105" i="43"/>
  <c r="C104" i="43"/>
  <c r="C103" i="43"/>
  <c r="C102" i="43"/>
  <c r="C101" i="43"/>
  <c r="C100" i="43"/>
  <c r="C99" i="43"/>
  <c r="C98" i="43"/>
  <c r="C97" i="43"/>
  <c r="C96" i="43"/>
  <c r="C95" i="43"/>
  <c r="C94" i="43"/>
  <c r="C93" i="43"/>
  <c r="C92" i="43"/>
  <c r="C91" i="43"/>
  <c r="C90" i="43"/>
  <c r="C89" i="43"/>
  <c r="C88" i="43"/>
  <c r="C87" i="43"/>
  <c r="C86" i="43"/>
  <c r="C85" i="43"/>
  <c r="C84" i="43"/>
  <c r="C83" i="43"/>
  <c r="C82" i="43"/>
  <c r="C81" i="43"/>
  <c r="C80" i="43"/>
  <c r="C79" i="43"/>
  <c r="C78" i="43"/>
  <c r="C77" i="43"/>
  <c r="C76" i="43"/>
  <c r="C75" i="43"/>
  <c r="C74" i="43"/>
  <c r="C73" i="43"/>
  <c r="C72" i="43"/>
  <c r="C71" i="43"/>
  <c r="C70" i="43"/>
  <c r="C69" i="43"/>
  <c r="C68" i="43"/>
  <c r="C67" i="43"/>
  <c r="C66" i="43"/>
  <c r="C65" i="43"/>
  <c r="C64" i="43"/>
  <c r="C63" i="43"/>
  <c r="C62" i="43"/>
  <c r="C61" i="43"/>
  <c r="C60" i="43"/>
  <c r="C59" i="43"/>
  <c r="C58" i="43"/>
  <c r="C57" i="43"/>
  <c r="C56" i="43"/>
  <c r="C55" i="43"/>
  <c r="C54" i="43"/>
  <c r="C53" i="43"/>
  <c r="C52" i="43"/>
  <c r="C51" i="43"/>
  <c r="C50" i="43"/>
  <c r="C49" i="43"/>
  <c r="C48" i="43"/>
  <c r="C47" i="43"/>
  <c r="C46" i="43"/>
  <c r="C45" i="43"/>
  <c r="C44" i="43"/>
  <c r="C43" i="43"/>
  <c r="C42" i="43"/>
  <c r="C41" i="43"/>
  <c r="C40" i="43"/>
  <c r="C39" i="43"/>
  <c r="C38" i="43"/>
  <c r="C37" i="43"/>
  <c r="C36" i="43"/>
  <c r="C35" i="43"/>
  <c r="C34" i="43"/>
  <c r="C33" i="43"/>
  <c r="C32" i="43"/>
  <c r="C31" i="43"/>
  <c r="C30" i="43"/>
  <c r="C29" i="43"/>
  <c r="C28" i="43"/>
  <c r="C27" i="43"/>
  <c r="C26" i="43"/>
  <c r="C25" i="43"/>
  <c r="C24" i="43"/>
  <c r="C23" i="43"/>
  <c r="C22" i="43"/>
  <c r="C21" i="43"/>
  <c r="C20" i="43"/>
  <c r="C19" i="43"/>
  <c r="C18" i="43"/>
  <c r="C17" i="43"/>
  <c r="C16" i="43"/>
  <c r="C15" i="43"/>
  <c r="C14" i="43"/>
  <c r="C13" i="43"/>
  <c r="C12" i="43"/>
  <c r="C11" i="43"/>
  <c r="C10" i="43"/>
  <c r="C9" i="43"/>
  <c r="D4" i="43"/>
  <c r="C104" i="41" l="1"/>
  <c r="B104" i="41"/>
  <c r="C103" i="41"/>
  <c r="B103" i="41"/>
  <c r="C102" i="41"/>
  <c r="B102" i="41"/>
  <c r="C101" i="41"/>
  <c r="B101" i="41"/>
  <c r="C100" i="41"/>
  <c r="B100" i="41"/>
  <c r="C99" i="41"/>
  <c r="B99" i="41"/>
  <c r="C98" i="41"/>
  <c r="B98" i="41"/>
  <c r="C97" i="41"/>
  <c r="B97" i="41"/>
  <c r="C96" i="41"/>
  <c r="B96" i="41"/>
  <c r="C95" i="41"/>
  <c r="B95" i="41"/>
  <c r="C94" i="41"/>
  <c r="B94" i="41"/>
  <c r="C93" i="41"/>
  <c r="B93" i="41"/>
  <c r="C92" i="41"/>
  <c r="B92" i="41"/>
  <c r="C91" i="41"/>
  <c r="B91" i="41"/>
  <c r="C90" i="41"/>
  <c r="B90" i="41"/>
  <c r="C89" i="41"/>
  <c r="B89" i="41"/>
  <c r="C88" i="41"/>
  <c r="B88" i="41"/>
  <c r="C87" i="41"/>
  <c r="B87" i="41"/>
  <c r="C86" i="41"/>
  <c r="B86" i="41"/>
  <c r="C85" i="41"/>
  <c r="B85" i="41"/>
  <c r="C84" i="41"/>
  <c r="B84" i="41"/>
  <c r="C83" i="41"/>
  <c r="B83" i="41"/>
  <c r="C82" i="41"/>
  <c r="B82" i="41"/>
  <c r="C81" i="41"/>
  <c r="B81" i="41"/>
  <c r="C80" i="41"/>
  <c r="B80" i="41"/>
  <c r="C79" i="41"/>
  <c r="B79" i="41"/>
  <c r="C78" i="41"/>
  <c r="B78" i="41"/>
  <c r="C77" i="41"/>
  <c r="B77" i="41"/>
  <c r="C76" i="41"/>
  <c r="B76" i="41"/>
  <c r="C75" i="41"/>
  <c r="B75" i="41"/>
  <c r="C74" i="41"/>
  <c r="B74" i="41"/>
  <c r="C73" i="41"/>
  <c r="B73" i="41"/>
  <c r="C72" i="41"/>
  <c r="B72" i="41"/>
  <c r="C71" i="41"/>
  <c r="B71" i="41"/>
  <c r="C70" i="41"/>
  <c r="B70" i="41"/>
  <c r="C69" i="41"/>
  <c r="B69" i="41"/>
  <c r="C68" i="41"/>
  <c r="B68" i="41"/>
  <c r="C67" i="41"/>
  <c r="B67" i="41"/>
  <c r="C66" i="41"/>
  <c r="B66" i="41"/>
  <c r="C65" i="41"/>
  <c r="B65" i="41"/>
  <c r="C64" i="41"/>
  <c r="B64" i="41"/>
  <c r="C63" i="41"/>
  <c r="B63" i="41"/>
  <c r="C62" i="41"/>
  <c r="B62" i="41"/>
  <c r="C61" i="41"/>
  <c r="B61" i="41"/>
  <c r="C60" i="41"/>
  <c r="B60" i="41"/>
  <c r="C59" i="41"/>
  <c r="B59" i="41"/>
  <c r="C58" i="41"/>
  <c r="B58" i="41"/>
  <c r="C57" i="41"/>
  <c r="B57" i="41"/>
  <c r="C56" i="41"/>
  <c r="B56" i="41"/>
  <c r="C55" i="41"/>
  <c r="B55" i="41"/>
  <c r="C54" i="41"/>
  <c r="B54" i="41"/>
  <c r="C53" i="41"/>
  <c r="B53" i="41"/>
  <c r="C52" i="41"/>
  <c r="B52" i="41"/>
  <c r="C51" i="41"/>
  <c r="B51" i="41"/>
  <c r="C50" i="41"/>
  <c r="B50" i="41"/>
  <c r="C49" i="41"/>
  <c r="B49" i="41"/>
  <c r="C48" i="41"/>
  <c r="B48" i="41"/>
  <c r="C47" i="41"/>
  <c r="B47" i="41"/>
  <c r="C46" i="41"/>
  <c r="B46" i="41"/>
  <c r="C45" i="41"/>
  <c r="B45" i="41"/>
  <c r="C44" i="41"/>
  <c r="B44" i="41"/>
  <c r="C43" i="41"/>
  <c r="B43" i="41"/>
  <c r="C42" i="41"/>
  <c r="B42" i="41"/>
  <c r="C41" i="41"/>
  <c r="B41" i="41"/>
  <c r="C40" i="41"/>
  <c r="B40" i="41"/>
  <c r="C39" i="41"/>
  <c r="B39" i="41"/>
  <c r="C38" i="41"/>
  <c r="B38" i="41"/>
  <c r="C37" i="41"/>
  <c r="B37" i="41"/>
  <c r="C36" i="41"/>
  <c r="B36" i="41"/>
  <c r="C35" i="41"/>
  <c r="B35" i="41"/>
  <c r="C34" i="41"/>
  <c r="B34" i="41"/>
  <c r="C33" i="41"/>
  <c r="B33" i="41"/>
  <c r="C32" i="41"/>
  <c r="B32" i="41"/>
  <c r="C31" i="41"/>
  <c r="B31" i="41"/>
  <c r="C30" i="41"/>
  <c r="B30" i="41"/>
  <c r="C29" i="41"/>
  <c r="B29" i="41"/>
  <c r="C28" i="41"/>
  <c r="B28" i="41"/>
  <c r="C27" i="41"/>
  <c r="B27" i="41"/>
  <c r="C26" i="41"/>
  <c r="B26" i="41"/>
  <c r="C25" i="41"/>
  <c r="B25" i="41"/>
  <c r="C24" i="41"/>
  <c r="B24" i="41"/>
  <c r="C23" i="41"/>
  <c r="B23" i="41"/>
  <c r="C22" i="41"/>
  <c r="B22" i="41"/>
  <c r="C21" i="41"/>
  <c r="B21" i="41"/>
  <c r="C20" i="41"/>
  <c r="B20" i="41"/>
  <c r="C19" i="41"/>
  <c r="B19" i="41"/>
  <c r="C18" i="41"/>
  <c r="B18" i="41"/>
  <c r="C17" i="41"/>
  <c r="B17" i="41"/>
  <c r="C16" i="41"/>
  <c r="B16" i="41"/>
  <c r="C15" i="41"/>
  <c r="B15" i="41"/>
  <c r="C14" i="41"/>
  <c r="B14" i="41"/>
  <c r="C13" i="41"/>
  <c r="B13" i="41"/>
  <c r="C12" i="41"/>
  <c r="B12" i="41"/>
  <c r="C11" i="41"/>
  <c r="B11" i="41"/>
  <c r="C10" i="41"/>
  <c r="B10" i="41"/>
  <c r="C9" i="41"/>
  <c r="B9" i="41"/>
  <c r="C8" i="41"/>
  <c r="B8" i="41"/>
  <c r="C7" i="41"/>
  <c r="B7" i="41"/>
  <c r="C6" i="41"/>
  <c r="B6" i="41"/>
  <c r="B5" i="41"/>
  <c r="C5" i="41"/>
  <c r="B185" i="37"/>
  <c r="B184" i="37"/>
  <c r="B183" i="37"/>
  <c r="B182" i="37"/>
  <c r="B181" i="37"/>
  <c r="B180" i="37"/>
  <c r="B179" i="37"/>
  <c r="B178" i="37"/>
  <c r="B177" i="37"/>
  <c r="B176" i="37"/>
  <c r="B175" i="37"/>
  <c r="B174" i="37"/>
  <c r="B173" i="37"/>
  <c r="B172" i="37"/>
  <c r="B171" i="37"/>
  <c r="B170" i="37"/>
  <c r="B169" i="37"/>
  <c r="B168" i="37"/>
  <c r="B167" i="37"/>
  <c r="B166" i="37"/>
  <c r="B165" i="37"/>
  <c r="B164" i="37"/>
  <c r="B163" i="37"/>
  <c r="B162" i="37"/>
  <c r="B161" i="37"/>
  <c r="B160" i="37"/>
  <c r="B159" i="37"/>
  <c r="B158" i="37"/>
  <c r="B157" i="37"/>
  <c r="B156" i="37"/>
  <c r="B155" i="37"/>
  <c r="B154" i="37"/>
  <c r="B153" i="37"/>
  <c r="B152" i="37"/>
  <c r="B151" i="37"/>
  <c r="B150" i="37"/>
  <c r="B149" i="37"/>
  <c r="B148" i="37"/>
  <c r="B147" i="37"/>
  <c r="B146" i="37"/>
  <c r="B145" i="37"/>
  <c r="B144" i="37"/>
  <c r="B143" i="37"/>
  <c r="B142" i="37"/>
  <c r="B141" i="37"/>
  <c r="B140" i="37"/>
  <c r="B139" i="37"/>
  <c r="B138" i="37"/>
  <c r="B137" i="37"/>
  <c r="B136" i="37"/>
  <c r="B135" i="37"/>
  <c r="B134" i="37"/>
  <c r="B133" i="37"/>
  <c r="B132" i="37"/>
  <c r="B131" i="37"/>
  <c r="B130" i="37"/>
  <c r="B129" i="37"/>
  <c r="B128" i="37"/>
  <c r="B127" i="37"/>
  <c r="B126" i="37"/>
  <c r="B125" i="37"/>
  <c r="B124" i="37"/>
  <c r="B123" i="37"/>
  <c r="B122" i="37"/>
  <c r="B121" i="37"/>
  <c r="B120" i="37"/>
  <c r="B119" i="37"/>
  <c r="B118" i="37"/>
  <c r="B117" i="37"/>
  <c r="B116" i="37"/>
  <c r="B115" i="37"/>
  <c r="B114" i="37"/>
  <c r="B113" i="37"/>
  <c r="B112" i="37"/>
  <c r="B111" i="37"/>
  <c r="B110" i="37"/>
  <c r="B109" i="37"/>
  <c r="B108" i="37"/>
  <c r="B107" i="37"/>
  <c r="B106" i="37"/>
  <c r="B105" i="37"/>
  <c r="B104" i="37"/>
  <c r="B103" i="37"/>
  <c r="B102" i="37"/>
  <c r="B101" i="37"/>
  <c r="B100" i="37"/>
  <c r="B99" i="37"/>
  <c r="B98" i="37"/>
  <c r="B97" i="37"/>
  <c r="B96" i="37"/>
  <c r="B95" i="37"/>
  <c r="B94" i="37"/>
  <c r="B93" i="37"/>
  <c r="B92" i="37"/>
  <c r="B91" i="37"/>
  <c r="B90" i="37"/>
  <c r="B89" i="37"/>
  <c r="B88" i="37"/>
  <c r="B87" i="37"/>
  <c r="B86" i="37"/>
  <c r="B318" i="37"/>
  <c r="B317" i="37"/>
  <c r="B316" i="37"/>
  <c r="B315" i="37"/>
  <c r="B314" i="37"/>
  <c r="B313" i="37"/>
  <c r="B312" i="37"/>
  <c r="B311" i="37"/>
  <c r="B310" i="37"/>
  <c r="B309" i="37"/>
  <c r="B308" i="37"/>
  <c r="B307" i="37"/>
  <c r="B306" i="37"/>
  <c r="B305" i="37"/>
  <c r="B304" i="37"/>
  <c r="B303" i="37"/>
  <c r="B302" i="37"/>
  <c r="B301" i="37"/>
  <c r="B300" i="37"/>
  <c r="B299" i="37"/>
  <c r="B298" i="37"/>
  <c r="B297" i="37"/>
  <c r="B296" i="37"/>
  <c r="B295" i="37"/>
  <c r="B294" i="37"/>
  <c r="B293" i="37"/>
  <c r="B292" i="37"/>
  <c r="B291" i="37"/>
  <c r="B290" i="37"/>
  <c r="B289" i="37"/>
  <c r="B288" i="37"/>
  <c r="B287" i="37"/>
  <c r="B286" i="37"/>
  <c r="B285" i="37"/>
  <c r="B284" i="37"/>
  <c r="B283" i="37"/>
  <c r="B282" i="37"/>
  <c r="B281" i="37"/>
  <c r="B280" i="37"/>
  <c r="B279" i="37"/>
  <c r="B278" i="37"/>
  <c r="B277" i="37"/>
  <c r="B276" i="37"/>
  <c r="B275" i="37"/>
  <c r="B274" i="37"/>
  <c r="B273" i="37"/>
  <c r="B272" i="37"/>
  <c r="B271" i="37"/>
  <c r="B270" i="37"/>
  <c r="B269" i="37"/>
  <c r="B268" i="37"/>
  <c r="B267" i="37"/>
  <c r="B266" i="37"/>
  <c r="B265" i="37"/>
  <c r="B264" i="37"/>
  <c r="B263" i="37"/>
  <c r="B262" i="37"/>
  <c r="B261" i="37"/>
  <c r="B260" i="37"/>
  <c r="B259" i="37"/>
  <c r="B258" i="37"/>
  <c r="B257" i="37"/>
  <c r="B256" i="37"/>
  <c r="B255" i="37"/>
  <c r="B254" i="37"/>
  <c r="B253" i="37"/>
  <c r="B252" i="37"/>
  <c r="B251" i="37"/>
  <c r="B250" i="37"/>
  <c r="B249" i="37"/>
  <c r="B248" i="37"/>
  <c r="B247" i="37"/>
  <c r="B246" i="37"/>
  <c r="B245" i="37"/>
  <c r="B244" i="37"/>
  <c r="B243" i="37"/>
  <c r="B242" i="37"/>
  <c r="B241" i="37"/>
  <c r="B240" i="37"/>
  <c r="B239" i="37"/>
  <c r="B238" i="37"/>
  <c r="B237" i="37"/>
  <c r="B236" i="37"/>
  <c r="B235" i="37"/>
  <c r="B234" i="37"/>
  <c r="B233" i="37"/>
  <c r="B232" i="37"/>
  <c r="B231" i="37"/>
  <c r="B230" i="37"/>
  <c r="B229" i="37"/>
  <c r="B228" i="37"/>
  <c r="B227" i="37"/>
  <c r="B226" i="37"/>
  <c r="B225" i="37"/>
  <c r="B224" i="37"/>
  <c r="B223" i="37"/>
  <c r="B222" i="37"/>
  <c r="B221" i="37"/>
  <c r="B220" i="37"/>
  <c r="B219" i="37"/>
  <c r="I23" i="40" l="1"/>
  <c r="G23" i="40"/>
  <c r="F23" i="40"/>
  <c r="B23" i="40"/>
  <c r="B11" i="40"/>
  <c r="E11" i="40"/>
  <c r="D11" i="40"/>
  <c r="D44" i="1" l="1"/>
  <c r="C73" i="37" l="1"/>
  <c r="D357" i="44"/>
  <c r="D350" i="44"/>
  <c r="D343" i="44"/>
  <c r="D336" i="44"/>
  <c r="D329" i="44"/>
  <c r="D321" i="44"/>
  <c r="C81" i="37" l="1"/>
  <c r="G33" i="39"/>
  <c r="F33" i="39"/>
  <c r="E33" i="39"/>
  <c r="D33" i="39"/>
  <c r="C33" i="39"/>
  <c r="D175" i="39"/>
  <c r="B169" i="39"/>
  <c r="C22" i="22" s="1"/>
  <c r="C159" i="39"/>
  <c r="D150" i="39"/>
  <c r="C150" i="39"/>
  <c r="B143" i="39"/>
  <c r="C21" i="22" s="1"/>
  <c r="C142" i="39"/>
  <c r="C128" i="39"/>
  <c r="C127" i="39"/>
  <c r="D20" i="22" s="1"/>
  <c r="B127" i="39"/>
  <c r="C20" i="22" s="1"/>
  <c r="C126" i="39"/>
  <c r="D19" i="22" s="1"/>
  <c r="B126" i="39"/>
  <c r="C19" i="22" s="1"/>
  <c r="C119" i="39"/>
  <c r="C103" i="39"/>
  <c r="D78" i="39"/>
  <c r="C78" i="39"/>
  <c r="D74" i="39"/>
  <c r="C74" i="39"/>
  <c r="D69" i="39"/>
  <c r="E15" i="22" s="1"/>
  <c r="D66" i="39"/>
  <c r="E13" i="22" s="1"/>
  <c r="C66" i="39"/>
  <c r="D13" i="22" s="1"/>
  <c r="F46" i="39"/>
  <c r="C46" i="39"/>
  <c r="J41" i="39"/>
  <c r="I41" i="39"/>
  <c r="H41" i="39"/>
  <c r="F38" i="39"/>
  <c r="C38" i="39"/>
  <c r="G32" i="39"/>
  <c r="F32" i="39"/>
  <c r="F30" i="39"/>
  <c r="G29" i="39"/>
  <c r="F29" i="39"/>
  <c r="G28" i="39"/>
  <c r="F28" i="39"/>
  <c r="G27" i="39"/>
  <c r="F27" i="39"/>
  <c r="F25" i="39"/>
  <c r="F24" i="39"/>
  <c r="G21" i="39"/>
  <c r="F21" i="39"/>
  <c r="E21" i="39"/>
  <c r="D21" i="39"/>
  <c r="C21" i="39"/>
  <c r="G18" i="39"/>
  <c r="F18" i="39"/>
  <c r="E18" i="39"/>
  <c r="D18" i="39"/>
  <c r="C18" i="39"/>
  <c r="G15" i="39"/>
  <c r="F15" i="39"/>
  <c r="E15" i="39"/>
  <c r="D15" i="39"/>
  <c r="C15" i="39"/>
  <c r="G13" i="39"/>
  <c r="G11" i="39" s="1"/>
  <c r="F13" i="39"/>
  <c r="F11" i="39" s="1"/>
  <c r="E11" i="39"/>
  <c r="D11" i="39"/>
  <c r="C11" i="39"/>
  <c r="C72" i="39" l="1"/>
  <c r="C88" i="39" s="1"/>
  <c r="C143" i="39"/>
  <c r="D21" i="22" s="1"/>
  <c r="D72" i="39"/>
  <c r="D89" i="39" s="1"/>
  <c r="D68" i="39" s="1"/>
  <c r="E14" i="22" s="1"/>
  <c r="D169" i="39"/>
  <c r="E22" i="22" s="1"/>
  <c r="F49" i="39"/>
  <c r="D58" i="39"/>
  <c r="E11" i="22" s="1"/>
  <c r="C49" i="39"/>
  <c r="I277" i="30"/>
  <c r="I276" i="30"/>
  <c r="I275" i="30"/>
  <c r="I274" i="30"/>
  <c r="I273" i="30"/>
  <c r="I271" i="30"/>
  <c r="I270" i="30"/>
  <c r="I269" i="30"/>
  <c r="I268" i="30"/>
  <c r="D88" i="39" l="1"/>
  <c r="C176" i="39"/>
  <c r="D75" i="39"/>
  <c r="E16" i="22" s="1"/>
  <c r="D65" i="39"/>
  <c r="E12" i="22" s="1"/>
  <c r="D83" i="39"/>
  <c r="E18" i="22" s="1"/>
  <c r="D79" i="39"/>
  <c r="E17" i="22" s="1"/>
  <c r="D176" i="39"/>
  <c r="O257" i="30"/>
  <c r="C141" i="32" l="1"/>
  <c r="B38" i="30" l="1"/>
  <c r="B29" i="30"/>
  <c r="B24" i="30"/>
  <c r="B53" i="30" l="1"/>
  <c r="B262" i="30"/>
  <c r="B7" i="30"/>
  <c r="P257" i="30" l="1"/>
  <c r="R257" i="30" s="1"/>
  <c r="J74" i="32" l="1"/>
  <c r="C32" i="22" l="1"/>
  <c r="C31" i="22"/>
  <c r="C30" i="22"/>
  <c r="O304" i="30" l="1"/>
  <c r="G38" i="30"/>
  <c r="F38" i="30"/>
  <c r="E38" i="30"/>
  <c r="D38" i="30"/>
  <c r="C38" i="30"/>
  <c r="G29" i="30"/>
  <c r="F29" i="30"/>
  <c r="E29" i="30"/>
  <c r="D29" i="30"/>
  <c r="C29" i="30"/>
  <c r="G24" i="30"/>
  <c r="F24" i="30"/>
  <c r="E24" i="30"/>
  <c r="D24" i="30"/>
  <c r="C24" i="30"/>
  <c r="G19" i="30"/>
  <c r="F19" i="30"/>
  <c r="E19" i="30"/>
  <c r="D19" i="30"/>
  <c r="C19" i="30"/>
  <c r="O48" i="30"/>
  <c r="O35" i="30"/>
  <c r="N35" i="30"/>
  <c r="M35" i="30"/>
  <c r="P35" i="30" l="1"/>
  <c r="A309" i="30"/>
  <c r="C262" i="30"/>
  <c r="D117" i="22" s="1"/>
  <c r="O259" i="30"/>
  <c r="N261" i="30"/>
  <c r="M261" i="30"/>
  <c r="N260" i="30"/>
  <c r="M260" i="30"/>
  <c r="N259" i="30"/>
  <c r="M259" i="30"/>
  <c r="N258" i="30"/>
  <c r="M258" i="30"/>
  <c r="O226" i="30"/>
  <c r="P226" i="30" s="1"/>
  <c r="R226" i="30" s="1"/>
  <c r="O225" i="30"/>
  <c r="P225" i="30" s="1"/>
  <c r="R225" i="30" s="1"/>
  <c r="O224" i="30"/>
  <c r="P224" i="30" s="1"/>
  <c r="R224" i="30" s="1"/>
  <c r="O222" i="30"/>
  <c r="P222" i="30" s="1"/>
  <c r="R222" i="30" s="1"/>
  <c r="O221" i="30"/>
  <c r="P221" i="30" s="1"/>
  <c r="R221" i="30" s="1"/>
  <c r="O220" i="30"/>
  <c r="P220" i="30" s="1"/>
  <c r="R220" i="30" s="1"/>
  <c r="O218" i="30"/>
  <c r="P218" i="30" s="1"/>
  <c r="R218" i="30" s="1"/>
  <c r="N216" i="30"/>
  <c r="M216" i="30"/>
  <c r="N215" i="30"/>
  <c r="M215" i="30"/>
  <c r="N214" i="30"/>
  <c r="M214" i="30"/>
  <c r="N212" i="30"/>
  <c r="M212" i="30"/>
  <c r="N211" i="30"/>
  <c r="M211" i="30"/>
  <c r="N210" i="30"/>
  <c r="M210" i="30"/>
  <c r="N208" i="30"/>
  <c r="M208" i="30"/>
  <c r="O178" i="30"/>
  <c r="O182" i="30"/>
  <c r="O181" i="30"/>
  <c r="O180" i="30"/>
  <c r="O186" i="30"/>
  <c r="O185" i="30"/>
  <c r="O184" i="30"/>
  <c r="O116" i="30"/>
  <c r="O115" i="30"/>
  <c r="O114" i="30"/>
  <c r="O112" i="30"/>
  <c r="O111" i="30"/>
  <c r="O110" i="30"/>
  <c r="O108" i="30"/>
  <c r="O106" i="30"/>
  <c r="O105" i="30"/>
  <c r="O104" i="30"/>
  <c r="O102" i="30"/>
  <c r="O101" i="30"/>
  <c r="O100" i="30"/>
  <c r="O98" i="30"/>
  <c r="O86" i="30"/>
  <c r="O85" i="30"/>
  <c r="O84" i="30"/>
  <c r="O82" i="30"/>
  <c r="O81" i="30"/>
  <c r="O80" i="30"/>
  <c r="O78" i="30"/>
  <c r="C117" i="22"/>
  <c r="P259" i="30" l="1"/>
  <c r="R259" i="30" s="1"/>
  <c r="M70" i="30"/>
  <c r="N70" i="30"/>
  <c r="M74" i="30"/>
  <c r="N74" i="30"/>
  <c r="M61" i="30"/>
  <c r="D113" i="22"/>
  <c r="C113" i="22"/>
  <c r="O23" i="30"/>
  <c r="N23" i="30"/>
  <c r="M23" i="30"/>
  <c r="O28" i="30"/>
  <c r="N28" i="30"/>
  <c r="M28" i="30"/>
  <c r="C31" i="30"/>
  <c r="C30" i="30"/>
  <c r="B31" i="30"/>
  <c r="B30" i="30"/>
  <c r="B19" i="30"/>
  <c r="O16" i="30"/>
  <c r="N16" i="30"/>
  <c r="M16" i="30"/>
  <c r="P70" i="30" l="1"/>
  <c r="R70" i="30" s="1"/>
  <c r="P74" i="30"/>
  <c r="R74" i="30" s="1"/>
  <c r="P23" i="30"/>
  <c r="P28" i="30"/>
  <c r="P16" i="30"/>
  <c r="K38" i="32"/>
  <c r="E38" i="32"/>
  <c r="K31" i="32"/>
  <c r="E31" i="32"/>
  <c r="K20" i="32"/>
  <c r="E20" i="32"/>
  <c r="K18" i="32"/>
  <c r="E18" i="32"/>
  <c r="N19" i="32"/>
  <c r="M32" i="22" s="1"/>
  <c r="N17" i="32"/>
  <c r="M31" i="22" s="1"/>
  <c r="N16" i="32"/>
  <c r="M30" i="22" s="1"/>
  <c r="H19" i="32"/>
  <c r="H32" i="22" s="1"/>
  <c r="H17" i="32"/>
  <c r="H31" i="22" s="1"/>
  <c r="H16" i="32"/>
  <c r="H30" i="22" s="1"/>
  <c r="M15" i="32"/>
  <c r="L15" i="32"/>
  <c r="K15" i="32"/>
  <c r="J15" i="32"/>
  <c r="G15" i="32"/>
  <c r="F15" i="32"/>
  <c r="E15" i="32"/>
  <c r="D15" i="32"/>
  <c r="D8" i="32"/>
  <c r="E8" i="32"/>
  <c r="F8" i="32"/>
  <c r="H10" i="32"/>
  <c r="H11" i="32"/>
  <c r="H12" i="32"/>
  <c r="L8" i="32"/>
  <c r="D27" i="32" l="1"/>
  <c r="C40" i="30" l="1"/>
  <c r="D112" i="22" s="1"/>
  <c r="C65" i="30"/>
  <c r="D115" i="22" s="1"/>
  <c r="C64" i="30"/>
  <c r="D114" i="22" s="1"/>
  <c r="C37" i="30"/>
  <c r="D110" i="22" s="1"/>
  <c r="C36" i="30"/>
  <c r="D109" i="22" s="1"/>
  <c r="D108" i="22"/>
  <c r="D107" i="22"/>
  <c r="C18" i="30"/>
  <c r="D103" i="22" s="1"/>
  <c r="C17" i="30"/>
  <c r="D102" i="22" s="1"/>
  <c r="C12" i="30"/>
  <c r="D101" i="22" s="1"/>
  <c r="C10" i="30"/>
  <c r="D100" i="22" s="1"/>
  <c r="C99" i="22"/>
  <c r="L90" i="32" l="1"/>
  <c r="K101" i="32" s="1"/>
  <c r="J101" i="32" s="1"/>
  <c r="F90" i="32"/>
  <c r="E101" i="32" s="1"/>
  <c r="D101" i="32" s="1"/>
  <c r="K90" i="32"/>
  <c r="E90" i="32"/>
  <c r="M27" i="32"/>
  <c r="G27" i="32"/>
  <c r="O8" i="30" l="1"/>
  <c r="P8" i="30" s="1"/>
  <c r="G306" i="30"/>
  <c r="H118" i="22" s="1"/>
  <c r="F306" i="30"/>
  <c r="G118" i="22" s="1"/>
  <c r="E306" i="30"/>
  <c r="F118" i="22" s="1"/>
  <c r="D306" i="30"/>
  <c r="E118" i="22" s="1"/>
  <c r="C306" i="30"/>
  <c r="D118" i="22" s="1"/>
  <c r="B306" i="30"/>
  <c r="C118" i="22" s="1"/>
  <c r="O305" i="30"/>
  <c r="N305" i="30"/>
  <c r="M305" i="30"/>
  <c r="P304" i="30"/>
  <c r="O303" i="30"/>
  <c r="N303" i="30"/>
  <c r="M303" i="30"/>
  <c r="O302" i="30"/>
  <c r="N302" i="30"/>
  <c r="M302" i="30"/>
  <c r="O301" i="30"/>
  <c r="N301" i="30"/>
  <c r="M301" i="30"/>
  <c r="O300" i="30"/>
  <c r="N300" i="30"/>
  <c r="M300" i="30"/>
  <c r="O299" i="30"/>
  <c r="N299" i="30"/>
  <c r="M299" i="30"/>
  <c r="O295" i="30"/>
  <c r="N295" i="30"/>
  <c r="M295" i="30"/>
  <c r="O294" i="30"/>
  <c r="N294" i="30"/>
  <c r="M294" i="30"/>
  <c r="O293" i="30"/>
  <c r="N293" i="30"/>
  <c r="M293" i="30"/>
  <c r="O292" i="30"/>
  <c r="N292" i="30"/>
  <c r="M292" i="30"/>
  <c r="O291" i="30"/>
  <c r="N291" i="30"/>
  <c r="M291" i="30"/>
  <c r="O290" i="30"/>
  <c r="N290" i="30"/>
  <c r="M290" i="30"/>
  <c r="O289" i="30"/>
  <c r="P289" i="30" s="1"/>
  <c r="O288" i="30"/>
  <c r="P288" i="30" s="1"/>
  <c r="P277" i="30"/>
  <c r="R277" i="30" s="1"/>
  <c r="P276" i="30"/>
  <c r="R276" i="30" s="1"/>
  <c r="P275" i="30"/>
  <c r="R275" i="30" s="1"/>
  <c r="P274" i="30"/>
  <c r="R274" i="30" s="1"/>
  <c r="P273" i="30"/>
  <c r="R273" i="30" s="1"/>
  <c r="P271" i="30"/>
  <c r="R271" i="30" s="1"/>
  <c r="P270" i="30"/>
  <c r="R270" i="30" s="1"/>
  <c r="P269" i="30"/>
  <c r="R269" i="30" s="1"/>
  <c r="P268" i="30"/>
  <c r="R268" i="30" s="1"/>
  <c r="P267" i="30"/>
  <c r="R267" i="30" s="1"/>
  <c r="P266" i="30"/>
  <c r="R266" i="30" s="1"/>
  <c r="O261" i="30"/>
  <c r="P261" i="30" s="1"/>
  <c r="R261" i="30" s="1"/>
  <c r="O260" i="30"/>
  <c r="P260" i="30" s="1"/>
  <c r="R260" i="30" s="1"/>
  <c r="O258" i="30"/>
  <c r="P258" i="30" s="1"/>
  <c r="R258" i="30" s="1"/>
  <c r="O256" i="30"/>
  <c r="P256" i="30" s="1"/>
  <c r="R256" i="30" s="1"/>
  <c r="O255" i="30"/>
  <c r="P255" i="30" s="1"/>
  <c r="R255" i="30" s="1"/>
  <c r="O254" i="30"/>
  <c r="P254" i="30" s="1"/>
  <c r="R254" i="30" s="1"/>
  <c r="O252" i="30"/>
  <c r="P252" i="30" s="1"/>
  <c r="R252" i="30" s="1"/>
  <c r="O251" i="30"/>
  <c r="P251" i="30" s="1"/>
  <c r="R251" i="30" s="1"/>
  <c r="O250" i="30"/>
  <c r="P250" i="30" s="1"/>
  <c r="R250" i="30" s="1"/>
  <c r="O248" i="30"/>
  <c r="P248" i="30" s="1"/>
  <c r="R248" i="30" s="1"/>
  <c r="O246" i="30"/>
  <c r="P246" i="30" s="1"/>
  <c r="R246" i="30" s="1"/>
  <c r="O245" i="30"/>
  <c r="P245" i="30" s="1"/>
  <c r="R245" i="30" s="1"/>
  <c r="O244" i="30"/>
  <c r="P244" i="30" s="1"/>
  <c r="R244" i="30" s="1"/>
  <c r="O242" i="30"/>
  <c r="P242" i="30" s="1"/>
  <c r="R242" i="30" s="1"/>
  <c r="O241" i="30"/>
  <c r="P241" i="30" s="1"/>
  <c r="R241" i="30" s="1"/>
  <c r="O240" i="30"/>
  <c r="P240" i="30" s="1"/>
  <c r="R240" i="30" s="1"/>
  <c r="O238" i="30"/>
  <c r="P238" i="30" s="1"/>
  <c r="R238" i="30" s="1"/>
  <c r="O236" i="30"/>
  <c r="N236" i="30"/>
  <c r="M236" i="30"/>
  <c r="O235" i="30"/>
  <c r="N235" i="30"/>
  <c r="M235" i="30"/>
  <c r="O234" i="30"/>
  <c r="N234" i="30"/>
  <c r="M234" i="30"/>
  <c r="O232" i="30"/>
  <c r="N232" i="30"/>
  <c r="M232" i="30"/>
  <c r="O231" i="30"/>
  <c r="N231" i="30"/>
  <c r="M231" i="30"/>
  <c r="O230" i="30"/>
  <c r="N230" i="30"/>
  <c r="M230" i="30"/>
  <c r="O228" i="30"/>
  <c r="N228" i="30"/>
  <c r="M228" i="30"/>
  <c r="O216" i="30"/>
  <c r="P216" i="30" s="1"/>
  <c r="R216" i="30" s="1"/>
  <c r="O215" i="30"/>
  <c r="P215" i="30" s="1"/>
  <c r="R215" i="30" s="1"/>
  <c r="O214" i="30"/>
  <c r="P214" i="30" s="1"/>
  <c r="R214" i="30" s="1"/>
  <c r="O212" i="30"/>
  <c r="P212" i="30" s="1"/>
  <c r="R212" i="30" s="1"/>
  <c r="O211" i="30"/>
  <c r="P211" i="30" s="1"/>
  <c r="R211" i="30" s="1"/>
  <c r="O210" i="30"/>
  <c r="P210" i="30" s="1"/>
  <c r="R210" i="30" s="1"/>
  <c r="O208" i="30"/>
  <c r="P208" i="30" s="1"/>
  <c r="R208" i="30" s="1"/>
  <c r="N206" i="30"/>
  <c r="M206" i="30"/>
  <c r="N205" i="30"/>
  <c r="M205" i="30"/>
  <c r="N204" i="30"/>
  <c r="M204" i="30"/>
  <c r="N202" i="30"/>
  <c r="M202" i="30"/>
  <c r="N201" i="30"/>
  <c r="M201" i="30"/>
  <c r="N200" i="30"/>
  <c r="M200" i="30"/>
  <c r="N198" i="30"/>
  <c r="M198" i="30"/>
  <c r="O196" i="30"/>
  <c r="P196" i="30" s="1"/>
  <c r="R196" i="30" s="1"/>
  <c r="O195" i="30"/>
  <c r="P195" i="30" s="1"/>
  <c r="R195" i="30" s="1"/>
  <c r="O194" i="30"/>
  <c r="P194" i="30" s="1"/>
  <c r="R194" i="30" s="1"/>
  <c r="O192" i="30"/>
  <c r="P192" i="30" s="1"/>
  <c r="R192" i="30" s="1"/>
  <c r="O191" i="30"/>
  <c r="P191" i="30" s="1"/>
  <c r="R191" i="30" s="1"/>
  <c r="O190" i="30"/>
  <c r="P190" i="30" s="1"/>
  <c r="R190" i="30" s="1"/>
  <c r="O188" i="30"/>
  <c r="P188" i="30" s="1"/>
  <c r="R188" i="30" s="1"/>
  <c r="N186" i="30"/>
  <c r="M186" i="30"/>
  <c r="P186" i="30" s="1"/>
  <c r="R186" i="30" s="1"/>
  <c r="N185" i="30"/>
  <c r="M185" i="30"/>
  <c r="P185" i="30" s="1"/>
  <c r="R185" i="30" s="1"/>
  <c r="N184" i="30"/>
  <c r="M184" i="30"/>
  <c r="P184" i="30" s="1"/>
  <c r="R184" i="30" s="1"/>
  <c r="N182" i="30"/>
  <c r="M182" i="30"/>
  <c r="P182" i="30" s="1"/>
  <c r="R182" i="30" s="1"/>
  <c r="N181" i="30"/>
  <c r="M181" i="30"/>
  <c r="P181" i="30" s="1"/>
  <c r="R181" i="30" s="1"/>
  <c r="N180" i="30"/>
  <c r="M180" i="30"/>
  <c r="P180" i="30" s="1"/>
  <c r="R180" i="30" s="1"/>
  <c r="N178" i="30"/>
  <c r="M178" i="30"/>
  <c r="P178" i="30" s="1"/>
  <c r="R178" i="30" s="1"/>
  <c r="N176" i="30"/>
  <c r="M176" i="30"/>
  <c r="N175" i="30"/>
  <c r="M175" i="30"/>
  <c r="N174" i="30"/>
  <c r="M174" i="30"/>
  <c r="N172" i="30"/>
  <c r="M172" i="30"/>
  <c r="N171" i="30"/>
  <c r="M171" i="30"/>
  <c r="N170" i="30"/>
  <c r="M170" i="30"/>
  <c r="N168" i="30"/>
  <c r="M168" i="30"/>
  <c r="N166" i="30"/>
  <c r="M166" i="30"/>
  <c r="N165" i="30"/>
  <c r="M165" i="30"/>
  <c r="N164" i="30"/>
  <c r="M164" i="30"/>
  <c r="N162" i="30"/>
  <c r="M162" i="30"/>
  <c r="N161" i="30"/>
  <c r="M161" i="30"/>
  <c r="N160" i="30"/>
  <c r="M160" i="30"/>
  <c r="N158" i="30"/>
  <c r="M158" i="30"/>
  <c r="N156" i="30"/>
  <c r="M156" i="30"/>
  <c r="N155" i="30"/>
  <c r="M155" i="30"/>
  <c r="N154" i="30"/>
  <c r="M154" i="30"/>
  <c r="N152" i="30"/>
  <c r="M152" i="30"/>
  <c r="N151" i="30"/>
  <c r="M151" i="30"/>
  <c r="N150" i="30"/>
  <c r="M150" i="30"/>
  <c r="N148" i="30"/>
  <c r="M148" i="30"/>
  <c r="O146" i="30"/>
  <c r="N146" i="30"/>
  <c r="M146" i="30"/>
  <c r="O145" i="30"/>
  <c r="N145" i="30"/>
  <c r="M145" i="30"/>
  <c r="O144" i="30"/>
  <c r="N144" i="30"/>
  <c r="M144" i="30"/>
  <c r="O142" i="30"/>
  <c r="N142" i="30"/>
  <c r="M142" i="30"/>
  <c r="O141" i="30"/>
  <c r="N141" i="30"/>
  <c r="M141" i="30"/>
  <c r="O140" i="30"/>
  <c r="N140" i="30"/>
  <c r="M140" i="30"/>
  <c r="O138" i="30"/>
  <c r="N138" i="30"/>
  <c r="M138" i="30"/>
  <c r="O136" i="30"/>
  <c r="N136" i="30"/>
  <c r="M136" i="30"/>
  <c r="O135" i="30"/>
  <c r="N135" i="30"/>
  <c r="M135" i="30"/>
  <c r="O134" i="30"/>
  <c r="N134" i="30"/>
  <c r="M134" i="30"/>
  <c r="O132" i="30"/>
  <c r="N132" i="30"/>
  <c r="M132" i="30"/>
  <c r="O131" i="30"/>
  <c r="N131" i="30"/>
  <c r="M131" i="30"/>
  <c r="O130" i="30"/>
  <c r="N130" i="30"/>
  <c r="M130" i="30"/>
  <c r="O128" i="30"/>
  <c r="N128" i="30"/>
  <c r="M128" i="30"/>
  <c r="O126" i="30"/>
  <c r="N126" i="30"/>
  <c r="M126" i="30"/>
  <c r="O125" i="30"/>
  <c r="N125" i="30"/>
  <c r="M125" i="30"/>
  <c r="O124" i="30"/>
  <c r="N124" i="30"/>
  <c r="M124" i="30"/>
  <c r="O122" i="30"/>
  <c r="N122" i="30"/>
  <c r="M122" i="30"/>
  <c r="O121" i="30"/>
  <c r="N121" i="30"/>
  <c r="M121" i="30"/>
  <c r="O120" i="30"/>
  <c r="N120" i="30"/>
  <c r="M120" i="30"/>
  <c r="O118" i="30"/>
  <c r="N118" i="30"/>
  <c r="M118" i="30"/>
  <c r="N116" i="30"/>
  <c r="M116" i="30"/>
  <c r="P116" i="30" s="1"/>
  <c r="R116" i="30" s="1"/>
  <c r="N115" i="30"/>
  <c r="M115" i="30"/>
  <c r="P115" i="30" s="1"/>
  <c r="R115" i="30" s="1"/>
  <c r="N114" i="30"/>
  <c r="M114" i="30"/>
  <c r="P114" i="30" s="1"/>
  <c r="R114" i="30" s="1"/>
  <c r="N112" i="30"/>
  <c r="M112" i="30"/>
  <c r="P112" i="30" s="1"/>
  <c r="R112" i="30" s="1"/>
  <c r="N111" i="30"/>
  <c r="M111" i="30"/>
  <c r="P111" i="30" s="1"/>
  <c r="R111" i="30" s="1"/>
  <c r="N110" i="30"/>
  <c r="M110" i="30"/>
  <c r="P110" i="30" s="1"/>
  <c r="R110" i="30" s="1"/>
  <c r="N108" i="30"/>
  <c r="M108" i="30"/>
  <c r="P108" i="30" s="1"/>
  <c r="R108" i="30" s="1"/>
  <c r="N106" i="30"/>
  <c r="M106" i="30"/>
  <c r="P106" i="30" s="1"/>
  <c r="R106" i="30" s="1"/>
  <c r="N105" i="30"/>
  <c r="M105" i="30"/>
  <c r="P105" i="30" s="1"/>
  <c r="R105" i="30" s="1"/>
  <c r="N104" i="30"/>
  <c r="M104" i="30"/>
  <c r="P104" i="30" s="1"/>
  <c r="R104" i="30" s="1"/>
  <c r="N102" i="30"/>
  <c r="M102" i="30"/>
  <c r="P102" i="30" s="1"/>
  <c r="R102" i="30" s="1"/>
  <c r="N101" i="30"/>
  <c r="M101" i="30"/>
  <c r="P101" i="30" s="1"/>
  <c r="R101" i="30" s="1"/>
  <c r="N100" i="30"/>
  <c r="M100" i="30"/>
  <c r="P100" i="30" s="1"/>
  <c r="R100" i="30" s="1"/>
  <c r="N98" i="30"/>
  <c r="M98" i="30"/>
  <c r="P98" i="30" s="1"/>
  <c r="R98" i="30" s="1"/>
  <c r="O96" i="30"/>
  <c r="N96" i="30"/>
  <c r="M96" i="30"/>
  <c r="O95" i="30"/>
  <c r="N95" i="30"/>
  <c r="M95" i="30"/>
  <c r="O94" i="30"/>
  <c r="N94" i="30"/>
  <c r="M94" i="30"/>
  <c r="O92" i="30"/>
  <c r="N92" i="30"/>
  <c r="M92" i="30"/>
  <c r="O91" i="30"/>
  <c r="N91" i="30"/>
  <c r="M91" i="30"/>
  <c r="O90" i="30"/>
  <c r="N90" i="30"/>
  <c r="M90" i="30"/>
  <c r="O88" i="30"/>
  <c r="N88" i="30"/>
  <c r="M88" i="30"/>
  <c r="N86" i="30"/>
  <c r="M86" i="30"/>
  <c r="P86" i="30" s="1"/>
  <c r="R86" i="30" s="1"/>
  <c r="N85" i="30"/>
  <c r="M85" i="30"/>
  <c r="P85" i="30" s="1"/>
  <c r="R85" i="30" s="1"/>
  <c r="N84" i="30"/>
  <c r="M84" i="30"/>
  <c r="P84" i="30" s="1"/>
  <c r="R84" i="30" s="1"/>
  <c r="N82" i="30"/>
  <c r="M82" i="30"/>
  <c r="P82" i="30" s="1"/>
  <c r="R82" i="30" s="1"/>
  <c r="N81" i="30"/>
  <c r="M81" i="30"/>
  <c r="P81" i="30" s="1"/>
  <c r="R81" i="30" s="1"/>
  <c r="N80" i="30"/>
  <c r="M80" i="30"/>
  <c r="P80" i="30" s="1"/>
  <c r="R80" i="30" s="1"/>
  <c r="N78" i="30"/>
  <c r="M78" i="30"/>
  <c r="P78" i="30" s="1"/>
  <c r="R78" i="30" s="1"/>
  <c r="N76" i="30"/>
  <c r="M76" i="30"/>
  <c r="N75" i="30"/>
  <c r="M75" i="30"/>
  <c r="N72" i="30"/>
  <c r="M72" i="30"/>
  <c r="N71" i="30"/>
  <c r="M71" i="30"/>
  <c r="N68" i="30"/>
  <c r="M68" i="30"/>
  <c r="G66" i="30"/>
  <c r="H116" i="22" s="1"/>
  <c r="F66" i="30"/>
  <c r="G116" i="22" s="1"/>
  <c r="E66" i="30"/>
  <c r="F116" i="22" s="1"/>
  <c r="D66" i="30"/>
  <c r="E116" i="22" s="1"/>
  <c r="C66" i="30"/>
  <c r="D116" i="22" s="1"/>
  <c r="B66" i="30"/>
  <c r="C116" i="22" s="1"/>
  <c r="B65" i="30"/>
  <c r="C115" i="22" s="1"/>
  <c r="B64" i="30"/>
  <c r="C114" i="22" s="1"/>
  <c r="O62" i="30"/>
  <c r="N62" i="30"/>
  <c r="M62" i="30"/>
  <c r="P61" i="30"/>
  <c r="R61" i="30" s="1"/>
  <c r="O52" i="30"/>
  <c r="N52" i="30"/>
  <c r="M52" i="30"/>
  <c r="O51" i="30"/>
  <c r="N51" i="30"/>
  <c r="M51" i="30"/>
  <c r="O50" i="30"/>
  <c r="N50" i="30"/>
  <c r="M50" i="30"/>
  <c r="P48" i="30"/>
  <c r="O47" i="30"/>
  <c r="N47" i="30"/>
  <c r="M47" i="30"/>
  <c r="O46" i="30"/>
  <c r="N46" i="30"/>
  <c r="M46" i="30"/>
  <c r="O45" i="30"/>
  <c r="N45" i="30"/>
  <c r="M45" i="30"/>
  <c r="O44" i="30"/>
  <c r="N44" i="30"/>
  <c r="M44" i="30"/>
  <c r="O43" i="30"/>
  <c r="N43" i="30"/>
  <c r="M43" i="30"/>
  <c r="O41" i="30"/>
  <c r="N41" i="30"/>
  <c r="M41" i="30"/>
  <c r="B40" i="30"/>
  <c r="C112" i="22" s="1"/>
  <c r="O39" i="30"/>
  <c r="P39" i="30" s="1"/>
  <c r="H111" i="22"/>
  <c r="G111" i="22"/>
  <c r="F111" i="22"/>
  <c r="E111" i="22"/>
  <c r="D111" i="22"/>
  <c r="C111" i="22"/>
  <c r="B37" i="30"/>
  <c r="C110" i="22" s="1"/>
  <c r="B36" i="30"/>
  <c r="C109" i="22" s="1"/>
  <c r="O34" i="30"/>
  <c r="N34" i="30"/>
  <c r="M34" i="30"/>
  <c r="O33" i="30"/>
  <c r="N33" i="30"/>
  <c r="M33" i="30"/>
  <c r="C108" i="22"/>
  <c r="C107" i="22"/>
  <c r="H106" i="22"/>
  <c r="G106" i="22"/>
  <c r="F106" i="22"/>
  <c r="E106" i="22"/>
  <c r="D106" i="22"/>
  <c r="C106" i="22"/>
  <c r="O27" i="30"/>
  <c r="N27" i="30"/>
  <c r="M27" i="30"/>
  <c r="O26" i="30"/>
  <c r="N26" i="30"/>
  <c r="M26" i="30"/>
  <c r="H105" i="22"/>
  <c r="G105" i="22"/>
  <c r="F105" i="22"/>
  <c r="E105" i="22"/>
  <c r="D105" i="22"/>
  <c r="C105" i="22"/>
  <c r="O22" i="30"/>
  <c r="N22" i="30"/>
  <c r="M22" i="30"/>
  <c r="O21" i="30"/>
  <c r="N21" i="30"/>
  <c r="M21" i="30"/>
  <c r="H104" i="22"/>
  <c r="G104" i="22"/>
  <c r="F104" i="22"/>
  <c r="E104" i="22"/>
  <c r="D104" i="22"/>
  <c r="C104" i="22"/>
  <c r="B18" i="30"/>
  <c r="C103" i="22" s="1"/>
  <c r="B17" i="30"/>
  <c r="C102" i="22" s="1"/>
  <c r="O15" i="30"/>
  <c r="N15" i="30"/>
  <c r="M15" i="30"/>
  <c r="O14" i="30"/>
  <c r="N14" i="30"/>
  <c r="M14" i="30"/>
  <c r="B12" i="30"/>
  <c r="C101" i="22" s="1"/>
  <c r="O11" i="30"/>
  <c r="N11" i="30"/>
  <c r="M11" i="30"/>
  <c r="B10" i="30"/>
  <c r="C100" i="22" s="1"/>
  <c r="O9" i="30"/>
  <c r="N9" i="30"/>
  <c r="M9" i="30"/>
  <c r="O6" i="30"/>
  <c r="P6" i="30" s="1"/>
  <c r="P120" i="30" l="1"/>
  <c r="R120" i="30" s="1"/>
  <c r="P125" i="30"/>
  <c r="R125" i="30" s="1"/>
  <c r="P131" i="30"/>
  <c r="R131" i="30" s="1"/>
  <c r="P136" i="30"/>
  <c r="R136" i="30" s="1"/>
  <c r="P142" i="30"/>
  <c r="R142" i="30" s="1"/>
  <c r="P148" i="30"/>
  <c r="R148" i="30" s="1"/>
  <c r="P151" i="30"/>
  <c r="R151" i="30" s="1"/>
  <c r="P154" i="30"/>
  <c r="R154" i="30" s="1"/>
  <c r="P156" i="30"/>
  <c r="R156" i="30" s="1"/>
  <c r="P158" i="30"/>
  <c r="R158" i="30" s="1"/>
  <c r="P161" i="30"/>
  <c r="R161" i="30" s="1"/>
  <c r="P164" i="30"/>
  <c r="R164" i="30" s="1"/>
  <c r="P166" i="30"/>
  <c r="R166" i="30" s="1"/>
  <c r="P168" i="30"/>
  <c r="R168" i="30" s="1"/>
  <c r="P171" i="30"/>
  <c r="R171" i="30" s="1"/>
  <c r="P174" i="30"/>
  <c r="R174" i="30" s="1"/>
  <c r="P176" i="30"/>
  <c r="R176" i="30" s="1"/>
  <c r="P121" i="30"/>
  <c r="R121" i="30" s="1"/>
  <c r="P126" i="30"/>
  <c r="R126" i="30" s="1"/>
  <c r="P132" i="30"/>
  <c r="R132" i="30" s="1"/>
  <c r="P138" i="30"/>
  <c r="R138" i="30" s="1"/>
  <c r="P144" i="30"/>
  <c r="R144" i="30" s="1"/>
  <c r="P88" i="30"/>
  <c r="R88" i="30" s="1"/>
  <c r="P122" i="30"/>
  <c r="R122" i="30" s="1"/>
  <c r="P128" i="30"/>
  <c r="R128" i="30" s="1"/>
  <c r="P134" i="30"/>
  <c r="R134" i="30" s="1"/>
  <c r="P140" i="30"/>
  <c r="R140" i="30" s="1"/>
  <c r="P145" i="30"/>
  <c r="R145" i="30" s="1"/>
  <c r="P150" i="30"/>
  <c r="R150" i="30" s="1"/>
  <c r="P152" i="30"/>
  <c r="R152" i="30" s="1"/>
  <c r="P155" i="30"/>
  <c r="R155" i="30" s="1"/>
  <c r="P160" i="30"/>
  <c r="R160" i="30" s="1"/>
  <c r="P162" i="30"/>
  <c r="R162" i="30" s="1"/>
  <c r="P165" i="30"/>
  <c r="R165" i="30" s="1"/>
  <c r="P170" i="30"/>
  <c r="R170" i="30" s="1"/>
  <c r="P172" i="30"/>
  <c r="R172" i="30" s="1"/>
  <c r="P175" i="30"/>
  <c r="R175" i="30" s="1"/>
  <c r="P118" i="30"/>
  <c r="R118" i="30" s="1"/>
  <c r="P124" i="30"/>
  <c r="R124" i="30" s="1"/>
  <c r="P130" i="30"/>
  <c r="R130" i="30" s="1"/>
  <c r="P135" i="30"/>
  <c r="R135" i="30" s="1"/>
  <c r="P141" i="30"/>
  <c r="R141" i="30" s="1"/>
  <c r="P146" i="30"/>
  <c r="R146" i="30" s="1"/>
  <c r="P230" i="30"/>
  <c r="R230" i="30" s="1"/>
  <c r="P232" i="30"/>
  <c r="R232" i="30" s="1"/>
  <c r="P235" i="30"/>
  <c r="R235" i="30" s="1"/>
  <c r="P200" i="30"/>
  <c r="R200" i="30" s="1"/>
  <c r="P62" i="30"/>
  <c r="R62" i="30" s="1"/>
  <c r="P278" i="30" s="1"/>
  <c r="P198" i="30"/>
  <c r="R198" i="30" s="1"/>
  <c r="P45" i="30"/>
  <c r="P51" i="30"/>
  <c r="P201" i="30"/>
  <c r="R201" i="30" s="1"/>
  <c r="P206" i="30"/>
  <c r="R206" i="30" s="1"/>
  <c r="P27" i="30"/>
  <c r="P72" i="30"/>
  <c r="R72" i="30" s="1"/>
  <c r="P234" i="30"/>
  <c r="R234" i="30" s="1"/>
  <c r="P290" i="30"/>
  <c r="P299" i="30"/>
  <c r="P302" i="30"/>
  <c r="P15" i="30"/>
  <c r="P41" i="30"/>
  <c r="P52" i="30"/>
  <c r="P96" i="30"/>
  <c r="R96" i="30" s="1"/>
  <c r="P9" i="30"/>
  <c r="P22" i="30"/>
  <c r="P14" i="30"/>
  <c r="P21" i="30"/>
  <c r="P292" i="30"/>
  <c r="P295" i="30"/>
  <c r="P291" i="30"/>
  <c r="P293" i="30"/>
  <c r="P300" i="30"/>
  <c r="P303" i="30"/>
  <c r="P305" i="30"/>
  <c r="P294" i="30"/>
  <c r="P301" i="30"/>
  <c r="P231" i="30"/>
  <c r="R231" i="30" s="1"/>
  <c r="P236" i="30"/>
  <c r="R236" i="30" s="1"/>
  <c r="P228" i="30"/>
  <c r="R228" i="30" s="1"/>
  <c r="P94" i="30"/>
  <c r="R94" i="30" s="1"/>
  <c r="P205" i="30"/>
  <c r="R205" i="30" s="1"/>
  <c r="P204" i="30"/>
  <c r="R204" i="30" s="1"/>
  <c r="P202" i="30"/>
  <c r="R202" i="30" s="1"/>
  <c r="P90" i="30"/>
  <c r="R90" i="30" s="1"/>
  <c r="P91" i="30"/>
  <c r="R91" i="30" s="1"/>
  <c r="P92" i="30"/>
  <c r="R92" i="30" s="1"/>
  <c r="P95" i="30"/>
  <c r="R95" i="30" s="1"/>
  <c r="P75" i="30"/>
  <c r="R75" i="30" s="1"/>
  <c r="P71" i="30"/>
  <c r="R71" i="30" s="1"/>
  <c r="P76" i="30"/>
  <c r="R76" i="30" s="1"/>
  <c r="P68" i="30"/>
  <c r="R68" i="30" s="1"/>
  <c r="P44" i="30"/>
  <c r="P43" i="30"/>
  <c r="P34" i="30"/>
  <c r="P33" i="30"/>
  <c r="P26" i="30"/>
  <c r="P11" i="30"/>
  <c r="P50" i="30"/>
  <c r="P47" i="30"/>
  <c r="P46" i="30"/>
  <c r="J93" i="32" l="1"/>
  <c r="J92" i="32"/>
  <c r="D93" i="32"/>
  <c r="D92" i="32"/>
  <c r="P282" i="30" l="1"/>
  <c r="E43" i="22" l="1"/>
  <c r="C36" i="22"/>
  <c r="C35" i="22"/>
  <c r="C34" i="22"/>
  <c r="C29" i="22"/>
  <c r="C28" i="22"/>
  <c r="C27" i="22"/>
  <c r="J102" i="32"/>
  <c r="J100" i="32"/>
  <c r="L94" i="32"/>
  <c r="K94" i="32"/>
  <c r="J94" i="32"/>
  <c r="J87" i="32"/>
  <c r="K59" i="32"/>
  <c r="J59" i="32"/>
  <c r="L51" i="32"/>
  <c r="M42" i="32"/>
  <c r="L36" i="22" s="1"/>
  <c r="M41" i="32"/>
  <c r="L35" i="22" s="1"/>
  <c r="M40" i="32"/>
  <c r="L34" i="22" s="1"/>
  <c r="L39" i="32"/>
  <c r="I47" i="22" s="1"/>
  <c r="J39" i="32"/>
  <c r="L27" i="32"/>
  <c r="N12" i="32"/>
  <c r="N11" i="32"/>
  <c r="N10" i="32"/>
  <c r="K8" i="32"/>
  <c r="K27" i="32" s="1"/>
  <c r="J8" i="32"/>
  <c r="J27" i="32" s="1"/>
  <c r="D102" i="32"/>
  <c r="L53" i="32"/>
  <c r="K37" i="22" s="1"/>
  <c r="F94" i="32"/>
  <c r="F39" i="32"/>
  <c r="D39" i="32"/>
  <c r="J43" i="22" l="1"/>
  <c r="J103" i="32"/>
  <c r="J104" i="32" s="1"/>
  <c r="D103" i="32"/>
  <c r="E437" i="8" l="1"/>
  <c r="D437" i="8"/>
  <c r="E436" i="8"/>
  <c r="D436" i="8"/>
  <c r="E435" i="8"/>
  <c r="D435" i="8"/>
  <c r="E434" i="8"/>
  <c r="D434" i="8"/>
  <c r="J133" i="32" l="1"/>
  <c r="J131" i="32" s="1"/>
  <c r="J126" i="32"/>
  <c r="J118" i="32"/>
  <c r="J111" i="32"/>
  <c r="D80" i="32"/>
  <c r="E59" i="32"/>
  <c r="D59" i="32"/>
  <c r="D75" i="32"/>
  <c r="D38" i="22" s="1"/>
  <c r="D87" i="32"/>
  <c r="H418" i="8"/>
  <c r="H424" i="8"/>
  <c r="D20" i="8"/>
  <c r="G68" i="8"/>
  <c r="H68" i="8" s="1"/>
  <c r="D67" i="1"/>
  <c r="H152" i="8"/>
  <c r="H148" i="8"/>
  <c r="H144" i="8"/>
  <c r="H140" i="8"/>
  <c r="G51" i="22"/>
  <c r="F51" i="22"/>
  <c r="B403" i="8"/>
  <c r="C94" i="22" s="1"/>
  <c r="B400" i="8"/>
  <c r="C93" i="22"/>
  <c r="B397" i="8"/>
  <c r="C92" i="22" s="1"/>
  <c r="B394" i="8"/>
  <c r="C91" i="22" s="1"/>
  <c r="B391" i="8"/>
  <c r="C90" i="22" s="1"/>
  <c r="B388" i="8"/>
  <c r="C89" i="22" s="1"/>
  <c r="B385" i="8"/>
  <c r="C88" i="22" s="1"/>
  <c r="B382" i="8"/>
  <c r="C87" i="22" s="1"/>
  <c r="B379" i="8"/>
  <c r="B376" i="8"/>
  <c r="C85" i="22" s="1"/>
  <c r="B373" i="8"/>
  <c r="C84" i="22" s="1"/>
  <c r="B370" i="8"/>
  <c r="C83" i="22" s="1"/>
  <c r="B367" i="8"/>
  <c r="C82" i="22" s="1"/>
  <c r="B364" i="8"/>
  <c r="C81" i="22"/>
  <c r="B361" i="8"/>
  <c r="C80" i="22" s="1"/>
  <c r="B358" i="8"/>
  <c r="C79" i="22" s="1"/>
  <c r="B355" i="8"/>
  <c r="C78" i="22" s="1"/>
  <c r="B352" i="8"/>
  <c r="C77" i="22" s="1"/>
  <c r="B349" i="8"/>
  <c r="C76" i="22" s="1"/>
  <c r="B346" i="8"/>
  <c r="C75" i="22" s="1"/>
  <c r="B343" i="8"/>
  <c r="C74" i="22" s="1"/>
  <c r="B340" i="8"/>
  <c r="C73" i="22" s="1"/>
  <c r="B337" i="8"/>
  <c r="C72" i="22" s="1"/>
  <c r="B334" i="8"/>
  <c r="C71" i="22" s="1"/>
  <c r="B287" i="8"/>
  <c r="B284" i="8"/>
  <c r="C69" i="22" s="1"/>
  <c r="B281" i="8"/>
  <c r="C68" i="22" s="1"/>
  <c r="B278" i="8"/>
  <c r="C67" i="22" s="1"/>
  <c r="B207" i="8"/>
  <c r="C66" i="22" s="1"/>
  <c r="B204" i="8"/>
  <c r="C65" i="22" s="1"/>
  <c r="B200" i="8"/>
  <c r="C64" i="22" s="1"/>
  <c r="B197" i="8"/>
  <c r="C63" i="22" s="1"/>
  <c r="B194" i="8"/>
  <c r="C62" i="22" s="1"/>
  <c r="B190" i="8"/>
  <c r="C61" i="22" s="1"/>
  <c r="B187" i="8"/>
  <c r="C60" i="22"/>
  <c r="B184" i="8"/>
  <c r="C59" i="22" s="1"/>
  <c r="B181" i="8"/>
  <c r="C58" i="22" s="1"/>
  <c r="G318" i="8"/>
  <c r="H318" i="8" s="1"/>
  <c r="G264" i="8"/>
  <c r="H264" i="8" s="1"/>
  <c r="G263" i="8"/>
  <c r="H263" i="8" s="1"/>
  <c r="G262" i="8"/>
  <c r="H262" i="8" s="1"/>
  <c r="G261" i="8"/>
  <c r="H261" i="8" s="1"/>
  <c r="G260" i="8"/>
  <c r="H260" i="8" s="1"/>
  <c r="G259" i="8"/>
  <c r="H259" i="8" s="1"/>
  <c r="G257" i="8"/>
  <c r="H257" i="8" s="1"/>
  <c r="G256" i="8"/>
  <c r="H256" i="8" s="1"/>
  <c r="G255" i="8"/>
  <c r="H255" i="8" s="1"/>
  <c r="G254" i="8"/>
  <c r="H254" i="8" s="1"/>
  <c r="G136" i="8"/>
  <c r="H136" i="8" s="1"/>
  <c r="G134" i="8"/>
  <c r="H134" i="8" s="1"/>
  <c r="B134" i="8"/>
  <c r="G133" i="8"/>
  <c r="H133" i="8" s="1"/>
  <c r="B133" i="8"/>
  <c r="G132" i="8"/>
  <c r="H132" i="8" s="1"/>
  <c r="B132" i="8"/>
  <c r="G107" i="8"/>
  <c r="H107" i="8" s="1"/>
  <c r="G105" i="8"/>
  <c r="H105" i="8" s="1"/>
  <c r="B105" i="8"/>
  <c r="G104" i="8"/>
  <c r="H104" i="8" s="1"/>
  <c r="B104" i="8"/>
  <c r="G103" i="8"/>
  <c r="H103" i="8" s="1"/>
  <c r="B103" i="8"/>
  <c r="G72" i="8"/>
  <c r="H72" i="8" s="1"/>
  <c r="G71" i="8"/>
  <c r="H71" i="8" s="1"/>
  <c r="G70" i="8"/>
  <c r="H70" i="8" s="1"/>
  <c r="C65" i="8"/>
  <c r="G46" i="8"/>
  <c r="G43" i="8"/>
  <c r="G39" i="8"/>
  <c r="H39" i="8" s="1"/>
  <c r="G38" i="8"/>
  <c r="H38" i="8" s="1"/>
  <c r="G37" i="8"/>
  <c r="H37" i="8" s="1"/>
  <c r="H41" i="8" s="1"/>
  <c r="G34" i="8"/>
  <c r="G31" i="8"/>
  <c r="H31" i="8" s="1"/>
  <c r="G30" i="8"/>
  <c r="H30" i="8" s="1"/>
  <c r="G29" i="8"/>
  <c r="H29" i="8" s="1"/>
  <c r="G28" i="8"/>
  <c r="H28" i="8" s="1"/>
  <c r="G27" i="8"/>
  <c r="H27" i="8" s="1"/>
  <c r="G26" i="8"/>
  <c r="H26" i="8" s="1"/>
  <c r="G25" i="8"/>
  <c r="H25" i="8" s="1"/>
  <c r="G18" i="8"/>
  <c r="H18" i="8" s="1"/>
  <c r="G17" i="8"/>
  <c r="H17" i="8" s="1"/>
  <c r="G15" i="8"/>
  <c r="H15" i="8" s="1"/>
  <c r="G14" i="8"/>
  <c r="H14" i="8" s="1"/>
  <c r="G13" i="8"/>
  <c r="H13" i="8" s="1"/>
  <c r="G12" i="8"/>
  <c r="H12" i="8" s="1"/>
  <c r="G11" i="8"/>
  <c r="H11" i="8" s="1"/>
  <c r="E403" i="8"/>
  <c r="E94" i="22" s="1"/>
  <c r="D403" i="8"/>
  <c r="D94" i="22" s="1"/>
  <c r="C86" i="22"/>
  <c r="C70" i="22"/>
  <c r="J430" i="8"/>
  <c r="H430" i="8"/>
  <c r="H429" i="8"/>
  <c r="H428" i="8"/>
  <c r="H427" i="8"/>
  <c r="H426" i="8"/>
  <c r="J425" i="8"/>
  <c r="J424" i="8"/>
  <c r="H423" i="8"/>
  <c r="H422" i="8"/>
  <c r="H421" i="8"/>
  <c r="J420" i="8"/>
  <c r="J419" i="8"/>
  <c r="J418" i="8"/>
  <c r="H417" i="8"/>
  <c r="H416" i="8"/>
  <c r="J415" i="8"/>
  <c r="J414" i="8"/>
  <c r="J413" i="8"/>
  <c r="J412" i="8"/>
  <c r="H412" i="8"/>
  <c r="H411" i="8"/>
  <c r="J410" i="8"/>
  <c r="J409" i="8"/>
  <c r="J408" i="8"/>
  <c r="J407" i="8"/>
  <c r="J406" i="8"/>
  <c r="H406" i="8"/>
  <c r="J404" i="8"/>
  <c r="H404" i="8"/>
  <c r="H401" i="8"/>
  <c r="E400" i="8"/>
  <c r="E93" i="22" s="1"/>
  <c r="D400" i="8"/>
  <c r="D93" i="22" s="1"/>
  <c r="H398" i="8"/>
  <c r="E397" i="8"/>
  <c r="E92" i="22" s="1"/>
  <c r="D397" i="8"/>
  <c r="D92" i="22"/>
  <c r="H395" i="8"/>
  <c r="E394" i="8"/>
  <c r="E91" i="22" s="1"/>
  <c r="D394" i="8"/>
  <c r="D91" i="22" s="1"/>
  <c r="H392" i="8"/>
  <c r="E391" i="8"/>
  <c r="E90" i="22"/>
  <c r="D391" i="8"/>
  <c r="D90" i="22" s="1"/>
  <c r="J389" i="8"/>
  <c r="E388" i="8"/>
  <c r="E89" i="22"/>
  <c r="D388" i="8"/>
  <c r="D89" i="22" s="1"/>
  <c r="J386" i="8"/>
  <c r="H386" i="8"/>
  <c r="E385" i="8"/>
  <c r="E88" i="22" s="1"/>
  <c r="D385" i="8"/>
  <c r="D88" i="22" s="1"/>
  <c r="H383" i="8"/>
  <c r="E382" i="8"/>
  <c r="E87" i="22" s="1"/>
  <c r="D382" i="8"/>
  <c r="D87" i="22" s="1"/>
  <c r="H380" i="8"/>
  <c r="E379" i="8"/>
  <c r="E86" i="22" s="1"/>
  <c r="D379" i="8"/>
  <c r="D86" i="22" s="1"/>
  <c r="H377" i="8"/>
  <c r="E376" i="8"/>
  <c r="E85" i="22" s="1"/>
  <c r="D376" i="8"/>
  <c r="D85" i="22" s="1"/>
  <c r="J374" i="8"/>
  <c r="E373" i="8"/>
  <c r="E84" i="22" s="1"/>
  <c r="D373" i="8"/>
  <c r="D84" i="22" s="1"/>
  <c r="J371" i="8"/>
  <c r="E370" i="8"/>
  <c r="E83" i="22" s="1"/>
  <c r="D370" i="8"/>
  <c r="D83" i="22" s="1"/>
  <c r="J368" i="8"/>
  <c r="H368" i="8"/>
  <c r="E367" i="8"/>
  <c r="E82" i="22" s="1"/>
  <c r="D367" i="8"/>
  <c r="D82" i="22" s="1"/>
  <c r="H365" i="8"/>
  <c r="E364" i="8"/>
  <c r="E81" i="22" s="1"/>
  <c r="D364" i="8"/>
  <c r="D81" i="22" s="1"/>
  <c r="H362" i="8"/>
  <c r="E361" i="8"/>
  <c r="E80" i="22" s="1"/>
  <c r="D361" i="8"/>
  <c r="D80" i="22" s="1"/>
  <c r="J359" i="8"/>
  <c r="E358" i="8"/>
  <c r="E79" i="22" s="1"/>
  <c r="D358" i="8"/>
  <c r="D79" i="22" s="1"/>
  <c r="J356" i="8"/>
  <c r="E355" i="8"/>
  <c r="E78" i="22" s="1"/>
  <c r="D355" i="8"/>
  <c r="D78" i="22"/>
  <c r="J353" i="8"/>
  <c r="E352" i="8"/>
  <c r="E77" i="22" s="1"/>
  <c r="D352" i="8"/>
  <c r="D77" i="22"/>
  <c r="J350" i="8"/>
  <c r="H350" i="8"/>
  <c r="E349" i="8"/>
  <c r="E76" i="22"/>
  <c r="D349" i="8"/>
  <c r="D76" i="22" s="1"/>
  <c r="H347" i="8"/>
  <c r="E346" i="8"/>
  <c r="E75" i="22" s="1"/>
  <c r="D346" i="8"/>
  <c r="D75" i="22"/>
  <c r="J344" i="8"/>
  <c r="E343" i="8"/>
  <c r="E74" i="22" s="1"/>
  <c r="D343" i="8"/>
  <c r="D74" i="22"/>
  <c r="J341" i="8"/>
  <c r="E340" i="8"/>
  <c r="E73" i="22"/>
  <c r="D340" i="8"/>
  <c r="D73" i="22" s="1"/>
  <c r="J338" i="8"/>
  <c r="E337" i="8"/>
  <c r="E72" i="22"/>
  <c r="D337" i="8"/>
  <c r="D72" i="22" s="1"/>
  <c r="J335" i="8"/>
  <c r="E334" i="8"/>
  <c r="D334" i="8"/>
  <c r="D71" i="22" s="1"/>
  <c r="J332" i="8"/>
  <c r="J431" i="8" s="1"/>
  <c r="H332" i="8"/>
  <c r="H317" i="8"/>
  <c r="H316" i="8"/>
  <c r="H310" i="8"/>
  <c r="H309" i="8"/>
  <c r="H308" i="8"/>
  <c r="H307" i="8"/>
  <c r="H305" i="8"/>
  <c r="E246" i="8" s="1"/>
  <c r="H304" i="8"/>
  <c r="E245" i="8"/>
  <c r="H303" i="8"/>
  <c r="E244" i="8" s="1"/>
  <c r="H302" i="8"/>
  <c r="H311" i="8" s="1"/>
  <c r="B301" i="8"/>
  <c r="H296" i="8"/>
  <c r="H295" i="8"/>
  <c r="H294" i="8"/>
  <c r="H293" i="8"/>
  <c r="H292" i="8"/>
  <c r="H291" i="8"/>
  <c r="H289" i="8"/>
  <c r="H288" i="8"/>
  <c r="E287" i="8"/>
  <c r="E70" i="22" s="1"/>
  <c r="D287" i="8"/>
  <c r="D70" i="22" s="1"/>
  <c r="H285" i="8"/>
  <c r="E284" i="8"/>
  <c r="E69" i="22" s="1"/>
  <c r="D284" i="8"/>
  <c r="D69" i="22"/>
  <c r="H282" i="8"/>
  <c r="E281" i="8"/>
  <c r="E68" i="22" s="1"/>
  <c r="D281" i="8"/>
  <c r="H279" i="8"/>
  <c r="E278" i="8"/>
  <c r="E67" i="22" s="1"/>
  <c r="D278" i="8"/>
  <c r="D67" i="22" s="1"/>
  <c r="H276" i="8"/>
  <c r="H266" i="8"/>
  <c r="H265" i="8"/>
  <c r="D247" i="8"/>
  <c r="H242" i="8"/>
  <c r="H239" i="8"/>
  <c r="H238" i="8"/>
  <c r="H237" i="8"/>
  <c r="H236" i="8"/>
  <c r="H235" i="8"/>
  <c r="H234" i="8"/>
  <c r="H232" i="8"/>
  <c r="H231" i="8"/>
  <c r="H229" i="8"/>
  <c r="H228" i="8"/>
  <c r="H227" i="8"/>
  <c r="H226" i="8"/>
  <c r="H225" i="8"/>
  <c r="H223" i="8"/>
  <c r="H222" i="8"/>
  <c r="H221" i="8"/>
  <c r="H220" i="8"/>
  <c r="H219" i="8"/>
  <c r="H218" i="8"/>
  <c r="H217" i="8"/>
  <c r="H215" i="8"/>
  <c r="H214" i="8"/>
  <c r="H210" i="8"/>
  <c r="H209" i="8"/>
  <c r="E207" i="8"/>
  <c r="E66" i="22" s="1"/>
  <c r="D207" i="8"/>
  <c r="D66" i="22"/>
  <c r="H205" i="8"/>
  <c r="E204" i="8"/>
  <c r="E65" i="22" s="1"/>
  <c r="D204" i="8"/>
  <c r="D65" i="22" s="1"/>
  <c r="H202" i="8"/>
  <c r="E200" i="8"/>
  <c r="E64" i="22" s="1"/>
  <c r="D200" i="8"/>
  <c r="D64" i="22" s="1"/>
  <c r="H198" i="8"/>
  <c r="E197" i="8"/>
  <c r="D197" i="8"/>
  <c r="D63" i="22" s="1"/>
  <c r="H195" i="8"/>
  <c r="E194" i="8"/>
  <c r="E62" i="22"/>
  <c r="D194" i="8"/>
  <c r="D62" i="22" s="1"/>
  <c r="H192" i="8"/>
  <c r="H191" i="8"/>
  <c r="E190" i="8"/>
  <c r="E61" i="22" s="1"/>
  <c r="D190" i="8"/>
  <c r="D61" i="22"/>
  <c r="H188" i="8"/>
  <c r="E187" i="8"/>
  <c r="E60" i="22" s="1"/>
  <c r="D187" i="8"/>
  <c r="D60" i="22" s="1"/>
  <c r="H185" i="8"/>
  <c r="E184" i="8"/>
  <c r="E59" i="22" s="1"/>
  <c r="D184" i="8"/>
  <c r="D59" i="22" s="1"/>
  <c r="H182" i="8"/>
  <c r="E181" i="8"/>
  <c r="E58" i="22" s="1"/>
  <c r="D181" i="8"/>
  <c r="D58" i="22" s="1"/>
  <c r="H179" i="8"/>
  <c r="D175" i="8"/>
  <c r="B175" i="8"/>
  <c r="C57" i="22" s="1"/>
  <c r="D173" i="8"/>
  <c r="D56" i="22" s="1"/>
  <c r="B173" i="8"/>
  <c r="C56" i="22" s="1"/>
  <c r="D171" i="8"/>
  <c r="D55" i="22" s="1"/>
  <c r="B171" i="8"/>
  <c r="C55" i="22" s="1"/>
  <c r="H166" i="8"/>
  <c r="H165" i="8"/>
  <c r="H164" i="8"/>
  <c r="H163" i="8"/>
  <c r="H162" i="8"/>
  <c r="H161" i="8"/>
  <c r="H160" i="8"/>
  <c r="H158" i="8"/>
  <c r="H157" i="8"/>
  <c r="H154" i="8"/>
  <c r="H153" i="8"/>
  <c r="H150" i="8"/>
  <c r="H149" i="8"/>
  <c r="H146" i="8"/>
  <c r="H145" i="8"/>
  <c r="H142" i="8"/>
  <c r="H141" i="8"/>
  <c r="H137" i="8"/>
  <c r="H130" i="8"/>
  <c r="H129" i="8"/>
  <c r="H128" i="8"/>
  <c r="H127" i="8"/>
  <c r="H125" i="8"/>
  <c r="H124" i="8"/>
  <c r="H121" i="8"/>
  <c r="H120" i="8"/>
  <c r="H118" i="8"/>
  <c r="H117" i="8"/>
  <c r="H108" i="8"/>
  <c r="H101" i="8"/>
  <c r="H100" i="8"/>
  <c r="H99" i="8"/>
  <c r="H98" i="8"/>
  <c r="H96" i="8"/>
  <c r="H95" i="8"/>
  <c r="H92" i="8"/>
  <c r="H91" i="8"/>
  <c r="H89" i="8"/>
  <c r="H88" i="8"/>
  <c r="G62" i="8"/>
  <c r="G54" i="22" s="1"/>
  <c r="F62" i="8"/>
  <c r="F54" i="22" s="1"/>
  <c r="E62" i="8"/>
  <c r="E54" i="22" s="1"/>
  <c r="D62" i="8"/>
  <c r="D54" i="22" s="1"/>
  <c r="B62" i="8"/>
  <c r="C54" i="22" s="1"/>
  <c r="G59" i="8"/>
  <c r="G53" i="22" s="1"/>
  <c r="F59" i="8"/>
  <c r="F53" i="22" s="1"/>
  <c r="E59" i="8"/>
  <c r="E53" i="22" s="1"/>
  <c r="D59" i="8"/>
  <c r="D53" i="22" s="1"/>
  <c r="B59" i="8"/>
  <c r="C53" i="22" s="1"/>
  <c r="D41" i="8"/>
  <c r="D32" i="8"/>
  <c r="D9" i="8"/>
  <c r="D52" i="22" s="1"/>
  <c r="B9" i="8"/>
  <c r="C52" i="22" s="1"/>
  <c r="H8" i="8"/>
  <c r="H6" i="8"/>
  <c r="B58" i="1"/>
  <c r="F42" i="22"/>
  <c r="C33" i="22"/>
  <c r="J33" i="22"/>
  <c r="E33" i="22"/>
  <c r="E71" i="22"/>
  <c r="D68" i="22"/>
  <c r="E63" i="22"/>
  <c r="D57" i="22"/>
  <c r="D32" i="28"/>
  <c r="D40" i="28"/>
  <c r="D42" i="28" s="1"/>
  <c r="D94" i="28"/>
  <c r="D43" i="28" s="1"/>
  <c r="D100" i="28"/>
  <c r="D44" i="28" s="1"/>
  <c r="D112" i="28"/>
  <c r="D45" i="28" s="1"/>
  <c r="D120" i="28"/>
  <c r="D46" i="28" s="1"/>
  <c r="D47" i="28"/>
  <c r="D141" i="28"/>
  <c r="D48" i="28"/>
  <c r="D161" i="28"/>
  <c r="D49" i="28"/>
  <c r="D50" i="28"/>
  <c r="D175" i="28"/>
  <c r="D51" i="28" s="1"/>
  <c r="D52" i="28"/>
  <c r="D185" i="28"/>
  <c r="D193" i="28" s="1"/>
  <c r="D188" i="28"/>
  <c r="D191" i="28"/>
  <c r="D214" i="28"/>
  <c r="D231" i="28"/>
  <c r="D113" i="28"/>
  <c r="D236" i="28"/>
  <c r="D124" i="28"/>
  <c r="D217" i="28"/>
  <c r="D224" i="28"/>
  <c r="D128" i="28"/>
  <c r="D220" i="28"/>
  <c r="D225" i="28" s="1"/>
  <c r="D143" i="28"/>
  <c r="D147" i="28"/>
  <c r="D152" i="28" s="1"/>
  <c r="D82" i="28" s="1"/>
  <c r="D72" i="1" s="1"/>
  <c r="D151" i="28"/>
  <c r="F53" i="32"/>
  <c r="F37" i="22" s="1"/>
  <c r="L26" i="22"/>
  <c r="G26" i="22"/>
  <c r="C208" i="28"/>
  <c r="C207" i="28"/>
  <c r="C206" i="28"/>
  <c r="C205" i="28"/>
  <c r="C16" i="28"/>
  <c r="D41" i="22"/>
  <c r="D40" i="22"/>
  <c r="I42" i="22"/>
  <c r="G42" i="32"/>
  <c r="G36" i="22" s="1"/>
  <c r="G41" i="32"/>
  <c r="G35" i="22" s="1"/>
  <c r="F51" i="32"/>
  <c r="M29" i="22"/>
  <c r="M28" i="22"/>
  <c r="M27" i="22"/>
  <c r="H29" i="22"/>
  <c r="H28" i="22"/>
  <c r="H27" i="22"/>
  <c r="C74" i="1"/>
  <c r="D6" i="22" s="1"/>
  <c r="C6" i="22"/>
  <c r="D4" i="22"/>
  <c r="C69" i="1"/>
  <c r="D5" i="22" s="1"/>
  <c r="C5" i="22"/>
  <c r="M26" i="22"/>
  <c r="K26" i="22"/>
  <c r="J26" i="22"/>
  <c r="I26" i="22"/>
  <c r="H26" i="22"/>
  <c r="F26" i="22"/>
  <c r="E26" i="22"/>
  <c r="D26" i="22"/>
  <c r="E51" i="22"/>
  <c r="D51" i="22"/>
  <c r="C46" i="22"/>
  <c r="C122" i="32"/>
  <c r="C44" i="22" s="1"/>
  <c r="AH19" i="31"/>
  <c r="AH20" i="31" s="1"/>
  <c r="AH29" i="31"/>
  <c r="AH23" i="31"/>
  <c r="AH24" i="31"/>
  <c r="AH27" i="31"/>
  <c r="AH28" i="31" s="1"/>
  <c r="AG19" i="31"/>
  <c r="AG20" i="31"/>
  <c r="AG29" i="31" s="1"/>
  <c r="AG23" i="31"/>
  <c r="AG24" i="31" s="1"/>
  <c r="AG30" i="31"/>
  <c r="AG27" i="31"/>
  <c r="AG28" i="31"/>
  <c r="AF19" i="31"/>
  <c r="AF20" i="31" s="1"/>
  <c r="AF29" i="31"/>
  <c r="AF23" i="31"/>
  <c r="AF24" i="31"/>
  <c r="AF27" i="31"/>
  <c r="AF28" i="31" s="1"/>
  <c r="AE19" i="31"/>
  <c r="AE20" i="31"/>
  <c r="AE29" i="31" s="1"/>
  <c r="AE23" i="31"/>
  <c r="AE24" i="31" s="1"/>
  <c r="AE30" i="31"/>
  <c r="AE27" i="31"/>
  <c r="AE28" i="31"/>
  <c r="AD19" i="31"/>
  <c r="AD20" i="31" s="1"/>
  <c r="AD29" i="31"/>
  <c r="AD23" i="31"/>
  <c r="AD24" i="31"/>
  <c r="AD27" i="31"/>
  <c r="AD28" i="31" s="1"/>
  <c r="AC19" i="31"/>
  <c r="AC20" i="31"/>
  <c r="AC29" i="31" s="1"/>
  <c r="AC23" i="31"/>
  <c r="AC24" i="31" s="1"/>
  <c r="AC30" i="31"/>
  <c r="AC27" i="31"/>
  <c r="AC28" i="31"/>
  <c r="AB19" i="31"/>
  <c r="AB20" i="31" s="1"/>
  <c r="AB29" i="31"/>
  <c r="AB23" i="31"/>
  <c r="AB24" i="31"/>
  <c r="AB27" i="31"/>
  <c r="AB28" i="31" s="1"/>
  <c r="AA19" i="31"/>
  <c r="AA20" i="31"/>
  <c r="AA29" i="31" s="1"/>
  <c r="AA23" i="31"/>
  <c r="AA24" i="31" s="1"/>
  <c r="AA30" i="31"/>
  <c r="AA27" i="31"/>
  <c r="AA28" i="31"/>
  <c r="Z19" i="31"/>
  <c r="Z20" i="31" s="1"/>
  <c r="Z29" i="31"/>
  <c r="Z23" i="31"/>
  <c r="Z24" i="31"/>
  <c r="Z27" i="31"/>
  <c r="Z28" i="31" s="1"/>
  <c r="Y19" i="31"/>
  <c r="Y20" i="31"/>
  <c r="Y29" i="31" s="1"/>
  <c r="Y23" i="31"/>
  <c r="Y24" i="31" s="1"/>
  <c r="Y30" i="31"/>
  <c r="Y27" i="31"/>
  <c r="Y28" i="31"/>
  <c r="X19" i="31"/>
  <c r="X20" i="31" s="1"/>
  <c r="X29" i="31"/>
  <c r="X23" i="31"/>
  <c r="X24" i="31"/>
  <c r="X27" i="31"/>
  <c r="X28" i="31" s="1"/>
  <c r="W19" i="31"/>
  <c r="W20" i="31"/>
  <c r="W29" i="31" s="1"/>
  <c r="W23" i="31"/>
  <c r="W24" i="31" s="1"/>
  <c r="W30" i="31"/>
  <c r="W27" i="31"/>
  <c r="W28" i="31"/>
  <c r="V19" i="31"/>
  <c r="V20" i="31" s="1"/>
  <c r="V29" i="31"/>
  <c r="V23" i="31"/>
  <c r="V24" i="31"/>
  <c r="V27" i="31"/>
  <c r="V28" i="31" s="1"/>
  <c r="U19" i="31"/>
  <c r="U20" i="31"/>
  <c r="U29" i="31" s="1"/>
  <c r="U23" i="31"/>
  <c r="U24" i="31" s="1"/>
  <c r="U30" i="31"/>
  <c r="U27" i="31"/>
  <c r="U28" i="31"/>
  <c r="T19" i="31"/>
  <c r="T20" i="31" s="1"/>
  <c r="T29" i="31"/>
  <c r="T23" i="31"/>
  <c r="T24" i="31"/>
  <c r="T27" i="31"/>
  <c r="T28" i="31" s="1"/>
  <c r="S19" i="31"/>
  <c r="S20" i="31"/>
  <c r="S29" i="31" s="1"/>
  <c r="S23" i="31"/>
  <c r="S24" i="31" s="1"/>
  <c r="S30" i="31"/>
  <c r="S27" i="31"/>
  <c r="S28" i="31"/>
  <c r="R19" i="31"/>
  <c r="R20" i="31" s="1"/>
  <c r="R29" i="31"/>
  <c r="R23" i="31"/>
  <c r="R24" i="31"/>
  <c r="R27" i="31"/>
  <c r="R28" i="31" s="1"/>
  <c r="Q19" i="31"/>
  <c r="Q20" i="31"/>
  <c r="Q29" i="31" s="1"/>
  <c r="Q23" i="31"/>
  <c r="Q24" i="31" s="1"/>
  <c r="Q30" i="31" s="1"/>
  <c r="Q27" i="31"/>
  <c r="Q28" i="31"/>
  <c r="P19" i="31"/>
  <c r="P20" i="31" s="1"/>
  <c r="P29" i="31"/>
  <c r="P23" i="31"/>
  <c r="P24" i="31"/>
  <c r="P27" i="31"/>
  <c r="P28" i="31" s="1"/>
  <c r="O19" i="31"/>
  <c r="O20" i="31"/>
  <c r="O29" i="31" s="1"/>
  <c r="O30" i="31" s="1"/>
  <c r="O23" i="31"/>
  <c r="O24" i="31" s="1"/>
  <c r="O27" i="31"/>
  <c r="O28" i="31"/>
  <c r="N19" i="31"/>
  <c r="N20" i="31" s="1"/>
  <c r="N29" i="31" s="1"/>
  <c r="N23" i="31"/>
  <c r="N24" i="31"/>
  <c r="N30" i="31" s="1"/>
  <c r="N27" i="31"/>
  <c r="N28" i="31" s="1"/>
  <c r="N31" i="31" s="1"/>
  <c r="M19" i="31"/>
  <c r="M20" i="31"/>
  <c r="M29" i="31" s="1"/>
  <c r="M23" i="31"/>
  <c r="M24" i="31" s="1"/>
  <c r="M27" i="31"/>
  <c r="M28" i="31"/>
  <c r="L19" i="31"/>
  <c r="L20" i="31" s="1"/>
  <c r="L29" i="31" s="1"/>
  <c r="L23" i="31"/>
  <c r="L24" i="31"/>
  <c r="L27" i="31"/>
  <c r="L28" i="31" s="1"/>
  <c r="K19" i="31"/>
  <c r="K20" i="31"/>
  <c r="K29" i="31" s="1"/>
  <c r="K23" i="31"/>
  <c r="K24" i="31" s="1"/>
  <c r="K30" i="31"/>
  <c r="K27" i="31"/>
  <c r="K28" i="31"/>
  <c r="J19" i="31"/>
  <c r="J20" i="31" s="1"/>
  <c r="J29" i="31" s="1"/>
  <c r="J23" i="31"/>
  <c r="J24" i="31"/>
  <c r="J30" i="31" s="1"/>
  <c r="J31" i="31" s="1"/>
  <c r="J27" i="31"/>
  <c r="J28" i="31" s="1"/>
  <c r="I19" i="31"/>
  <c r="I20" i="31"/>
  <c r="I29" i="31" s="1"/>
  <c r="I23" i="31"/>
  <c r="I24" i="31" s="1"/>
  <c r="I27" i="31"/>
  <c r="I28" i="31"/>
  <c r="H19" i="31"/>
  <c r="H20" i="31" s="1"/>
  <c r="H29" i="31" s="1"/>
  <c r="H23" i="31"/>
  <c r="H24" i="31"/>
  <c r="H27" i="31"/>
  <c r="H28" i="31" s="1"/>
  <c r="G19" i="31"/>
  <c r="G20" i="31"/>
  <c r="G29" i="31" s="1"/>
  <c r="G23" i="31"/>
  <c r="G24" i="31" s="1"/>
  <c r="G30" i="31" s="1"/>
  <c r="G27" i="31"/>
  <c r="G28" i="31"/>
  <c r="F19" i="31"/>
  <c r="F20" i="31" s="1"/>
  <c r="F29" i="31" s="1"/>
  <c r="F23" i="31"/>
  <c r="F24" i="31"/>
  <c r="F27" i="31"/>
  <c r="F28" i="31" s="1"/>
  <c r="E23" i="31"/>
  <c r="E24" i="31"/>
  <c r="E19" i="31"/>
  <c r="E20" i="31"/>
  <c r="E29" i="31" s="1"/>
  <c r="E27" i="31"/>
  <c r="E28" i="31"/>
  <c r="J122" i="32"/>
  <c r="I44" i="22" s="1"/>
  <c r="J139" i="32"/>
  <c r="I45" i="22" s="1"/>
  <c r="C45" i="22"/>
  <c r="D18" i="28"/>
  <c r="C63" i="1"/>
  <c r="C181" i="39" s="1"/>
  <c r="C66" i="1"/>
  <c r="C71" i="1"/>
  <c r="K42" i="22"/>
  <c r="J42" i="22"/>
  <c r="E94" i="32"/>
  <c r="E42" i="22" s="1"/>
  <c r="D94" i="32"/>
  <c r="D42" i="22" s="1"/>
  <c r="I41" i="22"/>
  <c r="C42" i="22"/>
  <c r="C41" i="22"/>
  <c r="C40" i="22"/>
  <c r="C39" i="22"/>
  <c r="C38" i="22"/>
  <c r="C37" i="22"/>
  <c r="F27" i="32"/>
  <c r="D156" i="28"/>
  <c r="D109" i="28"/>
  <c r="AH16" i="31"/>
  <c r="AH26" i="31" s="1"/>
  <c r="AG16" i="31"/>
  <c r="AF16" i="31"/>
  <c r="AF26" i="31" s="1"/>
  <c r="AE16" i="31"/>
  <c r="AD16" i="31"/>
  <c r="AD26" i="31" s="1"/>
  <c r="AC16" i="31"/>
  <c r="AB16" i="31"/>
  <c r="AB26" i="31" s="1"/>
  <c r="AA16" i="31"/>
  <c r="Z16" i="31"/>
  <c r="Z26" i="31" s="1"/>
  <c r="Y16" i="31"/>
  <c r="X16" i="31"/>
  <c r="X26" i="31" s="1"/>
  <c r="W16" i="31"/>
  <c r="V16" i="31"/>
  <c r="V26" i="31" s="1"/>
  <c r="U16" i="31"/>
  <c r="T16" i="31"/>
  <c r="T26" i="31" s="1"/>
  <c r="S16" i="31"/>
  <c r="R16" i="31"/>
  <c r="R26" i="31" s="1"/>
  <c r="Q16" i="31"/>
  <c r="P16" i="31"/>
  <c r="P26" i="31" s="1"/>
  <c r="O16" i="31"/>
  <c r="N16" i="31"/>
  <c r="N26" i="31" s="1"/>
  <c r="M16" i="31"/>
  <c r="L16" i="31"/>
  <c r="L26" i="31" s="1"/>
  <c r="K16" i="31"/>
  <c r="J16" i="31"/>
  <c r="J26" i="31" s="1"/>
  <c r="I16" i="31"/>
  <c r="H16" i="31"/>
  <c r="H26" i="31" s="1"/>
  <c r="G16" i="31"/>
  <c r="F16" i="31"/>
  <c r="F26" i="31" s="1"/>
  <c r="E16" i="31"/>
  <c r="AH22" i="31"/>
  <c r="AF22" i="31"/>
  <c r="AD22" i="31"/>
  <c r="AB22" i="31"/>
  <c r="Z22" i="31"/>
  <c r="X22" i="31"/>
  <c r="V22" i="31"/>
  <c r="T22" i="31"/>
  <c r="R22" i="31"/>
  <c r="P22" i="31"/>
  <c r="N22" i="31"/>
  <c r="L22" i="31"/>
  <c r="J22" i="31"/>
  <c r="H22" i="31"/>
  <c r="F22" i="31"/>
  <c r="AH18" i="31"/>
  <c r="AF18" i="31"/>
  <c r="AD18" i="31"/>
  <c r="AB18" i="31"/>
  <c r="Z18" i="31"/>
  <c r="X18" i="31"/>
  <c r="V18" i="31"/>
  <c r="T18" i="31"/>
  <c r="R18" i="31"/>
  <c r="P18" i="31"/>
  <c r="N18" i="31"/>
  <c r="L18" i="31"/>
  <c r="J18" i="31"/>
  <c r="H18" i="31"/>
  <c r="F18" i="31"/>
  <c r="C1" i="1"/>
  <c r="I40" i="22"/>
  <c r="G40" i="32"/>
  <c r="G34" i="22" s="1"/>
  <c r="E243" i="8"/>
  <c r="D45" i="8"/>
  <c r="D46" i="8" s="1"/>
  <c r="H46" i="8" s="1"/>
  <c r="D42" i="8"/>
  <c r="D43" i="8" s="1"/>
  <c r="D33" i="8"/>
  <c r="E247" i="8" l="1"/>
  <c r="F247" i="8" s="1"/>
  <c r="H247" i="8" s="1"/>
  <c r="H248" i="8" s="1"/>
  <c r="H251" i="8" s="1"/>
  <c r="H297" i="8"/>
  <c r="D34" i="8"/>
  <c r="H167" i="8"/>
  <c r="H211" i="8"/>
  <c r="H44" i="8"/>
  <c r="J117" i="32"/>
  <c r="J114" i="32" s="1"/>
  <c r="J110" i="32" s="1"/>
  <c r="J141" i="32" s="1"/>
  <c r="E27" i="32"/>
  <c r="D81" i="32" s="1"/>
  <c r="D39" i="22" s="1"/>
  <c r="H431" i="8"/>
  <c r="H109" i="8"/>
  <c r="H34" i="8"/>
  <c r="H32" i="8"/>
  <c r="H267" i="8"/>
  <c r="H19" i="8"/>
  <c r="H73" i="8"/>
  <c r="H75" i="8" s="1"/>
  <c r="C62" i="1"/>
  <c r="C183" i="39" s="1"/>
  <c r="C70" i="1"/>
  <c r="C182" i="39" s="1"/>
  <c r="H43" i="8"/>
  <c r="H47" i="8" s="1"/>
  <c r="D47" i="8"/>
  <c r="I31" i="31"/>
  <c r="G18" i="31"/>
  <c r="G26" i="31"/>
  <c r="G22" i="31"/>
  <c r="K18" i="31"/>
  <c r="K26" i="31"/>
  <c r="K22" i="31"/>
  <c r="O18" i="31"/>
  <c r="O26" i="31"/>
  <c r="O22" i="31"/>
  <c r="S18" i="31"/>
  <c r="S26" i="31"/>
  <c r="S22" i="31"/>
  <c r="W18" i="31"/>
  <c r="W26" i="31"/>
  <c r="W22" i="31"/>
  <c r="AA18" i="31"/>
  <c r="AA26" i="31"/>
  <c r="AA22" i="31"/>
  <c r="AE18" i="31"/>
  <c r="AE26" i="31"/>
  <c r="AE22" i="31"/>
  <c r="M30" i="31"/>
  <c r="O31" i="31"/>
  <c r="E30" i="31"/>
  <c r="D29" i="31"/>
  <c r="L31" i="31"/>
  <c r="E22" i="31"/>
  <c r="E26" i="31"/>
  <c r="E18" i="31"/>
  <c r="I22" i="31"/>
  <c r="I26" i="31"/>
  <c r="I18" i="31"/>
  <c r="M22" i="31"/>
  <c r="M26" i="31"/>
  <c r="M18" i="31"/>
  <c r="Q22" i="31"/>
  <c r="Q26" i="31"/>
  <c r="Q18" i="31"/>
  <c r="U22" i="31"/>
  <c r="U26" i="31"/>
  <c r="U18" i="31"/>
  <c r="Y22" i="31"/>
  <c r="Y26" i="31"/>
  <c r="Y18" i="31"/>
  <c r="AC22" i="31"/>
  <c r="AC26" i="31"/>
  <c r="AC18" i="31"/>
  <c r="AG22" i="31"/>
  <c r="AG26" i="31"/>
  <c r="AG18" i="31"/>
  <c r="G31" i="31"/>
  <c r="L30" i="31"/>
  <c r="M31" i="31"/>
  <c r="H30" i="31"/>
  <c r="H31" i="31" s="1"/>
  <c r="D64" i="1"/>
  <c r="G7" i="30" s="1"/>
  <c r="H99" i="22" s="1"/>
  <c r="D53" i="28"/>
  <c r="F30" i="31"/>
  <c r="F31" i="31" s="1"/>
  <c r="I30" i="31"/>
  <c r="K31" i="31"/>
  <c r="P30" i="31"/>
  <c r="P31" i="31" s="1"/>
  <c r="Q31" i="31"/>
  <c r="R30" i="31"/>
  <c r="R31" i="31" s="1"/>
  <c r="S31" i="31"/>
  <c r="T30" i="31"/>
  <c r="T31" i="31" s="1"/>
  <c r="U31" i="31"/>
  <c r="V30" i="31"/>
  <c r="V31" i="31" s="1"/>
  <c r="W31" i="31"/>
  <c r="X30" i="31"/>
  <c r="X31" i="31" s="1"/>
  <c r="Y31" i="31"/>
  <c r="Z30" i="31"/>
  <c r="Z31" i="31" s="1"/>
  <c r="AA31" i="31"/>
  <c r="AB30" i="31"/>
  <c r="AB31" i="31" s="1"/>
  <c r="AC31" i="31"/>
  <c r="AD30" i="31"/>
  <c r="AD31" i="31" s="1"/>
  <c r="AE31" i="31"/>
  <c r="AF30" i="31"/>
  <c r="AF31" i="31" s="1"/>
  <c r="AG31" i="31"/>
  <c r="AH30" i="31"/>
  <c r="AH31" i="31" s="1"/>
  <c r="D197" i="28"/>
  <c r="D198" i="28"/>
  <c r="D196" i="28"/>
  <c r="H319" i="8"/>
  <c r="H323" i="8" s="1"/>
  <c r="H53" i="8" l="1"/>
  <c r="H78" i="8" s="1"/>
  <c r="H441" i="8" s="1"/>
  <c r="I46" i="22"/>
  <c r="H270" i="8"/>
  <c r="D324" i="8" s="1"/>
  <c r="H324" i="8" s="1"/>
  <c r="H325" i="8" s="1"/>
  <c r="H442" i="8" s="1"/>
  <c r="H21" i="8"/>
  <c r="H49" i="8" s="1"/>
  <c r="H50" i="8" s="1"/>
  <c r="D54" i="28"/>
  <c r="D55" i="28" s="1"/>
  <c r="D201" i="28"/>
  <c r="D84" i="28"/>
  <c r="D203" i="28"/>
  <c r="D194" i="28"/>
  <c r="D195" i="28" s="1"/>
  <c r="D30" i="31"/>
  <c r="D71" i="28"/>
  <c r="D202" i="28"/>
  <c r="E31" i="31"/>
  <c r="D31" i="31" s="1"/>
  <c r="H443" i="8" l="1"/>
  <c r="D237" i="28"/>
  <c r="D238" i="28" s="1"/>
  <c r="D222" i="28"/>
  <c r="D223" i="28" s="1"/>
  <c r="D232" i="28"/>
  <c r="D233" i="28" s="1"/>
  <c r="D85" i="28"/>
  <c r="D72" i="28" s="1"/>
  <c r="D73" i="28" s="1"/>
  <c r="D74" i="28" l="1"/>
  <c r="D60" i="28" s="1"/>
  <c r="D57" i="28"/>
  <c r="D242" i="28"/>
  <c r="D56" i="28"/>
  <c r="D241" i="28"/>
  <c r="D58" i="28"/>
  <c r="D243" i="28"/>
  <c r="D244" i="28" l="1"/>
  <c r="D59" i="28"/>
  <c r="D61" i="28" s="1"/>
  <c r="D245" i="28" l="1"/>
  <c r="D62" i="28" s="1"/>
  <c r="D250" i="28"/>
  <c r="D249" i="28"/>
  <c r="D248" i="28"/>
  <c r="D251" i="28" l="1"/>
  <c r="D17" i="28" s="1"/>
  <c r="D24" i="28" s="1"/>
  <c r="D63" i="28"/>
  <c r="D67" i="28" l="1"/>
  <c r="D70" i="28" s="1"/>
  <c r="D75" i="28" s="1"/>
  <c r="D63" i="1"/>
  <c r="D181" i="39" s="1"/>
  <c r="D76" i="1"/>
  <c r="D65" i="1" l="1"/>
  <c r="D66" i="1"/>
  <c r="D68" i="1" s="1"/>
  <c r="D100" i="32"/>
  <c r="D104" i="32" s="1"/>
  <c r="D79" i="28"/>
  <c r="D83" i="28" s="1"/>
  <c r="D86" i="28" s="1"/>
  <c r="D71" i="1" s="1"/>
  <c r="D73" i="1" s="1"/>
  <c r="D70" i="1" l="1"/>
  <c r="D182" i="39" s="1"/>
  <c r="D62" i="1"/>
  <c r="D183" i="39" s="1"/>
  <c r="J75" i="32" l="1"/>
  <c r="I38" i="22" s="1"/>
  <c r="J80" i="32"/>
  <c r="J81" i="32" s="1"/>
  <c r="I39" i="22" s="1"/>
</calcChain>
</file>

<file path=xl/sharedStrings.xml><?xml version="1.0" encoding="utf-8"?>
<sst xmlns="http://schemas.openxmlformats.org/spreadsheetml/2006/main" count="4047" uniqueCount="1526">
  <si>
    <t>Loss of funding on covered bonds issued by the bank</t>
  </si>
  <si>
    <t>Undrawn committed credit and liquidity facilities to retail and small business customers</t>
  </si>
  <si>
    <t>Undrawn committed credit facilities to</t>
  </si>
  <si>
    <t>sovereigns, central banks, PSEs and MDBs</t>
  </si>
  <si>
    <t>Undrawn committed liquidity facilities to</t>
  </si>
  <si>
    <t>Other contractual obligations to extend funds to</t>
  </si>
  <si>
    <t>roll-over of inflows</t>
  </si>
  <si>
    <t>excess outflows</t>
  </si>
  <si>
    <t>small business customers</t>
  </si>
  <si>
    <t>other clients</t>
  </si>
  <si>
    <t>Total contractual obligations to extend funds in excess of 50% roll-over assumption</t>
  </si>
  <si>
    <t xml:space="preserve">Non-contractual obligations: </t>
  </si>
  <si>
    <t>Debt-buy back requests (incl. related conduits)</t>
  </si>
  <si>
    <t>Structured products</t>
  </si>
  <si>
    <t>Other non-contractual obligations</t>
  </si>
  <si>
    <t>Outstanding debt securities with remaining maturity &gt; 30 days</t>
  </si>
  <si>
    <t>Amount extended</t>
  </si>
  <si>
    <t>Market value of received colllateral</t>
  </si>
  <si>
    <t>Reverse repo and other secured lending or securities borrowing transactions maturing ≤ 30 days</t>
  </si>
  <si>
    <t>Total inflows on reverse repo and securities borrowing transactions</t>
  </si>
  <si>
    <t>Retail customers</t>
  </si>
  <si>
    <t>Small business customers</t>
  </si>
  <si>
    <t>B) National discretion items LCR</t>
  </si>
  <si>
    <r>
      <t xml:space="preserve">Option 1 </t>
    </r>
    <r>
      <rPr>
        <sz val="10"/>
        <rFont val="Arial"/>
        <family val="2"/>
      </rPr>
      <t>–</t>
    </r>
    <r>
      <rPr>
        <sz val="10"/>
        <rFont val="Arial"/>
        <family val="2"/>
      </rPr>
      <t xml:space="preserve"> Contractual committed liquidity facilities from the relevant central bank</t>
    </r>
  </si>
  <si>
    <t>Option 3 – Additional use of Level 2 assets at a higher haircut</t>
  </si>
  <si>
    <t>Option 1 – Contractual committed liquidity facilities from the relevant central bank</t>
  </si>
  <si>
    <t>Additional Tier 1</t>
  </si>
  <si>
    <t>Basel 2.5/III standardised approach</t>
  </si>
  <si>
    <t>Basel 2.5/III IRB approaches</t>
  </si>
  <si>
    <t>Bank type numeric</t>
  </si>
  <si>
    <t>Without supervisory run-off rate</t>
  </si>
  <si>
    <t>Transactions backed by Level 1 assets</t>
  </si>
  <si>
    <t>Transactions backed by other collateral</t>
  </si>
  <si>
    <t>Retail deposit run-off weight</t>
  </si>
  <si>
    <t>Unsecured wholesale funding run-off weight</t>
  </si>
  <si>
    <t>Fixed-term deposits (treated as having &gt;30 day remaining maturity), with a supervisory run-off rate</t>
  </si>
  <si>
    <t>Allow treatment for jurisdictions with insufficient liquid assets</t>
  </si>
  <si>
    <t>CET1 (Basel II/III banks: before application of the transitional floor)</t>
  </si>
  <si>
    <t>Tier 1 (Basel II/III banks: before application of the transitional floor)</t>
  </si>
  <si>
    <t>Accounting</t>
  </si>
  <si>
    <t>IFRS</t>
  </si>
  <si>
    <t>US GAAP</t>
  </si>
  <si>
    <t>Other national accounting standard</t>
  </si>
  <si>
    <t>Partial use (if not assigned to a portfolio)</t>
  </si>
  <si>
    <t>Non-financial corporates</t>
  </si>
  <si>
    <t>Financial institutions, of which</t>
  </si>
  <si>
    <t>deposits at the centralised institution of an institutional network that receive 25% run-off</t>
  </si>
  <si>
    <t>Other entities</t>
  </si>
  <si>
    <t>Total of other inflows by counterparty</t>
  </si>
  <si>
    <t>Other cash inflows</t>
  </si>
  <si>
    <t>Contractual inflows from securities maturing ≤ 30 days, not included anywhere above</t>
  </si>
  <si>
    <t>Other contractual cash inflows</t>
  </si>
  <si>
    <t xml:space="preserve">Total cash inflows before applying the cap </t>
  </si>
  <si>
    <t xml:space="preserve">Cap on cash inflows </t>
  </si>
  <si>
    <t>Total cash inflows after applying the cap</t>
  </si>
  <si>
    <t>Standardised measurement method, general interest rate and equity position risk</t>
  </si>
  <si>
    <t>Standardised measurement method, specific interest rate and equity position risk; of which:</t>
  </si>
  <si>
    <t>Net cash outflows</t>
  </si>
  <si>
    <t>a) Level 1 assets</t>
  </si>
  <si>
    <t>B) Net cash outflows</t>
  </si>
  <si>
    <t>retail, small business customers, non-financials and other clients</t>
  </si>
  <si>
    <t>Total additional requirements run-off</t>
  </si>
  <si>
    <t>Total cash outlfows</t>
  </si>
  <si>
    <t>b) Other inflows by counterparty</t>
  </si>
  <si>
    <t>c) Other cash inflows</t>
  </si>
  <si>
    <t>Total of other cash inflows</t>
  </si>
  <si>
    <t>NSFR</t>
  </si>
  <si>
    <t>Associated deferred tax liability which would be extinguished if the intangible becomes impaired or derecognised under the relevant accounting standards</t>
  </si>
  <si>
    <t>For portfolios subject to Basel I</t>
  </si>
  <si>
    <t>For own shares which the group could be contractually obliged to purchase, the total potential purchase cost</t>
  </si>
  <si>
    <t>For other collateral (ie all non-Level 1 collateral)</t>
  </si>
  <si>
    <t>Total value of deferred tax assets which do not rely on the future profitability of the bank to be realised (gross amount)</t>
  </si>
  <si>
    <t>Other</t>
  </si>
  <si>
    <t>Total gross value of goodwill</t>
  </si>
  <si>
    <r>
      <t>Retained earnings</t>
    </r>
    <r>
      <rPr>
        <sz val="10"/>
        <rFont val="Arial"/>
        <family val="2"/>
      </rPr>
      <t xml:space="preserve">
This should be the full amount prior to the application of all regulatory adjustments</t>
    </r>
  </si>
  <si>
    <t>Goodwill</t>
  </si>
  <si>
    <t>For standardised approach portfolios</t>
  </si>
  <si>
    <t>Defined benefit pension fund assets</t>
  </si>
  <si>
    <t>Panel</t>
  </si>
  <si>
    <t>Check</t>
  </si>
  <si>
    <t>C) Regulatory adjustments</t>
  </si>
  <si>
    <t>1) Goodwill</t>
  </si>
  <si>
    <t>2) Intangibles (excluding goodwill and mortgage servicing rights only)</t>
  </si>
  <si>
    <t>Level of the floor according to the national implementation</t>
  </si>
  <si>
    <t>Securitisation gain on sale (expected future margin income) as set out in paragraph 562 of the Basel II framework</t>
  </si>
  <si>
    <t>Associated deferred tax liability which would be extinguished if the goodwill becomes impaired or derecognised under the relevant accounting standards</t>
  </si>
  <si>
    <t>Incremental risk capital charge</t>
  </si>
  <si>
    <t>Correlation trading portfolio</t>
  </si>
  <si>
    <t>Reporting date</t>
  </si>
  <si>
    <t>CET1</t>
  </si>
  <si>
    <t>Tier 2</t>
  </si>
  <si>
    <t>paid in amount plus related reserves/retained earnings owned by group gross of all deductions</t>
  </si>
  <si>
    <t>paid in amount plus related reserves/retained earnings owned by third parties gross of all deductions</t>
  </si>
  <si>
    <t>Public sector entities (PSEs); of which:</t>
  </si>
  <si>
    <t>Non-financial; of which:</t>
  </si>
  <si>
    <t>Bank type (numeric)</t>
  </si>
  <si>
    <t>Other exposures (eg equity and other non-credit obligation assets); of which:</t>
  </si>
  <si>
    <t>Securitisation exposures</t>
  </si>
  <si>
    <t>Common share dividends</t>
  </si>
  <si>
    <t>2) Tier 1 capital</t>
  </si>
  <si>
    <t>Own estimates</t>
  </si>
  <si>
    <t>Repo VaR</t>
  </si>
  <si>
    <t>CCR SFT</t>
  </si>
  <si>
    <t>3) Deferred tax assets</t>
  </si>
  <si>
    <t>Amount to be subject to the threshold for deduction</t>
  </si>
  <si>
    <t>5) Reciprocal cross holdings in the capital of banking, financial and insurance entities that are outside the scope of regulatory consolidation</t>
  </si>
  <si>
    <t>6) Provisions and expected losses</t>
  </si>
  <si>
    <t>Holdings of common stock that are part of a reciprocal cross holding arrangement</t>
  </si>
  <si>
    <t>Cumulative gains and losses due to changes in own credit risk on fair valued liabilities</t>
  </si>
  <si>
    <t>Investments in the capital of financial entities where the bank does not own more than 10% of the issued common share capital (amount above the 10% threshold)</t>
  </si>
  <si>
    <t>Total (Basel II/III banks: before application of the transitional floor)</t>
  </si>
  <si>
    <t>Significant investments in the common stock of financial entities (amount above 10% threshold)</t>
  </si>
  <si>
    <r>
      <t xml:space="preserve">Standardised measurement method for exposures </t>
    </r>
    <r>
      <rPr>
        <b/>
        <sz val="10"/>
        <rFont val="Arial"/>
        <family val="2"/>
      </rPr>
      <t>not</t>
    </r>
    <r>
      <rPr>
        <sz val="10"/>
        <rFont val="Arial"/>
        <family val="2"/>
      </rPr>
      <t xml:space="preserve"> subject to the CRM</t>
    </r>
  </si>
  <si>
    <t>Standardised measurement method for other securitisation exposures and n-th-to-default credit derivatives</t>
  </si>
  <si>
    <r>
      <t xml:space="preserve">Standardised measurement method (100%) for exposures </t>
    </r>
    <r>
      <rPr>
        <b/>
        <sz val="10"/>
        <rFont val="Arial"/>
        <family val="2"/>
      </rPr>
      <t>subject to</t>
    </r>
    <r>
      <rPr>
        <sz val="10"/>
        <rFont val="Arial"/>
        <family val="2"/>
      </rPr>
      <t xml:space="preserve"> the CRM</t>
    </r>
  </si>
  <si>
    <t>8) Cumulative gains and losses due to changes in own credit risk on fair valued liabilities</t>
  </si>
  <si>
    <t>Total Common Equity Tier 1 capital</t>
  </si>
  <si>
    <t>Additional Tier 1 capital</t>
  </si>
  <si>
    <t>Tier 2 capital</t>
  </si>
  <si>
    <t>Tier 3 capital</t>
  </si>
  <si>
    <t>Tier 1 capital</t>
  </si>
  <si>
    <t>Total Common Equity Tier 1 capital after the regulatory adjustments above</t>
  </si>
  <si>
    <t xml:space="preserve">Total Common Equity Tier 1 capital after the regulatory adjustments above </t>
  </si>
  <si>
    <t>Total common equity Tier 1 capital</t>
  </si>
  <si>
    <t>Total Tier 1 capital prior to regulatory adjustments</t>
  </si>
  <si>
    <t>Total regulatory adjustments to Additional Tier 1 capital; of which</t>
  </si>
  <si>
    <t>Total capital prior to regulatory adjustments</t>
  </si>
  <si>
    <t>Basel III definition of capital minority interest calculation</t>
  </si>
  <si>
    <t>Total minority interest given recognition in Common Equity Tier 1 capital (sum of relevant output of DefCapB3-MI worksheet after application to every subsidary that has issued capital held by third parties)</t>
  </si>
  <si>
    <t>Instruments that meet the Additional Tier 1 criteria issued by subsidiaries to third parties that are given recognition in group Additional Tier 1 capital (sum of relevant output of DefCapB3-MI worksheet after application to every subsidary that has issued capital held by third parties)</t>
  </si>
  <si>
    <t>Conversion rate (in euros/reporting currency)</t>
  </si>
  <si>
    <t>Instruments that meet the Tier 2 criteria issued by subsidiaries to third parties that are given recogntion in Tier 2 capital (sum of relevant output of DefCapB3-MI worksheet after application to every subsidary that has issued capital held by third parties)</t>
  </si>
  <si>
    <t>Impact on RWA due to Basel II 50:50 deductions; of which</t>
  </si>
  <si>
    <t>gains and losses resulting from converting foreign currency subsidiaries to the parent currency (if applicable)</t>
  </si>
  <si>
    <t>Direct investments in own shares, net of any short positions if the short positions involve no counterparty risk</t>
  </si>
  <si>
    <t>financial institutions</t>
  </si>
  <si>
    <t>Yes/No/NA</t>
  </si>
  <si>
    <t>3) Total capital</t>
  </si>
  <si>
    <t>&lt; 3 months</t>
  </si>
  <si>
    <t>Transactions backed by Level 1 assets; of which:</t>
  </si>
  <si>
    <t>Transactions involving eligible liquid assets – see instructions for more detail</t>
  </si>
  <si>
    <t>Level 1 assets are lent and Level 1 assets are borrowed; of which:</t>
  </si>
  <si>
    <t>Level 1 assets are lent and other assets are borrowed; of which:</t>
  </si>
  <si>
    <t>Other assets are lent and Level 1 assets are borrowed; of which:</t>
  </si>
  <si>
    <t>Involving eligible liquid assets – see instructions for more detail</t>
  </si>
  <si>
    <t>Tier 2 buyback or repayment (gross)</t>
  </si>
  <si>
    <t>B1c</t>
  </si>
  <si>
    <t>B2a</t>
  </si>
  <si>
    <t>C</t>
  </si>
  <si>
    <t>RWA from stressed VaR component for ACVA</t>
  </si>
  <si>
    <t>RWA from VaR component for ACVA</t>
  </si>
  <si>
    <t>Number of ACVA counterparts that have actively traded credit spreads (ie liquid CDS)</t>
  </si>
  <si>
    <t>Additional risk-weighted assets to adjust for the transitional floor</t>
  </si>
  <si>
    <t>Significant investments in commercial entities</t>
  </si>
  <si>
    <t>Securitisations</t>
  </si>
  <si>
    <t>Purchased receivables</t>
  </si>
  <si>
    <t>Related entities</t>
  </si>
  <si>
    <t>Funds/collective investment schemes</t>
  </si>
  <si>
    <t>Other assets</t>
  </si>
  <si>
    <t>Gross holdings of common stock</t>
  </si>
  <si>
    <t>13) Mortgage servicing rights</t>
  </si>
  <si>
    <t>Total mortgage servicing rights classified as intangible</t>
  </si>
  <si>
    <t>Mortgage servicing rights net of related tax liability</t>
  </si>
  <si>
    <t>Own shares</t>
  </si>
  <si>
    <t>Reporting date (yyyy-mm-dd)</t>
  </si>
  <si>
    <t>Version</t>
  </si>
  <si>
    <t>Bank type</t>
  </si>
  <si>
    <t>RWA</t>
  </si>
  <si>
    <t>Yes</t>
  </si>
  <si>
    <t>No</t>
  </si>
  <si>
    <t>Basel I</t>
  </si>
  <si>
    <t>A) Version</t>
  </si>
  <si>
    <t>Region code</t>
  </si>
  <si>
    <t>Country code</t>
  </si>
  <si>
    <t>Bank number</t>
  </si>
  <si>
    <t>Yes/No</t>
  </si>
  <si>
    <t>Parameters</t>
  </si>
  <si>
    <t>Holdings of common stock net of short positions</t>
  </si>
  <si>
    <t>Capital charge</t>
  </si>
  <si>
    <t>Other Tier 1 buyback or repayment (gross)</t>
  </si>
  <si>
    <t>Accounting standard</t>
  </si>
  <si>
    <t>OpRisk</t>
  </si>
  <si>
    <t>Discretionary staff compensation/bonuses</t>
  </si>
  <si>
    <t>B) Definition of capital</t>
  </si>
  <si>
    <t>Mortgage servicing rights (amount above 10% threshold)</t>
  </si>
  <si>
    <t>Deferred tax assets arising from temporary differences (amount above 10% threshold)</t>
  </si>
  <si>
    <t>Deferred tax assets due to temporary differences</t>
  </si>
  <si>
    <r>
      <t xml:space="preserve">Net </t>
    </r>
    <r>
      <rPr>
        <b/>
        <sz val="10"/>
        <rFont val="Arial"/>
        <family val="2"/>
      </rPr>
      <t>long</t>
    </r>
    <r>
      <rPr>
        <sz val="10"/>
        <rFont val="Arial"/>
        <family val="2"/>
      </rPr>
      <t xml:space="preserve"> exposures</t>
    </r>
  </si>
  <si>
    <r>
      <t xml:space="preserve">Net </t>
    </r>
    <r>
      <rPr>
        <b/>
        <sz val="10"/>
        <rFont val="Arial"/>
        <family val="2"/>
      </rPr>
      <t>short</t>
    </r>
    <r>
      <rPr>
        <sz val="10"/>
        <rFont val="Arial"/>
        <family val="2"/>
      </rPr>
      <t xml:space="preserve"> exposures</t>
    </r>
  </si>
  <si>
    <r>
      <rPr>
        <sz val="10"/>
        <rFont val="Arial"/>
        <family val="2"/>
      </rPr>
      <t>Significant investments in the common stock of other financial entities (assuming full deduction prior to application of 10/15% thresholds)</t>
    </r>
  </si>
  <si>
    <t>Use capital data</t>
  </si>
  <si>
    <t>Use leverage ratio data</t>
  </si>
  <si>
    <r>
      <t xml:space="preserve">Net </t>
    </r>
    <r>
      <rPr>
        <b/>
        <sz val="10"/>
        <rFont val="Arial"/>
        <family val="2"/>
      </rPr>
      <t>short</t>
    </r>
    <r>
      <rPr>
        <sz val="10"/>
        <rFont val="Arial"/>
        <family val="2"/>
      </rPr>
      <t xml:space="preserve"> exposures</t>
    </r>
    <r>
      <rPr>
        <b/>
        <sz val="10"/>
        <rFont val="Arial"/>
        <family val="2"/>
      </rPr>
      <t/>
    </r>
  </si>
  <si>
    <t>Basel III definition of capital</t>
  </si>
  <si>
    <t>Item</t>
  </si>
  <si>
    <t>Other intangibles (excluding goodwill and mortgage servicing rights)</t>
  </si>
  <si>
    <t>Basel III para ref</t>
  </si>
  <si>
    <t xml:space="preserve">Total group Common Equity Tier 1 capital prior to regulatory adjustments </t>
  </si>
  <si>
    <t>Goodwill, net of related deferred tax liability</t>
  </si>
  <si>
    <t>Deferred tax assets (excluding temporary differences only), net of related deferred tax liabilities</t>
  </si>
  <si>
    <r>
      <t>Investments in own share</t>
    </r>
    <r>
      <rPr>
        <sz val="10"/>
        <rFont val="Arial"/>
        <family val="2"/>
      </rPr>
      <t>s (excluding amounts already derecognised under the relevant accounting standards)</t>
    </r>
  </si>
  <si>
    <t>Regulatory adjustments to be applied to Common Equity Tier 1 due to insufficient Additional Tier 1 to cover deductions</t>
  </si>
  <si>
    <t>Regulatory adjustments to be deducted from Additional Tier 1 capital</t>
  </si>
  <si>
    <t>Total non-operational deposits; of which</t>
  </si>
  <si>
    <t>provided by other financial institutions and other legal entities</t>
  </si>
  <si>
    <t>C) Collateral swaps</t>
  </si>
  <si>
    <t>Market value of collateral lent</t>
  </si>
  <si>
    <t>Market value of collateral borrowed</t>
  </si>
  <si>
    <t>Weight outflows</t>
  </si>
  <si>
    <t>Weighted amount outflows</t>
  </si>
  <si>
    <t>Weight inflows</t>
  </si>
  <si>
    <t>Weighted amount inflows</t>
  </si>
  <si>
    <t>Level 1 assets are lent and Level 1 assets are borrowed</t>
  </si>
  <si>
    <r>
      <t>Current 10-day 99% value-at-risk (</t>
    </r>
    <r>
      <rPr>
        <b/>
        <sz val="10"/>
        <rFont val="Arial"/>
        <family val="2"/>
      </rPr>
      <t>without</t>
    </r>
    <r>
      <rPr>
        <sz val="10"/>
        <rFont val="Arial"/>
        <family val="2"/>
      </rPr>
      <t xml:space="preserve"> applying the multiplier)</t>
    </r>
  </si>
  <si>
    <r>
      <t>10-day 99% stressed value-at-risk (</t>
    </r>
    <r>
      <rPr>
        <b/>
        <sz val="10"/>
        <rFont val="Arial"/>
        <family val="2"/>
      </rPr>
      <t>without</t>
    </r>
    <r>
      <rPr>
        <sz val="10"/>
        <rFont val="Arial"/>
        <family val="2"/>
      </rPr>
      <t xml:space="preserve"> applying the multiplier)</t>
    </r>
  </si>
  <si>
    <t>CP on DVAs</t>
  </si>
  <si>
    <t>of which: total cumulative net gains and (losses) in equity due to changes in the fair value of derivatives that are due to a change in the bank's own credit risk. Amount to be deducted from (or added to if negative) Common Equity Tier 1 capital (if gain report as positive; if loss report as negative)</t>
  </si>
  <si>
    <t>Total derivative debit valuations adjustments</t>
  </si>
  <si>
    <t>Check: positive VaR at reporting date requires positive Basel 2.5 VaR</t>
  </si>
  <si>
    <t>Check: positive stressed VaR at reporting date requires positive Basel 2.5 stressed VaR</t>
  </si>
  <si>
    <t>Check: positive Basel 2.5 VaR requires positive Basel 2.5 stressed VaR and vice versa</t>
  </si>
  <si>
    <t>Externally rated exposures</t>
  </si>
  <si>
    <t>Unrated exposures</t>
  </si>
  <si>
    <t>of which: externally rated exposures</t>
  </si>
  <si>
    <t>of which: unrated exposures</t>
  </si>
  <si>
    <t>Exposure amount</t>
  </si>
  <si>
    <t>All other off balance-sheet obligations not included in the above categories</t>
  </si>
  <si>
    <t>Check: accounting ≤ gross value</t>
  </si>
  <si>
    <t>A) General Info worksheet</t>
  </si>
  <si>
    <t>Check: notional ≥ accounting value</t>
  </si>
  <si>
    <t>Level 1 assets are lent and other assets are borrowed</t>
  </si>
  <si>
    <t>Defaulted exposures under the IRB approach</t>
  </si>
  <si>
    <t>Other assets are lent and Level 1 assets are borrowed</t>
  </si>
  <si>
    <t>Other assets are lent and other assets are borrowed</t>
  </si>
  <si>
    <t>Total outflows and total inflows from collateral swaps</t>
  </si>
  <si>
    <t>Addition</t>
  </si>
  <si>
    <t>Reduction</t>
  </si>
  <si>
    <t>Adjustments to Level 1 assets due to collateral swaps</t>
  </si>
  <si>
    <t>D) LCR</t>
  </si>
  <si>
    <t>Tier 2 regulatory adjustments which have to be deducted from Additional Tier 1 capital</t>
  </si>
  <si>
    <t>Regulatory adjustments actually made to Additional Tier 1 capital</t>
  </si>
  <si>
    <t>58, 59</t>
  </si>
  <si>
    <t>Total gross value of all assets classified as intangible under the relevant accounting standards (excluding goodwill and mortgage servicing rights)</t>
  </si>
  <si>
    <t>Total value of deferred tax assets which do not rely on the future profitability of the bank to be realised (net amount)</t>
  </si>
  <si>
    <t>Significant investments in the common equity of financial entities not deducted as part of the 10% cap</t>
  </si>
  <si>
    <t>Mortgage servicing rights not deducted as part of the 10% cap</t>
  </si>
  <si>
    <t>Deferred tax assets due to temporary differences not deducted as part of the 10% cap</t>
  </si>
  <si>
    <t>Significant investments in the common equity of financial entities</t>
  </si>
  <si>
    <t>Mortgage servicing rights</t>
  </si>
  <si>
    <t>Capital raised (gross)</t>
  </si>
  <si>
    <t>Total gross provisions eligible for inclusion in the adjustment to capital in respect of the difference between expected loss and provisions</t>
  </si>
  <si>
    <t>Total gross provisions eligible for inclusion in Tier 2 capital</t>
  </si>
  <si>
    <t>RWA impact of applying future definition of capital rules</t>
  </si>
  <si>
    <t>Checks</t>
  </si>
  <si>
    <t>For IRB portfolios</t>
  </si>
  <si>
    <t>Assumed amounts not deducted (to be subject to 250% risk weighting)</t>
  </si>
  <si>
    <t>Regulatory adjustments actually made to Tier 2 capital instruments</t>
  </si>
  <si>
    <t>Total value of deferred tax assets which do rely on the future profitability of the bank to be realised (gross amount)</t>
  </si>
  <si>
    <t>Total value of deferred tax assets which do rely on the future profitability of the bank to be realised (net amount); of which:</t>
  </si>
  <si>
    <t>amounts arising from carryforwards of unused tax losses, unused tax credits and all other (net of pro rata share of any DTLs)</t>
  </si>
  <si>
    <t>CVA capital charge (risk-weighted asset equivalent); of which:</t>
  </si>
  <si>
    <t>amounts arising from temporary differences (net of pro rata share of any DTLs)</t>
  </si>
  <si>
    <t xml:space="preserve">Indirect investments in own shares (eg through holdings of index securities in which the bank itself is a constituent), net of any short positions </t>
  </si>
  <si>
    <t>Total amount to be deducted from Additional Tier 1 capital</t>
  </si>
  <si>
    <t>Total amount to be deducted from Tier 2 capital</t>
  </si>
  <si>
    <t>Total on and off balance sheet exposures. Amounts shown should be the LR exposure measure values.</t>
  </si>
  <si>
    <t>Total exposures; of which:</t>
  </si>
  <si>
    <t>Other retail exposures</t>
  </si>
  <si>
    <t>G</t>
  </si>
  <si>
    <t>Aa</t>
  </si>
  <si>
    <t>Ac</t>
  </si>
  <si>
    <t>B1b</t>
  </si>
  <si>
    <t>SME exposures</t>
  </si>
  <si>
    <t>Residential real estate exposures</t>
  </si>
  <si>
    <t>Commercial real estate</t>
  </si>
  <si>
    <t>Other corporate non-financial</t>
  </si>
  <si>
    <t>Total trading book exposures; of which:</t>
  </si>
  <si>
    <t>Total banking book exposures; of which:</t>
  </si>
  <si>
    <t>Memo item: trade finance exposures</t>
  </si>
  <si>
    <t>prime brokerage services</t>
  </si>
  <si>
    <t>Level 1</t>
  </si>
  <si>
    <t>correspondent banking activity</t>
  </si>
  <si>
    <t>d) Total cash inflows</t>
  </si>
  <si>
    <t>of which, can be included in the consolidated stock by the time the standard is implemented</t>
  </si>
  <si>
    <t>of which, can be brought back into the qualifying stock by the time the standard is implemented</t>
  </si>
  <si>
    <t>Amount/
market value</t>
  </si>
  <si>
    <t>Potential future exposure
(current exposure method; assume no netting or CRM)</t>
  </si>
  <si>
    <t>Total expected loss eligible for inclusion in the adjustment to capital in respect of the difference between expected loss and provisions</t>
  </si>
  <si>
    <t>positive or negative amount that relates to the hedging of projected cash flows that are not recognised on the balance sheet (if gain report as positive; if loss report as negative)</t>
  </si>
  <si>
    <t>positive or negative amount that relates to the hedging of projected cash flows on liabilities that are recognised on the balance sheet but are not fair valued on the balance sheet (if gain report as positive; if loss report as negative)</t>
  </si>
  <si>
    <t>Comparable to the previous period</t>
  </si>
  <si>
    <t>2) LCR treatment for jurisdictions with insufficient liquid assets</t>
  </si>
  <si>
    <t>3) LCR cash outflows: additional deposit categories with higher run-off rates as specified by supervisor</t>
  </si>
  <si>
    <t>4) LCR cash outflows other contingent funding obligations</t>
  </si>
  <si>
    <t>5) LCR cash inflows</t>
  </si>
  <si>
    <t>6) NSFR RSF off-balance sheet items</t>
  </si>
  <si>
    <t>1) LCR haircuts for high-quality liquid assets</t>
  </si>
  <si>
    <t>other items, including those related to projected cash flows on assets and liabilities which are recognised on the balance sheet and are fair valued (if gain report as positive; if loss report as negative)</t>
  </si>
  <si>
    <t>For every separate defined benefit pension scheme which gives rise to a net asset on the balance sheet, the total of such net assets less any associated deferred tax liability that would be extinguished if the asset should be impaired</t>
  </si>
  <si>
    <t>provided by sovereigns, central banks, PSEs and MDBs</t>
  </si>
  <si>
    <t>Amount by which the above deduction from capital can be reduced by demonstrating unrestricted and unfettered access to assets in the relevant funds</t>
  </si>
  <si>
    <t>Permitted offsetting short positions in relation to the specific gross holdings included above</t>
  </si>
  <si>
    <r>
      <t>Permitted</t>
    </r>
    <r>
      <rPr>
        <sz val="10"/>
        <rFont val="Arial"/>
        <family val="2"/>
      </rPr>
      <t xml:space="preserve"> offsetting short positions in relation to the specific gross holdings included above</t>
    </r>
  </si>
  <si>
    <t>Allocation of the deduction to Additional Tier 1 capital</t>
  </si>
  <si>
    <t>Amount to be deducted from Common Equity Tier 1 capital as a result of application of 10% cap</t>
  </si>
  <si>
    <t>Amount to be deducted from Additional Tier 1 capital</t>
  </si>
  <si>
    <t>Net deferred tax assets due to temporary differences</t>
  </si>
  <si>
    <t>(A separate column should be completed for each subsidairy issuing capital to third parties)</t>
  </si>
  <si>
    <t>amount attributable to third parties</t>
  </si>
  <si>
    <t>9) Defined benefit pension fund assets</t>
  </si>
  <si>
    <t>Standardised approach</t>
  </si>
  <si>
    <t>Advanced measurement approach</t>
  </si>
  <si>
    <t>Submission date (yyyy-mm-dd)</t>
  </si>
  <si>
    <t>Reciprocal cross holdings in common equity</t>
  </si>
  <si>
    <t>Shortfall of provisions to expected losses</t>
  </si>
  <si>
    <t>Other contingent funding obligations</t>
  </si>
  <si>
    <t>2) Cash inflows</t>
  </si>
  <si>
    <t>Rules as at reporting date</t>
  </si>
  <si>
    <t>According to rules at reporting date…</t>
  </si>
  <si>
    <t>Income</t>
  </si>
  <si>
    <t>Profit after tax</t>
  </si>
  <si>
    <t>Profit after tax prior to the deduction of relevant (ie expensed) distributions below</t>
  </si>
  <si>
    <t>Distributions</t>
  </si>
  <si>
    <t>Other coupon/dividend payments on Tier 1 instruments</t>
  </si>
  <si>
    <t>Common stock share buybacks</t>
  </si>
  <si>
    <t>Total capital of the subsidiary held by third parties less surplus attributable to third party investors</t>
  </si>
  <si>
    <r>
      <t>Cash flow hedge reserve</t>
    </r>
    <r>
      <rPr>
        <sz val="10"/>
        <color indexed="10"/>
        <rFont val="Arial"/>
        <family val="2"/>
      </rPr>
      <t xml:space="preserve"> </t>
    </r>
  </si>
  <si>
    <t>positive or negative amount that relates to the hedging of projected cash flows on assets that are recognised on the balance sheet but are not fair valued on the balance sheet (eg loans and receivable) (if gain report as positive; if loss report as negative)</t>
  </si>
  <si>
    <t xml:space="preserve">Prior to regulatory adjustments </t>
  </si>
  <si>
    <t>Regulatory adjustments</t>
  </si>
  <si>
    <r>
      <t>Accumulated other comprehensive income (and other reserves); of which:</t>
    </r>
    <r>
      <rPr>
        <sz val="10"/>
        <rFont val="Arial"/>
        <family val="2"/>
      </rPr>
      <t xml:space="preserve">
This should be the full amount prior to the application of all filters and deductions</t>
    </r>
  </si>
  <si>
    <t>unrealised gains and losses on available for sale items (if applicable)</t>
  </si>
  <si>
    <t>gains and losses on derivatives held as cash flow hedges (if applicable)</t>
  </si>
  <si>
    <t>Common Equity Tier 1 capital after all regulatory adjustments that do not depend on a threshold</t>
  </si>
  <si>
    <t>C) Capital distribution data (for the six months period ending on the reporting date)</t>
  </si>
  <si>
    <t>Common Equity Tier 1 capital after all regulatory adjustments except significant investments in financials, MSRs and DTA temporary difference)</t>
  </si>
  <si>
    <t>Common Equity Tier 1 after all regulatory adjustments except significant investments in financials, MSRs and DTA temporary difference)</t>
  </si>
  <si>
    <t>Common Equity Tier 1 capital after all regulatory adjustments except significant investments in financials, MSRs and DTA temporary differences)</t>
  </si>
  <si>
    <t>Allocation of the deduction to Tier 2 capital</t>
  </si>
  <si>
    <t>all other reserves (if applicable)</t>
  </si>
  <si>
    <t>Total Common Equity Tier 1 capital attributable to parent company common shareholders</t>
  </si>
  <si>
    <t>Intangibles other than mortgage servicing rights, net of related deferred tax liability</t>
  </si>
  <si>
    <t>Counterparty credit risk exposures (not including CVA charges or charges for exposures to CCPs)</t>
  </si>
  <si>
    <t>Intangibles (excluding goodwill and mortgage servicing rights) net of related tax liability (amount to be deducted from Common Equity Tier 1 capital)</t>
  </si>
  <si>
    <t>Goodwill net of related tax liability (amount to be deducted from Common Equity Tier 1 capital)</t>
  </si>
  <si>
    <t>Amount to be deducted from Common Equity Tier 1 capital in full</t>
  </si>
  <si>
    <t>4) Investments in own shares, own Additional Tier 1 and own Tier 2 capital</t>
  </si>
  <si>
    <t>Total amount to be deducted from Common Equity Tier 1 capital</t>
  </si>
  <si>
    <t>Direct investments in own Additional Tier 1 capital, net of any short positions if the short positions involve no counterparty risk</t>
  </si>
  <si>
    <t xml:space="preserve">Indirect investments in own Additional Tier 1 capital (eg through holdings of index securities in which the bank itself is a constituent), net of any short positions </t>
  </si>
  <si>
    <t>For own Additional Tier 1 capital which the group could be contractually obliged to purchase, the total potential purchase cost</t>
  </si>
  <si>
    <t>Direct investments in own Tier 2 capital, net of any short positions if the short positions involve no counterparty risk</t>
  </si>
  <si>
    <t xml:space="preserve">Indirect investments in own Tier 2 capital (eg through holdings of index securities in which the bank itself is a constituent), net of any short positions </t>
  </si>
  <si>
    <t>For own Tier 2 capital which the group could be contractually obliged to purchase, the total potential purchase cost</t>
  </si>
  <si>
    <t>Holdings of Tier 2 capital or similar instruments that are part of a reciprocal cross holding arrangement (= amount to be deducted from Tier 2 capital)</t>
  </si>
  <si>
    <t>Shortfall of provisions to expeced losses to be deducted from Common Equity Tier 1 capital (gross of any tax adjustement)</t>
  </si>
  <si>
    <t>Cap for inclusion of excess provisions in Tier 2 capital (0.6% of credit risk-weighted assets)</t>
  </si>
  <si>
    <t>Excess of provisions to expected losses related to IRB portfolios to be included in Tier 2 capital</t>
  </si>
  <si>
    <t>Cap for inclusion of provisions in Tier 2 capital (1.25% of credit risk-weighted assets)</t>
  </si>
  <si>
    <t>Total provisions related to standardised approach to be included in Tier 2 capital</t>
  </si>
  <si>
    <t>Total provisions related to Basel I portfolios to be included in Tier 2 capital</t>
  </si>
  <si>
    <r>
      <t xml:space="preserve">Sum of CVA EADs belonging to margined </t>
    </r>
    <r>
      <rPr>
        <sz val="10"/>
        <rFont val="Arial"/>
        <family val="2"/>
      </rPr>
      <t>exposures</t>
    </r>
  </si>
  <si>
    <r>
      <t xml:space="preserve">Sum of CVA EADs belonging to non-margined </t>
    </r>
    <r>
      <rPr>
        <sz val="10"/>
        <rFont val="Arial"/>
        <family val="2"/>
      </rPr>
      <t>exposures</t>
    </r>
  </si>
  <si>
    <t>Total EAD</t>
  </si>
  <si>
    <t>Amount to be deducted from (or added to if negative) Common Equity Tier 1 capital</t>
  </si>
  <si>
    <t>Credit risk-weighted assets which the bank is unable to assign to one of the above categories</t>
  </si>
  <si>
    <t>Market risk capital charge which the bank is unable to assign to one of the above categories</t>
  </si>
  <si>
    <t>Total cumulative net gains and (losses) in equity due to changes in the fair value of liabilities that are due to a change in the bank's own credit risk. Amount to be deducted from (or added to if negative) Common Equity Tier 1 capital (if gain report as positive; if loss report as negative)</t>
  </si>
  <si>
    <t>Gross holdings of Additional Tier 1 capital</t>
  </si>
  <si>
    <t xml:space="preserve">Holdings of Additional Tier 1 capital net of short positions </t>
  </si>
  <si>
    <t>Gross holdings of Tier 2 capital</t>
  </si>
  <si>
    <t>Holdings of Tier 2 capital net of short positions</t>
  </si>
  <si>
    <t>Amounts not deducted (to be subject to relevant risk weighting with amounts below allocated on a pro rata basis in accordance with paragraph 83 of Basel III)</t>
  </si>
  <si>
    <t>12) Significant investments in the capital of banking, financial and insurance entities that are outside the scope of regulatory consolidation (ie where the bank owns more than 10% 
        of the issued common share capital or where the entity is an affiliate), excluding amounts held for underwriting purposes only if held for 5 working days or less</t>
  </si>
  <si>
    <t>Allocation of the deduction to Common Equity Tier 1 capital</t>
  </si>
  <si>
    <t>Sum of significant investments in financials, mortgage servicing rights and DTA temporary differences not deducted as a result of the 10% cap</t>
  </si>
  <si>
    <t>Deduction from Common Equity Tier 1 capital in respect of amounts above the 15% cap</t>
  </si>
  <si>
    <t>Common Equity Tier 1 capital</t>
  </si>
  <si>
    <t>Total Common Equity Tier 1 capital of the subsidiary held by third parties less surplus attributable to third party investors</t>
  </si>
  <si>
    <t>Total Tier 1 capital</t>
  </si>
  <si>
    <t>Surplus Total Tier 1 capital of the subsidiary; of which</t>
  </si>
  <si>
    <t>Total Tier 1 capital of the subsidiary held by third parties less surplus attributable to third party investors</t>
  </si>
  <si>
    <t>Total capital</t>
  </si>
  <si>
    <t>Surplus Total capital of the subsidiary; of which</t>
  </si>
  <si>
    <t>Surplus Common Equity Tier 1 capital of the subsidiary; of which</t>
  </si>
  <si>
    <t>Amount of Common Equity Tier 1 capital held by third parties to be included in consolidated Common Equity Tier 1 capital</t>
  </si>
  <si>
    <t>Amount of Tier 1 capital held by third parties to be included in consolidated Additional Tier 1 capital</t>
  </si>
  <si>
    <t>Amount of Total capital held by third parties to be included in consolidated Tier 2 capital</t>
  </si>
  <si>
    <t>A) Change in risk-weighted assets due to the application of the definition of capital (including changes related to the 10%/15% thresholds)</t>
  </si>
  <si>
    <t>A) On-balance sheet items</t>
  </si>
  <si>
    <t>Amounts should be net of specific provisions and valuations adjustments.</t>
  </si>
  <si>
    <t xml:space="preserve">Accounting balance sheet value </t>
  </si>
  <si>
    <t>Derivatives:</t>
  </si>
  <si>
    <t>Credit derivatives (protection sold)</t>
  </si>
  <si>
    <t>Credit derivatives (protection bought)</t>
  </si>
  <si>
    <t>Financial derivatives</t>
  </si>
  <si>
    <t>Totals</t>
  </si>
  <si>
    <t>Notional amount</t>
  </si>
  <si>
    <t>B1 ) Derivatives</t>
  </si>
  <si>
    <t>B2) Off-balance sheet items</t>
  </si>
  <si>
    <t>Off-balance sheet items with a 0% CCF in the RSA; of which:</t>
  </si>
  <si>
    <t>Unconditionally cancellable credit cards commitments</t>
  </si>
  <si>
    <r>
      <t xml:space="preserve">PSEs </t>
    </r>
    <r>
      <rPr>
        <b/>
        <sz val="10"/>
        <rFont val="Arial"/>
        <family val="2"/>
      </rPr>
      <t>not</t>
    </r>
    <r>
      <rPr>
        <sz val="10"/>
        <rFont val="Arial"/>
        <family val="2"/>
      </rPr>
      <t xml:space="preserve"> guaranteed by central government but treated as a sovereign under paragraph 229 of the Basel II framework</t>
    </r>
  </si>
  <si>
    <t>PSEs guaranteed by central government</t>
  </si>
  <si>
    <t xml:space="preserve">Other unconditionally cancellable commitments </t>
  </si>
  <si>
    <t>Off-balance sheet items with a 20% CCF in the RSA</t>
  </si>
  <si>
    <t>Total off-balance sheet items</t>
  </si>
  <si>
    <t>Accounting total assets</t>
  </si>
  <si>
    <t>Reverse out on-balance sheet netting</t>
  </si>
  <si>
    <t xml:space="preserve">Reverse out derivatives netting </t>
  </si>
  <si>
    <t>Credit derivatives:</t>
  </si>
  <si>
    <t>Credit derivatives (protection sold less protection bought)</t>
  </si>
  <si>
    <t xml:space="preserve">Amount </t>
  </si>
  <si>
    <t>Total exposures</t>
  </si>
  <si>
    <t>Total exposures for the calculation of the leverage ratio</t>
  </si>
  <si>
    <t>Central banks</t>
  </si>
  <si>
    <t>Increases in risk-weighted assets to be reported as a positive value and decreases as a negative value.</t>
  </si>
  <si>
    <t>1) Common Equity Tier 1 capital</t>
  </si>
  <si>
    <t>Amount by which the sum of all holdings exceeds 10% of the Common Equity Tier 1 capital of the bank after all deductions that do not depend on a threshold 
(this is the amount to be deducted from regulatory capital)</t>
  </si>
  <si>
    <t>Amount to be included in risk-weighted assets in respect of the amounts used above to offset the deduction of pension fund assets</t>
  </si>
  <si>
    <t>Total risk-weighted assets of the subsidiary</t>
  </si>
  <si>
    <t>Other trading book exposures</t>
  </si>
  <si>
    <t>Investments in covered bonds</t>
  </si>
  <si>
    <t xml:space="preserve">Other banking book exposures; of which: </t>
  </si>
  <si>
    <t>Corporate; of which;</t>
  </si>
  <si>
    <t>Sovereigns; of which:</t>
  </si>
  <si>
    <t>MDBs</t>
  </si>
  <si>
    <t>Retail exposures; of which;</t>
  </si>
  <si>
    <t>Financial</t>
  </si>
  <si>
    <t>Qualifying revolving retail exposures</t>
  </si>
  <si>
    <t>Banks</t>
  </si>
  <si>
    <t>Number of counterparties to which the ACVA is applied</t>
  </si>
  <si>
    <t>Number of counterparties to which the SCVA is applied</t>
  </si>
  <si>
    <t>Number of counterparties to which both the ACVA and SCVA are applied</t>
  </si>
  <si>
    <t>Total number of counterparties for which a CVA charge is calculated</t>
  </si>
  <si>
    <t>Total EAD that entered the ACVA calculation</t>
  </si>
  <si>
    <t xml:space="preserve">Total EAD for CVA charge </t>
  </si>
  <si>
    <t>Number of ACVA counterparts where a proxy was used to determine a counterparty's credit spreads</t>
  </si>
  <si>
    <t>Securities with a 0% risk weight:</t>
  </si>
  <si>
    <t>Sum of CVA EADs for CCPs (if not excluded by the national supervisor per paragraph 99 of Basel III)</t>
  </si>
  <si>
    <t>Sum of CVA EADs for repo lending EADs (if not excluded by the national supervisor per paragraph 99 of Basel III)</t>
  </si>
  <si>
    <t>Risk-weighted assets of the consolidated group that relate to the subsidiary (ie risk-weighted assets of the subsidiary excluding intra-group transactions)</t>
  </si>
  <si>
    <t>Lower of the risk-weighted assets of the subsidiary and the contribution to consolidated risk-weighted assets</t>
  </si>
  <si>
    <t>Amount to be deducted from Tier 2 capital</t>
  </si>
  <si>
    <t>Unsecured debt issuance</t>
  </si>
  <si>
    <t>Debt-buy back requests (incl related conduits)</t>
  </si>
  <si>
    <t>Unconditionally revocable "uncommitted" credit and liquidity facilities</t>
  </si>
  <si>
    <t>Equity</t>
  </si>
  <si>
    <r>
      <t xml:space="preserve">Start of stress period used for </t>
    </r>
    <r>
      <rPr>
        <b/>
        <sz val="10"/>
        <rFont val="Arial"/>
        <family val="2"/>
      </rPr>
      <t>exposure</t>
    </r>
    <r>
      <rPr>
        <sz val="10"/>
        <rFont val="Arial"/>
        <family val="2"/>
      </rPr>
      <t xml:space="preserve"> for stressed VaR component of ACVA (yyyy-mm-dd)</t>
    </r>
  </si>
  <si>
    <r>
      <t xml:space="preserve">Start of stress period used for </t>
    </r>
    <r>
      <rPr>
        <b/>
        <sz val="10"/>
        <rFont val="Arial"/>
        <family val="2"/>
      </rPr>
      <t>spreads</t>
    </r>
    <r>
      <rPr>
        <sz val="10"/>
        <rFont val="Arial"/>
        <family val="2"/>
      </rPr>
      <t xml:space="preserve"> for stressed VaR component of ACVA (yyyy-mm-dd)</t>
    </r>
  </si>
  <si>
    <t>Did you set the full maturity adjustment to 1 while calculating Basel III RWA?</t>
  </si>
  <si>
    <t>Advanced CVA banks only</t>
  </si>
  <si>
    <t>Securities financing transactions</t>
  </si>
  <si>
    <t>B) Derivatives and off-balance sheet items</t>
  </si>
  <si>
    <t>Off-balance sheet items with a 50% CCF in the RSA</t>
  </si>
  <si>
    <t>Off-balance sheet items with a 100% CCF in the RSA</t>
  </si>
  <si>
    <t>C) On- and off-balance sheet items – additional breakdown of exposures</t>
  </si>
  <si>
    <t>On-balance sheet exposures: EAD/solvency-based value</t>
  </si>
  <si>
    <t>e) Total cash outflows</t>
  </si>
  <si>
    <t xml:space="preserve">Off-balance sheet exposures: notional x regulatory CCF </t>
  </si>
  <si>
    <t>Total on- and off-balance sheet exposures belonging to the banking book (breakdown according to the effective risk weight):</t>
  </si>
  <si>
    <t>= 0%</t>
  </si>
  <si>
    <t>&gt; 0 and ≤ 12%</t>
  </si>
  <si>
    <t>&gt; 12 and ≤ 20%</t>
  </si>
  <si>
    <t>&gt; 20 and ≤ 50%</t>
  </si>
  <si>
    <t>&gt; 50 and ≤ 75%</t>
  </si>
  <si>
    <t>&gt; 75 and ≤ 100%</t>
  </si>
  <si>
    <t>&gt; 100 and ≤ 425%</t>
  </si>
  <si>
    <t>&gt; 425 and ≤ 1250%</t>
  </si>
  <si>
    <t>D) Reconciliation (following relevant accounting standards)</t>
  </si>
  <si>
    <t>Reverse out SFT netting</t>
  </si>
  <si>
    <t>Reverse out other netting and other adjustments</t>
  </si>
  <si>
    <t>Previous quarter</t>
  </si>
  <si>
    <r>
      <t>Paid in capital</t>
    </r>
    <r>
      <rPr>
        <sz val="10"/>
        <rFont val="Arial"/>
        <family val="2"/>
      </rPr>
      <t xml:space="preserve">
This should be equal to the sum of common stock (and </t>
    </r>
    <r>
      <rPr>
        <b/>
        <sz val="10"/>
        <rFont val="Arial"/>
        <family val="2"/>
      </rPr>
      <t>related</t>
    </r>
    <r>
      <rPr>
        <sz val="10"/>
        <rFont val="Arial"/>
        <family val="2"/>
      </rPr>
      <t xml:space="preserve"> surplus only) and other instruments for non joint stock companies, both of which must meet the common stock critieria. This should be net of treasury stock and other investments in own shares to the extent that these are already derecognised on the balance sheet under the relevant accounting standards. Other paid in capital elements must be excluded. All minority interest must be excluded.</t>
    </r>
  </si>
  <si>
    <t>Deferred tax assets (assuming full deduction prior to application of 10/15% thresholds)</t>
  </si>
  <si>
    <t>Mortgage servicing rights (assuming full deduction prior to application of 10/15% thresholds)</t>
  </si>
  <si>
    <t>Bank group</t>
  </si>
  <si>
    <t>Unit (1, 1000, 1000000)</t>
  </si>
  <si>
    <t>D</t>
  </si>
  <si>
    <t>E</t>
  </si>
  <si>
    <t>Impact of Basel III definition of capital</t>
  </si>
  <si>
    <t>Capital ratios (actual capital, rules as of the relevant date)</t>
  </si>
  <si>
    <t>B1</t>
  </si>
  <si>
    <t>Total</t>
  </si>
  <si>
    <t>1) Reporting data</t>
  </si>
  <si>
    <t>2) Approaches to credit risk</t>
  </si>
  <si>
    <t>Basic indicator approach</t>
  </si>
  <si>
    <t>Basel I/Basel II</t>
  </si>
  <si>
    <t>Basel II</t>
  </si>
  <si>
    <t>Comprehensive risk model, before application of the floor</t>
  </si>
  <si>
    <t>Specific interest rate risk</t>
  </si>
  <si>
    <t>Specific equity position risk</t>
  </si>
  <si>
    <t>Total risk-weighted assets for operational risk</t>
  </si>
  <si>
    <t>Total capital charge for market risk</t>
  </si>
  <si>
    <t>Total risk-weighted assets for credit risk</t>
  </si>
  <si>
    <t>Settlement risk</t>
  </si>
  <si>
    <t>Other Pillar 1 requirements</t>
  </si>
  <si>
    <t>A</t>
  </si>
  <si>
    <t>B</t>
  </si>
  <si>
    <t>Total amount in respect of provisions to be included in Tier 2</t>
  </si>
  <si>
    <t>7) Cash flow hedge reserve</t>
  </si>
  <si>
    <t>10) Securitisation gain on sale (expected future margin income) as set out in paragraph 562 of the Basel II framework</t>
  </si>
  <si>
    <t>1) Cash outflows</t>
  </si>
  <si>
    <t>Amount exceeding the 15% threshold</t>
  </si>
  <si>
    <t>Provisions included in Tier 2 capital</t>
  </si>
  <si>
    <t>Sum of all net holdings where the bank does not own more than 10% of the issued share capital</t>
  </si>
  <si>
    <t>Securitisation exposures (except securitisation gain on sale)</t>
  </si>
  <si>
    <t>Equity exposures under the PD/LGD approach</t>
  </si>
  <si>
    <t>Non-payment/delivery on non-DvP and non-PvP transactions</t>
  </si>
  <si>
    <t>BIA</t>
  </si>
  <si>
    <t>TSA</t>
  </si>
  <si>
    <t>ASA</t>
  </si>
  <si>
    <t>AMA</t>
  </si>
  <si>
    <t>unrealised gains and losses from a foreign currency hedge of a net investment in a foreign operation (if applicable)</t>
  </si>
  <si>
    <t>property revaluation reserve (if applicable)</t>
  </si>
  <si>
    <t>CCR OTC</t>
  </si>
  <si>
    <t>CEM</t>
  </si>
  <si>
    <t>Standardised</t>
  </si>
  <si>
    <t>IMM</t>
  </si>
  <si>
    <t>Supervisory haircuts</t>
  </si>
  <si>
    <t>Bank is a single legal entity</t>
  </si>
  <si>
    <t>issued by sovereigns</t>
  </si>
  <si>
    <t>guaranteed by sovereigns</t>
  </si>
  <si>
    <t>issued or guaranteed by central banks</t>
  </si>
  <si>
    <t>issued or guaranteed by non-central government PSEs</t>
  </si>
  <si>
    <t>Bank is a subsidiary of a banking group</t>
  </si>
  <si>
    <t>Bank is a subsidiary with a non-EU parent (EU only)</t>
  </si>
  <si>
    <t>Alternative standardised approach</t>
  </si>
  <si>
    <t>Reporting currency (ISO code)</t>
  </si>
  <si>
    <t>retail clients</t>
  </si>
  <si>
    <t>non-financial corporates</t>
  </si>
  <si>
    <t>Total retail deposits; of which:</t>
  </si>
  <si>
    <t>A) General bank data</t>
  </si>
  <si>
    <t>CMG-relevant</t>
  </si>
  <si>
    <t>Other Pillar 1 requirements for market risk</t>
  </si>
  <si>
    <t>Leverage ratio</t>
  </si>
  <si>
    <t>Amount</t>
  </si>
  <si>
    <t>52, 53</t>
  </si>
  <si>
    <r>
      <t>62</t>
    </r>
    <r>
      <rPr>
        <sz val="10"/>
        <rFont val="Arial"/>
        <family val="2"/>
      </rPr>
      <t>–</t>
    </r>
    <r>
      <rPr>
        <sz val="10"/>
        <rFont val="Arial"/>
        <family val="2"/>
      </rPr>
      <t>64</t>
    </r>
  </si>
  <si>
    <t>62–64</t>
  </si>
  <si>
    <t>55, 56</t>
  </si>
  <si>
    <t>67–68</t>
  </si>
  <si>
    <r>
      <t>71</t>
    </r>
    <r>
      <rPr>
        <sz val="10"/>
        <rFont val="Arial"/>
        <family val="2"/>
      </rPr>
      <t>–</t>
    </r>
    <r>
      <rPr>
        <sz val="10"/>
        <rFont val="Arial"/>
        <family val="2"/>
      </rPr>
      <t>72</t>
    </r>
  </si>
  <si>
    <r>
      <t>76</t>
    </r>
    <r>
      <rPr>
        <sz val="10"/>
        <rFont val="Arial"/>
        <family val="2"/>
      </rPr>
      <t>–</t>
    </r>
    <r>
      <rPr>
        <sz val="10"/>
        <rFont val="Arial"/>
        <family val="2"/>
      </rPr>
      <t>77</t>
    </r>
  </si>
  <si>
    <r>
      <t>80</t>
    </r>
    <r>
      <rPr>
        <sz val="10"/>
        <rFont val="Arial"/>
        <family val="2"/>
      </rPr>
      <t>–</t>
    </r>
    <r>
      <rPr>
        <sz val="10"/>
        <rFont val="Arial"/>
        <family val="2"/>
      </rPr>
      <t>83</t>
    </r>
  </si>
  <si>
    <r>
      <t>84</t>
    </r>
    <r>
      <rPr>
        <sz val="10"/>
        <rFont val="Arial"/>
        <family val="2"/>
      </rPr>
      <t>–</t>
    </r>
    <r>
      <rPr>
        <sz val="10"/>
        <rFont val="Arial"/>
        <family val="2"/>
      </rPr>
      <t>86</t>
    </r>
  </si>
  <si>
    <r>
      <t>62</t>
    </r>
    <r>
      <rPr>
        <sz val="10"/>
        <rFont val="Arial"/>
        <family val="2"/>
      </rPr>
      <t>–</t>
    </r>
    <r>
      <rPr>
        <sz val="10"/>
        <rFont val="Arial"/>
        <family val="2"/>
      </rPr>
      <t>64</t>
    </r>
  </si>
  <si>
    <t>[%]</t>
  </si>
  <si>
    <t>Other exposures</t>
  </si>
  <si>
    <t>Advanced CVA risk capital charge</t>
  </si>
  <si>
    <t>Standardised CVA risk capital charge</t>
  </si>
  <si>
    <t>Corporate (not including receivables); of which:</t>
  </si>
  <si>
    <t>Sovereign; of which:</t>
  </si>
  <si>
    <t>Bank; of which:</t>
  </si>
  <si>
    <t>Retail; of which:</t>
  </si>
  <si>
    <t>Data in green cells can typically be provided by national supervisors based on regulatory reporting data. Enter 0 for capital charges not in force at a particular reporting date.</t>
  </si>
  <si>
    <t>Basel II/III standardised approach</t>
  </si>
  <si>
    <t>Basel II/III IRB approaches</t>
  </si>
  <si>
    <t>Standardised method</t>
  </si>
  <si>
    <t>Basel II/III FIRB approach</t>
  </si>
  <si>
    <t>Basel II/III AIRB approach</t>
  </si>
  <si>
    <r>
      <t>Actual CET1 capital ratio (</t>
    </r>
    <r>
      <rPr>
        <b/>
        <sz val="10"/>
        <rFont val="Arial"/>
        <family val="2"/>
      </rPr>
      <t>after</t>
    </r>
    <r>
      <rPr>
        <sz val="10"/>
        <rFont val="Arial"/>
        <family val="2"/>
      </rPr>
      <t xml:space="preserve"> application of the transitional floor)</t>
    </r>
  </si>
  <si>
    <r>
      <t>Actual Tier 1 capital ratio (</t>
    </r>
    <r>
      <rPr>
        <b/>
        <sz val="10"/>
        <rFont val="Arial"/>
        <family val="2"/>
      </rPr>
      <t>after</t>
    </r>
    <r>
      <rPr>
        <sz val="10"/>
        <rFont val="Arial"/>
        <family val="2"/>
      </rPr>
      <t xml:space="preserve"> application of the transitional floor)</t>
    </r>
  </si>
  <si>
    <r>
      <t>Actual total capital ratio (</t>
    </r>
    <r>
      <rPr>
        <b/>
        <sz val="10"/>
        <rFont val="Arial"/>
        <family val="2"/>
      </rPr>
      <t xml:space="preserve">after </t>
    </r>
    <r>
      <rPr>
        <sz val="10"/>
        <rFont val="Arial"/>
        <family val="2"/>
      </rPr>
      <t>application of the transitional floor)</t>
    </r>
  </si>
  <si>
    <r>
      <t xml:space="preserve">Total risk-weighted assets (Basel II/III banks: </t>
    </r>
    <r>
      <rPr>
        <b/>
        <sz val="10"/>
        <rFont val="Arial"/>
        <family val="2"/>
      </rPr>
      <t>before</t>
    </r>
    <r>
      <rPr>
        <sz val="10"/>
        <rFont val="Arial"/>
        <family val="2"/>
      </rPr>
      <t xml:space="preserve"> application of the transitional floors)</t>
    </r>
  </si>
  <si>
    <t>LCR</t>
  </si>
  <si>
    <t>Weight</t>
  </si>
  <si>
    <t>Weighted amount</t>
  </si>
  <si>
    <t>part of central bank reserves that can be drawn in times of stress</t>
  </si>
  <si>
    <t>For non-0% risk-weighted sovereigns:</t>
  </si>
  <si>
    <t>sovereign or central bank debt securities issued in domestic currencies by the sovereign or central bank in the country in which the liquidity risk is being taken or in the bank’s home country</t>
  </si>
  <si>
    <t>Total stock of Level 1 assets</t>
  </si>
  <si>
    <t>Total run-off on other contingent funding obligations</t>
  </si>
  <si>
    <t>Adjustment to stock of Level 1 assets</t>
  </si>
  <si>
    <t>Adjusted amount of Level 1 assets</t>
  </si>
  <si>
    <t>Market value</t>
  </si>
  <si>
    <t>Securities with a 20% risk weight:</t>
  </si>
  <si>
    <t>issued or guaranteed by MDBs</t>
  </si>
  <si>
    <t>Non-financial corporate bonds, rated AA- or better</t>
  </si>
  <si>
    <t>Covered bonds, not self-issued, rated AA- or better</t>
  </si>
  <si>
    <t>Loss of funding on ABS and other structured financing instruments issued by the bank, excluding covered bonds</t>
  </si>
  <si>
    <t xml:space="preserve">Loss of funding on ABCP, conduits, SIVs and other such financing activities; of which: </t>
  </si>
  <si>
    <t>debt maturing ≤ 30 days</t>
  </si>
  <si>
    <t>Collateral swaps maturing ≤ 30 days:</t>
  </si>
  <si>
    <t>Trading book counterparty credit risk exposures (if not included above)</t>
  </si>
  <si>
    <t>provided by members of the institutional networks of cooperative (or otherwise named) banks</t>
  </si>
  <si>
    <t>Level 1 assets</t>
  </si>
  <si>
    <t>Level 2 assets</t>
  </si>
  <si>
    <t>Total usage of alternative treatment (post-haircut) before applying the cap</t>
  </si>
  <si>
    <t>Cap on usage of alternative treatment</t>
  </si>
  <si>
    <t>Total usage of alternative treatment (post-haircut) after applying the cap</t>
  </si>
  <si>
    <t>Total stock of high quality liquid assets plus usage of alternative treatment</t>
  </si>
  <si>
    <t xml:space="preserve"> </t>
  </si>
  <si>
    <t>Insured deposits; of which:</t>
  </si>
  <si>
    <t>in non-transactional and non-relationship accounts</t>
  </si>
  <si>
    <t>Uninsured deposits</t>
  </si>
  <si>
    <t>Additional deposit categories with higher run-off rates as specified by supervisor</t>
  </si>
  <si>
    <t>Category 1</t>
  </si>
  <si>
    <t>Category 2</t>
  </si>
  <si>
    <t>Category 3</t>
  </si>
  <si>
    <t>With a supervisory run-off rate</t>
  </si>
  <si>
    <t>Without a supervisory run-off rate</t>
  </si>
  <si>
    <t>Total retail deposits run-off</t>
  </si>
  <si>
    <t xml:space="preserve">Total unsecured wholesale funding </t>
  </si>
  <si>
    <t>Total funding provided by small business customers; of which:</t>
  </si>
  <si>
    <t>Total operational deposits; of which:</t>
  </si>
  <si>
    <t>provided by non-financial corporates</t>
  </si>
  <si>
    <t>uninsured</t>
  </si>
  <si>
    <t>provided by banks</t>
  </si>
  <si>
    <t>≥ 3 months to &lt; 6 months</t>
  </si>
  <si>
    <t>≥ 6 months to &lt; 9 months</t>
  </si>
  <si>
    <t>≥ 9 months to &lt; 1 year</t>
  </si>
  <si>
    <t>≥1 year</t>
  </si>
  <si>
    <t>Risk-weighted assets resulting from amounts below the 10/15% thresholds and the threshold for investements in the capital of financial entities where the bank does not more than 10% of the issued common share capital</t>
  </si>
  <si>
    <t>Derivatives, SFTs</t>
  </si>
  <si>
    <t>Other sovereign exposures</t>
  </si>
  <si>
    <t>Mutual / cooperative</t>
  </si>
  <si>
    <t>Joint stock company</t>
  </si>
  <si>
    <t>Other non-joint stock company</t>
  </si>
  <si>
    <t>Investments in the Additional Tier 1 capital of other financial entities in which bank has significant common stock investment</t>
  </si>
  <si>
    <t>Investments in the Tier 2 capital of other financial entities in which bank has significant common stock investment</t>
  </si>
  <si>
    <t>Regulatory adjustments to be deducted from Tier 2 capital; of which</t>
  </si>
  <si>
    <t>Holdings of Additional Tier 1 capital or similar instruments that are part of a reciprocal cross holding arrangement (= amount to be deducted from Additional Tier 1 capital)</t>
  </si>
  <si>
    <t>Total positive or negative value of the cash flow hedge reserve as stated on the balance sheet; of which:</t>
  </si>
  <si>
    <t xml:space="preserve">Total Common Equity Tier 1 capital of the subsidiary net of deductions (if the subsidiary is not a bank, as defined in footnote 23 of the rules text, zero must be entered into this cell with the common equity to be included in the Total Tier 1 cell below); </t>
  </si>
  <si>
    <t>Total Tier 1 (CET1 + AT1) of the subsidiary net of deductions</t>
  </si>
  <si>
    <t>Total capital (CET1 + AT1 + T2) of the subsidiary net of deductions</t>
  </si>
  <si>
    <t>actuarial reserve (if applicable)</t>
  </si>
  <si>
    <t>Additional Tier 1 instruments issued by parent company of group (and any related surplus), including any compliant capital issued via SPVs as determined by paragraph 65 of Basel III</t>
  </si>
  <si>
    <t>Tier 2 capital instruments issued by parent company of group (and any related surplus), including any compliant capital issued via SPVs as determined by paragraph 65 of Basel III</t>
  </si>
  <si>
    <t>Specialised lending exposures</t>
  </si>
  <si>
    <t>Prior to regulatory adjustments</t>
  </si>
  <si>
    <t xml:space="preserve">Non-contractual obligations, such as: </t>
  </si>
  <si>
    <t>Managed funds</t>
  </si>
  <si>
    <t>provided by other banks</t>
  </si>
  <si>
    <t>Additional balances required to be installed in central bank reserves</t>
  </si>
  <si>
    <t>Total unsecured wholesale funding run-off</t>
  </si>
  <si>
    <t>Amount received</t>
  </si>
  <si>
    <t>Market value of extended collateral</t>
  </si>
  <si>
    <t>Total secured wholesale funding run-off</t>
  </si>
  <si>
    <t>Increased liquidity needs related to the potential for valuation changes on posted collateral securing derivative and other transactions:</t>
  </si>
  <si>
    <t>with embedded options in financing arrangements</t>
  </si>
  <si>
    <t>other potential loss of such funding</t>
  </si>
  <si>
    <t>Total EAD that entered the SCVA calculation; of which</t>
  </si>
  <si>
    <t>B) Current capital applying…</t>
  </si>
  <si>
    <t>Basel III standards as in 2022</t>
  </si>
  <si>
    <t>Coins and banknotes</t>
  </si>
  <si>
    <t>Total central bank reserves; of which:</t>
  </si>
  <si>
    <t>issued or guaranteed by BIS, IMF, ECB and European Community, or MDBs</t>
  </si>
  <si>
    <t>domestic sovereign or central bank debt securities issued in foreign currencies, up to the amount of the bank’s stressed net cash outflows in that specific foreign currency stemming from the bank’s operations in the jurisdiction where the bank’s liquidity risk is being taken</t>
  </si>
  <si>
    <t>Total stock of Level 2A assets</t>
  </si>
  <si>
    <t>Adjustment to stock of Level 2A assets</t>
  </si>
  <si>
    <t>Adjusted amount of Level 2A assets</t>
  </si>
  <si>
    <t>Residential mortgage-backed securities (RMBS), rated AA or better</t>
  </si>
  <si>
    <t>54 (a)</t>
  </si>
  <si>
    <t xml:space="preserve">Non-financial corporate bonds, rated BBB- to A+ </t>
  </si>
  <si>
    <t>54 (b)</t>
  </si>
  <si>
    <t xml:space="preserve">Non-financial common equity shares </t>
  </si>
  <si>
    <t xml:space="preserve">54 (c) </t>
  </si>
  <si>
    <t>Total stock of Level 2B RMBS assets</t>
  </si>
  <si>
    <t>Adjustment to stock of Level 2B RMBS assets</t>
  </si>
  <si>
    <t>Annex 1</t>
  </si>
  <si>
    <t>Adjusted amount of Level 2B RMBS assets</t>
  </si>
  <si>
    <t>Total stock of Level 2B non-RMBS assets</t>
  </si>
  <si>
    <t xml:space="preserve">54 (b),(c) </t>
  </si>
  <si>
    <t>Adjustment to stock of Level 2B non-RMBS assets</t>
  </si>
  <si>
    <t>Adjusted amount of Level 2B non-RMBS assets</t>
  </si>
  <si>
    <t>Adjusted amount of Level 2B (RMBS and non-RMBS) assets</t>
  </si>
  <si>
    <t>47, Annex 1</t>
  </si>
  <si>
    <t>51, Annex 1</t>
  </si>
  <si>
    <t>Level 2A</t>
  </si>
  <si>
    <t>Level 2B
RMBS</t>
  </si>
  <si>
    <t>Level 2B
non-RMBS</t>
  </si>
  <si>
    <t>Assets excluded from the stock of high quality liquid assets due to operational restrictions</t>
  </si>
  <si>
    <t xml:space="preserve">Option 2 – Foreign currency HQLA; of which: </t>
  </si>
  <si>
    <t>50 (a)</t>
  </si>
  <si>
    <t xml:space="preserve">50 (c) </t>
  </si>
  <si>
    <t xml:space="preserve">50 (d) </t>
  </si>
  <si>
    <t xml:space="preserve">50 (e) </t>
  </si>
  <si>
    <t>52 (a)</t>
  </si>
  <si>
    <t>52 (b)</t>
  </si>
  <si>
    <t>52 (a),(b)</t>
  </si>
  <si>
    <t>36-37, 171-172</t>
  </si>
  <si>
    <t>31-34, 38-40</t>
  </si>
  <si>
    <t>eligible for a 3% run-off rate; of which:</t>
  </si>
  <si>
    <t>are in the reporting bank's home jurisdiction</t>
  </si>
  <si>
    <t>are not in the reporting bank's home jurisdiction</t>
  </si>
  <si>
    <t>eligible for a 5% run-off rate; of which:</t>
  </si>
  <si>
    <t>Term deposits (treated as having &gt;30 day remaining maturity); of which:</t>
  </si>
  <si>
    <t>85-111</t>
  </si>
  <si>
    <t>89-92</t>
  </si>
  <si>
    <t>89, 75-78</t>
  </si>
  <si>
    <t>89, 75, 78</t>
  </si>
  <si>
    <t>89, 78</t>
  </si>
  <si>
    <t>89, 75</t>
  </si>
  <si>
    <t>89, 79</t>
  </si>
  <si>
    <t>92, 82-84</t>
  </si>
  <si>
    <t>92, 84</t>
  </si>
  <si>
    <t>92, 82</t>
  </si>
  <si>
    <t>93-104</t>
  </si>
  <si>
    <t>93-103</t>
  </si>
  <si>
    <t>107-108</t>
  </si>
  <si>
    <t>in transactional accounts; of which:</t>
  </si>
  <si>
    <t>in non-transactional accounts with established relationships that make deposit withdrawal highly unlikely; of which:</t>
  </si>
  <si>
    <t>Term deposits (treated as having &gt;30 day maturity); of which:</t>
  </si>
  <si>
    <t>provided by non-financial corporates; of which:</t>
  </si>
  <si>
    <t>where entire amount is fully covered by an effective deposit insurance scheme</t>
  </si>
  <si>
    <t>where entire amount is not fully covered by an effective deposit insurance scheme</t>
  </si>
  <si>
    <t>provided by sovereigns, central banks, PSEs and MDBs; of which:</t>
  </si>
  <si>
    <t>excess balances in operational accounts that could be withdrawn and would leave enough funds to fulfil the clearing, custody and cash management activities</t>
  </si>
  <si>
    <t>114-115</t>
  </si>
  <si>
    <t>Backed by Level 1 assets; of which:</t>
  </si>
  <si>
    <t>Backed by Level 2A assets; of which:</t>
  </si>
  <si>
    <t>Backed by Level 2B RMBS assets; of which:</t>
  </si>
  <si>
    <t>Backed by Level 2B non-RMBS assets; of which:</t>
  </si>
  <si>
    <t>Backed by other assets</t>
  </si>
  <si>
    <t>Transactions backed by Level 2A assets; of which:</t>
  </si>
  <si>
    <t>Transactions backed by Level 2B RMBS assets; of which:</t>
  </si>
  <si>
    <t>Transactions backed by Level 2B non-RMBS assets; of which:</t>
  </si>
  <si>
    <t>Derivatives cash outflow</t>
  </si>
  <si>
    <t>Cash and Level 1 assets</t>
  </si>
  <si>
    <t>Increased liquidity needs related to excess non-segregated collateral held by the bank that could contractually be called at any time by the counterparty</t>
  </si>
  <si>
    <t>Increased liquidity needs related to contractually required collateral on transactions for which the counterparty has not yet demanded the collateral be posted</t>
  </si>
  <si>
    <t>Increased liquidity needs related to contracts that allow collateral substitution to non-HQLA assets</t>
  </si>
  <si>
    <t>Increased liquidity needs related to market valuation changes on derivative or other transactions</t>
  </si>
  <si>
    <t>Undrawn committed credit and liquidity facilities provided to banks subject to prudential supervision</t>
  </si>
  <si>
    <t>131 (d)</t>
  </si>
  <si>
    <t>Undrawn committed credit facilities provided to other FIs</t>
  </si>
  <si>
    <t xml:space="preserve">131 (e) </t>
  </si>
  <si>
    <t>Undrawn committed liquidity facilities provided to other FIs</t>
  </si>
  <si>
    <t>131 (f)</t>
  </si>
  <si>
    <t>Non-contractual obligations related to potential liquidity draws from joint ventures or minority investments in entities</t>
  </si>
  <si>
    <t>Trade finance-related obligations (including guarantees and letters of credit)</t>
  </si>
  <si>
    <t>Guarantees and letters of credit unrelated to trade finance obligations</t>
  </si>
  <si>
    <t>Non contractual obligations where customer short positions are covered by other customers’ collateral</t>
  </si>
  <si>
    <t>Bank outright short positions covered by a collateralised securities financing transaction</t>
  </si>
  <si>
    <t>Other contractual cash outflows (including those related to unsecured collateral borrowings and uncovered short positions)</t>
  </si>
  <si>
    <t>138, 139</t>
  </si>
  <si>
    <t>141, 147</t>
  </si>
  <si>
    <t>116, 117</t>
  </si>
  <si>
    <t>131 (a)</t>
  </si>
  <si>
    <t>131 (b)</t>
  </si>
  <si>
    <t>131 (c)</t>
  </si>
  <si>
    <t>131 (g)</t>
  </si>
  <si>
    <t>Transactions backed by Level 2A assets</t>
  </si>
  <si>
    <t>145-146</t>
  </si>
  <si>
    <t>Margin lending backed by non-Level 1 or non-Level 2 collateral</t>
  </si>
  <si>
    <t>Transactions backed by Level 2B RMBS assets</t>
  </si>
  <si>
    <t>Transactions backed by Level 2B non-RMBS assets</t>
  </si>
  <si>
    <t>Derivatives cash inflow</t>
  </si>
  <si>
    <t>158, 159</t>
  </si>
  <si>
    <t>69, 144</t>
  </si>
  <si>
    <t>48, 113, 146, Annex 1</t>
  </si>
  <si>
    <t>Level 1 assets are lent and Level 2A assets are borrowed; of which:</t>
  </si>
  <si>
    <t>Level 1 assets are lent and Level 2B RMBS assets are borrowed; of which:</t>
  </si>
  <si>
    <t>Level 1 assets are lent and Level 2B non-RMBS assets are borrowed; of which:</t>
  </si>
  <si>
    <t>Level 2A assets are lent and Level 1 assets are borrowed; of which:</t>
  </si>
  <si>
    <t>Level 2A assets are lent and Level 2A assets are borrowed; of which:</t>
  </si>
  <si>
    <t>Level 2A assets are lent and Level 2B RMBS assets are borrowed; of which:</t>
  </si>
  <si>
    <t>Level 2A assets are lent and Level 2B non-RMBS assets are borrowed; of which:</t>
  </si>
  <si>
    <t>Level 2A assets are lent and other assets are borrowed; of which:</t>
  </si>
  <si>
    <t>Level 2B RMBS assets are lent and Level 1 assets are borrowed; of which:</t>
  </si>
  <si>
    <t>Level 2B RMBS assets are lent and Level 2A assets are borrowed; of which:</t>
  </si>
  <si>
    <t>Level 2B RMBS assets are lent and Level 2B RMBS assets are borrowed; of which:</t>
  </si>
  <si>
    <t>Level 2B RMBS assets are lent and Level 2B non-RMBS assets are borrowed; of which:</t>
  </si>
  <si>
    <t>Level 2B RMBS assets are lent and other assets are borrowed; of which:</t>
  </si>
  <si>
    <t>Level 2B non-RMBS assets are lent and Level 1 assets are borrowed; of which:</t>
  </si>
  <si>
    <t>Level 2B non-RMBS assets are lent and Level 2A assets are borrowed; of which:</t>
  </si>
  <si>
    <t>Level 2B non-RMBS assets are lent and Level 2B RMBS assets are borrowed; of which:</t>
  </si>
  <si>
    <t>Level 2B non-RMBS assets are lent and Level 2B non-RMBS assets are borrowed; of which:</t>
  </si>
  <si>
    <t>Level 2B non-RMBS assets are lent and other assets are borrowed; of which:</t>
  </si>
  <si>
    <t>Other assets are lent and Level 2A assets are borrowed; of which:</t>
  </si>
  <si>
    <t>Other assets are lent and Level 2B RMBS assets are borrowed; of which:</t>
  </si>
  <si>
    <t>Other assets are lent and Level 2B non-RMBS assets are borrowed; of which:</t>
  </si>
  <si>
    <t>Level 1 assets are lent and Level 2A assets are borrowed</t>
  </si>
  <si>
    <t>Level 1 assets are lent and Level 2B RMBS assets are borrowed</t>
  </si>
  <si>
    <t>Level 1 assets are lent and Level 2B non-RMBS assets are borrowed</t>
  </si>
  <si>
    <t>Level 2A assets are lent and Level 1 assets are borrowed</t>
  </si>
  <si>
    <t>Level 2A assets are lent and Level 2A assets are borrowed</t>
  </si>
  <si>
    <t>Level 2A assets are lent and Level 2B RMBS assets are borrowed</t>
  </si>
  <si>
    <t>Level 2A assets are lent and Level 2B non-RMBS assets are borrowed</t>
  </si>
  <si>
    <t>Level 2A assets are lent and other assets are borrowed</t>
  </si>
  <si>
    <t>Level 2B RMBS assets are lent and Level 1 assets are borrowed</t>
  </si>
  <si>
    <t>Level 2B RMBS assets are lent and Level 2A assets are borrowed</t>
  </si>
  <si>
    <t>Level 2B RMBS assets are lent and Level 2B RMBS assets are borrowed</t>
  </si>
  <si>
    <t>Level 2B RMBS assets are lent and Level 2B non-RMBS assets are borrowed</t>
  </si>
  <si>
    <t>Level 2B RMBS assets are lent and other assets are borrowed</t>
  </si>
  <si>
    <t>Level 2B non-RMBS assets are lent and Level 1 assets are borrowed</t>
  </si>
  <si>
    <t>Level 2B non-RMBS assets are lent and Level 2A assets are borrowed</t>
  </si>
  <si>
    <t>Level 2B non-RMBS assets are lent and Level 2B RMBS assets are borrowed</t>
  </si>
  <si>
    <t>Level 2B non-RMBS assets are lent and Level 2B non-RMBS assets are borrowed</t>
  </si>
  <si>
    <t>Level 2B non-RMBS assets are lent and other assets are borrowed</t>
  </si>
  <si>
    <t>Other assets are lent and Level 2A assets are borrowed</t>
  </si>
  <si>
    <t>Other assets are lent and Level 2B RMBS assets are borrowed</t>
  </si>
  <si>
    <t>Other assets are lent and Level 2B non-RMBS assets are borrowed</t>
  </si>
  <si>
    <t>Adjustments to Level 2A assets due to collateral swaps</t>
  </si>
  <si>
    <t>Adjustments to Level 2B RMBS assets due to collateral swaps</t>
  </si>
  <si>
    <t>Adjustments to Level 2B non-RMBS assets due to collateral swaps</t>
  </si>
  <si>
    <t>issued or guaranteed by BIS, IMF, ECB or European Community, or MDBs</t>
  </si>
  <si>
    <t>domestic sovereign or central bank debt securities issued in foreign currencies, up to the amount of the bank’s stressed net cash outflows in that specific foreign currency stemming from  the bank’s operations in the jurisdiction where the bank’s liquidity risk is being taken</t>
  </si>
  <si>
    <t>Level 2A assets</t>
  </si>
  <si>
    <t>Level 2B assets</t>
  </si>
  <si>
    <t>RMBS, rated AA or better</t>
  </si>
  <si>
    <t>Non-financial corporate bonds, rated BBB- to A+</t>
  </si>
  <si>
    <t>Non-financial common equity shares</t>
  </si>
  <si>
    <t xml:space="preserve">Option 2 – Foreign currency HQLA, of which: </t>
  </si>
  <si>
    <t>e) Treatment for jurisdictions with insufficient HQLA</t>
  </si>
  <si>
    <t>75, 78</t>
  </si>
  <si>
    <t>82-84</t>
  </si>
  <si>
    <t>Undrawn committed credit and liquidity facilities to other legal entities</t>
  </si>
  <si>
    <t>operational deposits</t>
  </si>
  <si>
    <t>all payments on other loans and deposits due in ≤ 30 days</t>
  </si>
  <si>
    <t>A) Stock of high quality liquid assets (HQLA)</t>
  </si>
  <si>
    <t>Paragraph nr in standards doc</t>
  </si>
  <si>
    <t>50 (b), footnote 13</t>
  </si>
  <si>
    <t>issued or guaranteed by PSEs</t>
  </si>
  <si>
    <t>Adjustment to stock of HQLA due to cap on Level 2B assets</t>
  </si>
  <si>
    <t>Adjustment to stock of HQLA due to cap on Level 2 assets</t>
  </si>
  <si>
    <t>Total stock of HQLA</t>
  </si>
  <si>
    <t>Assets held at the entity level, but excluded from the consolidated stock of HQLA</t>
  </si>
  <si>
    <t>Panel e) to be filled in in your jurisdiction:</t>
  </si>
  <si>
    <t>Option 3 – Additional use of Level 2 assets with a higher haircut</t>
  </si>
  <si>
    <t>f) Total stock of HQLA plus usage of alternative treatment</t>
  </si>
  <si>
    <t>Total stock of HQLA plus usage of alternative treatment</t>
  </si>
  <si>
    <t>105-109</t>
  </si>
  <si>
    <t>Of the non-operational deposits reported above, amounts that could be considered operational in nature but per the Basel III LCR standards have been excluded from receiving operational deposit treatment due to:</t>
  </si>
  <si>
    <t>99, footnote 42</t>
  </si>
  <si>
    <t>Transactions conducted with the bank's domestic central bank; of which:</t>
  </si>
  <si>
    <t>Transactions not conducted with the bank's domestic central bank and backed by Level 1 assets; of which:</t>
  </si>
  <si>
    <t>Transactions not conducted with the bank's domestic central bank and backed by Level 2A assets; of which:</t>
  </si>
  <si>
    <t>Transactions not conducted with the bank's domestic central bank and backed by Level 2B RMBS assets; of which:</t>
  </si>
  <si>
    <t>Counterparties are domestic sovereigns, MDBs or domestic PSEs with a 20% risk weight; of which:</t>
  </si>
  <si>
    <t>Counterparties are not domestic sovereigns, MDBs or domestic PSEs with a 20% risk weight; of which:</t>
  </si>
  <si>
    <t>Transactions not conducted with the bank's domestic central bank and backed by other assets (non-HQLA); of which:</t>
  </si>
  <si>
    <t>Counterparties are domestic sovereigns, MDBs or domestic PSEs with a 20% risk weight</t>
  </si>
  <si>
    <t>Counterparties are not domestic sovereigns, MDBs or domestic PSEs with a 20% risk weight</t>
  </si>
  <si>
    <t>Increased liquidity needs related to downgrade triggers in derviatives and other financing transactions</t>
  </si>
  <si>
    <r>
      <t xml:space="preserve">Of which collateral is </t>
    </r>
    <r>
      <rPr>
        <b/>
        <sz val="10"/>
        <color indexed="8"/>
        <rFont val="Arial"/>
        <family val="2"/>
      </rPr>
      <t>not re-used</t>
    </r>
    <r>
      <rPr>
        <sz val="10"/>
        <color indexed="8"/>
        <rFont val="Arial"/>
        <family val="2"/>
      </rPr>
      <t xml:space="preserve"> (ie is not rehypothecated) to cover the reporting institution's outright short positions</t>
    </r>
  </si>
  <si>
    <r>
      <t xml:space="preserve">Of which collateral </t>
    </r>
    <r>
      <rPr>
        <b/>
        <sz val="10"/>
        <color indexed="8"/>
        <rFont val="Arial"/>
        <family val="2"/>
      </rPr>
      <t>is re-used</t>
    </r>
    <r>
      <rPr>
        <sz val="10"/>
        <color indexed="8"/>
        <rFont val="Arial"/>
        <family val="2"/>
      </rPr>
      <t xml:space="preserve"> (ie is rehypothecated) in transactions to cover the reporting insitution's outright short positions </t>
    </r>
  </si>
  <si>
    <r>
      <t xml:space="preserve">Of which the borrowed assets </t>
    </r>
    <r>
      <rPr>
        <b/>
        <sz val="10"/>
        <color indexed="8"/>
        <rFont val="Arial"/>
        <family val="2"/>
      </rPr>
      <t>are not re-used</t>
    </r>
    <r>
      <rPr>
        <sz val="10"/>
        <color indexed="8"/>
        <rFont val="Arial"/>
        <family val="2"/>
      </rPr>
      <t xml:space="preserve"> (ie are not rehypothecated) to cover short positions </t>
    </r>
  </si>
  <si>
    <r>
      <t xml:space="preserve">Of which the borrowed assets </t>
    </r>
    <r>
      <rPr>
        <b/>
        <sz val="10"/>
        <color indexed="8"/>
        <rFont val="Arial"/>
        <family val="2"/>
      </rPr>
      <t>are re-used</t>
    </r>
    <r>
      <rPr>
        <sz val="10"/>
        <color indexed="8"/>
        <rFont val="Arial"/>
        <family val="2"/>
      </rPr>
      <t xml:space="preserve"> (ie are rehypothecated) in transactions to cover short positions</t>
    </r>
  </si>
  <si>
    <t>Transactions not conducted with the bank's domestic central bank and backed by Level 2B non-RMBS assets; of which:</t>
  </si>
  <si>
    <t>insured, with a 3% run-off rate</t>
  </si>
  <si>
    <t>insured, with a 5% run-off rate</t>
  </si>
  <si>
    <t>Internal models approach, specific risk surcharge (2011 only)</t>
  </si>
  <si>
    <r>
      <t xml:space="preserve">Internal models approach </t>
    </r>
    <r>
      <rPr>
        <b/>
        <sz val="10"/>
        <rFont val="Arial"/>
        <family val="2"/>
      </rPr>
      <t>without</t>
    </r>
    <r>
      <rPr>
        <sz val="10"/>
        <rFont val="Arial"/>
        <family val="2"/>
      </rPr>
      <t xml:space="preserve"> the specific risk surcharge, </t>
    </r>
    <r>
      <rPr>
        <b/>
        <sz val="10"/>
        <rFont val="Arial"/>
        <family val="2"/>
      </rPr>
      <t>actual capital charge</t>
    </r>
  </si>
  <si>
    <t>G-SIB surcharge</t>
  </si>
  <si>
    <t>Trade exposures (including client cleared trades)</t>
  </si>
  <si>
    <t>Default fund exposures</t>
  </si>
  <si>
    <t>Qualifying central counterparties; of which:</t>
  </si>
  <si>
    <t>CCPs for which Method 1 is used</t>
  </si>
  <si>
    <t>EAD</t>
  </si>
  <si>
    <t>Exchange-traded derivatives (including client cleared trades)</t>
  </si>
  <si>
    <t>OTC derivatives (including client cleared trades)</t>
  </si>
  <si>
    <t>Securities financing transactions (including client cleared trades)</t>
  </si>
  <si>
    <t>Non-segregated initial margin</t>
  </si>
  <si>
    <t>Prefunded default fund contributions</t>
  </si>
  <si>
    <t>CCPs for which Method 2 is used</t>
  </si>
  <si>
    <t>RWA for both trade exposures and default fund contributions</t>
  </si>
  <si>
    <t>Trade exposures; of which:</t>
  </si>
  <si>
    <t>Unconditionally revocable "uncommitted" liquidity facilities</t>
  </si>
  <si>
    <t>Unconditionally revocable "uncommitted" credit facilities</t>
  </si>
  <si>
    <t>Partial use</t>
  </si>
  <si>
    <t>Corporates</t>
  </si>
  <si>
    <t>Domestic surcharges, total capital</t>
  </si>
  <si>
    <t>Domestic surcharges, Tier 1 capital</t>
  </si>
  <si>
    <t>Domestic surcharges, CET1 capital</t>
  </si>
  <si>
    <t>Use LCR data</t>
  </si>
  <si>
    <t>Use NSFR data</t>
  </si>
  <si>
    <t>Counterparty credit risk exposure</t>
  </si>
  <si>
    <t>19−28</t>
  </si>
  <si>
    <t>Memo item: SFT exposures to QCCPs from client-cleared transactions</t>
  </si>
  <si>
    <t>36, 37</t>
  </si>
  <si>
    <t>Potential future exposure (current exposure method; apply regulatory netting)</t>
  </si>
  <si>
    <t>F) Calculation of the leverage ratio</t>
  </si>
  <si>
    <t>8, 9</t>
  </si>
  <si>
    <t>Data complete</t>
  </si>
  <si>
    <t>G) Business model categorisation</t>
  </si>
  <si>
    <t>Total exposure data complete</t>
  </si>
  <si>
    <t>F</t>
  </si>
  <si>
    <t>LR framework para ref</t>
  </si>
  <si>
    <t>Gross value (assuming no netting or CRM)</t>
  </si>
  <si>
    <t xml:space="preserve">Capped notional amount </t>
  </si>
  <si>
    <t>Capped notional amount (same reference name)</t>
  </si>
  <si>
    <t>Capped notional amount (same reference name with no maturity mismatch)</t>
  </si>
  <si>
    <t>Adjusted gross SFT assets</t>
  </si>
  <si>
    <t>USD</t>
  </si>
  <si>
    <t>EUR</t>
  </si>
  <si>
    <t>GBP</t>
  </si>
  <si>
    <t>IDR</t>
  </si>
  <si>
    <t>Rollout</t>
  </si>
  <si>
    <t>Vendor model/other external information</t>
  </si>
  <si>
    <t>Historical data</t>
  </si>
  <si>
    <t>3) Accounting information</t>
  </si>
  <si>
    <t>MV</t>
  </si>
  <si>
    <t>ES</t>
  </si>
  <si>
    <t>Risk class</t>
  </si>
  <si>
    <t>Approval status</t>
  </si>
  <si>
    <t>Regulatory</t>
  </si>
  <si>
    <t>Management</t>
  </si>
  <si>
    <t>Commodity</t>
  </si>
  <si>
    <t>Basel 2.5 standards</t>
  </si>
  <si>
    <t>Basel 2.5/Basel III standards</t>
  </si>
  <si>
    <t>Basel III standards</t>
  </si>
  <si>
    <t xml:space="preserve">b) Level 2A assets
 </t>
  </si>
  <si>
    <t xml:space="preserve">14) Deferred tax assets due to temporary differences
</t>
  </si>
  <si>
    <t xml:space="preserve">15) Aggregate of items subject to the 15% limit (significant investments in financial institutions, mortgage servicing rights and DTAs that arise from temporary differences)
</t>
  </si>
  <si>
    <t xml:space="preserve">c) Level 2B assets
</t>
  </si>
  <si>
    <t xml:space="preserve">d) Total stock of HQLA
</t>
  </si>
  <si>
    <t xml:space="preserve">a) Retail deposit run-off
</t>
  </si>
  <si>
    <t xml:space="preserve">b) Unsecured wholesale funding run-off
</t>
  </si>
  <si>
    <t xml:space="preserve">c) Secured funding run-off
</t>
  </si>
  <si>
    <t xml:space="preserve">a) Secured lending including reverse repo and securities borrowing
</t>
  </si>
  <si>
    <t xml:space="preserve">d) Additional requirements
</t>
  </si>
  <si>
    <t>A) Available stable funding</t>
  </si>
  <si>
    <t>"Stable" (as defined in the LCR) demand and/or term deposits from retail and small business customers</t>
  </si>
  <si>
    <t>"Less stable" (as defined in the LCR) demand and/or term deposits from retail and small business customers</t>
  </si>
  <si>
    <t>Unsecured funding from non-financial corporates</t>
  </si>
  <si>
    <t>Of which is an operational deposit (as defined in the LCR)</t>
  </si>
  <si>
    <t>Of which is a non-operational deposit (as defined in the LCR)</t>
  </si>
  <si>
    <t>Unsecured funding from central banks</t>
  </si>
  <si>
    <t>Unsecured funding from other legal entities (including financial corporates and financial institutions)</t>
  </si>
  <si>
    <t>Statutory minimum deposits from members of an institutional network of cooperative banks</t>
  </si>
  <si>
    <t>Other deposits from members of an institutional network of cooperative banks</t>
  </si>
  <si>
    <t>Secured borrowings and liabilities (including secured term deposits); of which are from:</t>
  </si>
  <si>
    <t>Retail and small business customers</t>
  </si>
  <si>
    <t>Other legal entities (including financial corporates and financial institutions)</t>
  </si>
  <si>
    <t>Net derivatives payables</t>
  </si>
  <si>
    <t>Other liability and equity categories</t>
  </si>
  <si>
    <t>Total ASF</t>
  </si>
  <si>
    <t>B) Required stable funding</t>
  </si>
  <si>
    <t>1) On balance-sheet items</t>
  </si>
  <si>
    <t>RSF Factor btwn 6 months and 1 year</t>
  </si>
  <si>
    <t>RSF Factor ≥ 1 year</t>
  </si>
  <si>
    <t>Calculated RSF btwn 6 months and 1 year</t>
  </si>
  <si>
    <t>Calculated RSF ≥ 1 year</t>
  </si>
  <si>
    <t>Calculated Total RSF</t>
  </si>
  <si>
    <t>Total central bank reserves</t>
  </si>
  <si>
    <t>Of which are central bank reserves that can be drawn in times of stress</t>
  </si>
  <si>
    <t xml:space="preserve">Short-term unsecured instruments and transactions with outstanding maturities of less than one year, of which are: </t>
  </si>
  <si>
    <t>Unencumbered</t>
  </si>
  <si>
    <t>Encumbered for central bank liquidity operations; of which:</t>
  </si>
  <si>
    <t>Encumbered with counterparties other than central banks: of which:</t>
  </si>
  <si>
    <t>Securities held where the institution has an offsetting reverse repurchase transaction when the security on each transaction has the same unique identifier (eg ISIN number or CUSIP) and such securities are reported on the balance sheet of the reporting instutions</t>
  </si>
  <si>
    <t>Securities eligible for Level 1 of the LCR stock of liquid assets</t>
  </si>
  <si>
    <t>Securities eligible for Level 2A of the LCR stock of liquid assets</t>
  </si>
  <si>
    <t>Securities eligible for Level 2B of the LCR stock of liquid assets</t>
  </si>
  <si>
    <t>Loans to non-financial corporate clients with residual maturities less than one year</t>
  </si>
  <si>
    <t>Loans to central banks with residual maturities less than one year</t>
  </si>
  <si>
    <t>Residential mortgages of any maturity that would qualify for the 35% or lower risk weight under the Basel II standardised approach for credit risk</t>
  </si>
  <si>
    <t>Other loans, excluding loans to financial insitutions, with a residual maturity of one year or greater that would qualify for the 35% or lower risk weight under the Basel II standardised approach for credit risk</t>
  </si>
  <si>
    <t>Net derivatives receivables</t>
  </si>
  <si>
    <t>2) Off balance-sheet items</t>
  </si>
  <si>
    <t>Irrevocable or conditionally revocable liquidity facilities</t>
  </si>
  <si>
    <t>Irrevocable or conditionally revocable credit facilities</t>
  </si>
  <si>
    <t>Total RSF</t>
  </si>
  <si>
    <t>C) NSFR</t>
  </si>
  <si>
    <t>Net stable funding ratio</t>
  </si>
  <si>
    <t>D) For completion only by the central institutions of networks of cooperative (or otherwise named) banks</t>
  </si>
  <si>
    <t>"Stable" (as defined in the LCR) demand and/or term deposits from retail and small business customers (as defined in the LCR)</t>
  </si>
  <si>
    <t>Statutory minimum deposits from members of an institutional network of cooperative (or otherwise named) banks</t>
  </si>
  <si>
    <t>All other liabilities and equity categories not included above</t>
  </si>
  <si>
    <t>E) Supplementary Information</t>
  </si>
  <si>
    <t>ASF factor</t>
  </si>
  <si>
    <t>Calculated ASF</t>
  </si>
  <si>
    <t>&lt; 6 months</t>
  </si>
  <si>
    <t>≥ 1 year</t>
  </si>
  <si>
    <t>RSF factor</t>
  </si>
  <si>
    <t>Calculated RSF</t>
  </si>
  <si>
    <t xml:space="preserve">RSF 
factor </t>
  </si>
  <si>
    <t>Calculated total RSF</t>
  </si>
  <si>
    <t>≥ 3 months to 
&lt; 6 months</t>
  </si>
  <si>
    <t>≥ 6 months to 
&lt; 9 months</t>
  </si>
  <si>
    <t>≥ 9 months to 
&lt; 1 year</t>
  </si>
  <si>
    <t>RMBS eligible for Level 2B of the LCR stock of liquid assets</t>
  </si>
  <si>
    <t>Corporate debt securities rated BBB- to BBB+, eligible for Level 2B of the LCR stock of liquid assets</t>
  </si>
  <si>
    <t>Encumbered for periods ≥ 1 year</t>
  </si>
  <si>
    <t>Encumbered with counterparties other than central banks; of which:</t>
  </si>
  <si>
    <t>Deferred tax liabilities (DTLs)</t>
  </si>
  <si>
    <t>Minority interest</t>
  </si>
  <si>
    <t>Slotting criteria</t>
  </si>
  <si>
    <t>External rating</t>
  </si>
  <si>
    <t>Interest rate</t>
  </si>
  <si>
    <t>Credit spread</t>
  </si>
  <si>
    <t>Foreign exchange</t>
  </si>
  <si>
    <t>Answer</t>
  </si>
  <si>
    <t>19-21, 23, 28</t>
  </si>
  <si>
    <t>Replacement cost associated with all derivatives transactions (gross of variation margin)</t>
  </si>
  <si>
    <t>25, 26</t>
  </si>
  <si>
    <t>Eligible cash variation margin offset against derivatives market values</t>
  </si>
  <si>
    <t>Exempted CCP leg of client-cleared trade exposures (replacement costs)</t>
  </si>
  <si>
    <t>33−37</t>
  </si>
  <si>
    <t>SFT agent transactions eligible for the exceptional treatment</t>
  </si>
  <si>
    <t>Accounting other assets</t>
  </si>
  <si>
    <t>Adjustments to accounting 'other assets' for the purposes of the leverage ratio</t>
  </si>
  <si>
    <t xml:space="preserve">   Grossed-up assets for derivatives collateral provided</t>
  </si>
  <si>
    <t xml:space="preserve">   Receivables for cash variation margin provided in derivatives transactions</t>
  </si>
  <si>
    <t xml:space="preserve">   Exempted CCP leg of client-cleared trade exposures (initial margin)</t>
  </si>
  <si>
    <t xml:space="preserve">   Securities received in a SFT that are recognised as an asset</t>
  </si>
  <si>
    <t xml:space="preserve">   Adjustments for SFT sales accounting transactions</t>
  </si>
  <si>
    <t xml:space="preserve">   Fiduciary assets</t>
  </si>
  <si>
    <t xml:space="preserve">   Credit derivatives (protection sold)</t>
  </si>
  <si>
    <t xml:space="preserve">   Credit derivatives (protection bought)</t>
  </si>
  <si>
    <t xml:space="preserve">   Financial derivatives</t>
  </si>
  <si>
    <t>19−22, 28</t>
  </si>
  <si>
    <t>Potential future exposure for derivatives entering the leverage ratio exposure measure</t>
  </si>
  <si>
    <t>Exempted CCP leg of client-cleared trade exposures (potential future exposure)</t>
  </si>
  <si>
    <t>E) Adjusted notional exposures for written credit derivatives</t>
  </si>
  <si>
    <t>≥ 6 months to &lt; 1 year</t>
  </si>
  <si>
    <t>Tier 1 and Tier 2 capital (Basel III 2022), before the application of capital deductions and excluding the proportion of Tier 2 instruments with residual maturity of less than one year</t>
  </si>
  <si>
    <t>Of which is non-deposit unsecured funding</t>
  </si>
  <si>
    <t>Unsecured funding from sovereigns/PSEs/MDBs/NDBs</t>
  </si>
  <si>
    <t>Sovereigns/PSEs/MDBs/NDBs</t>
  </si>
  <si>
    <t>See FN 7</t>
  </si>
  <si>
    <t>Encumbered for periods &lt; 6 months</t>
  </si>
  <si>
    <t>Encumbered for periods ≥ 6 months to &lt; 1 year</t>
  </si>
  <si>
    <t xml:space="preserve">Loans to banks subject to prudential supervision that are not renewable </t>
  </si>
  <si>
    <t xml:space="preserve">Loans to financial entities (other than loans to banks subject to prudential supervision) that are not renewable </t>
  </si>
  <si>
    <t>Deposits held at financial institutions for operational purposes</t>
  </si>
  <si>
    <t>Loans to sovereigns, PSEs, MDBs and NDBs with a residual maturity of less than one year</t>
  </si>
  <si>
    <t>Loans to retail and small business customers (excluding residential mortgages reported above) with a residual maturity of less than one year</t>
  </si>
  <si>
    <t>Performing loans (except loans to financial institutions and loans reported in above categories) with risk weights greater than 35% under the Basel II standardised approach for credit risk</t>
  </si>
  <si>
    <t>Non-HQLA exchange traded equities</t>
  </si>
  <si>
    <t>Non-HQLA securities not in default</t>
  </si>
  <si>
    <t xml:space="preserve">Gold </t>
  </si>
  <si>
    <t>Physical traded commodities other than gold</t>
  </si>
  <si>
    <t>Defaulted securities and non-performing loans</t>
  </si>
  <si>
    <t>Intangible assets</t>
  </si>
  <si>
    <t>Deferred tax assets (DTAs)</t>
  </si>
  <si>
    <t>All other assets not included in above categories that qualify for 100% treatment</t>
  </si>
  <si>
    <t>Capital instruments not included above with an effective residual maturity of one year or more</t>
  </si>
  <si>
    <t>E) Non-modellable risk factors</t>
  </si>
  <si>
    <t>Exposure amounts resulting from the additional treatment for credit derivatives</t>
  </si>
  <si>
    <t>Unconditionally revocable liquidity facilities</t>
  </si>
  <si>
    <t>Unconditionally revocable credit facilities</t>
  </si>
  <si>
    <t>Check: positive VaR capital charge requires VaR which is positive but smaller than the capital charge</t>
  </si>
  <si>
    <t>Check: Tier 2 adjustments should be ≤ additional Tier 2 prior to adjustments</t>
  </si>
  <si>
    <t>Check: Tier 1 adjustments should be ≤ additional Tier 1 prior to adjustments</t>
  </si>
  <si>
    <r>
      <t xml:space="preserve">11) Investments in the capital of banking, financial and insurance entities that are outside the scope of regulatory consolidation and where the bank </t>
    </r>
    <r>
      <rPr>
        <b/>
        <sz val="12"/>
        <color rgb="FFAA322F"/>
        <rFont val="Arial"/>
        <family val="2"/>
      </rPr>
      <t>does not</t>
    </r>
    <r>
      <rPr>
        <b/>
        <sz val="12"/>
        <rFont val="Arial"/>
        <family val="2"/>
      </rPr>
      <t xml:space="preserve"> own more than 10% of the issued 
       common share capital (excluding amounts held for underwriting purposes only if held for 5 working days or less)</t>
    </r>
  </si>
  <si>
    <r>
      <t xml:space="preserve">Deferred tax assets which </t>
    </r>
    <r>
      <rPr>
        <b/>
        <sz val="10"/>
        <color rgb="FFAA322F"/>
        <rFont val="Arial"/>
        <family val="2"/>
      </rPr>
      <t>do not</t>
    </r>
    <r>
      <rPr>
        <b/>
        <sz val="10"/>
        <rFont val="Arial"/>
        <family val="2"/>
      </rPr>
      <t xml:space="preserve"> rely on the future profitability of the bank to be realised</t>
    </r>
  </si>
  <si>
    <r>
      <t xml:space="preserve">Deferred tax assets which </t>
    </r>
    <r>
      <rPr>
        <b/>
        <sz val="10"/>
        <color rgb="FFAA322F"/>
        <rFont val="Arial"/>
        <family val="2"/>
      </rPr>
      <t>do</t>
    </r>
    <r>
      <rPr>
        <b/>
        <sz val="10"/>
        <rFont val="Arial"/>
        <family val="2"/>
      </rPr>
      <t xml:space="preserve"> rely on the future profitability of the bank to be realised</t>
    </r>
  </si>
  <si>
    <t>National rules as at reporting date</t>
  </si>
  <si>
    <t>Check: sum of other assets of which items ≤ other assets</t>
  </si>
  <si>
    <t>Check: unconditionally cancellable commitments should not exceed off-balance items with a 0% CCF</t>
  </si>
  <si>
    <t>Check: total equals total accounting values in panel A</t>
  </si>
  <si>
    <t>Check: total equals total gross values in panel A</t>
  </si>
  <si>
    <t>Check: credit derivatives (protection sold) should be the same as or less than that in panel B</t>
  </si>
  <si>
    <t>Check: credit derivatives (protection bought) should be the same as or less than that in panel B</t>
  </si>
  <si>
    <t>Check: credit derivatives purchased are consistently filled-in (see reporting instructions for more details)</t>
  </si>
  <si>
    <t>Check: securitisation exposures should be lower than total other exposures</t>
  </si>
  <si>
    <t>Other SFTs</t>
  </si>
  <si>
    <t>33-35</t>
  </si>
  <si>
    <t>29−31</t>
  </si>
  <si>
    <t>Question</t>
  </si>
  <si>
    <t>Closed from question: numerical answer</t>
  </si>
  <si>
    <t>Trading book QIS internal models approach: general</t>
  </si>
  <si>
    <t>Overall capital requirements and actual capital ratios</t>
  </si>
  <si>
    <t>A) Data for all banks</t>
  </si>
  <si>
    <t>1) Credit risk (including CCR and non-trading credit risk)</t>
  </si>
  <si>
    <t>2) Market risk</t>
  </si>
  <si>
    <t>3) Other Pillar 1 capital requirements</t>
  </si>
  <si>
    <t>B) Data for Basel II/III banks</t>
  </si>
  <si>
    <t>1) Operational risk</t>
  </si>
  <si>
    <t>2) Data on transitional floors</t>
  </si>
  <si>
    <t>3) Additional data on CCR RWA</t>
  </si>
  <si>
    <t>4) Additional data for exposures to qualifying CCPs</t>
  </si>
  <si>
    <t>C) Risk-weighted assets and capital ratios (Basel II banks: before application of the Basel II floors)</t>
  </si>
  <si>
    <t>of which: externally rated</t>
  </si>
  <si>
    <t>of which: unrated</t>
  </si>
  <si>
    <t>Standardised measurement method; of wich:</t>
  </si>
  <si>
    <t>General interest rate risk</t>
  </si>
  <si>
    <t>Credit spread risk: non-securitisations</t>
  </si>
  <si>
    <t>Credit spread risk: securitisation</t>
  </si>
  <si>
    <t>Equity risk</t>
  </si>
  <si>
    <t>Commodity risk</t>
  </si>
  <si>
    <t>Foreign exchange risk</t>
  </si>
  <si>
    <t>Default risk: non-securitisations</t>
  </si>
  <si>
    <t>Default risk: securitisations</t>
  </si>
  <si>
    <r>
      <t>ES</t>
    </r>
    <r>
      <rPr>
        <vertAlign val="subscript"/>
        <sz val="10"/>
        <rFont val="Arial"/>
        <family val="2"/>
      </rPr>
      <t>R,S</t>
    </r>
  </si>
  <si>
    <r>
      <t>ES</t>
    </r>
    <r>
      <rPr>
        <vertAlign val="subscript"/>
        <sz val="10"/>
        <rFont val="Arial"/>
        <family val="2"/>
      </rPr>
      <t>F,C</t>
    </r>
  </si>
  <si>
    <r>
      <t>ES</t>
    </r>
    <r>
      <rPr>
        <vertAlign val="subscript"/>
        <sz val="10"/>
        <rFont val="Arial"/>
        <family val="2"/>
      </rPr>
      <t>R,C</t>
    </r>
  </si>
  <si>
    <t>At the risk factor class level: interest rate risk</t>
  </si>
  <si>
    <t>At the risk factor class level: credit spread risk</t>
  </si>
  <si>
    <t>At the risk factor class level: equity risk</t>
  </si>
  <si>
    <t>At the risk factor class level: commodity risk</t>
  </si>
  <si>
    <t>At the risk factor class level: foreign exchange risk</t>
  </si>
  <si>
    <t>SES; of which:</t>
  </si>
  <si>
    <t>Interest rate non-modellable risk factors</t>
  </si>
  <si>
    <t>Credit spread non-modellable risk factors</t>
  </si>
  <si>
    <t>Equity non-modellable risk factors</t>
  </si>
  <si>
    <t>Commodity non-modellable risk factors</t>
  </si>
  <si>
    <t>Foreign-exchange non-modellable risk factors</t>
  </si>
  <si>
    <t>Assumed rho parameter</t>
  </si>
  <si>
    <t>Internal models approach, default charge</t>
  </si>
  <si>
    <t>General information (to be completed by all banks)</t>
  </si>
  <si>
    <t>Unit</t>
  </si>
  <si>
    <t>One</t>
  </si>
  <si>
    <t>Thousands</t>
  </si>
  <si>
    <t>Millions</t>
  </si>
  <si>
    <t>Trading book QIS: Boundary</t>
  </si>
  <si>
    <t>Capital charge default</t>
  </si>
  <si>
    <t xml:space="preserve">Standardised </t>
  </si>
  <si>
    <t>Approach used</t>
  </si>
  <si>
    <t>Equity portfolio</t>
  </si>
  <si>
    <t>Sovereign portfolio</t>
  </si>
  <si>
    <t>Corporate portfolio</t>
  </si>
  <si>
    <t>Securitisation portfolio</t>
  </si>
  <si>
    <t>Aggregated portfolio</t>
  </si>
  <si>
    <t>A) Calculation of capital requirements (standalone, standardised)</t>
  </si>
  <si>
    <t>Trading book</t>
  </si>
  <si>
    <t>Banking book</t>
  </si>
  <si>
    <t>B) Calculation of capital requirements (standalone, internal models/advanced)</t>
  </si>
  <si>
    <t>Internal models</t>
  </si>
  <si>
    <t>FIRB</t>
  </si>
  <si>
    <t>AIRB</t>
  </si>
  <si>
    <t>PD/LGD</t>
  </si>
  <si>
    <t>Market-based</t>
  </si>
  <si>
    <t>Credit risk equity</t>
  </si>
  <si>
    <t>Credit risk</t>
  </si>
  <si>
    <t>Capital charge 
non-default</t>
  </si>
  <si>
    <t>Advanced</t>
  </si>
  <si>
    <t>Standardised measurement method</t>
  </si>
  <si>
    <t>Internal models approach, expected shortfall at the portfolio level</t>
  </si>
  <si>
    <t>Sum of the stressed scenarios of the NMRF</t>
  </si>
  <si>
    <t>Internal models approach, sum of the expected shortfalls at the asset class level</t>
  </si>
  <si>
    <t>2) Revocation of exotic desks (as defined in the instructions):</t>
  </si>
  <si>
    <t>Sum of capital charges resulted from stress scenarios across all non-modellable risk factors</t>
  </si>
  <si>
    <t>Total number of non-modellable risk factors</t>
  </si>
  <si>
    <t>Description (name internally used)</t>
  </si>
  <si>
    <t>Result of the stress scenarios</t>
  </si>
  <si>
    <t>Predominant risk class</t>
  </si>
  <si>
    <t>Desk number</t>
  </si>
  <si>
    <t>Regulatory trading desk</t>
  </si>
  <si>
    <t>Domestic cash equity</t>
  </si>
  <si>
    <t>Domestic equity derivatives</t>
  </si>
  <si>
    <t>Quantitative equity strategies</t>
  </si>
  <si>
    <t>Foreign equities</t>
  </si>
  <si>
    <t>Emerging markets equities</t>
  </si>
  <si>
    <t>Domestic interest rates and derivatives</t>
  </si>
  <si>
    <t>International interest rates and derivatives</t>
  </si>
  <si>
    <t>Spot FX</t>
  </si>
  <si>
    <t>FX derivatives</t>
  </si>
  <si>
    <t>Domestic structured products</t>
  </si>
  <si>
    <t>Global structured products</t>
  </si>
  <si>
    <t>Distressed debt</t>
  </si>
  <si>
    <t>High grade credit</t>
  </si>
  <si>
    <t>High yield credit</t>
  </si>
  <si>
    <t>Syndicated loans</t>
  </si>
  <si>
    <t>Commodities – agricultural</t>
  </si>
  <si>
    <t>Commodities – energy</t>
  </si>
  <si>
    <t>Commodities – metals</t>
  </si>
  <si>
    <t>Special opportunities</t>
  </si>
  <si>
    <t>Strategic capital</t>
  </si>
  <si>
    <t>Quantitative strategies</t>
  </si>
  <si>
    <t>List of regulatory trading desk</t>
  </si>
  <si>
    <r>
      <t xml:space="preserve">Internal models approach, expected shortfall; of which 
</t>
    </r>
    <r>
      <rPr>
        <b/>
        <sz val="10"/>
        <rFont val="Arial"/>
        <family val="2"/>
      </rPr>
      <t>(ie ACC</t>
    </r>
    <r>
      <rPr>
        <b/>
        <vertAlign val="subscript"/>
        <sz val="10"/>
        <rFont val="Arial"/>
        <family val="2"/>
      </rPr>
      <t xml:space="preserve">t-1 </t>
    </r>
    <r>
      <rPr>
        <b/>
        <sz val="10"/>
        <rFont val="Arial"/>
        <family val="2"/>
      </rPr>
      <t>as defined in paragraph 176 (j))</t>
    </r>
    <r>
      <rPr>
        <sz val="10"/>
        <rFont val="Arial"/>
        <family val="2"/>
      </rPr>
      <t>:</t>
    </r>
  </si>
  <si>
    <t>Desk</t>
  </si>
  <si>
    <t>Net MV</t>
  </si>
  <si>
    <t>Level 2</t>
  </si>
  <si>
    <t>Level 3</t>
  </si>
  <si>
    <t>Number of NMRF</t>
  </si>
  <si>
    <t>predominant risk class</t>
  </si>
  <si>
    <t>Potential future exposure</t>
  </si>
  <si>
    <t>Gross positive notional amount</t>
  </si>
  <si>
    <t>Gross negative notional amount</t>
  </si>
  <si>
    <t>NMRF capital charge</t>
  </si>
  <si>
    <t>linear products</t>
  </si>
  <si>
    <t>vanilla products</t>
  </si>
  <si>
    <t>Trading book QIS internal models approach: Jumps in liquidity premia − additional characteristics of each desk</t>
  </si>
  <si>
    <t>Date</t>
  </si>
  <si>
    <t>T</t>
  </si>
  <si>
    <t>All other</t>
  </si>
  <si>
    <t>ES_{R,S}</t>
  </si>
  <si>
    <t>ES_{F,C}</t>
  </si>
  <si>
    <t>ES_{R,C}</t>
  </si>
  <si>
    <t>1) Assessment of the calibration to a period of stress for the overall trading book</t>
  </si>
  <si>
    <r>
      <t xml:space="preserve">2) Assessment of the calibration to a period of stress for the overall trading book − </t>
    </r>
    <r>
      <rPr>
        <b/>
        <sz val="12"/>
        <color rgb="FFFF0000"/>
        <rFont val="Arial"/>
        <family val="2"/>
      </rPr>
      <t>interest rate</t>
    </r>
  </si>
  <si>
    <r>
      <t xml:space="preserve">3) Assessment of the calibration to a period of stress for the overall trading book − </t>
    </r>
    <r>
      <rPr>
        <b/>
        <sz val="12"/>
        <color rgb="FFFF0000"/>
        <rFont val="Arial"/>
        <family val="2"/>
      </rPr>
      <t>credit spread</t>
    </r>
  </si>
  <si>
    <r>
      <t xml:space="preserve">4) Assessment of the calibration to a period of stress for the overall trading book − </t>
    </r>
    <r>
      <rPr>
        <b/>
        <sz val="12"/>
        <color rgb="FFFF0000"/>
        <rFont val="Arial"/>
        <family val="2"/>
      </rPr>
      <t>equity</t>
    </r>
  </si>
  <si>
    <r>
      <t xml:space="preserve">5) Assessment of the calibration to a period of stress for the overall trading book − </t>
    </r>
    <r>
      <rPr>
        <b/>
        <sz val="12"/>
        <color rgb="FFFF0000"/>
        <rFont val="Arial"/>
        <family val="2"/>
      </rPr>
      <t>commodity</t>
    </r>
  </si>
  <si>
    <t>Standardised measurement method, foreign exchange and commodities risk; of which:</t>
  </si>
  <si>
    <t>Commodities risk</t>
  </si>
  <si>
    <t>Use trading book boundary data</t>
  </si>
  <si>
    <t>At the trading book level:</t>
  </si>
  <si>
    <t>Additional predominant risk class 1</t>
  </si>
  <si>
    <t>Additional predominant risk class 2</t>
  </si>
  <si>
    <t>additional predominant risk class 1</t>
  </si>
  <si>
    <t>additional predominant risk class 2</t>
  </si>
  <si>
    <t>Trading book QIS internal models approach: Risk measures by desk and stress calibration</t>
  </si>
  <si>
    <t>1) Revocation of vanilla desks (as defined in the instructions)</t>
  </si>
  <si>
    <r>
      <rPr>
        <b/>
        <sz val="10"/>
        <color rgb="FFAA322F"/>
        <rFont val="Arial"/>
        <family val="2"/>
      </rPr>
      <t>Revised</t>
    </r>
    <r>
      <rPr>
        <b/>
        <sz val="10"/>
        <rFont val="Arial"/>
        <family val="2"/>
      </rPr>
      <t xml:space="preserve"> boundary</t>
    </r>
  </si>
  <si>
    <r>
      <rPr>
        <b/>
        <sz val="10"/>
        <color rgb="FFAA322F"/>
        <rFont val="Arial"/>
        <family val="2"/>
      </rPr>
      <t>Current</t>
    </r>
    <r>
      <rPr>
        <b/>
        <sz val="10"/>
        <rFont val="Arial"/>
        <family val="2"/>
      </rPr>
      <t xml:space="preserve"> boundary</t>
    </r>
  </si>
  <si>
    <r>
      <t xml:space="preserve">Current </t>
    </r>
    <r>
      <rPr>
        <b/>
        <sz val="10"/>
        <rFont val="Arial"/>
        <family val="2"/>
      </rPr>
      <t>definition of the boundary</t>
    </r>
  </si>
  <si>
    <r>
      <t xml:space="preserve">Revised </t>
    </r>
    <r>
      <rPr>
        <b/>
        <sz val="10"/>
        <rFont val="Arial"/>
        <family val="2"/>
      </rPr>
      <t>definition of the boundary</t>
    </r>
  </si>
  <si>
    <t>B) Revised market risk capital charge</t>
  </si>
  <si>
    <t>C) Detailed characteristics of each desk</t>
  </si>
  <si>
    <t>D) Assessment of the impact of a potential revocation of some desks (based on criteria defined in the instructions)</t>
  </si>
  <si>
    <t>F) Closed-form questions</t>
  </si>
  <si>
    <t>A) ES computations by desk – liquidity-adjusted ES including NMRF</t>
  </si>
  <si>
    <t>B) IDR computations by desk</t>
  </si>
  <si>
    <t>Trading book QIS internal models approach: Backtesting (based on P&amp;L losses higher than VaR) and P&amp;L attribution</t>
  </si>
  <si>
    <t>A) Backtesting</t>
  </si>
  <si>
    <t>1) Desk-level VaR 97.5%</t>
  </si>
  <si>
    <t>2) Desk-level VaR 99%</t>
  </si>
  <si>
    <t>C) Revised standardised approach computations by desk</t>
  </si>
  <si>
    <t>D) Calibration to a period of stress</t>
  </si>
  <si>
    <r>
      <t xml:space="preserve">6) Assessment of the calibration to a period of stress for the overall trading book − </t>
    </r>
    <r>
      <rPr>
        <b/>
        <sz val="12"/>
        <color rgb="FFFF0000"/>
        <rFont val="Arial"/>
        <family val="2"/>
      </rPr>
      <t>foreign exchange</t>
    </r>
  </si>
  <si>
    <r>
      <t xml:space="preserve">Average holding period for the positions 
</t>
    </r>
    <r>
      <rPr>
        <b/>
        <sz val="10"/>
        <color rgb="FFAA322F"/>
        <rFont val="Arial"/>
        <family val="2"/>
      </rPr>
      <t>[in days]</t>
    </r>
  </si>
  <si>
    <r>
      <t xml:space="preserve">Proportion of ES for… </t>
    </r>
    <r>
      <rPr>
        <b/>
        <sz val="10"/>
        <color rgb="FFAA322F"/>
        <rFont val="Arial"/>
        <family val="2"/>
      </rPr>
      <t>[%]</t>
    </r>
  </si>
  <si>
    <r>
      <t xml:space="preserve">Distribution of level 1/2/3 of trading desk </t>
    </r>
    <r>
      <rPr>
        <b/>
        <sz val="10"/>
        <color rgb="FFAA322F"/>
        <rFont val="Arial"/>
        <family val="2"/>
      </rPr>
      <t>[%]</t>
    </r>
  </si>
  <si>
    <r>
      <t xml:space="preserve">Proportion of… </t>
    </r>
    <r>
      <rPr>
        <b/>
        <sz val="10"/>
        <color rgb="FFAA322F"/>
        <rFont val="Arial"/>
        <family val="2"/>
      </rPr>
      <t>[%]</t>
    </r>
  </si>
  <si>
    <t>C) Supervisory parameters trading book</t>
  </si>
  <si>
    <t>Use trading book SBA data</t>
  </si>
  <si>
    <t>A) General interest rate risk (GIRR)</t>
  </si>
  <si>
    <t>Currency</t>
  </si>
  <si>
    <t>Kb</t>
  </si>
  <si>
    <t>Sb</t>
  </si>
  <si>
    <t>∑WS2</t>
  </si>
  <si>
    <t>∑rho+</t>
  </si>
  <si>
    <t>∑rho-</t>
  </si>
  <si>
    <t>JPY</t>
  </si>
  <si>
    <t>AUD</t>
  </si>
  <si>
    <t>CHF</t>
  </si>
  <si>
    <t>CAD</t>
  </si>
  <si>
    <t>HKD</t>
  </si>
  <si>
    <t>SEK</t>
  </si>
  <si>
    <t>NZD</t>
  </si>
  <si>
    <t>KRW</t>
  </si>
  <si>
    <t>SGD</t>
  </si>
  <si>
    <t>MXN</t>
  </si>
  <si>
    <t>NOK</t>
  </si>
  <si>
    <t>ZAR</t>
  </si>
  <si>
    <t>DKK</t>
  </si>
  <si>
    <t>ILS</t>
  </si>
  <si>
    <t>CNY</t>
  </si>
  <si>
    <t>RUB</t>
  </si>
  <si>
    <t>TRY</t>
  </si>
  <si>
    <t>BRI</t>
  </si>
  <si>
    <t>INR</t>
  </si>
  <si>
    <t>PLN</t>
  </si>
  <si>
    <t>TWD</t>
  </si>
  <si>
    <t>HUF</t>
  </si>
  <si>
    <t>MYR</t>
  </si>
  <si>
    <t>CZK</t>
  </si>
  <si>
    <t>THB</t>
  </si>
  <si>
    <t>CLP</t>
  </si>
  <si>
    <t>Others</t>
  </si>
  <si>
    <t>Delta risk</t>
  </si>
  <si>
    <t>Curvature risk</t>
  </si>
  <si>
    <t>Vega risk</t>
  </si>
  <si>
    <t>Credit quality</t>
  </si>
  <si>
    <t>Sector</t>
  </si>
  <si>
    <t>Residual</t>
  </si>
  <si>
    <t>Investment grade (IG)</t>
  </si>
  <si>
    <t>High yield (HY) and non-rated (NR)</t>
  </si>
  <si>
    <t>Consumer</t>
  </si>
  <si>
    <t>Sovereigns including central banks</t>
  </si>
  <si>
    <t>Financials including government-backed financials</t>
  </si>
  <si>
    <t>Basic materials, energy, industrials</t>
  </si>
  <si>
    <t>Technology, telecommunications</t>
  </si>
  <si>
    <t>Health care, utilities, local government, government-backed corporates (non-financial)</t>
  </si>
  <si>
    <t>1) Non-securitsations</t>
  </si>
  <si>
    <t>RMBS/CMBS</t>
  </si>
  <si>
    <t>Credit card ABS</t>
  </si>
  <si>
    <t>Auto ABS</t>
  </si>
  <si>
    <t>C) Equity risk</t>
  </si>
  <si>
    <t>Region</t>
  </si>
  <si>
    <t>Size</t>
  </si>
  <si>
    <t>Large</t>
  </si>
  <si>
    <t>Small</t>
  </si>
  <si>
    <t>Emerging markets</t>
  </si>
  <si>
    <t>Developed markets</t>
  </si>
  <si>
    <t>Consumer, utilities</t>
  </si>
  <si>
    <t>Telecommunications, industrials</t>
  </si>
  <si>
    <t>Basic materials, energy</t>
  </si>
  <si>
    <t>Financial, technology</t>
  </si>
  <si>
    <t>All</t>
  </si>
  <si>
    <t>D) Commodity risk</t>
  </si>
  <si>
    <t>Coal</t>
  </si>
  <si>
    <t>Electricity</t>
  </si>
  <si>
    <t>Freight</t>
  </si>
  <si>
    <t>Metals</t>
  </si>
  <si>
    <t>Crude oil</t>
  </si>
  <si>
    <t>Natural gas</t>
  </si>
  <si>
    <t>Precious metals (incl gold)</t>
  </si>
  <si>
    <t>Grains &amp; oilseed</t>
  </si>
  <si>
    <t>Livestock &amp; dairy</t>
  </si>
  <si>
    <t>Softs and other agriculturals</t>
  </si>
  <si>
    <t>E) Foreign exchange risk</t>
  </si>
  <si>
    <t>F) Default risk</t>
  </si>
  <si>
    <t>a) Notional amount in each category before offsetting at the obligor level</t>
  </si>
  <si>
    <t>Notional amount under each category</t>
  </si>
  <si>
    <t xml:space="preserve">Corporate </t>
  </si>
  <si>
    <t xml:space="preserve">Sovereign </t>
  </si>
  <si>
    <t>Equity and non-senior debt instruments</t>
  </si>
  <si>
    <t>Municipalities and local authorities</t>
  </si>
  <si>
    <t>Senior debt instruments</t>
  </si>
  <si>
    <t>AAA</t>
  </si>
  <si>
    <t>AA</t>
  </si>
  <si>
    <t>BBB</t>
  </si>
  <si>
    <t>BB</t>
  </si>
  <si>
    <t>CCC</t>
  </si>
  <si>
    <t>Unrated</t>
  </si>
  <si>
    <t>Defaulted</t>
  </si>
  <si>
    <t>b) Notional amount in each category after offsetting at the obligor level within each sub-category only</t>
  </si>
  <si>
    <t>d) JTD amount in each category after offsetting at the obligor level with LGD of 60% for debt instruments</t>
  </si>
  <si>
    <t>e) JTD amount in each category after offsetting at the obligor level with LGD of 40% for debt instruments</t>
  </si>
  <si>
    <t>a) Long positions</t>
  </si>
  <si>
    <t>b) Short positions</t>
  </si>
  <si>
    <t>Sum of notional under each asset class</t>
  </si>
  <si>
    <t>ABCP</t>
  </si>
  <si>
    <t>RMBS</t>
  </si>
  <si>
    <t>CMBS</t>
  </si>
  <si>
    <t>SME</t>
  </si>
  <si>
    <t>Credit cards</t>
  </si>
  <si>
    <t>Auto loans/leases</t>
  </si>
  <si>
    <t>Senior</t>
  </si>
  <si>
    <t>Mezzanine</t>
  </si>
  <si>
    <t>Capital charge by category</t>
  </si>
  <si>
    <t>Total GIRR capital charge</t>
  </si>
  <si>
    <t>Total CSR (non-securitisation) capital charge</t>
  </si>
  <si>
    <t>Total CSR (securitisation) capital charge</t>
  </si>
  <si>
    <t>Total equity risk capital charge</t>
  </si>
  <si>
    <t>Total commodity risk capital charge</t>
  </si>
  <si>
    <t>Total foreign exchange capital charge</t>
  </si>
  <si>
    <t>Total default risk capital charge (non-securitisations)</t>
  </si>
  <si>
    <t>Long</t>
  </si>
  <si>
    <t>Short</t>
  </si>
  <si>
    <t>JTD amount under each category</t>
  </si>
  <si>
    <r>
      <t xml:space="preserve">Trading book QIS standardised approach − </t>
    </r>
    <r>
      <rPr>
        <b/>
        <sz val="20"/>
        <color rgb="FFAA322F"/>
        <rFont val="Arial"/>
        <family val="2"/>
      </rPr>
      <t>current</t>
    </r>
    <r>
      <rPr>
        <b/>
        <sz val="20"/>
        <rFont val="Arial"/>
        <family val="2"/>
      </rPr>
      <t xml:space="preserve"> boundary</t>
    </r>
  </si>
  <si>
    <t>B) Credit spread risk (CSR)</t>
  </si>
  <si>
    <t>Same name</t>
  </si>
  <si>
    <t>Different names</t>
  </si>
  <si>
    <t>Same underlying names</t>
  </si>
  <si>
    <t>Different underlying names</t>
  </si>
  <si>
    <r>
      <t xml:space="preserve">∑rho
</t>
    </r>
    <r>
      <rPr>
        <b/>
        <sz val="9"/>
        <rFont val="Arial"/>
        <family val="2"/>
      </rPr>
      <t>(=∑rho</t>
    </r>
    <r>
      <rPr>
        <b/>
        <vertAlign val="superscript"/>
        <sz val="9"/>
        <rFont val="Arial"/>
        <family val="2"/>
      </rPr>
      <t>+</t>
    </r>
    <r>
      <rPr>
        <b/>
        <sz val="9"/>
        <rFont val="Arial"/>
        <family val="2"/>
      </rPr>
      <t>+∑rho</t>
    </r>
    <r>
      <rPr>
        <b/>
        <vertAlign val="superscript"/>
        <sz val="9"/>
        <rFont val="Arial"/>
        <family val="2"/>
      </rPr>
      <t>-</t>
    </r>
    <r>
      <rPr>
        <b/>
        <sz val="9"/>
        <rFont val="Arial"/>
        <family val="2"/>
      </rPr>
      <t>)</t>
    </r>
  </si>
  <si>
    <t>c) Net long and net short JTD amount (in each category, after offsetting at the obligor level but before the application of RW, with LGD as specified in the SBA standard</t>
  </si>
  <si>
    <t>Net JTD amount</t>
  </si>
  <si>
    <t>WtS</t>
  </si>
  <si>
    <t>2) Securitisations</t>
  </si>
  <si>
    <r>
      <t xml:space="preserve">Trading book QIS standardised approach − </t>
    </r>
    <r>
      <rPr>
        <b/>
        <sz val="20"/>
        <color rgb="FFAA322F"/>
        <rFont val="Arial"/>
        <family val="2"/>
      </rPr>
      <t>revised</t>
    </r>
    <r>
      <rPr>
        <b/>
        <sz val="20"/>
        <rFont val="Arial"/>
        <family val="2"/>
      </rPr>
      <t xml:space="preserve"> boundary</t>
    </r>
  </si>
  <si>
    <t>D) Capital issued out of subsidiaries to third parties (paragraphs 62−65)</t>
  </si>
  <si>
    <t>Operational risk</t>
  </si>
  <si>
    <t>A) Balance sheet and other items</t>
  </si>
  <si>
    <t>Year</t>
  </si>
  <si>
    <t>Number of employees</t>
  </si>
  <si>
    <t>Interest income</t>
  </si>
  <si>
    <t>Interest expenses</t>
  </si>
  <si>
    <t>Fee and commission income</t>
  </si>
  <si>
    <t>Fee and commission expenses</t>
  </si>
  <si>
    <t>Net profit (loss) on financial operations (trading book)</t>
  </si>
  <si>
    <t>Net profit (loss) on financial operations (non-trading book)</t>
  </si>
  <si>
    <t>Other operating income</t>
  </si>
  <si>
    <t>Other operating expenses</t>
  </si>
  <si>
    <t>Dividend income</t>
  </si>
  <si>
    <t>Administrative expenses</t>
  </si>
  <si>
    <t>Total assets</t>
  </si>
  <si>
    <t xml:space="preserve">Interest-earning assets </t>
  </si>
  <si>
    <t xml:space="preserve">Interest-bearing liabilities </t>
  </si>
  <si>
    <t>B) Income statement</t>
  </si>
  <si>
    <t>Gross income</t>
  </si>
  <si>
    <t>C) Operational risk losses</t>
  </si>
  <si>
    <t>Event type</t>
  </si>
  <si>
    <t>Sum of the five largest losses (in this year)</t>
  </si>
  <si>
    <t>Maximum loss (in this year)</t>
  </si>
  <si>
    <t>Up to date sum of the five largest losses</t>
  </si>
  <si>
    <t>Threshold applied in loss data collection</t>
  </si>
  <si>
    <t>Whole bank</t>
  </si>
  <si>
    <t>External fraud
(ET2)</t>
  </si>
  <si>
    <t>Internal fraud
(ET1)</t>
  </si>
  <si>
    <t>Employment practices and workplace safety practices
(ET3)</t>
  </si>
  <si>
    <t>Clients, products &amp; business practices 
(ET4)</t>
  </si>
  <si>
    <t>Damage to physical assets 
(ET5)</t>
  </si>
  <si>
    <t>Business disruption and system failures
(ET6)</t>
  </si>
  <si>
    <t>Execution, delivery &amp; process management
(ET7)</t>
  </si>
  <si>
    <t>D) Fraud losses in credit area</t>
  </si>
  <si>
    <t>Total number; of which:</t>
  </si>
  <si>
    <t>First party frauds</t>
  </si>
  <si>
    <t>Third party frauds</t>
  </si>
  <si>
    <t>Approach to operational risk (Basel II/III)</t>
  </si>
  <si>
    <t>Basic Indicator Approach (BIA)</t>
  </si>
  <si>
    <t>Standardised Approach (TSA)</t>
  </si>
  <si>
    <t>Alternative Standardised Approach (ASA)</t>
  </si>
  <si>
    <t>At the regulatory percentile (99.9%)</t>
  </si>
  <si>
    <t>At the 99% percentile</t>
  </si>
  <si>
    <t>At the 97.5% percentile</t>
  </si>
  <si>
    <t>At the 95% percentile</t>
  </si>
  <si>
    <t>Diversification</t>
  </si>
  <si>
    <t>Insurance and other risk mitigants</t>
  </si>
  <si>
    <t>Expected losses</t>
  </si>
  <si>
    <t>Total amount of losses ≥ EUR 1,000,000</t>
  </si>
  <si>
    <t>Total amount of losses ≥ EUR 100,000</t>
  </si>
  <si>
    <t>Total amount of losses ≥ EUR 10,000</t>
  </si>
  <si>
    <t>Number of loss events ≥ EUR 1,000,000</t>
  </si>
  <si>
    <t>Number of loss events ≥ EUR 100,000</t>
  </si>
  <si>
    <t>Number of loss events ≥ EUR 10,000</t>
  </si>
  <si>
    <t>Number of loss events ≥ EUR 20,000</t>
  </si>
  <si>
    <t>Total amount of losses ≥ EUR 20,000</t>
  </si>
  <si>
    <t>Sovereign or central bank debt securities, rated BBB- to BBB+</t>
  </si>
  <si>
    <t>BCBS FAQ 3(a)</t>
  </si>
  <si>
    <t>Connection with panel C</t>
  </si>
  <si>
    <t>Are third party fraud losses in credit area included in panel C?</t>
  </si>
  <si>
    <t>Are first party fraud losses in credit area included in panel C?</t>
  </si>
  <si>
    <t>Total amount; of which:</t>
  </si>
  <si>
    <t>Use operational risk data</t>
  </si>
  <si>
    <t>0.25yr</t>
  </si>
  <si>
    <t>0.5yr</t>
  </si>
  <si>
    <t>1yr</t>
  </si>
  <si>
    <t>2yr</t>
  </si>
  <si>
    <t>3yr</t>
  </si>
  <si>
    <t>5yr</t>
  </si>
  <si>
    <t>10yr</t>
  </si>
  <si>
    <t>15yr</t>
  </si>
  <si>
    <t>20yr</t>
  </si>
  <si>
    <t>30yr</t>
  </si>
  <si>
    <t>Bucket no</t>
  </si>
  <si>
    <t>1) Non-securitisations</t>
  </si>
  <si>
    <r>
      <t>S</t>
    </r>
    <r>
      <rPr>
        <b/>
        <vertAlign val="subscript"/>
        <sz val="10"/>
        <rFont val="Arial"/>
        <family val="2"/>
      </rPr>
      <t>k</t>
    </r>
    <r>
      <rPr>
        <b/>
        <vertAlign val="superscript"/>
        <sz val="10"/>
        <rFont val="Arial"/>
        <family val="2"/>
      </rPr>
      <t>(+)</t>
    </r>
  </si>
  <si>
    <r>
      <t>S</t>
    </r>
    <r>
      <rPr>
        <b/>
        <vertAlign val="subscript"/>
        <sz val="10"/>
        <rFont val="Arial"/>
        <family val="2"/>
      </rPr>
      <t>k</t>
    </r>
    <r>
      <rPr>
        <b/>
        <vertAlign val="superscript"/>
        <sz val="10"/>
        <rFont val="Arial"/>
        <family val="2"/>
      </rPr>
      <t>(-)</t>
    </r>
  </si>
  <si>
    <r>
      <t>CVR</t>
    </r>
    <r>
      <rPr>
        <b/>
        <vertAlign val="subscript"/>
        <sz val="10"/>
        <rFont val="Arial"/>
        <family val="2"/>
      </rPr>
      <t>k</t>
    </r>
  </si>
  <si>
    <r>
      <t>VR</t>
    </r>
    <r>
      <rPr>
        <b/>
        <vertAlign val="subscript"/>
        <sz val="10"/>
        <rFont val="Arial"/>
        <family val="2"/>
      </rPr>
      <t>k</t>
    </r>
    <r>
      <rPr>
        <b/>
        <vertAlign val="superscript"/>
        <sz val="10"/>
        <rFont val="Arial"/>
        <family val="2"/>
      </rPr>
      <t>(+)</t>
    </r>
  </si>
  <si>
    <r>
      <t>VR</t>
    </r>
    <r>
      <rPr>
        <b/>
        <vertAlign val="subscript"/>
        <sz val="10"/>
        <rFont val="Arial"/>
        <family val="2"/>
      </rPr>
      <t>k</t>
    </r>
    <r>
      <rPr>
        <b/>
        <vertAlign val="superscript"/>
        <sz val="10"/>
        <rFont val="Arial"/>
        <family val="2"/>
      </rPr>
      <t>(-)</t>
    </r>
  </si>
  <si>
    <r>
      <t>∑rho</t>
    </r>
    <r>
      <rPr>
        <b/>
        <vertAlign val="superscript"/>
        <sz val="10"/>
        <rFont val="Arial"/>
        <family val="2"/>
      </rPr>
      <t>+</t>
    </r>
  </si>
  <si>
    <r>
      <t>∑rho</t>
    </r>
    <r>
      <rPr>
        <b/>
        <vertAlign val="superscript"/>
        <sz val="10"/>
        <rFont val="Arial"/>
        <family val="2"/>
      </rPr>
      <t>-</t>
    </r>
  </si>
  <si>
    <t>maturity difference less than 6 months</t>
  </si>
  <si>
    <t>maturity difference 6 months to 1 year</t>
  </si>
  <si>
    <t>same location, same grade</t>
  </si>
  <si>
    <t>same location, different grade</t>
  </si>
  <si>
    <t>different location, same grade</t>
  </si>
  <si>
    <t>different location, different grade</t>
  </si>
  <si>
    <t>maturity difference more than 1 year</t>
  </si>
  <si>
    <t>Trading book QIS: Correlation trading portfolio</t>
  </si>
  <si>
    <t>A) Index tranches</t>
  </si>
  <si>
    <r>
      <t>Index tranche products</t>
    </r>
    <r>
      <rPr>
        <b/>
        <sz val="10"/>
        <rFont val="Arial"/>
        <family val="2"/>
      </rPr>
      <t xml:space="preserve"> (standard indices)</t>
    </r>
  </si>
  <si>
    <t>CDX North America IG</t>
  </si>
  <si>
    <t>Tranche</t>
  </si>
  <si>
    <t>Notional</t>
  </si>
  <si>
    <t>long</t>
  </si>
  <si>
    <t>short</t>
  </si>
  <si>
    <t>iTraxx Europe IG</t>
  </si>
  <si>
    <t>North America</t>
  </si>
  <si>
    <t>Europe</t>
  </si>
  <si>
    <t>Other regions IG</t>
  </si>
  <si>
    <t>Loan indices</t>
  </si>
  <si>
    <t>Loans</t>
  </si>
  <si>
    <t>All other indices</t>
  </si>
  <si>
    <t>B) Non-tranched index products</t>
  </si>
  <si>
    <t>Index positions</t>
  </si>
  <si>
    <t>Index option positions</t>
  </si>
  <si>
    <t>CDX NA IG</t>
  </si>
  <si>
    <t>Other indices</t>
  </si>
  <si>
    <t>C) Single name positions in CTP</t>
  </si>
  <si>
    <t>1) North America</t>
  </si>
  <si>
    <t>2) Europe</t>
  </si>
  <si>
    <t>3) Other regions</t>
  </si>
  <si>
    <t>C) Quantitative information about deviations from the presumption list</t>
  </si>
  <si>
    <t>Market value (assigned to trading book)</t>
  </si>
  <si>
    <t>Market value (assigned to banking book)</t>
  </si>
  <si>
    <t>net</t>
  </si>
  <si>
    <t>positive</t>
  </si>
  <si>
    <t>negative</t>
  </si>
  <si>
    <t>Instruments according to…</t>
  </si>
  <si>
    <t>Paragraph 11 a</t>
  </si>
  <si>
    <t>Paragraph 11 b</t>
  </si>
  <si>
    <t>Paragraph 11 d</t>
  </si>
  <si>
    <t>Paragraph 11 e</t>
  </si>
  <si>
    <t>Paragraph 11 f</t>
  </si>
  <si>
    <t>Paragraph 11 g</t>
  </si>
  <si>
    <t>D) Quantitative information about CVA interest rate hedges included in the trading book</t>
  </si>
  <si>
    <t>CVA IRR heges removed from market risk charges</t>
  </si>
  <si>
    <t>Estimated RWA impact</t>
  </si>
  <si>
    <t>Maximum loss (in this year); due to:</t>
  </si>
  <si>
    <t>Advanced Measurement Approach (AMA); of which:</t>
  </si>
  <si>
    <t>New proposed check</t>
  </si>
  <si>
    <t>F) Capital requirements</t>
  </si>
  <si>
    <t>G) Capital calculation (only AMA banks)</t>
  </si>
  <si>
    <t>AMA RWA reduction (at the regulatory percentile of 99.9%) due to:</t>
  </si>
  <si>
    <t>E) Gross income and operational risk losses by business lines</t>
  </si>
  <si>
    <t>Business line</t>
  </si>
  <si>
    <t>Corporate finance</t>
  </si>
  <si>
    <t>Gross Income</t>
  </si>
  <si>
    <t>Trading and sales</t>
  </si>
  <si>
    <t>Retail banking</t>
  </si>
  <si>
    <t>Commercial banking</t>
  </si>
  <si>
    <t>Payment and settlement</t>
  </si>
  <si>
    <t>Agency services</t>
  </si>
  <si>
    <t>Asset management</t>
  </si>
  <si>
    <t>Retail brokerage</t>
  </si>
  <si>
    <t>A) Current market risk capital charge</t>
  </si>
  <si>
    <t>3) Hypothetical P&amp;L at desk level</t>
  </si>
  <si>
    <t>4) Actual P&amp;L at desk level</t>
  </si>
  <si>
    <t>B) Theoretical P&amp;L at desk level</t>
  </si>
  <si>
    <t>Inflation</t>
  </si>
  <si>
    <t>a) Correlation trading portfolio</t>
  </si>
  <si>
    <t>b) Non-correlation trading portfolio</t>
  </si>
  <si>
    <t>Bespoke products</t>
  </si>
  <si>
    <t>Use trading book deafult CTP data</t>
  </si>
  <si>
    <t>Use trading book IMA risk measures data</t>
  </si>
  <si>
    <t>Use trading book IMA backtesting/P&amp;L data</t>
  </si>
  <si>
    <t>B) Requirements</t>
  </si>
  <si>
    <t>A2</t>
  </si>
  <si>
    <t>B3</t>
  </si>
  <si>
    <t>B4</t>
  </si>
  <si>
    <t>C) Leverage ratio worksheet</t>
  </si>
  <si>
    <t>D) LCR worksheet</t>
  </si>
  <si>
    <t>E) NSFR worksheet</t>
  </si>
  <si>
    <t>F) Trading book</t>
  </si>
  <si>
    <t>G) Operational risk</t>
  </si>
  <si>
    <t>1) Boundary TP</t>
  </si>
  <si>
    <t>Check: sum from rated and unrated exposures should not be higher than total</t>
  </si>
  <si>
    <r>
      <t>Proportion of single-name underlying</t>
    </r>
    <r>
      <rPr>
        <b/>
        <sz val="10"/>
        <color rgb="FFAA322F"/>
        <rFont val="Arial"/>
        <family val="2"/>
      </rPr>
      <t xml:space="preserve"> 
[%]</t>
    </r>
  </si>
  <si>
    <r>
      <t xml:space="preserve">Look-back period 
</t>
    </r>
    <r>
      <rPr>
        <b/>
        <sz val="10"/>
        <color rgb="FFAA322F"/>
        <rFont val="Arial"/>
        <family val="2"/>
      </rPr>
      <t>[in days]</t>
    </r>
  </si>
  <si>
    <t>E) Drop-down menus</t>
  </si>
  <si>
    <t>2) TB IMA general</t>
  </si>
  <si>
    <t>RWA for operational risk (after application of the regulatory add-ons and before application of the transitional floors)</t>
  </si>
  <si>
    <t>Regulatory add-ons</t>
  </si>
  <si>
    <t>Total RWA (after application of the regulatory add-ons and before application of the transitional floors)</t>
  </si>
  <si>
    <t>AMA RWA (before application of the regulatory add-ons and before recognition of expected losses, diversification, insurance and other risk mitigants)</t>
  </si>
  <si>
    <t>Data validation only</t>
  </si>
  <si>
    <t>Exposure value when applying the Original Exposure Method</t>
  </si>
  <si>
    <t>Check: notional ≥ OEM value</t>
  </si>
  <si>
    <t>H</t>
  </si>
  <si>
    <t xml:space="preserve">The Basel III implementation monitoring workbook available for download on the Committee’s website is for information purposes only. While the structure of the workbooks used for this data collection exercise is the same in all participating countries, it is important that banks only use the workbook obtained from their respective national supervisory agency to submit their returns. Only these workbooks are adjusted to reflect the particularities of the regulatory frameworks in participating countries. </t>
  </si>
  <si>
    <t>S</t>
  </si>
  <si>
    <r>
      <t xml:space="preserve">H) EU-specific </t>
    </r>
    <r>
      <rPr>
        <b/>
        <sz val="12"/>
        <color rgb="FFAA322F"/>
        <rFont val="Arial"/>
        <family val="2"/>
      </rPr>
      <t>(only to be completed by banks in the European Union)</t>
    </r>
  </si>
  <si>
    <t>S1</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</si>
</sst>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2" formatCode="_-&quot;Sfr.&quot;* #,##0_-;\-&quot;Sfr.&quot;* #,##0_-;_-&quot;Sfr.&quot;* &quot;-&quot;_-;_-@_-"/>
    <numFmt numFmtId="41" formatCode="_-* #,##0_-;\-* #,##0_-;_-* &quot;-&quot;_-;_-@_-"/>
    <numFmt numFmtId="43" formatCode="_-* #,##0.00_-;\-* #,##0.00_-;_-* &quot;-&quot;??_-;_-@_-"/>
    <numFmt numFmtId="164" formatCode="0.0"/>
    <numFmt numFmtId="165" formatCode="0.00000"/>
    <numFmt numFmtId="166" formatCode="0.0000"/>
    <numFmt numFmtId="167" formatCode="0.0000%"/>
    <numFmt numFmtId="168" formatCode="yyyy\-mm\-dd;@"/>
    <numFmt numFmtId="169" formatCode="[&gt;0]General"/>
    <numFmt numFmtId="170" formatCode="&quot;Yes&quot;;[Red]&quot;No&quot;"/>
    <numFmt numFmtId="171" formatCode="0.0%"/>
  </numFmts>
  <fonts count="48" x14ac:knownFonts="1">
    <font>
      <sz val="10"/>
      <name val="Arial"/>
      <family val="2"/>
    </font>
    <font>
      <sz val="11"/>
      <color theme="1"/>
      <name val="Arial"/>
      <family val="2"/>
    </font>
    <font>
      <sz val="10"/>
      <name val="Arial"/>
      <family val="2"/>
    </font>
    <font>
      <b/>
      <sz val="12"/>
      <name val="Arial"/>
      <family val="2"/>
    </font>
    <font>
      <b/>
      <sz val="10"/>
      <name val="Arial"/>
      <family val="2"/>
    </font>
    <font>
      <sz val="10"/>
      <color indexed="10"/>
      <name val="Arial"/>
      <family val="2"/>
    </font>
    <font>
      <b/>
      <sz val="20"/>
      <name val="Arial"/>
      <family val="2"/>
    </font>
    <font>
      <sz val="10"/>
      <color indexed="9"/>
      <name val="Arial"/>
      <family val="2"/>
    </font>
    <font>
      <sz val="8"/>
      <name val="Arial"/>
      <family val="2"/>
    </font>
    <font>
      <sz val="10"/>
      <name val="Arial"/>
      <family val="2"/>
    </font>
    <font>
      <sz val="14"/>
      <name val="Arial"/>
      <family val="2"/>
    </font>
    <font>
      <sz val="10"/>
      <color indexed="8"/>
      <name val="Arial"/>
      <family val="2"/>
    </font>
    <font>
      <b/>
      <sz val="10"/>
      <color indexed="8"/>
      <name val="Arial"/>
      <family val="2"/>
    </font>
    <font>
      <b/>
      <i/>
      <u/>
      <sz val="10"/>
      <color indexed="8"/>
      <name val="Arial"/>
      <family val="2"/>
    </font>
    <font>
      <b/>
      <i/>
      <sz val="10"/>
      <color indexed="8"/>
      <name val="Arial"/>
      <family val="2"/>
    </font>
    <font>
      <b/>
      <sz val="12"/>
      <color indexed="8"/>
      <name val="Arial"/>
      <family val="2"/>
    </font>
    <font>
      <sz val="10"/>
      <name val="Arial"/>
      <family val="2"/>
    </font>
    <font>
      <sz val="10"/>
      <name val="MS Sans Serif"/>
      <family val="2"/>
    </font>
    <font>
      <b/>
      <i/>
      <sz val="10"/>
      <name val="Arial"/>
      <family val="2"/>
    </font>
    <font>
      <b/>
      <sz val="18"/>
      <color theme="3"/>
      <name val="Cambria"/>
      <family val="2"/>
      <scheme val="major"/>
    </font>
    <font>
      <b/>
      <sz val="11"/>
      <color theme="3"/>
      <name val="Arial"/>
      <family val="2"/>
    </font>
    <font>
      <sz val="11"/>
      <color rgb="FF006100"/>
      <name val="Arial"/>
      <family val="2"/>
    </font>
    <font>
      <sz val="11"/>
      <color rgb="FF9C0006"/>
      <name val="Arial"/>
      <family val="2"/>
    </font>
    <font>
      <sz val="11"/>
      <color rgb="FF9C65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i/>
      <sz val="11"/>
      <color rgb="FF7F7F7F"/>
      <name val="Arial"/>
      <family val="2"/>
    </font>
    <font>
      <b/>
      <sz val="11"/>
      <color theme="1"/>
      <name val="Arial"/>
      <family val="2"/>
    </font>
    <font>
      <sz val="12"/>
      <name val="Arial"/>
      <family val="2"/>
    </font>
    <font>
      <sz val="10"/>
      <color rgb="FF008000"/>
      <name val="Arial"/>
      <family val="2"/>
    </font>
    <font>
      <b/>
      <sz val="10"/>
      <color rgb="FFAA322F"/>
      <name val="Arial"/>
      <family val="2"/>
    </font>
    <font>
      <b/>
      <sz val="11"/>
      <color rgb="FFAA322F"/>
      <name val="Arial"/>
      <family val="2"/>
    </font>
    <font>
      <sz val="10"/>
      <color rgb="FFAA322F"/>
      <name val="Arial"/>
      <family val="2"/>
    </font>
    <font>
      <sz val="11"/>
      <color theme="0"/>
      <name val="Arial"/>
      <family val="2"/>
    </font>
    <font>
      <b/>
      <sz val="12"/>
      <color rgb="FFAA322F"/>
      <name val="Arial"/>
      <family val="2"/>
    </font>
    <font>
      <b/>
      <sz val="16"/>
      <name val="Arial"/>
      <family val="2"/>
    </font>
    <font>
      <vertAlign val="subscript"/>
      <sz val="10"/>
      <name val="Arial"/>
      <family val="2"/>
    </font>
    <font>
      <b/>
      <vertAlign val="subscript"/>
      <sz val="10"/>
      <name val="Arial"/>
      <family val="2"/>
    </font>
    <font>
      <b/>
      <sz val="12"/>
      <color rgb="FFFF0000"/>
      <name val="Arial"/>
      <family val="2"/>
    </font>
    <font>
      <b/>
      <sz val="20"/>
      <color rgb="FFAA322F"/>
      <name val="Arial"/>
      <family val="2"/>
    </font>
    <font>
      <vertAlign val="superscript"/>
      <sz val="10"/>
      <name val="Arial"/>
      <family val="2"/>
    </font>
    <font>
      <b/>
      <sz val="9"/>
      <name val="Arial"/>
      <family val="2"/>
    </font>
    <font>
      <b/>
      <vertAlign val="superscript"/>
      <sz val="9"/>
      <name val="Arial"/>
      <family val="2"/>
    </font>
    <font>
      <b/>
      <vertAlign val="superscript"/>
      <sz val="10"/>
      <name val="Arial"/>
      <family val="2"/>
    </font>
    <font>
      <sz val="10"/>
      <color theme="0"/>
      <name val="Arial"/>
      <family val="2"/>
    </font>
  </fonts>
  <fills count="5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7"/>
        <bgColor indexed="64"/>
      </patternFill>
    </fill>
    <fill>
      <patternFill patternType="mediumGray">
        <fgColor indexed="45"/>
        <bgColor indexed="9"/>
      </patternFill>
    </fill>
    <fill>
      <patternFill patternType="lightGray">
        <fgColor indexed="45"/>
        <bgColor indexed="9"/>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D5D6D2"/>
        <bgColor indexed="64"/>
      </patternFill>
    </fill>
    <fill>
      <patternFill patternType="solid">
        <fgColor theme="6" tint="0.59996337778862885"/>
        <bgColor indexed="64"/>
      </patternFill>
    </fill>
    <fill>
      <patternFill patternType="solid">
        <fgColor theme="5" tint="0.39994506668294322"/>
        <bgColor indexed="64"/>
      </patternFill>
    </fill>
    <fill>
      <patternFill patternType="solid">
        <fgColor theme="5" tint="0.39994506668294322"/>
        <bgColor indexed="4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7"/>
        <bgColor indexed="64"/>
      </patternFill>
    </fill>
    <fill>
      <patternFill patternType="solid">
        <fgColor rgb="FFFFEC72"/>
        <bgColor indexed="64"/>
      </patternFill>
    </fill>
    <fill>
      <patternFill patternType="solid">
        <fgColor rgb="FFFFEC72"/>
        <bgColor indexed="45"/>
      </patternFill>
    </fill>
    <fill>
      <patternFill patternType="solid">
        <fgColor rgb="FFEAA121"/>
        <bgColor indexed="64"/>
      </patternFill>
    </fill>
    <fill>
      <patternFill patternType="solid">
        <fgColor rgb="FFD8E4BC"/>
        <bgColor indexed="64"/>
      </patternFill>
    </fill>
    <fill>
      <patternFill patternType="solid">
        <fgColor rgb="FFFFFF00"/>
        <bgColor indexed="64"/>
      </patternFill>
    </fill>
    <fill>
      <patternFill patternType="solid">
        <fgColor rgb="FFF6E082"/>
        <bgColor indexed="64"/>
      </patternFill>
    </fill>
    <fill>
      <patternFill patternType="solid">
        <fgColor rgb="FFF6E082"/>
        <bgColor indexed="45"/>
      </patternFill>
    </fill>
    <fill>
      <patternFill patternType="solid">
        <fgColor rgb="FFEEAF00"/>
        <bgColor indexed="64"/>
      </patternFill>
    </fill>
    <fill>
      <patternFill patternType="solid">
        <fgColor indexed="45"/>
        <bgColor indexed="64"/>
      </patternFill>
    </fill>
    <fill>
      <patternFill patternType="solid">
        <fgColor indexed="45"/>
        <bgColor indexed="45"/>
      </patternFill>
    </fill>
    <fill>
      <patternFill patternType="solid">
        <fgColor indexed="13"/>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64"/>
      </left>
      <right style="thin">
        <color rgb="FFBCBDBC"/>
      </right>
      <top style="thin">
        <color indexed="64"/>
      </top>
      <bottom style="thin">
        <color indexed="64"/>
      </bottom>
      <diagonal/>
    </border>
    <border>
      <left style="thin">
        <color rgb="FFBCBDBC"/>
      </left>
      <right style="thin">
        <color rgb="FFBCBDBC"/>
      </right>
      <top style="thin">
        <color indexed="64"/>
      </top>
      <bottom style="thin">
        <color indexed="64"/>
      </bottom>
      <diagonal/>
    </border>
    <border>
      <left style="thin">
        <color rgb="FFBCBDBC"/>
      </left>
      <right style="thin">
        <color indexed="64"/>
      </right>
      <top style="thin">
        <color indexed="64"/>
      </top>
      <bottom style="thin">
        <color indexed="64"/>
      </bottom>
      <diagonal/>
    </border>
    <border>
      <left style="thin">
        <color indexed="64"/>
      </left>
      <right style="thin">
        <color rgb="FFBCBDBC"/>
      </right>
      <top style="thin">
        <color indexed="64"/>
      </top>
      <bottom style="thin">
        <color rgb="FFBCBDBC"/>
      </bottom>
      <diagonal/>
    </border>
    <border>
      <left style="thin">
        <color rgb="FFBCBDBC"/>
      </left>
      <right style="thin">
        <color rgb="FFBCBDBC"/>
      </right>
      <top style="thin">
        <color indexed="64"/>
      </top>
      <bottom style="thin">
        <color rgb="FFBCBDBC"/>
      </bottom>
      <diagonal/>
    </border>
    <border>
      <left style="thin">
        <color indexed="64"/>
      </left>
      <right style="thin">
        <color rgb="FFBCBDBC"/>
      </right>
      <top style="thin">
        <color rgb="FFBCBDBC"/>
      </top>
      <bottom style="thin">
        <color rgb="FFBCBDBC"/>
      </bottom>
      <diagonal/>
    </border>
    <border>
      <left style="thin">
        <color rgb="FFBCBDBC"/>
      </left>
      <right style="thin">
        <color rgb="FFBCBDBC"/>
      </right>
      <top style="thin">
        <color rgb="FFBCBDBC"/>
      </top>
      <bottom style="thin">
        <color rgb="FFBCBDBC"/>
      </bottom>
      <diagonal/>
    </border>
    <border>
      <left style="thin">
        <color indexed="64"/>
      </left>
      <right style="thin">
        <color rgb="FFBCBDBC"/>
      </right>
      <top style="thin">
        <color rgb="FFBCBDBC"/>
      </top>
      <bottom style="thin">
        <color indexed="64"/>
      </bottom>
      <diagonal/>
    </border>
    <border>
      <left style="thin">
        <color rgb="FFBCBDBC"/>
      </left>
      <right style="thin">
        <color rgb="FFBCBDBC"/>
      </right>
      <top style="thin">
        <color rgb="FFBCBDBC"/>
      </top>
      <bottom style="thin">
        <color indexed="64"/>
      </bottom>
      <diagonal/>
    </border>
    <border>
      <left style="thin">
        <color rgb="FFBCBDBC"/>
      </left>
      <right style="thin">
        <color rgb="FFBCBDBC"/>
      </right>
      <top/>
      <bottom style="thin">
        <color rgb="FFBCBDBC"/>
      </bottom>
      <diagonal/>
    </border>
    <border>
      <left/>
      <right style="thin">
        <color rgb="FFBCBDBC"/>
      </right>
      <top style="thin">
        <color indexed="64"/>
      </top>
      <bottom style="thin">
        <color indexed="64"/>
      </bottom>
      <diagonal/>
    </border>
    <border>
      <left/>
      <right style="thin">
        <color rgb="FFBCBDBC"/>
      </right>
      <top style="thin">
        <color indexed="64"/>
      </top>
      <bottom style="thin">
        <color rgb="FFBCBDBC"/>
      </bottom>
      <diagonal/>
    </border>
    <border>
      <left/>
      <right style="thin">
        <color rgb="FFBCBDBC"/>
      </right>
      <top style="thin">
        <color rgb="FFBCBDBC"/>
      </top>
      <bottom style="thin">
        <color rgb="FFBCBDBC"/>
      </bottom>
      <diagonal/>
    </border>
    <border>
      <left/>
      <right style="thin">
        <color rgb="FFBCBDBC"/>
      </right>
      <top style="thin">
        <color rgb="FFBCBDBC"/>
      </top>
      <bottom style="thin">
        <color indexed="64"/>
      </bottom>
      <diagonal/>
    </border>
    <border>
      <left/>
      <right/>
      <top style="thin">
        <color indexed="64"/>
      </top>
      <bottom style="thin">
        <color rgb="FFBCBDBC"/>
      </bottom>
      <diagonal/>
    </border>
    <border>
      <left/>
      <right/>
      <top style="thin">
        <color rgb="FFBCBDBC"/>
      </top>
      <bottom style="thin">
        <color rgb="FFBCBDBC"/>
      </bottom>
      <diagonal/>
    </border>
    <border>
      <left/>
      <right/>
      <top style="thin">
        <color rgb="FFBCBDBC"/>
      </top>
      <bottom style="thin">
        <color indexed="64"/>
      </bottom>
      <diagonal/>
    </border>
    <border>
      <left style="thin">
        <color rgb="FFBCBDBC"/>
      </left>
      <right/>
      <top style="thin">
        <color indexed="64"/>
      </top>
      <bottom style="thin">
        <color indexed="64"/>
      </bottom>
      <diagonal/>
    </border>
    <border>
      <left style="thin">
        <color rgb="FFBCBDBC"/>
      </left>
      <right/>
      <top style="thin">
        <color indexed="64"/>
      </top>
      <bottom style="thin">
        <color rgb="FFBCBDBC"/>
      </bottom>
      <diagonal/>
    </border>
    <border>
      <left style="thin">
        <color rgb="FFBCBDBC"/>
      </left>
      <right/>
      <top style="thin">
        <color rgb="FFBCBDBC"/>
      </top>
      <bottom style="thin">
        <color indexed="64"/>
      </bottom>
      <diagonal/>
    </border>
    <border>
      <left/>
      <right style="thin">
        <color rgb="FFBCBDBC"/>
      </right>
      <top style="thin">
        <color indexed="64"/>
      </top>
      <bottom/>
      <diagonal/>
    </border>
    <border>
      <left/>
      <right style="thin">
        <color rgb="FFBCBDBC"/>
      </right>
      <top/>
      <bottom style="thin">
        <color indexed="64"/>
      </bottom>
      <diagonal/>
    </border>
    <border>
      <left style="thin">
        <color rgb="FFBCBDBC"/>
      </left>
      <right/>
      <top style="thin">
        <color rgb="FFBCBDBC"/>
      </top>
      <bottom style="thin">
        <color rgb="FFBCBDBC"/>
      </bottom>
      <diagonal/>
    </border>
    <border>
      <left style="thin">
        <color rgb="FFBCBDBC"/>
      </left>
      <right/>
      <top/>
      <bottom style="thin">
        <color rgb="FFBCBDBC"/>
      </bottom>
      <diagonal/>
    </border>
    <border>
      <left/>
      <right style="thin">
        <color rgb="FFBCBDBC"/>
      </right>
      <top/>
      <bottom style="thin">
        <color rgb="FFBCBDBC"/>
      </bottom>
      <diagonal/>
    </border>
    <border>
      <left/>
      <right/>
      <top style="thin">
        <color rgb="FFBCBDBC"/>
      </top>
      <bottom/>
      <diagonal/>
    </border>
    <border>
      <left style="thin">
        <color rgb="FFBCBDBC"/>
      </left>
      <right style="thin">
        <color rgb="FFBCBDBC"/>
      </right>
      <top style="thin">
        <color rgb="FFBCBDBC"/>
      </top>
      <bottom/>
      <diagonal/>
    </border>
    <border>
      <left/>
      <right style="thin">
        <color rgb="FFBCBDBC"/>
      </right>
      <top style="thin">
        <color rgb="FFBCBDBC"/>
      </top>
      <bottom/>
      <diagonal/>
    </border>
    <border>
      <left style="thin">
        <color rgb="FFBCBDBC"/>
      </left>
      <right/>
      <top style="thin">
        <color rgb="FFBCBDBC"/>
      </top>
      <bottom/>
      <diagonal/>
    </border>
    <border>
      <left style="thin">
        <color rgb="FFBCBDBC"/>
      </left>
      <right style="thin">
        <color rgb="FFBCBDBC"/>
      </right>
      <top style="thin">
        <color indexed="64"/>
      </top>
      <bottom/>
      <diagonal/>
    </border>
    <border>
      <left style="thin">
        <color rgb="FFBCBDBC"/>
      </left>
      <right style="thin">
        <color rgb="FFBCBDBC"/>
      </right>
      <top/>
      <bottom style="thin">
        <color indexed="64"/>
      </bottom>
      <diagonal/>
    </border>
    <border>
      <left style="thin">
        <color rgb="FFBCBDBC"/>
      </left>
      <right/>
      <top style="thin">
        <color indexed="64"/>
      </top>
      <bottom/>
      <diagonal/>
    </border>
    <border>
      <left style="thin">
        <color rgb="FFBCBDBC"/>
      </left>
      <right/>
      <top/>
      <bottom style="thin">
        <color indexed="64"/>
      </bottom>
      <diagonal/>
    </border>
    <border>
      <left style="thin">
        <color rgb="FFBCBDBC"/>
      </left>
      <right style="thin">
        <color rgb="FFBCBDBC"/>
      </right>
      <top/>
      <bottom/>
      <diagonal/>
    </border>
    <border>
      <left style="thin">
        <color rgb="FFBCBDBC"/>
      </left>
      <right/>
      <top/>
      <bottom/>
      <diagonal/>
    </border>
    <border>
      <left/>
      <right/>
      <top/>
      <bottom style="thin">
        <color rgb="FFBCBDBC"/>
      </bottom>
      <diagonal/>
    </border>
    <border>
      <left style="thin">
        <color theme="0" tint="-0.24994659260841701"/>
      </left>
      <right style="thin">
        <color rgb="FFBCBDBC"/>
      </right>
      <top style="thin">
        <color indexed="64"/>
      </top>
      <bottom style="thin">
        <color rgb="FFBCBDBC"/>
      </bottom>
      <diagonal/>
    </border>
    <border>
      <left style="thin">
        <color theme="0" tint="-0.24994659260841701"/>
      </left>
      <right style="thin">
        <color rgb="FFBCBDBC"/>
      </right>
      <top style="thin">
        <color rgb="FFBCBDBC"/>
      </top>
      <bottom style="thin">
        <color rgb="FFBCBDBC"/>
      </bottom>
      <diagonal/>
    </border>
    <border>
      <left style="thin">
        <color theme="0" tint="-0.24994659260841701"/>
      </left>
      <right style="thin">
        <color rgb="FFBCBDBC"/>
      </right>
      <top style="thin">
        <color rgb="FFBCBDBC"/>
      </top>
      <bottom/>
      <diagonal/>
    </border>
    <border>
      <left style="thin">
        <color theme="0" tint="-0.24994659260841701"/>
      </left>
      <right style="thin">
        <color rgb="FFBCBDBC"/>
      </right>
      <top style="thin">
        <color rgb="FFBCBDBC"/>
      </top>
      <bottom style="thin">
        <color indexed="64"/>
      </bottom>
      <diagonal/>
    </border>
    <border>
      <left/>
      <right style="thin">
        <color rgb="FFBCBDBC"/>
      </right>
      <top/>
      <bottom/>
      <diagonal/>
    </border>
    <border>
      <left style="thin">
        <color rgb="FFBCBDBC"/>
      </left>
      <right style="thin">
        <color indexed="64"/>
      </right>
      <top style="thin">
        <color indexed="64"/>
      </top>
      <bottom/>
      <diagonal/>
    </border>
    <border>
      <left style="thin">
        <color rgb="FFBCBDBC"/>
      </left>
      <right style="thin">
        <color indexed="64"/>
      </right>
      <top style="thin">
        <color indexed="64"/>
      </top>
      <bottom style="thin">
        <color rgb="FFBCBDBC"/>
      </bottom>
      <diagonal/>
    </border>
    <border>
      <left style="thin">
        <color rgb="FFBCBDBC"/>
      </left>
      <right style="thin">
        <color indexed="64"/>
      </right>
      <top style="thin">
        <color rgb="FFBCBDBC"/>
      </top>
      <bottom style="thin">
        <color rgb="FFBCBDBC"/>
      </bottom>
      <diagonal/>
    </border>
    <border>
      <left style="thin">
        <color rgb="FFBCBDBC"/>
      </left>
      <right style="thin">
        <color indexed="64"/>
      </right>
      <top style="thin">
        <color rgb="FFBCBDBC"/>
      </top>
      <bottom style="thin">
        <color indexed="64"/>
      </bottom>
      <diagonal/>
    </border>
    <border>
      <left style="thin">
        <color indexed="64"/>
      </left>
      <right style="thin">
        <color rgb="FFBCBDBC"/>
      </right>
      <top style="thin">
        <color indexed="64"/>
      </top>
      <bottom/>
      <diagonal/>
    </border>
    <border>
      <left style="thin">
        <color auto="1"/>
      </left>
      <right style="thin">
        <color rgb="FFBCBDBC"/>
      </right>
      <top/>
      <bottom style="thin">
        <color indexed="64"/>
      </bottom>
      <diagonal/>
    </border>
    <border>
      <left style="thin">
        <color rgb="FFBCBDBC"/>
      </left>
      <right style="thin">
        <color auto="1"/>
      </right>
      <top/>
      <bottom style="thin">
        <color indexed="64"/>
      </bottom>
      <diagonal/>
    </border>
    <border>
      <left style="thin">
        <color indexed="64"/>
      </left>
      <right style="thin">
        <color rgb="FFBCBDBC"/>
      </right>
      <top style="thin">
        <color rgb="FFBCBDBC"/>
      </top>
      <bottom/>
      <diagonal/>
    </border>
    <border>
      <left style="thin">
        <color rgb="FFBCBDBC"/>
      </left>
      <right style="thin">
        <color indexed="64"/>
      </right>
      <top style="thin">
        <color rgb="FFBCBDBC"/>
      </top>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top style="thin">
        <color indexed="64"/>
      </top>
      <bottom style="thin">
        <color indexed="64"/>
      </bottom>
      <diagonal/>
    </border>
    <border>
      <left style="thin">
        <color indexed="64"/>
      </left>
      <right style="thin">
        <color theme="0" tint="-0.24994659260841701"/>
      </right>
      <top style="thin">
        <color indexed="64"/>
      </top>
      <bottom style="thin">
        <color indexed="64"/>
      </bottom>
      <diagonal/>
    </border>
  </borders>
  <cellStyleXfs count="140">
    <xf numFmtId="0" fontId="0" fillId="0" borderId="0">
      <alignment vertical="center"/>
    </xf>
    <xf numFmtId="3" fontId="35" fillId="2" borderId="1" applyFill="0" applyProtection="0">
      <alignment horizontal="right" vertical="center"/>
    </xf>
    <xf numFmtId="0" fontId="2" fillId="2" borderId="1">
      <alignment horizontal="center" vertical="center"/>
    </xf>
    <xf numFmtId="0" fontId="2" fillId="14" borderId="1" applyNumberFormat="0" applyFont="0" applyBorder="0">
      <alignment horizontal="center" vertical="center"/>
    </xf>
    <xf numFmtId="0" fontId="6" fillId="2" borderId="2" applyNumberFormat="0" applyFill="0" applyBorder="0" applyAlignment="0" applyProtection="0">
      <alignment horizontal="left"/>
    </xf>
    <xf numFmtId="0" fontId="4" fillId="2" borderId="3" applyFont="0" applyBorder="0">
      <alignment horizontal="center" wrapText="1"/>
    </xf>
    <xf numFmtId="3" fontId="2" fillId="45" borderId="25" applyFont="0" applyProtection="0">
      <alignment horizontal="right" vertical="center"/>
    </xf>
    <xf numFmtId="10" fontId="2" fillId="45" borderId="25" applyFont="0" applyProtection="0">
      <alignment horizontal="right" vertical="center"/>
    </xf>
    <xf numFmtId="9" fontId="2" fillId="45" borderId="25" applyFont="0" applyProtection="0">
      <alignment horizontal="right" vertical="center"/>
    </xf>
    <xf numFmtId="0" fontId="2" fillId="45" borderId="25" applyNumberFormat="0" applyFont="0" applyProtection="0">
      <alignment horizontal="left" vertical="center"/>
    </xf>
    <xf numFmtId="168" fontId="2" fillId="43" borderId="25" applyFont="0">
      <alignment vertical="center"/>
      <protection locked="0"/>
    </xf>
    <xf numFmtId="3" fontId="2" fillId="43" borderId="25" applyFont="0">
      <alignment horizontal="right" vertical="center"/>
      <protection locked="0"/>
    </xf>
    <xf numFmtId="164" fontId="2" fillId="43" borderId="25" applyFont="0">
      <alignment horizontal="right" vertical="center"/>
      <protection locked="0"/>
    </xf>
    <xf numFmtId="166" fontId="2" fillId="44" borderId="25" applyFont="0">
      <alignment vertical="center"/>
      <protection locked="0"/>
    </xf>
    <xf numFmtId="10" fontId="2" fillId="43" borderId="25" applyFont="0">
      <alignment horizontal="right" vertical="center"/>
      <protection locked="0"/>
    </xf>
    <xf numFmtId="9" fontId="2" fillId="43" borderId="25" applyFont="0">
      <alignment horizontal="right" vertical="center"/>
      <protection locked="0"/>
    </xf>
    <xf numFmtId="167" fontId="2" fillId="43" borderId="25" applyFont="0">
      <alignment horizontal="right" vertical="center"/>
      <protection locked="0"/>
    </xf>
    <xf numFmtId="171" fontId="2" fillId="43" borderId="25" applyFont="0">
      <alignment horizontal="right" vertical="center"/>
      <protection locked="0"/>
    </xf>
    <xf numFmtId="0" fontId="2" fillId="43" borderId="25" applyFont="0">
      <alignment horizontal="center" vertical="center" wrapText="1"/>
      <protection locked="0"/>
    </xf>
    <xf numFmtId="49" fontId="2" fillId="43" borderId="25" applyFont="0">
      <alignment vertical="center"/>
      <protection locked="0"/>
    </xf>
    <xf numFmtId="3" fontId="2" fillId="15" borderId="25" applyFont="0">
      <alignment horizontal="right" vertical="center"/>
      <protection locked="0"/>
    </xf>
    <xf numFmtId="164" fontId="2" fillId="15" borderId="25" applyFont="0">
      <alignment horizontal="right" vertical="center"/>
      <protection locked="0"/>
    </xf>
    <xf numFmtId="10" fontId="2" fillId="15" borderId="25" applyFont="0">
      <alignment horizontal="right" vertical="center"/>
      <protection locked="0"/>
    </xf>
    <xf numFmtId="9" fontId="2" fillId="15" borderId="25" applyFont="0">
      <alignment horizontal="right" vertical="center"/>
      <protection locked="0"/>
    </xf>
    <xf numFmtId="167" fontId="2" fillId="15" borderId="25" applyFont="0">
      <alignment horizontal="right" vertical="center"/>
      <protection locked="0"/>
    </xf>
    <xf numFmtId="171" fontId="2" fillId="15" borderId="25" applyFont="0">
      <alignment horizontal="right" vertical="center"/>
      <protection locked="0"/>
    </xf>
    <xf numFmtId="0" fontId="2" fillId="15" borderId="25" applyFont="0">
      <alignment horizontal="center" vertical="center" wrapText="1"/>
      <protection locked="0"/>
    </xf>
    <xf numFmtId="0" fontId="2" fillId="15" borderId="25" applyNumberFormat="0" applyFont="0">
      <alignment horizontal="center" vertical="center" wrapText="1"/>
      <protection locked="0"/>
    </xf>
    <xf numFmtId="3" fontId="2" fillId="4" borderId="1" applyFont="0">
      <alignment horizontal="right" vertical="center"/>
      <protection locked="0"/>
    </xf>
    <xf numFmtId="170" fontId="2" fillId="2" borderId="1" applyFont="0">
      <alignment horizontal="center" vertical="center"/>
    </xf>
    <xf numFmtId="3" fontId="2" fillId="2" borderId="1" applyFont="0">
      <alignment horizontal="right" vertical="center"/>
    </xf>
    <xf numFmtId="165" fontId="2" fillId="2" borderId="1" applyFont="0">
      <alignment horizontal="right" vertical="center"/>
    </xf>
    <xf numFmtId="164" fontId="2" fillId="2" borderId="1" applyFont="0">
      <alignment horizontal="right" vertical="center"/>
    </xf>
    <xf numFmtId="10" fontId="2" fillId="2" borderId="1" applyFont="0">
      <alignment horizontal="right" vertical="center"/>
    </xf>
    <xf numFmtId="9" fontId="2" fillId="2" borderId="1" applyFont="0">
      <alignment horizontal="right" vertical="center"/>
    </xf>
    <xf numFmtId="169" fontId="2" fillId="2" borderId="1" applyFont="0">
      <alignment horizontal="center" vertical="center" wrapText="1"/>
    </xf>
    <xf numFmtId="168" fontId="2" fillId="5" borderId="1" applyFont="0">
      <alignment vertical="center"/>
    </xf>
    <xf numFmtId="1" fontId="2" fillId="5" borderId="1" applyFont="0">
      <alignment horizontal="right" vertical="center"/>
    </xf>
    <xf numFmtId="166" fontId="2" fillId="5" borderId="1" applyFont="0">
      <alignment vertical="center"/>
    </xf>
    <xf numFmtId="9" fontId="2" fillId="5" borderId="1" applyFont="0">
      <alignment horizontal="right" vertical="center"/>
    </xf>
    <xf numFmtId="167" fontId="2" fillId="5" borderId="1" applyFont="0">
      <alignment horizontal="right" vertical="center"/>
    </xf>
    <xf numFmtId="10" fontId="2" fillId="5" borderId="1" applyFont="0">
      <alignment horizontal="right" vertical="center"/>
    </xf>
    <xf numFmtId="0" fontId="2" fillId="5" borderId="1" applyFont="0">
      <alignment horizontal="center" vertical="center" wrapText="1"/>
    </xf>
    <xf numFmtId="49" fontId="2" fillId="5" borderId="1" applyFont="0">
      <alignment vertical="center"/>
    </xf>
    <xf numFmtId="166" fontId="2" fillId="6" borderId="1" applyFont="0">
      <alignment vertical="center"/>
    </xf>
    <xf numFmtId="9" fontId="2" fillId="6" borderId="1" applyFont="0">
      <alignment horizontal="right" vertical="center"/>
    </xf>
    <xf numFmtId="168" fontId="2" fillId="17" borderId="1">
      <alignment vertical="center"/>
    </xf>
    <xf numFmtId="166" fontId="2" fillId="16" borderId="1" applyFont="0">
      <alignment horizontal="right" vertical="center"/>
    </xf>
    <xf numFmtId="1" fontId="2" fillId="16" borderId="1" applyFont="0">
      <alignment horizontal="right" vertical="center"/>
    </xf>
    <xf numFmtId="166" fontId="2" fillId="16" borderId="1" applyFont="0">
      <alignment vertical="center"/>
    </xf>
    <xf numFmtId="164" fontId="2" fillId="16" borderId="1" applyFont="0">
      <alignment vertical="center"/>
    </xf>
    <xf numFmtId="10" fontId="2" fillId="16" borderId="1" applyFont="0">
      <alignment horizontal="right" vertical="center"/>
    </xf>
    <xf numFmtId="9" fontId="2" fillId="16" borderId="1" applyFont="0">
      <alignment horizontal="right" vertical="center"/>
    </xf>
    <xf numFmtId="167" fontId="2" fillId="16" borderId="1" applyFont="0">
      <alignment horizontal="right" vertical="center"/>
    </xf>
    <xf numFmtId="10" fontId="2" fillId="16" borderId="4" applyFont="0">
      <alignment horizontal="right" vertical="center"/>
    </xf>
    <xf numFmtId="0" fontId="2" fillId="16" borderId="1" applyFont="0">
      <alignment horizontal="center" vertical="center" wrapText="1"/>
    </xf>
    <xf numFmtId="49" fontId="2" fillId="16" borderId="1" applyFont="0">
      <alignment vertical="center"/>
    </xf>
    <xf numFmtId="0" fontId="19" fillId="0" borderId="0" applyNumberFormat="0" applyFill="0" applyBorder="0" applyAlignment="0" applyProtection="0"/>
    <xf numFmtId="0" fontId="20" fillId="0" borderId="13" applyNumberFormat="0" applyFill="0" applyAlignment="0" applyProtection="0"/>
    <xf numFmtId="0" fontId="20" fillId="0" borderId="0" applyNumberFormat="0" applyFill="0" applyBorder="0" applyAlignment="0" applyProtection="0"/>
    <xf numFmtId="0" fontId="21" fillId="8" borderId="0" applyNumberFormat="0" applyBorder="0" applyAlignment="0" applyProtection="0"/>
    <xf numFmtId="0" fontId="22" fillId="9" borderId="0" applyNumberFormat="0" applyBorder="0" applyAlignment="0" applyProtection="0"/>
    <xf numFmtId="0" fontId="23" fillId="10" borderId="0" applyNumberFormat="0" applyBorder="0" applyAlignment="0" applyProtection="0"/>
    <xf numFmtId="0" fontId="24" fillId="11" borderId="14" applyNumberFormat="0" applyAlignment="0" applyProtection="0"/>
    <xf numFmtId="0" fontId="25" fillId="12" borderId="15" applyNumberFormat="0" applyAlignment="0" applyProtection="0"/>
    <xf numFmtId="0" fontId="26" fillId="12" borderId="14" applyNumberFormat="0" applyAlignment="0" applyProtection="0"/>
    <xf numFmtId="0" fontId="27" fillId="0" borderId="16" applyNumberFormat="0" applyFill="0" applyAlignment="0" applyProtection="0"/>
    <xf numFmtId="0" fontId="28" fillId="13" borderId="17" applyNumberFormat="0" applyAlignment="0" applyProtection="0"/>
    <xf numFmtId="0" fontId="29" fillId="0" borderId="0" applyNumberFormat="0" applyFill="0" applyBorder="0" applyAlignment="0" applyProtection="0"/>
    <xf numFmtId="0" fontId="30" fillId="0" borderId="18" applyNumberFormat="0" applyFill="0" applyAlignment="0" applyProtection="0"/>
    <xf numFmtId="0" fontId="19" fillId="0" borderId="0" applyNumberFormat="0" applyFill="0" applyBorder="0" applyAlignment="0" applyProtection="0"/>
    <xf numFmtId="0" fontId="20" fillId="0" borderId="13" applyNumberFormat="0" applyFill="0" applyAlignment="0" applyProtection="0"/>
    <xf numFmtId="0" fontId="20" fillId="0" borderId="0" applyNumberFormat="0" applyFill="0" applyBorder="0" applyAlignment="0" applyProtection="0"/>
    <xf numFmtId="0" fontId="21" fillId="8" borderId="0" applyNumberFormat="0" applyBorder="0" applyAlignment="0" applyProtection="0"/>
    <xf numFmtId="0" fontId="22" fillId="9" borderId="0" applyNumberFormat="0" applyBorder="0" applyAlignment="0" applyProtection="0"/>
    <xf numFmtId="0" fontId="23" fillId="10" borderId="0" applyNumberFormat="0" applyBorder="0" applyAlignment="0" applyProtection="0"/>
    <xf numFmtId="0" fontId="24" fillId="11" borderId="14" applyNumberFormat="0" applyAlignment="0" applyProtection="0"/>
    <xf numFmtId="0" fontId="25" fillId="12" borderId="15" applyNumberFormat="0" applyAlignment="0" applyProtection="0"/>
    <xf numFmtId="0" fontId="26" fillId="12" borderId="14" applyNumberFormat="0" applyAlignment="0" applyProtection="0"/>
    <xf numFmtId="0" fontId="27" fillId="0" borderId="16" applyNumberFormat="0" applyFill="0" applyAlignment="0" applyProtection="0"/>
    <xf numFmtId="0" fontId="28" fillId="13" borderId="17" applyNumberFormat="0" applyAlignment="0" applyProtection="0"/>
    <xf numFmtId="0" fontId="29" fillId="0" borderId="0" applyNumberFormat="0" applyFill="0" applyBorder="0" applyAlignment="0" applyProtection="0"/>
    <xf numFmtId="0" fontId="30" fillId="0" borderId="18" applyNumberFormat="0" applyFill="0" applyAlignment="0" applyProtection="0"/>
    <xf numFmtId="0" fontId="35" fillId="0" borderId="0" applyNumberFormat="0" applyFill="0" applyBorder="0" applyAlignment="0" applyProtection="0"/>
    <xf numFmtId="0" fontId="36"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6" fillId="25" borderId="0" applyNumberFormat="0" applyBorder="0" applyAlignment="0" applyProtection="0"/>
    <xf numFmtId="0" fontId="36"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6" fillId="33" borderId="0" applyNumberFormat="0" applyBorder="0" applyAlignment="0" applyProtection="0"/>
    <xf numFmtId="0" fontId="36"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36" fillId="37" borderId="0" applyNumberFormat="0" applyBorder="0" applyAlignment="0" applyProtection="0"/>
    <xf numFmtId="0" fontId="36"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36" fillId="41" borderId="0" applyNumberFormat="0" applyBorder="0" applyAlignment="0" applyProtection="0"/>
    <xf numFmtId="41" fontId="2" fillId="0" borderId="0" applyFont="0" applyFill="0" applyBorder="0" applyAlignment="0" applyProtection="0"/>
    <xf numFmtId="42" fontId="2" fillId="0" borderId="0" applyFont="0" applyFill="0" applyBorder="0" applyAlignment="0" applyProtection="0"/>
    <xf numFmtId="168" fontId="2" fillId="46" borderId="20">
      <alignment vertical="center"/>
      <protection locked="0"/>
    </xf>
    <xf numFmtId="168" fontId="4" fillId="46" borderId="20" applyFont="0">
      <alignment vertical="center"/>
      <protection locked="0"/>
    </xf>
    <xf numFmtId="0" fontId="2" fillId="0" borderId="0"/>
    <xf numFmtId="43" fontId="2" fillId="0" borderId="0" applyFont="0" applyFill="0" applyBorder="0" applyAlignment="0" applyProtection="0"/>
    <xf numFmtId="0" fontId="3" fillId="0" borderId="0" applyNumberFormat="0" applyFill="0" applyBorder="0" applyAlignment="0" applyProtection="0"/>
    <xf numFmtId="3" fontId="2" fillId="50" borderId="25" applyFont="0" applyProtection="0">
      <alignment horizontal="right" vertical="center"/>
    </xf>
    <xf numFmtId="10" fontId="2" fillId="50" borderId="25" applyFont="0" applyProtection="0">
      <alignment horizontal="right" vertical="center"/>
    </xf>
    <xf numFmtId="9" fontId="2" fillId="50" borderId="25" applyFont="0" applyProtection="0">
      <alignment horizontal="right" vertical="center"/>
    </xf>
    <xf numFmtId="0" fontId="2" fillId="50" borderId="25" applyNumberFormat="0" applyFont="0" applyProtection="0">
      <alignment horizontal="left" vertical="center"/>
    </xf>
    <xf numFmtId="168" fontId="2" fillId="48" borderId="25" applyFont="0">
      <alignment vertical="center"/>
      <protection locked="0"/>
    </xf>
    <xf numFmtId="3" fontId="2" fillId="48" borderId="25" applyFont="0">
      <alignment horizontal="right" vertical="center"/>
      <protection locked="0"/>
    </xf>
    <xf numFmtId="164" fontId="2" fillId="48" borderId="25" applyFont="0">
      <alignment horizontal="right" vertical="center"/>
      <protection locked="0"/>
    </xf>
    <xf numFmtId="166" fontId="2" fillId="49" borderId="25" applyFont="0">
      <alignment vertical="center"/>
      <protection locked="0"/>
    </xf>
    <xf numFmtId="10" fontId="2" fillId="48" borderId="25" applyFont="0">
      <alignment horizontal="right" vertical="center"/>
      <protection locked="0"/>
    </xf>
    <xf numFmtId="9" fontId="2" fillId="48" borderId="25" applyFont="0">
      <alignment horizontal="right" vertical="center"/>
      <protection locked="0"/>
    </xf>
    <xf numFmtId="167" fontId="2" fillId="48" borderId="25" applyFont="0">
      <alignment horizontal="right" vertical="center"/>
      <protection locked="0"/>
    </xf>
    <xf numFmtId="171" fontId="2" fillId="48" borderId="25" applyFont="0">
      <alignment horizontal="right" vertical="center"/>
      <protection locked="0"/>
    </xf>
    <xf numFmtId="0" fontId="2" fillId="48" borderId="25" applyFont="0">
      <alignment horizontal="center" vertical="center" wrapText="1"/>
      <protection locked="0"/>
    </xf>
    <xf numFmtId="49" fontId="2" fillId="48" borderId="25" applyFont="0">
      <alignment vertical="center"/>
      <protection locked="0"/>
    </xf>
    <xf numFmtId="0" fontId="6" fillId="2" borderId="2" applyNumberFormat="0" applyFill="0" applyBorder="0" applyAlignment="0" applyProtection="0">
      <alignment horizontal="left"/>
    </xf>
    <xf numFmtId="0" fontId="3" fillId="0" borderId="0" applyNumberFormat="0" applyFill="0" applyBorder="0" applyAlignment="0" applyProtection="0"/>
    <xf numFmtId="49" fontId="2" fillId="51" borderId="1" applyFont="0">
      <alignment vertical="center"/>
    </xf>
    <xf numFmtId="1" fontId="2" fillId="51" borderId="1" applyFont="0">
      <alignment horizontal="right" vertical="center"/>
    </xf>
    <xf numFmtId="0" fontId="2" fillId="51" borderId="1" applyFont="0">
      <alignment horizontal="center" vertical="center" wrapText="1"/>
    </xf>
    <xf numFmtId="166" fontId="2" fillId="51" borderId="1" applyFont="0">
      <alignment vertical="center"/>
    </xf>
    <xf numFmtId="168" fontId="2" fillId="52" borderId="1">
      <alignment vertical="center"/>
    </xf>
    <xf numFmtId="49" fontId="2" fillId="53" borderId="1" applyFont="0">
      <alignment vertical="center"/>
      <protection locked="0"/>
    </xf>
    <xf numFmtId="168" fontId="2" fillId="53" borderId="1" applyFont="0">
      <alignment vertical="center"/>
      <protection locked="0"/>
    </xf>
    <xf numFmtId="3" fontId="2" fillId="53" borderId="1" applyFont="0">
      <alignment horizontal="right" vertical="center"/>
      <protection locked="0"/>
    </xf>
    <xf numFmtId="0" fontId="2" fillId="0" borderId="0">
      <alignment vertical="center"/>
    </xf>
  </cellStyleXfs>
  <cellXfs count="1874">
    <xf numFmtId="0" fontId="0" fillId="2" borderId="0" xfId="0" applyFill="1">
      <alignment vertical="center"/>
    </xf>
    <xf numFmtId="0" fontId="2" fillId="2" borderId="5" xfId="0" applyFont="1" applyFill="1" applyBorder="1" applyAlignment="1" applyProtection="1">
      <alignment vertical="center"/>
    </xf>
    <xf numFmtId="0" fontId="0" fillId="2" borderId="0" xfId="0" applyFont="1" applyFill="1" applyAlignment="1">
      <alignment vertical="center"/>
    </xf>
    <xf numFmtId="0" fontId="2" fillId="2" borderId="0" xfId="0" applyFont="1" applyFill="1" applyBorder="1" applyAlignment="1" applyProtection="1">
      <alignment vertical="center"/>
    </xf>
    <xf numFmtId="0" fontId="0" fillId="2" borderId="6" xfId="0" applyFont="1" applyFill="1" applyBorder="1" applyAlignment="1">
      <alignment vertical="center"/>
    </xf>
    <xf numFmtId="0" fontId="0" fillId="2" borderId="0" xfId="0" applyFont="1" applyFill="1" applyBorder="1" applyAlignment="1">
      <alignment vertical="center"/>
    </xf>
    <xf numFmtId="0" fontId="0" fillId="2" borderId="2" xfId="0" applyFont="1" applyFill="1" applyBorder="1" applyAlignment="1">
      <alignment vertical="center"/>
    </xf>
    <xf numFmtId="0" fontId="4" fillId="2" borderId="2" xfId="0" applyFont="1" applyFill="1" applyBorder="1" applyAlignment="1" applyProtection="1">
      <alignment horizontal="left"/>
    </xf>
    <xf numFmtId="0" fontId="2" fillId="2" borderId="0" xfId="0" applyFont="1" applyFill="1" applyProtection="1">
      <alignment vertical="center"/>
    </xf>
    <xf numFmtId="0" fontId="2" fillId="2" borderId="0" xfId="0" applyFont="1" applyFill="1" applyBorder="1" applyProtection="1">
      <alignment vertical="center"/>
    </xf>
    <xf numFmtId="0" fontId="2" fillId="2" borderId="6" xfId="0" applyFont="1" applyFill="1" applyBorder="1" applyProtection="1">
      <alignment vertical="center"/>
    </xf>
    <xf numFmtId="0" fontId="2" fillId="2" borderId="2" xfId="0" applyFont="1" applyFill="1" applyBorder="1" applyAlignment="1" applyProtection="1">
      <alignment horizontal="left"/>
    </xf>
    <xf numFmtId="0" fontId="2" fillId="2" borderId="7" xfId="0" applyFont="1" applyFill="1" applyBorder="1" applyProtection="1">
      <alignment vertical="center"/>
    </xf>
    <xf numFmtId="0" fontId="0" fillId="2" borderId="0" xfId="0" applyFill="1" applyBorder="1" applyAlignment="1" applyProtection="1">
      <alignment horizontal="left"/>
    </xf>
    <xf numFmtId="0" fontId="0" fillId="2" borderId="0" xfId="0" applyFill="1" applyBorder="1" applyProtection="1">
      <alignment vertical="center"/>
    </xf>
    <xf numFmtId="0" fontId="0" fillId="2" borderId="0" xfId="0" applyFill="1" applyProtection="1">
      <alignment vertical="center"/>
    </xf>
    <xf numFmtId="0" fontId="0" fillId="2" borderId="9" xfId="0" applyFill="1" applyBorder="1" applyProtection="1">
      <alignment vertical="center"/>
    </xf>
    <xf numFmtId="0" fontId="0" fillId="2" borderId="4" xfId="0" applyFill="1" applyBorder="1" applyProtection="1">
      <alignment vertical="center"/>
    </xf>
    <xf numFmtId="0" fontId="0" fillId="2" borderId="9" xfId="0" applyFill="1" applyBorder="1" applyAlignment="1" applyProtection="1">
      <alignment horizontal="left"/>
    </xf>
    <xf numFmtId="0" fontId="0" fillId="2" borderId="9" xfId="0" applyFill="1" applyBorder="1" applyAlignment="1" applyProtection="1"/>
    <xf numFmtId="0" fontId="3" fillId="2" borderId="2" xfId="0" applyFont="1" applyFill="1" applyBorder="1" applyAlignment="1" applyProtection="1">
      <alignment horizontal="left"/>
    </xf>
    <xf numFmtId="0" fontId="0" fillId="2" borderId="6" xfId="0" applyFill="1" applyBorder="1" applyProtection="1">
      <alignment vertical="center"/>
    </xf>
    <xf numFmtId="0" fontId="0" fillId="2" borderId="8" xfId="0" applyFont="1" applyFill="1" applyBorder="1" applyProtection="1">
      <alignment vertical="center"/>
    </xf>
    <xf numFmtId="0" fontId="3" fillId="2" borderId="3" xfId="0" applyFont="1" applyFill="1" applyBorder="1" applyAlignment="1" applyProtection="1">
      <alignment horizontal="left"/>
    </xf>
    <xf numFmtId="0" fontId="6" fillId="2" borderId="9" xfId="0" applyFont="1" applyFill="1" applyBorder="1">
      <alignment vertical="center"/>
    </xf>
    <xf numFmtId="0" fontId="0" fillId="2" borderId="9" xfId="0" applyFont="1" applyFill="1" applyBorder="1">
      <alignment vertical="center"/>
    </xf>
    <xf numFmtId="0" fontId="0" fillId="2" borderId="0" xfId="0" applyFont="1" applyFill="1" applyBorder="1">
      <alignment vertical="center"/>
    </xf>
    <xf numFmtId="0" fontId="0" fillId="2" borderId="10" xfId="0" applyFont="1" applyFill="1" applyBorder="1" applyProtection="1">
      <alignment vertical="center"/>
    </xf>
    <xf numFmtId="0" fontId="0" fillId="2" borderId="6" xfId="0" applyFont="1" applyFill="1" applyBorder="1">
      <alignment vertical="center"/>
    </xf>
    <xf numFmtId="0" fontId="0" fillId="2" borderId="8" xfId="0" applyFont="1" applyFill="1" applyBorder="1">
      <alignment vertical="center"/>
    </xf>
    <xf numFmtId="0" fontId="0" fillId="2" borderId="7" xfId="0" applyFont="1" applyFill="1" applyBorder="1">
      <alignment vertical="center"/>
    </xf>
    <xf numFmtId="0" fontId="0" fillId="2" borderId="2" xfId="0" applyFont="1" applyFill="1" applyBorder="1">
      <alignment vertical="center"/>
    </xf>
    <xf numFmtId="0" fontId="0" fillId="2" borderId="4" xfId="0" applyFont="1" applyFill="1" applyBorder="1">
      <alignment vertical="center"/>
    </xf>
    <xf numFmtId="0" fontId="0" fillId="2" borderId="5" xfId="0" applyFont="1" applyFill="1" applyBorder="1">
      <alignment vertical="center"/>
    </xf>
    <xf numFmtId="0" fontId="6" fillId="2" borderId="3" xfId="4" applyFont="1" applyFill="1" applyBorder="1" applyAlignment="1"/>
    <xf numFmtId="0" fontId="6" fillId="2" borderId="9" xfId="4" applyFill="1" applyBorder="1" applyAlignment="1"/>
    <xf numFmtId="0" fontId="6" fillId="2" borderId="4" xfId="4" applyFill="1" applyBorder="1" applyAlignment="1"/>
    <xf numFmtId="0" fontId="6" fillId="2" borderId="0" xfId="4" applyFill="1" applyBorder="1" applyAlignment="1"/>
    <xf numFmtId="0" fontId="6" fillId="2" borderId="3" xfId="4" applyFill="1" applyBorder="1" applyAlignment="1"/>
    <xf numFmtId="0" fontId="6" fillId="2" borderId="5" xfId="4" applyFill="1" applyBorder="1" applyAlignment="1"/>
    <xf numFmtId="0" fontId="10" fillId="2" borderId="9" xfId="4" applyFont="1" applyFill="1" applyBorder="1" applyAlignment="1"/>
    <xf numFmtId="0" fontId="0" fillId="2" borderId="11" xfId="0" applyFont="1" applyFill="1" applyBorder="1">
      <alignment vertical="center"/>
    </xf>
    <xf numFmtId="0" fontId="0" fillId="2" borderId="0" xfId="0" applyFont="1" applyFill="1" applyAlignment="1">
      <alignment wrapText="1"/>
    </xf>
    <xf numFmtId="0" fontId="6" fillId="2" borderId="8" xfId="0" applyFont="1" applyFill="1" applyBorder="1">
      <alignment vertical="center"/>
    </xf>
    <xf numFmtId="0" fontId="6" fillId="2" borderId="9" xfId="4" applyFont="1" applyFill="1" applyBorder="1" applyAlignment="1"/>
    <xf numFmtId="0" fontId="9" fillId="2" borderId="9" xfId="0" applyFont="1" applyFill="1" applyBorder="1">
      <alignment vertical="center"/>
    </xf>
    <xf numFmtId="0" fontId="9" fillId="2" borderId="0" xfId="0" applyFont="1" applyFill="1" applyBorder="1">
      <alignment vertical="center"/>
    </xf>
    <xf numFmtId="0" fontId="9" fillId="2" borderId="8" xfId="0" applyFont="1" applyFill="1" applyBorder="1" applyProtection="1">
      <alignment vertical="center"/>
    </xf>
    <xf numFmtId="0" fontId="9" fillId="2" borderId="0" xfId="0" applyFont="1" applyFill="1" applyProtection="1">
      <alignment vertical="center"/>
    </xf>
    <xf numFmtId="0" fontId="3" fillId="2" borderId="0" xfId="0" applyFont="1" applyFill="1" applyBorder="1" applyAlignment="1" applyProtection="1">
      <alignment horizontal="left"/>
    </xf>
    <xf numFmtId="0" fontId="6" fillId="2" borderId="0" xfId="0" applyFont="1" applyFill="1" applyBorder="1">
      <alignment vertical="center"/>
    </xf>
    <xf numFmtId="3" fontId="2" fillId="2" borderId="0" xfId="30" applyFont="1" applyBorder="1">
      <alignment horizontal="right" vertical="center"/>
    </xf>
    <xf numFmtId="0" fontId="3" fillId="2" borderId="9" xfId="0" applyFont="1" applyFill="1" applyBorder="1">
      <alignment vertical="center"/>
    </xf>
    <xf numFmtId="0" fontId="0" fillId="2" borderId="10" xfId="0" applyFont="1" applyFill="1" applyBorder="1">
      <alignment vertical="center"/>
    </xf>
    <xf numFmtId="3" fontId="2" fillId="2" borderId="8" xfId="30" applyFont="1" applyBorder="1">
      <alignment horizontal="right" vertical="center"/>
    </xf>
    <xf numFmtId="0" fontId="2" fillId="2" borderId="0" xfId="0" applyFont="1" applyFill="1" applyBorder="1" applyAlignment="1" applyProtection="1">
      <alignment vertical="center" wrapText="1"/>
    </xf>
    <xf numFmtId="0" fontId="0" fillId="2" borderId="0" xfId="0" applyFill="1" applyBorder="1" applyAlignment="1" applyProtection="1">
      <alignment vertical="center"/>
    </xf>
    <xf numFmtId="0" fontId="4" fillId="2" borderId="0" xfId="0" applyFont="1" applyFill="1" applyBorder="1" applyAlignment="1" applyProtection="1">
      <alignment horizontal="left" vertical="center"/>
    </xf>
    <xf numFmtId="0" fontId="0" fillId="2" borderId="0" xfId="0" applyFont="1" applyFill="1" applyBorder="1" applyAlignment="1" applyProtection="1">
      <alignment vertical="center" wrapText="1"/>
    </xf>
    <xf numFmtId="0" fontId="0" fillId="2" borderId="9" xfId="0" applyFill="1" applyBorder="1">
      <alignment vertical="center"/>
    </xf>
    <xf numFmtId="0" fontId="0" fillId="2" borderId="9" xfId="0" applyFill="1" applyBorder="1" applyAlignment="1">
      <alignment vertical="center"/>
    </xf>
    <xf numFmtId="0" fontId="0" fillId="2" borderId="4" xfId="0" applyFill="1" applyBorder="1" applyAlignment="1">
      <alignment vertical="center"/>
    </xf>
    <xf numFmtId="0" fontId="0" fillId="2" borderId="0" xfId="0" applyFill="1" applyAlignment="1">
      <alignment vertical="center"/>
    </xf>
    <xf numFmtId="0" fontId="4" fillId="2" borderId="2" xfId="0" applyFont="1" applyFill="1" applyBorder="1" applyAlignment="1" applyProtection="1">
      <alignment horizontal="left" vertical="center"/>
    </xf>
    <xf numFmtId="0" fontId="4" fillId="2" borderId="0" xfId="0" applyFont="1" applyFill="1" applyBorder="1" applyAlignment="1" applyProtection="1">
      <alignment horizontal="left" vertical="center"/>
    </xf>
    <xf numFmtId="0" fontId="2" fillId="2" borderId="2" xfId="0" applyFont="1" applyFill="1" applyBorder="1" applyAlignment="1" applyProtection="1">
      <alignment horizontal="left" vertical="center"/>
    </xf>
    <xf numFmtId="0" fontId="4" fillId="2" borderId="2" xfId="0" applyFont="1" applyFill="1" applyBorder="1" applyAlignment="1" applyProtection="1">
      <alignment vertical="center"/>
    </xf>
    <xf numFmtId="0" fontId="0" fillId="2" borderId="8" xfId="0" applyFont="1" applyFill="1" applyBorder="1" applyAlignment="1">
      <alignment vertical="center"/>
    </xf>
    <xf numFmtId="0" fontId="4" fillId="2" borderId="0" xfId="0" applyFont="1" applyFill="1" applyBorder="1" applyAlignment="1" applyProtection="1">
      <alignment vertical="center"/>
    </xf>
    <xf numFmtId="0" fontId="0" fillId="2" borderId="6" xfId="0" applyFont="1" applyFill="1" applyBorder="1" applyAlignment="1" applyProtection="1">
      <alignment vertical="center"/>
    </xf>
    <xf numFmtId="0" fontId="4" fillId="2" borderId="10" xfId="0" applyFont="1" applyFill="1" applyBorder="1" applyAlignment="1" applyProtection="1">
      <alignment vertical="center"/>
    </xf>
    <xf numFmtId="0" fontId="2" fillId="2" borderId="8" xfId="0" applyFont="1" applyFill="1" applyBorder="1" applyAlignment="1" applyProtection="1">
      <alignment vertical="center"/>
    </xf>
    <xf numFmtId="0" fontId="0" fillId="2" borderId="7" xfId="0" applyFont="1" applyFill="1" applyBorder="1" applyAlignment="1" applyProtection="1">
      <alignment vertical="center"/>
    </xf>
    <xf numFmtId="0" fontId="0" fillId="2" borderId="5" xfId="0" applyFont="1" applyFill="1" applyBorder="1" applyAlignment="1">
      <alignment vertical="center"/>
    </xf>
    <xf numFmtId="0" fontId="2" fillId="2" borderId="2" xfId="0" applyFont="1" applyFill="1" applyBorder="1" applyAlignment="1" applyProtection="1">
      <alignment vertical="center"/>
    </xf>
    <xf numFmtId="0" fontId="0" fillId="2" borderId="6" xfId="0" applyFill="1" applyBorder="1" applyAlignment="1" applyProtection="1">
      <alignment vertical="center"/>
    </xf>
    <xf numFmtId="0" fontId="2" fillId="2" borderId="6" xfId="0" applyFont="1" applyFill="1" applyBorder="1" applyAlignment="1" applyProtection="1">
      <alignment vertical="center"/>
    </xf>
    <xf numFmtId="0" fontId="2" fillId="2" borderId="0" xfId="0" applyFont="1" applyFill="1" applyAlignment="1" applyProtection="1">
      <alignment vertical="center"/>
    </xf>
    <xf numFmtId="0" fontId="7" fillId="2" borderId="6" xfId="0" applyFont="1" applyFill="1" applyBorder="1" applyAlignment="1" applyProtection="1">
      <alignment horizontal="center" vertical="center"/>
    </xf>
    <xf numFmtId="0" fontId="0" fillId="2" borderId="8" xfId="0" applyFont="1" applyFill="1" applyBorder="1" applyAlignment="1" applyProtection="1">
      <alignment vertical="center"/>
    </xf>
    <xf numFmtId="0" fontId="2" fillId="2" borderId="7" xfId="0" applyFont="1" applyFill="1" applyBorder="1" applyAlignment="1" applyProtection="1">
      <alignment vertical="center"/>
    </xf>
    <xf numFmtId="0" fontId="2" fillId="2" borderId="11" xfId="0" applyFont="1" applyFill="1" applyBorder="1" applyAlignment="1" applyProtection="1">
      <alignment vertical="center"/>
    </xf>
    <xf numFmtId="0" fontId="2" fillId="2" borderId="5" xfId="0" applyFont="1" applyFill="1" applyBorder="1" applyAlignment="1" applyProtection="1">
      <alignment horizontal="center" vertical="center"/>
    </xf>
    <xf numFmtId="0" fontId="0" fillId="2" borderId="0" xfId="0" applyFont="1" applyFill="1" applyBorder="1" applyAlignment="1" applyProtection="1">
      <alignment vertical="center"/>
    </xf>
    <xf numFmtId="0" fontId="2" fillId="2" borderId="9" xfId="0" applyFont="1" applyFill="1" applyBorder="1" applyAlignment="1" applyProtection="1">
      <alignment horizontal="left" vertical="center"/>
    </xf>
    <xf numFmtId="0" fontId="2" fillId="2" borderId="9" xfId="0" applyFont="1" applyFill="1" applyBorder="1" applyAlignment="1" applyProtection="1">
      <alignment horizontal="center" vertical="center"/>
    </xf>
    <xf numFmtId="15" fontId="10" fillId="2" borderId="5" xfId="4" applyNumberFormat="1" applyFont="1" applyFill="1" applyBorder="1" applyAlignment="1"/>
    <xf numFmtId="0" fontId="0" fillId="2" borderId="0" xfId="0" applyFill="1" applyBorder="1">
      <alignment vertical="center"/>
    </xf>
    <xf numFmtId="0" fontId="0" fillId="2" borderId="0" xfId="0" applyFill="1" applyBorder="1" applyAlignment="1">
      <alignment vertical="center"/>
    </xf>
    <xf numFmtId="0" fontId="0" fillId="2" borderId="6" xfId="0" applyFill="1" applyBorder="1" applyAlignment="1">
      <alignment vertical="center"/>
    </xf>
    <xf numFmtId="0" fontId="4" fillId="2" borderId="0" xfId="0" applyFont="1" applyFill="1" applyBorder="1">
      <alignment vertical="center"/>
    </xf>
    <xf numFmtId="0" fontId="4" fillId="2" borderId="0" xfId="0" applyFont="1" applyFill="1" applyBorder="1" applyAlignment="1" applyProtection="1">
      <alignment vertical="center" wrapText="1"/>
    </xf>
    <xf numFmtId="0" fontId="2" fillId="2" borderId="9" xfId="0" applyFont="1" applyFill="1" applyBorder="1">
      <alignment vertical="center"/>
    </xf>
    <xf numFmtId="0" fontId="0" fillId="2" borderId="7" xfId="0" applyFont="1" applyFill="1" applyBorder="1" applyAlignment="1">
      <alignment vertical="center"/>
    </xf>
    <xf numFmtId="0" fontId="2" fillId="2" borderId="5" xfId="0" applyFont="1" applyFill="1" applyBorder="1" applyAlignment="1">
      <alignment vertical="center"/>
    </xf>
    <xf numFmtId="0" fontId="2" fillId="2" borderId="0" xfId="0" applyFont="1" applyFill="1" applyBorder="1" applyAlignment="1">
      <alignment vertical="center"/>
    </xf>
    <xf numFmtId="0" fontId="2" fillId="2" borderId="8" xfId="0" applyFont="1" applyFill="1" applyBorder="1" applyAlignment="1">
      <alignment vertical="center"/>
    </xf>
    <xf numFmtId="0" fontId="2" fillId="2" borderId="9" xfId="0" applyFont="1" applyFill="1" applyBorder="1" applyAlignment="1">
      <alignment vertical="center"/>
    </xf>
    <xf numFmtId="3" fontId="2" fillId="2" borderId="0" xfId="0" applyNumberFormat="1" applyFont="1" applyFill="1" applyBorder="1" applyAlignment="1" applyProtection="1">
      <alignment horizontal="right" vertical="center"/>
    </xf>
    <xf numFmtId="0" fontId="15" fillId="2" borderId="0" xfId="0" applyFont="1" applyFill="1" applyBorder="1" applyAlignment="1" applyProtection="1">
      <alignment horizontal="left"/>
    </xf>
    <xf numFmtId="0" fontId="15" fillId="2" borderId="0" xfId="0" applyFont="1" applyFill="1" applyBorder="1" applyAlignment="1" applyProtection="1">
      <alignment horizontal="center"/>
    </xf>
    <xf numFmtId="3" fontId="15" fillId="2" borderId="0" xfId="0" applyNumberFormat="1" applyFont="1" applyFill="1" applyBorder="1" applyAlignment="1" applyProtection="1">
      <alignment horizontal="right"/>
    </xf>
    <xf numFmtId="2" fontId="15" fillId="2" borderId="0" xfId="0" applyNumberFormat="1" applyFont="1" applyFill="1" applyBorder="1" applyAlignment="1" applyProtection="1">
      <alignment horizontal="left"/>
    </xf>
    <xf numFmtId="0" fontId="11" fillId="2" borderId="5" xfId="0" applyFont="1" applyFill="1" applyBorder="1" applyAlignment="1" applyProtection="1">
      <alignment horizontal="left" wrapText="1"/>
    </xf>
    <xf numFmtId="0" fontId="11" fillId="2" borderId="5" xfId="0" applyFont="1" applyFill="1" applyBorder="1" applyAlignment="1" applyProtection="1">
      <alignment horizontal="center" wrapText="1"/>
    </xf>
    <xf numFmtId="0" fontId="11" fillId="2" borderId="0" xfId="0" applyFont="1" applyFill="1" applyBorder="1" applyAlignment="1" applyProtection="1">
      <alignment horizontal="left" wrapText="1" indent="1"/>
    </xf>
    <xf numFmtId="0" fontId="11" fillId="2" borderId="0" xfId="0" applyFont="1" applyFill="1" applyBorder="1" applyAlignment="1" applyProtection="1">
      <alignment horizontal="center" wrapText="1"/>
    </xf>
    <xf numFmtId="0" fontId="11" fillId="2" borderId="0" xfId="0" applyFont="1" applyFill="1" applyBorder="1" applyAlignment="1" applyProtection="1">
      <alignment horizontal="center" vertical="center" wrapText="1"/>
    </xf>
    <xf numFmtId="0" fontId="2" fillId="2" borderId="8" xfId="0" applyFont="1" applyFill="1" applyBorder="1" applyProtection="1">
      <alignment vertical="center"/>
    </xf>
    <xf numFmtId="0" fontId="11" fillId="2" borderId="0" xfId="0" applyFont="1" applyFill="1" applyBorder="1" applyAlignment="1" applyProtection="1">
      <alignment vertical="center" wrapText="1"/>
    </xf>
    <xf numFmtId="0" fontId="2" fillId="2" borderId="10" xfId="0" applyFont="1" applyFill="1" applyBorder="1" applyProtection="1">
      <alignment vertical="center"/>
    </xf>
    <xf numFmtId="0" fontId="11" fillId="45" borderId="9" xfId="9" applyFont="1" applyBorder="1" applyProtection="1">
      <alignment horizontal="left" vertical="center"/>
    </xf>
    <xf numFmtId="0" fontId="12" fillId="2" borderId="5" xfId="0" applyFont="1" applyFill="1" applyBorder="1" applyAlignment="1" applyProtection="1">
      <alignment wrapText="1"/>
    </xf>
    <xf numFmtId="0" fontId="6" fillId="2" borderId="5" xfId="4" applyFill="1" applyBorder="1" applyAlignment="1" applyProtection="1"/>
    <xf numFmtId="0" fontId="0" fillId="2" borderId="0" xfId="0" applyFont="1" applyFill="1" applyProtection="1">
      <alignment vertical="center"/>
    </xf>
    <xf numFmtId="0" fontId="2" fillId="2" borderId="9" xfId="0" applyFont="1" applyFill="1" applyBorder="1" applyProtection="1">
      <alignment vertical="center"/>
    </xf>
    <xf numFmtId="0" fontId="2" fillId="2" borderId="4" xfId="0" applyFont="1" applyFill="1" applyBorder="1" applyProtection="1">
      <alignment vertical="center"/>
    </xf>
    <xf numFmtId="0" fontId="0" fillId="2" borderId="0" xfId="0" applyFill="1" applyAlignment="1" applyProtection="1">
      <alignment vertical="center"/>
    </xf>
    <xf numFmtId="0" fontId="6" fillId="2" borderId="0" xfId="0" applyFont="1" applyFill="1" applyBorder="1" applyProtection="1">
      <alignment vertical="center"/>
    </xf>
    <xf numFmtId="3" fontId="2" fillId="2" borderId="0" xfId="30" applyFont="1" applyFill="1" applyBorder="1" applyProtection="1">
      <alignment horizontal="right" vertical="center"/>
    </xf>
    <xf numFmtId="0" fontId="0" fillId="2" borderId="0" xfId="0" applyFont="1" applyFill="1" applyBorder="1" applyProtection="1">
      <alignment vertical="center"/>
    </xf>
    <xf numFmtId="0" fontId="12" fillId="2" borderId="2" xfId="0" applyFont="1" applyFill="1" applyBorder="1" applyAlignment="1" applyProtection="1">
      <alignment horizontal="left"/>
    </xf>
    <xf numFmtId="0" fontId="13" fillId="2" borderId="0" xfId="0" applyFont="1" applyFill="1" applyBorder="1" applyProtection="1">
      <alignment vertical="center"/>
    </xf>
    <xf numFmtId="0" fontId="13" fillId="2" borderId="0" xfId="0" applyFont="1" applyFill="1" applyBorder="1" applyAlignment="1" applyProtection="1">
      <alignment horizontal="center"/>
    </xf>
    <xf numFmtId="3" fontId="11" fillId="2" borderId="0" xfId="0" applyNumberFormat="1" applyFont="1" applyFill="1" applyBorder="1" applyAlignment="1" applyProtection="1">
      <alignment horizontal="right"/>
    </xf>
    <xf numFmtId="0" fontId="11" fillId="2" borderId="0" xfId="0" applyFont="1" applyFill="1" applyBorder="1" applyProtection="1">
      <alignment vertical="center"/>
    </xf>
    <xf numFmtId="0" fontId="11" fillId="2" borderId="2" xfId="0" applyFont="1" applyFill="1" applyBorder="1" applyAlignment="1" applyProtection="1">
      <alignment horizontal="center"/>
    </xf>
    <xf numFmtId="0" fontId="11" fillId="2" borderId="2" xfId="0" applyFont="1" applyFill="1" applyBorder="1" applyAlignment="1" applyProtection="1">
      <alignment horizontal="left"/>
    </xf>
    <xf numFmtId="0" fontId="11" fillId="2" borderId="2" xfId="0" applyFont="1" applyFill="1" applyBorder="1" applyProtection="1">
      <alignment vertical="center"/>
    </xf>
    <xf numFmtId="0" fontId="11" fillId="2" borderId="2" xfId="0" applyFont="1" applyFill="1" applyBorder="1" applyAlignment="1" applyProtection="1">
      <alignment horizontal="left" wrapText="1"/>
    </xf>
    <xf numFmtId="3" fontId="11" fillId="2" borderId="0" xfId="11" applyNumberFormat="1" applyFont="1" applyFill="1" applyBorder="1" applyAlignment="1" applyProtection="1">
      <alignment horizontal="right"/>
    </xf>
    <xf numFmtId="3" fontId="11" fillId="2" borderId="0" xfId="11" applyFont="1" applyFill="1" applyBorder="1" applyProtection="1">
      <alignment horizontal="right" vertical="center"/>
    </xf>
    <xf numFmtId="3" fontId="11" fillId="2" borderId="0" xfId="11" applyNumberFormat="1" applyFont="1" applyFill="1" applyBorder="1" applyProtection="1">
      <alignment horizontal="right" vertical="center"/>
    </xf>
    <xf numFmtId="2" fontId="11" fillId="45" borderId="9" xfId="9" applyNumberFormat="1" applyFont="1" applyBorder="1" applyProtection="1">
      <alignment horizontal="left" vertical="center"/>
    </xf>
    <xf numFmtId="0" fontId="11" fillId="2" borderId="0" xfId="0" applyNumberFormat="1" applyFont="1" applyFill="1" applyBorder="1" applyAlignment="1" applyProtection="1"/>
    <xf numFmtId="3" fontId="2" fillId="2" borderId="0" xfId="30" applyFont="1" applyBorder="1" applyProtection="1">
      <alignment horizontal="right" vertical="center"/>
    </xf>
    <xf numFmtId="2" fontId="11" fillId="2" borderId="0" xfId="11" applyNumberFormat="1" applyFont="1" applyFill="1" applyBorder="1" applyProtection="1">
      <alignment horizontal="right" vertical="center"/>
    </xf>
    <xf numFmtId="3" fontId="11" fillId="2" borderId="0" xfId="0" applyNumberFormat="1" applyFont="1" applyFill="1" applyBorder="1" applyProtection="1">
      <alignment vertical="center"/>
    </xf>
    <xf numFmtId="2" fontId="11" fillId="2" borderId="0" xfId="0" applyNumberFormat="1" applyFont="1" applyFill="1" applyBorder="1" applyProtection="1">
      <alignment vertical="center"/>
    </xf>
    <xf numFmtId="3" fontId="11" fillId="2" borderId="5" xfId="11" applyNumberFormat="1" applyFont="1" applyFill="1" applyBorder="1" applyAlignment="1" applyProtection="1">
      <alignment horizontal="right"/>
    </xf>
    <xf numFmtId="2" fontId="12" fillId="2" borderId="5" xfId="3" applyNumberFormat="1" applyFont="1" applyFill="1" applyBorder="1" applyAlignment="1" applyProtection="1">
      <alignment horizontal="center" wrapText="1"/>
    </xf>
    <xf numFmtId="0" fontId="11" fillId="2" borderId="9" xfId="0" applyFont="1" applyFill="1" applyBorder="1" applyProtection="1">
      <alignment vertical="center"/>
    </xf>
    <xf numFmtId="0" fontId="3" fillId="2" borderId="2" xfId="0" applyFont="1" applyFill="1" applyBorder="1" applyProtection="1">
      <alignment vertical="center"/>
    </xf>
    <xf numFmtId="0" fontId="2" fillId="2" borderId="5" xfId="0" applyFont="1" applyFill="1" applyBorder="1" applyProtection="1">
      <alignment vertical="center"/>
    </xf>
    <xf numFmtId="0" fontId="0" fillId="2" borderId="9" xfId="0" applyFont="1" applyFill="1" applyBorder="1" applyAlignment="1" applyProtection="1">
      <alignment vertical="center"/>
    </xf>
    <xf numFmtId="0" fontId="2" fillId="2" borderId="9" xfId="0" applyFont="1" applyFill="1" applyBorder="1" applyAlignment="1" applyProtection="1">
      <alignment vertical="center"/>
    </xf>
    <xf numFmtId="0" fontId="16" fillId="2" borderId="9" xfId="0" applyFont="1" applyFill="1" applyBorder="1">
      <alignment vertical="center"/>
    </xf>
    <xf numFmtId="0" fontId="0" fillId="2" borderId="2" xfId="0" applyFill="1" applyBorder="1">
      <alignment vertical="center"/>
    </xf>
    <xf numFmtId="0" fontId="2" fillId="2" borderId="2" xfId="0" applyFont="1" applyFill="1" applyBorder="1" applyProtection="1">
      <alignment vertical="center"/>
    </xf>
    <xf numFmtId="0" fontId="11" fillId="2" borderId="5" xfId="0" applyFont="1" applyFill="1" applyBorder="1" applyAlignment="1" applyProtection="1">
      <alignment horizontal="center" vertical="center" wrapText="1"/>
    </xf>
    <xf numFmtId="0" fontId="11" fillId="2" borderId="5" xfId="0" applyFont="1" applyFill="1" applyBorder="1" applyAlignment="1" applyProtection="1">
      <alignment horizontal="left" vertical="center" wrapText="1" indent="2"/>
    </xf>
    <xf numFmtId="3" fontId="11" fillId="2" borderId="0" xfId="30" applyFont="1" applyFill="1" applyBorder="1" applyProtection="1">
      <alignment horizontal="right" vertical="center"/>
    </xf>
    <xf numFmtId="0" fontId="0" fillId="2" borderId="9" xfId="0" applyFont="1" applyFill="1" applyBorder="1" applyProtection="1">
      <alignment vertical="center"/>
    </xf>
    <xf numFmtId="0" fontId="0" fillId="2" borderId="2" xfId="0" applyFill="1" applyBorder="1" applyAlignment="1">
      <alignment vertical="center"/>
    </xf>
    <xf numFmtId="0" fontId="0" fillId="2" borderId="10" xfId="0" applyFont="1" applyFill="1" applyBorder="1" applyAlignment="1">
      <alignment vertical="center"/>
    </xf>
    <xf numFmtId="0" fontId="3" fillId="2" borderId="0" xfId="0" applyFont="1" applyFill="1" applyBorder="1" applyAlignment="1">
      <alignment vertical="center"/>
    </xf>
    <xf numFmtId="0" fontId="3" fillId="2" borderId="5" xfId="0" applyFont="1" applyFill="1" applyBorder="1" applyAlignment="1">
      <alignment vertical="center"/>
    </xf>
    <xf numFmtId="0" fontId="3" fillId="2" borderId="0" xfId="0" applyFont="1" applyFill="1" applyBorder="1" applyAlignment="1" applyProtection="1">
      <alignment horizontal="left" wrapText="1"/>
    </xf>
    <xf numFmtId="0" fontId="3" fillId="2" borderId="6" xfId="0" applyFont="1" applyFill="1" applyBorder="1" applyAlignment="1" applyProtection="1">
      <alignment horizontal="left" wrapText="1"/>
    </xf>
    <xf numFmtId="0" fontId="0" fillId="2" borderId="12" xfId="0" applyFont="1" applyFill="1" applyBorder="1" applyAlignment="1">
      <alignment vertical="center"/>
    </xf>
    <xf numFmtId="0" fontId="11" fillId="2" borderId="0" xfId="0" applyFont="1" applyFill="1" applyBorder="1" applyAlignment="1" applyProtection="1">
      <alignment horizontal="center"/>
    </xf>
    <xf numFmtId="0" fontId="12" fillId="2" borderId="0" xfId="0" applyFont="1" applyFill="1" applyBorder="1" applyAlignment="1" applyProtection="1">
      <alignment horizontal="left" vertical="center" wrapText="1"/>
    </xf>
    <xf numFmtId="0" fontId="6" fillId="2" borderId="12" xfId="4" applyFont="1" applyFill="1" applyBorder="1" applyAlignment="1" applyProtection="1"/>
    <xf numFmtId="0" fontId="2" fillId="2" borderId="0" xfId="0" applyFont="1" applyFill="1" applyBorder="1" applyAlignment="1" applyProtection="1">
      <alignment horizontal="center" vertical="center" wrapText="1"/>
    </xf>
    <xf numFmtId="0" fontId="18" fillId="2" borderId="0" xfId="0" applyFont="1" applyFill="1" applyBorder="1" applyAlignment="1">
      <alignment vertical="center"/>
    </xf>
    <xf numFmtId="0" fontId="0" fillId="2" borderId="11" xfId="0" applyFont="1" applyFill="1" applyBorder="1" applyAlignment="1">
      <alignment vertical="center"/>
    </xf>
    <xf numFmtId="0" fontId="5" fillId="2" borderId="6" xfId="0" applyFont="1" applyFill="1" applyBorder="1">
      <alignment vertical="center"/>
    </xf>
    <xf numFmtId="0" fontId="5" fillId="2" borderId="6" xfId="0" applyFont="1" applyFill="1" applyBorder="1" applyAlignment="1">
      <alignment vertical="center"/>
    </xf>
    <xf numFmtId="0" fontId="0" fillId="2" borderId="6" xfId="0" applyFont="1" applyFill="1" applyBorder="1" applyAlignment="1">
      <alignment wrapText="1"/>
    </xf>
    <xf numFmtId="0" fontId="16" fillId="2" borderId="4" xfId="0" applyFont="1" applyFill="1" applyBorder="1">
      <alignment vertical="center"/>
    </xf>
    <xf numFmtId="0" fontId="17" fillId="2" borderId="6" xfId="0" applyFont="1" applyFill="1" applyBorder="1" applyAlignment="1">
      <alignment vertical="center"/>
    </xf>
    <xf numFmtId="0" fontId="0" fillId="2" borderId="5" xfId="0" applyFill="1" applyBorder="1" applyAlignment="1" applyProtection="1">
      <alignment vertical="center"/>
    </xf>
    <xf numFmtId="0" fontId="5" fillId="2" borderId="6" xfId="0" applyFont="1" applyFill="1" applyBorder="1" applyAlignment="1">
      <alignment horizontal="center" vertical="center"/>
    </xf>
    <xf numFmtId="0" fontId="7" fillId="2" borderId="0" xfId="0" applyFont="1" applyFill="1" applyBorder="1">
      <alignment vertical="center"/>
    </xf>
    <xf numFmtId="0" fontId="2" fillId="2" borderId="0" xfId="0" applyFont="1" applyFill="1" applyBorder="1" applyAlignment="1" applyProtection="1">
      <alignment horizontal="left" vertical="center"/>
    </xf>
    <xf numFmtId="0" fontId="2" fillId="2" borderId="6" xfId="0" applyFont="1" applyFill="1" applyBorder="1" applyAlignment="1" applyProtection="1">
      <alignment horizontal="left" vertical="center"/>
    </xf>
    <xf numFmtId="0" fontId="2" fillId="2" borderId="0" xfId="0" applyFont="1" applyFill="1" applyAlignment="1" applyProtection="1">
      <alignment horizontal="left" vertical="center"/>
    </xf>
    <xf numFmtId="0" fontId="2" fillId="14" borderId="9" xfId="3" applyBorder="1" applyAlignment="1" applyProtection="1">
      <alignment vertical="center" wrapText="1"/>
    </xf>
    <xf numFmtId="2" fontId="11" fillId="2" borderId="0" xfId="31" applyNumberFormat="1" applyFont="1" applyFill="1" applyBorder="1" applyProtection="1">
      <alignment horizontal="right" vertical="center"/>
    </xf>
    <xf numFmtId="0" fontId="31" fillId="2" borderId="0" xfId="0" applyFont="1" applyFill="1" applyBorder="1" applyProtection="1">
      <alignment vertical="center"/>
    </xf>
    <xf numFmtId="0" fontId="0" fillId="2" borderId="9" xfId="0" applyFill="1" applyBorder="1">
      <alignment vertical="center"/>
    </xf>
    <xf numFmtId="0" fontId="0" fillId="2" borderId="4" xfId="0" applyFill="1" applyBorder="1">
      <alignment vertical="center"/>
    </xf>
    <xf numFmtId="0" fontId="0" fillId="2" borderId="0" xfId="0" applyFill="1" applyBorder="1">
      <alignment vertical="center"/>
    </xf>
    <xf numFmtId="0" fontId="0" fillId="2" borderId="0" xfId="0" applyFill="1" applyBorder="1" applyAlignment="1">
      <alignment vertical="center"/>
    </xf>
    <xf numFmtId="170" fontId="0" fillId="2" borderId="9" xfId="29" applyFont="1" applyBorder="1">
      <alignment horizontal="center" vertical="center"/>
    </xf>
    <xf numFmtId="0" fontId="4" fillId="2" borderId="0" xfId="0" applyFont="1" applyFill="1" applyBorder="1" applyAlignment="1" applyProtection="1"/>
    <xf numFmtId="0" fontId="2" fillId="2" borderId="0" xfId="0" applyFont="1" applyFill="1" applyBorder="1" applyAlignment="1" applyProtection="1"/>
    <xf numFmtId="0" fontId="0" fillId="2" borderId="0" xfId="0" applyFont="1" applyFill="1" applyBorder="1" applyAlignment="1"/>
    <xf numFmtId="0" fontId="0" fillId="2" borderId="6" xfId="0" applyFont="1" applyFill="1" applyBorder="1" applyAlignment="1"/>
    <xf numFmtId="0" fontId="0" fillId="2" borderId="0" xfId="0" applyFont="1" applyFill="1" applyAlignment="1"/>
    <xf numFmtId="0" fontId="0" fillId="2" borderId="0" xfId="0" applyFont="1" applyFill="1" applyAlignment="1">
      <alignment vertical="center"/>
    </xf>
    <xf numFmtId="0" fontId="0" fillId="2" borderId="6" xfId="0" applyFont="1" applyFill="1" applyBorder="1" applyAlignment="1">
      <alignment vertical="center"/>
    </xf>
    <xf numFmtId="0" fontId="0" fillId="2" borderId="2" xfId="0" applyFont="1" applyFill="1" applyBorder="1" applyAlignment="1">
      <alignment vertical="center"/>
    </xf>
    <xf numFmtId="0" fontId="2" fillId="2" borderId="0" xfId="0" applyFont="1" applyFill="1" applyBorder="1" applyAlignment="1">
      <alignment vertical="center"/>
    </xf>
    <xf numFmtId="0" fontId="0" fillId="2" borderId="0" xfId="0" applyFont="1" applyFill="1" applyAlignment="1">
      <alignment vertical="center"/>
    </xf>
    <xf numFmtId="0" fontId="0" fillId="2" borderId="6" xfId="0" applyFont="1" applyFill="1" applyBorder="1" applyAlignment="1">
      <alignment vertical="center"/>
    </xf>
    <xf numFmtId="0" fontId="0" fillId="2" borderId="2" xfId="0" applyFont="1" applyFill="1" applyBorder="1" applyAlignment="1">
      <alignment vertical="center"/>
    </xf>
    <xf numFmtId="0" fontId="2" fillId="2" borderId="0" xfId="0" applyFont="1" applyFill="1" applyBorder="1" applyAlignment="1">
      <alignment vertical="center"/>
    </xf>
    <xf numFmtId="0" fontId="0" fillId="2" borderId="0" xfId="0" applyFont="1" applyFill="1" applyAlignment="1">
      <alignment vertical="center"/>
    </xf>
    <xf numFmtId="0" fontId="0" fillId="2" borderId="0" xfId="0"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xf>
    <xf numFmtId="0" fontId="0" fillId="2" borderId="0" xfId="0" applyFill="1">
      <alignment vertical="center"/>
    </xf>
    <xf numFmtId="0" fontId="0" fillId="2" borderId="9" xfId="0" applyFont="1" applyFill="1" applyBorder="1">
      <alignment vertical="center"/>
    </xf>
    <xf numFmtId="0" fontId="0" fillId="2" borderId="0" xfId="0" applyFont="1" applyFill="1" applyBorder="1">
      <alignment vertical="center"/>
    </xf>
    <xf numFmtId="0" fontId="0" fillId="2" borderId="6" xfId="0" applyFont="1" applyFill="1" applyBorder="1">
      <alignment vertical="center"/>
    </xf>
    <xf numFmtId="0" fontId="0" fillId="2" borderId="2" xfId="0" applyFont="1" applyFill="1" applyBorder="1">
      <alignment vertical="center"/>
    </xf>
    <xf numFmtId="0" fontId="0" fillId="2" borderId="0" xfId="0" applyFill="1">
      <alignment vertical="center"/>
    </xf>
    <xf numFmtId="0" fontId="0" fillId="2" borderId="0" xfId="0" applyFont="1" applyFill="1" applyAlignment="1">
      <alignment vertical="center"/>
    </xf>
    <xf numFmtId="0" fontId="2" fillId="2" borderId="0" xfId="0" applyFont="1" applyFill="1" applyProtection="1">
      <alignment vertical="center"/>
    </xf>
    <xf numFmtId="0" fontId="0" fillId="2" borderId="6" xfId="0" applyFont="1" applyFill="1" applyBorder="1">
      <alignment vertical="center"/>
    </xf>
    <xf numFmtId="0" fontId="0" fillId="2" borderId="2" xfId="0" applyFont="1" applyFill="1" applyBorder="1">
      <alignment vertical="center"/>
    </xf>
    <xf numFmtId="0" fontId="2" fillId="2" borderId="0" xfId="0" applyFont="1" applyFill="1" applyBorder="1" applyAlignment="1">
      <alignment vertical="center"/>
    </xf>
    <xf numFmtId="0" fontId="0" fillId="2" borderId="6" xfId="0" applyFont="1" applyFill="1" applyBorder="1" applyProtection="1">
      <alignment vertical="center"/>
    </xf>
    <xf numFmtId="0" fontId="0" fillId="2" borderId="10" xfId="0" applyFill="1" applyBorder="1">
      <alignment vertical="center"/>
    </xf>
    <xf numFmtId="0" fontId="0" fillId="2" borderId="2" xfId="0" applyFill="1" applyBorder="1">
      <alignment vertical="center"/>
    </xf>
    <xf numFmtId="0" fontId="4" fillId="2" borderId="9" xfId="5" applyFont="1" applyFill="1" applyBorder="1" applyAlignment="1">
      <alignment horizontal="center" vertical="center" wrapText="1"/>
    </xf>
    <xf numFmtId="0" fontId="4" fillId="2" borderId="9" xfId="5" applyFont="1" applyFill="1" applyBorder="1" applyAlignment="1" applyProtection="1">
      <alignment horizontal="center" vertical="center" wrapText="1"/>
    </xf>
    <xf numFmtId="3" fontId="2" fillId="43" borderId="23" xfId="11" applyFont="1" applyBorder="1">
      <alignment horizontal="right" vertical="center"/>
      <protection locked="0"/>
    </xf>
    <xf numFmtId="3" fontId="2" fillId="43" borderId="25" xfId="11" applyFont="1" applyBorder="1">
      <alignment horizontal="right" vertical="center"/>
      <protection locked="0"/>
    </xf>
    <xf numFmtId="0" fontId="2" fillId="14" borderId="25" xfId="3" applyFont="1" applyBorder="1">
      <alignment horizontal="center" vertical="center"/>
    </xf>
    <xf numFmtId="0" fontId="2" fillId="14" borderId="27" xfId="3" applyFont="1" applyBorder="1">
      <alignment horizontal="center" vertical="center"/>
    </xf>
    <xf numFmtId="0" fontId="0" fillId="2" borderId="5" xfId="0" applyFont="1" applyFill="1" applyBorder="1" applyProtection="1">
      <alignment vertical="center"/>
    </xf>
    <xf numFmtId="0" fontId="2" fillId="14" borderId="28" xfId="3" applyFont="1" applyBorder="1">
      <alignment horizontal="center" vertical="center"/>
    </xf>
    <xf numFmtId="0" fontId="0" fillId="14" borderId="37" xfId="3" applyFont="1" applyBorder="1">
      <alignment horizontal="center" vertical="center"/>
    </xf>
    <xf numFmtId="0" fontId="0" fillId="14" borderId="41" xfId="3" applyFont="1" applyBorder="1">
      <alignment horizontal="center" vertical="center"/>
    </xf>
    <xf numFmtId="0" fontId="2" fillId="14" borderId="42" xfId="3" applyFont="1" applyBorder="1">
      <alignment horizontal="center" vertical="center"/>
    </xf>
    <xf numFmtId="0" fontId="2" fillId="14" borderId="41" xfId="3" applyFont="1" applyBorder="1">
      <alignment horizontal="center" vertical="center"/>
    </xf>
    <xf numFmtId="3" fontId="2" fillId="43" borderId="41" xfId="11" applyFont="1" applyBorder="1">
      <alignment horizontal="right" vertical="center"/>
      <protection locked="0"/>
    </xf>
    <xf numFmtId="3" fontId="2" fillId="43" borderId="37" xfId="11" applyFont="1" applyBorder="1">
      <alignment horizontal="right" vertical="center"/>
      <protection locked="0"/>
    </xf>
    <xf numFmtId="3" fontId="2" fillId="43" borderId="38" xfId="11" applyFont="1" applyBorder="1">
      <alignment horizontal="right" vertical="center"/>
      <protection locked="0"/>
    </xf>
    <xf numFmtId="0" fontId="2" fillId="2" borderId="34" xfId="0" applyFont="1" applyFill="1" applyBorder="1" applyAlignment="1" applyProtection="1">
      <alignment horizontal="left" vertical="center"/>
    </xf>
    <xf numFmtId="0" fontId="2" fillId="2" borderId="34" xfId="0" applyFont="1" applyFill="1" applyBorder="1" applyAlignment="1" applyProtection="1">
      <alignment horizontal="left" vertical="center" indent="1"/>
    </xf>
    <xf numFmtId="0" fontId="0" fillId="2" borderId="34" xfId="0" applyFont="1" applyFill="1" applyBorder="1" applyAlignment="1" applyProtection="1">
      <alignment horizontal="left" vertical="center"/>
    </xf>
    <xf numFmtId="0" fontId="2" fillId="2" borderId="30" xfId="0" applyFont="1" applyFill="1" applyBorder="1" applyAlignment="1" applyProtection="1">
      <alignment vertical="center"/>
    </xf>
    <xf numFmtId="49" fontId="2" fillId="16" borderId="37" xfId="56" applyFont="1" applyBorder="1" applyAlignment="1">
      <alignment horizontal="center" vertical="center"/>
    </xf>
    <xf numFmtId="0" fontId="2" fillId="2" borderId="31" xfId="0" applyFont="1" applyFill="1" applyBorder="1" applyAlignment="1" applyProtection="1">
      <alignment vertical="center"/>
    </xf>
    <xf numFmtId="1" fontId="2" fillId="16" borderId="41" xfId="48" applyFont="1" applyBorder="1" applyAlignment="1">
      <alignment horizontal="center" vertical="center"/>
    </xf>
    <xf numFmtId="0" fontId="2" fillId="16" borderId="41" xfId="55" applyFont="1" applyBorder="1">
      <alignment horizontal="center" vertical="center" wrapText="1"/>
    </xf>
    <xf numFmtId="1" fontId="2" fillId="16" borderId="41" xfId="48" applyBorder="1">
      <alignment horizontal="right" vertical="center"/>
    </xf>
    <xf numFmtId="0" fontId="0" fillId="2" borderId="31" xfId="0" applyFont="1" applyFill="1" applyBorder="1" applyAlignment="1" applyProtection="1">
      <alignment vertical="center"/>
    </xf>
    <xf numFmtId="10" fontId="2" fillId="16" borderId="41" xfId="54" applyBorder="1">
      <alignment horizontal="right" vertical="center"/>
    </xf>
    <xf numFmtId="0" fontId="2" fillId="2" borderId="31" xfId="0" applyFont="1" applyFill="1" applyBorder="1" applyAlignment="1" applyProtection="1">
      <alignment horizontal="left" vertical="center"/>
    </xf>
    <xf numFmtId="166" fontId="2" fillId="16" borderId="41" xfId="49" applyFont="1" applyBorder="1">
      <alignment vertical="center"/>
    </xf>
    <xf numFmtId="168" fontId="2" fillId="17" borderId="41" xfId="46" applyBorder="1">
      <alignment vertical="center"/>
    </xf>
    <xf numFmtId="0" fontId="2" fillId="2" borderId="31" xfId="0" applyFont="1" applyFill="1" applyBorder="1" applyAlignment="1" applyProtection="1">
      <alignment horizontal="left" vertical="center" indent="1"/>
    </xf>
    <xf numFmtId="0" fontId="0" fillId="2" borderId="31" xfId="0" applyFont="1" applyFill="1" applyBorder="1" applyAlignment="1" applyProtection="1">
      <alignment horizontal="left" vertical="center"/>
    </xf>
    <xf numFmtId="3" fontId="2" fillId="14" borderId="41" xfId="3" applyNumberFormat="1" applyFont="1" applyBorder="1" applyAlignment="1" applyProtection="1">
      <alignment horizontal="center" vertical="center"/>
    </xf>
    <xf numFmtId="168" fontId="2" fillId="43" borderId="41" xfId="10" applyFont="1" applyBorder="1" applyAlignment="1" applyProtection="1">
      <alignment vertical="center"/>
      <protection locked="0"/>
    </xf>
    <xf numFmtId="49" fontId="2" fillId="43" borderId="41" xfId="19" applyFont="1" applyBorder="1" applyAlignment="1" applyProtection="1">
      <alignment horizontal="right" vertical="center"/>
      <protection locked="0"/>
    </xf>
    <xf numFmtId="0" fontId="2" fillId="2" borderId="32" xfId="0" applyFont="1" applyFill="1" applyBorder="1" applyAlignment="1">
      <alignment vertical="center"/>
    </xf>
    <xf numFmtId="0" fontId="2" fillId="43" borderId="38" xfId="18" applyFont="1" applyBorder="1" applyAlignment="1" applyProtection="1">
      <alignment horizontal="center" vertical="center" wrapText="1"/>
      <protection locked="0"/>
    </xf>
    <xf numFmtId="0" fontId="2" fillId="2" borderId="30" xfId="0" applyFont="1" applyFill="1" applyBorder="1" applyAlignment="1" applyProtection="1">
      <alignment horizontal="left" vertical="center"/>
    </xf>
    <xf numFmtId="0" fontId="2" fillId="43" borderId="37" xfId="18" applyFont="1" applyBorder="1" applyAlignment="1" applyProtection="1">
      <alignment horizontal="center" vertical="center" wrapText="1"/>
      <protection locked="0"/>
    </xf>
    <xf numFmtId="0" fontId="2" fillId="43" borderId="41" xfId="18" applyFont="1" applyBorder="1" applyAlignment="1" applyProtection="1">
      <alignment horizontal="center" vertical="center" wrapText="1"/>
      <protection locked="0"/>
    </xf>
    <xf numFmtId="0" fontId="2" fillId="2" borderId="32" xfId="0" applyFont="1" applyFill="1" applyBorder="1" applyAlignment="1" applyProtection="1">
      <alignment horizontal="left" vertical="center"/>
    </xf>
    <xf numFmtId="0" fontId="0" fillId="2" borderId="29" xfId="0" applyFont="1" applyFill="1" applyBorder="1" applyAlignment="1" applyProtection="1">
      <alignment horizontal="left" vertical="center"/>
    </xf>
    <xf numFmtId="3" fontId="2" fillId="43" borderId="36" xfId="11" applyFont="1" applyBorder="1" applyAlignment="1">
      <alignment horizontal="right" vertical="center"/>
      <protection locked="0"/>
    </xf>
    <xf numFmtId="0" fontId="0" fillId="2" borderId="30" xfId="0" applyFont="1" applyFill="1" applyBorder="1" applyAlignment="1" applyProtection="1">
      <alignment vertical="center" wrapText="1"/>
    </xf>
    <xf numFmtId="3" fontId="2" fillId="2" borderId="23" xfId="30" applyFont="1" applyBorder="1" applyAlignment="1">
      <alignment horizontal="right" vertical="center"/>
    </xf>
    <xf numFmtId="3" fontId="2" fillId="2" borderId="37" xfId="30" applyFont="1" applyBorder="1" applyAlignment="1">
      <alignment horizontal="right" vertical="center"/>
    </xf>
    <xf numFmtId="0" fontId="0" fillId="2" borderId="31" xfId="0" applyFont="1" applyFill="1" applyBorder="1" applyAlignment="1" applyProtection="1">
      <alignment horizontal="left" vertical="center" wrapText="1" indent="1"/>
    </xf>
    <xf numFmtId="3" fontId="2" fillId="2" borderId="25" xfId="30" applyFont="1" applyBorder="1" applyAlignment="1">
      <alignment horizontal="right" vertical="center"/>
    </xf>
    <xf numFmtId="3" fontId="2" fillId="2" borderId="41" xfId="30" applyFont="1" applyBorder="1" applyAlignment="1">
      <alignment horizontal="right" vertical="center"/>
    </xf>
    <xf numFmtId="0" fontId="2" fillId="2" borderId="31" xfId="0" applyFont="1" applyFill="1" applyBorder="1" applyAlignment="1" applyProtection="1">
      <alignment horizontal="left" vertical="center" wrapText="1" indent="2"/>
    </xf>
    <xf numFmtId="3" fontId="2" fillId="43" borderId="25" xfId="11" applyFont="1" applyBorder="1" applyAlignment="1" applyProtection="1">
      <alignment horizontal="right" vertical="center"/>
      <protection locked="0"/>
    </xf>
    <xf numFmtId="170" fontId="32" fillId="2" borderId="25" xfId="29" applyFont="1" applyBorder="1">
      <alignment horizontal="center" vertical="center"/>
    </xf>
    <xf numFmtId="0" fontId="2" fillId="2" borderId="32" xfId="0" applyFont="1" applyFill="1" applyBorder="1" applyAlignment="1" applyProtection="1">
      <alignment horizontal="left" vertical="center" wrapText="1"/>
    </xf>
    <xf numFmtId="3" fontId="2" fillId="14" borderId="27" xfId="3" applyNumberFormat="1" applyFont="1" applyBorder="1" applyAlignment="1" applyProtection="1">
      <alignment horizontal="center" vertical="center"/>
    </xf>
    <xf numFmtId="3" fontId="2" fillId="2" borderId="38" xfId="30" applyFont="1" applyBorder="1" applyAlignment="1">
      <alignment horizontal="right" vertical="center"/>
    </xf>
    <xf numFmtId="0" fontId="4" fillId="2" borderId="20" xfId="0" applyFont="1" applyFill="1" applyBorder="1" applyAlignment="1" applyProtection="1">
      <alignment horizontal="center" vertical="center"/>
    </xf>
    <xf numFmtId="0" fontId="4" fillId="2" borderId="36" xfId="0" applyFont="1" applyFill="1" applyBorder="1" applyAlignment="1" applyProtection="1">
      <alignment horizontal="center" vertical="center"/>
    </xf>
    <xf numFmtId="0" fontId="4" fillId="2" borderId="31" xfId="0" applyFont="1" applyFill="1" applyBorder="1" applyAlignment="1" applyProtection="1">
      <alignment vertical="center"/>
    </xf>
    <xf numFmtId="3" fontId="2" fillId="43" borderId="41" xfId="11" applyFont="1" applyBorder="1" applyAlignment="1" applyProtection="1">
      <alignment horizontal="right" vertical="center"/>
      <protection locked="0"/>
    </xf>
    <xf numFmtId="0" fontId="2" fillId="2" borderId="32" xfId="0" applyFont="1" applyFill="1" applyBorder="1" applyAlignment="1" applyProtection="1">
      <alignment horizontal="left" vertical="center" indent="1"/>
    </xf>
    <xf numFmtId="3" fontId="2" fillId="43" borderId="38" xfId="11" applyFont="1" applyBorder="1" applyAlignment="1" applyProtection="1">
      <alignment horizontal="right" vertical="center"/>
      <protection locked="0"/>
    </xf>
    <xf numFmtId="0" fontId="4" fillId="2" borderId="43" xfId="0" applyFont="1" applyFill="1" applyBorder="1" applyAlignment="1" applyProtection="1">
      <alignment vertical="center"/>
    </xf>
    <xf numFmtId="3" fontId="2" fillId="14" borderId="42" xfId="3" applyNumberFormat="1" applyFont="1" applyBorder="1" applyProtection="1">
      <alignment horizontal="center" vertical="center"/>
    </xf>
    <xf numFmtId="0" fontId="4" fillId="2" borderId="29" xfId="0" applyFont="1" applyFill="1" applyBorder="1" applyAlignment="1" applyProtection="1">
      <alignment horizontal="left" vertical="center"/>
    </xf>
    <xf numFmtId="0" fontId="2" fillId="2" borderId="30" xfId="0" applyFont="1" applyFill="1" applyBorder="1" applyAlignment="1">
      <alignment vertical="center"/>
    </xf>
    <xf numFmtId="3" fontId="2" fillId="2" borderId="23" xfId="30" applyFont="1" applyBorder="1">
      <alignment horizontal="right" vertical="center"/>
    </xf>
    <xf numFmtId="3" fontId="2" fillId="14" borderId="23" xfId="3" applyNumberFormat="1" applyFont="1" applyBorder="1" applyAlignment="1" applyProtection="1">
      <alignment horizontal="center" vertical="center"/>
    </xf>
    <xf numFmtId="3" fontId="2" fillId="14" borderId="37" xfId="3" applyNumberFormat="1" applyFont="1" applyBorder="1" applyAlignment="1" applyProtection="1">
      <alignment horizontal="center" vertical="center"/>
    </xf>
    <xf numFmtId="0" fontId="2" fillId="2" borderId="31" xfId="0" applyFont="1" applyFill="1" applyBorder="1" applyAlignment="1">
      <alignment horizontal="left" vertical="center" indent="1"/>
    </xf>
    <xf numFmtId="3" fontId="2" fillId="15" borderId="25" xfId="20" applyBorder="1" applyAlignment="1">
      <alignment horizontal="right" vertical="center"/>
      <protection locked="0"/>
    </xf>
    <xf numFmtId="3" fontId="2" fillId="14" borderId="25" xfId="3" applyNumberFormat="1" applyFont="1" applyBorder="1" applyAlignment="1" applyProtection="1">
      <alignment horizontal="center" vertical="center"/>
    </xf>
    <xf numFmtId="3" fontId="2" fillId="2" borderId="25" xfId="30" applyFont="1" applyBorder="1">
      <alignment horizontal="right" vertical="center"/>
    </xf>
    <xf numFmtId="0" fontId="2" fillId="2" borderId="31" xfId="0" applyFont="1" applyFill="1" applyBorder="1" applyAlignment="1">
      <alignment vertical="center"/>
    </xf>
    <xf numFmtId="0" fontId="2" fillId="2" borderId="31" xfId="0" applyFont="1" applyFill="1" applyBorder="1" applyAlignment="1">
      <alignment horizontal="left" vertical="center"/>
    </xf>
    <xf numFmtId="0" fontId="2" fillId="2" borderId="33" xfId="0" applyFont="1" applyFill="1" applyBorder="1" applyAlignment="1">
      <alignment vertical="center"/>
    </xf>
    <xf numFmtId="0" fontId="2" fillId="2" borderId="34" xfId="0" applyFont="1" applyFill="1" applyBorder="1" applyAlignment="1">
      <alignment horizontal="left" vertical="center" indent="1"/>
    </xf>
    <xf numFmtId="0" fontId="2" fillId="2" borderId="34" xfId="0" applyFont="1" applyFill="1" applyBorder="1" applyAlignment="1">
      <alignment vertical="center"/>
    </xf>
    <xf numFmtId="0" fontId="0" fillId="2" borderId="34" xfId="0" applyFont="1" applyFill="1" applyBorder="1" applyAlignment="1">
      <alignment vertical="center"/>
    </xf>
    <xf numFmtId="3" fontId="2" fillId="2" borderId="30" xfId="30" applyFont="1" applyBorder="1">
      <alignment horizontal="right" vertical="center"/>
    </xf>
    <xf numFmtId="3" fontId="2" fillId="2" borderId="31" xfId="30" applyFont="1" applyBorder="1">
      <alignment horizontal="right" vertical="center"/>
    </xf>
    <xf numFmtId="0" fontId="2" fillId="2" borderId="44" xfId="0" applyFont="1" applyFill="1" applyBorder="1" applyAlignment="1">
      <alignment horizontal="left" vertical="center"/>
    </xf>
    <xf numFmtId="3" fontId="2" fillId="15" borderId="45" xfId="20" applyBorder="1" applyAlignment="1">
      <alignment horizontal="right" vertical="center"/>
      <protection locked="0"/>
    </xf>
    <xf numFmtId="3" fontId="2" fillId="2" borderId="45" xfId="30" applyFont="1" applyBorder="1">
      <alignment horizontal="right" vertical="center"/>
    </xf>
    <xf numFmtId="3" fontId="2" fillId="14" borderId="45" xfId="3" applyNumberFormat="1" applyFont="1" applyBorder="1" applyAlignment="1" applyProtection="1">
      <alignment horizontal="center" vertical="center"/>
    </xf>
    <xf numFmtId="3" fontId="2" fillId="14" borderId="47" xfId="3" applyNumberFormat="1" applyFont="1" applyBorder="1" applyAlignment="1" applyProtection="1">
      <alignment horizontal="center" vertical="center"/>
    </xf>
    <xf numFmtId="0" fontId="4" fillId="2" borderId="9" xfId="0" applyFont="1" applyFill="1" applyBorder="1" applyAlignment="1">
      <alignment vertical="center"/>
    </xf>
    <xf numFmtId="3" fontId="4" fillId="2" borderId="20" xfId="30" applyFont="1" applyBorder="1">
      <alignment horizontal="right" vertical="center"/>
    </xf>
    <xf numFmtId="3" fontId="2" fillId="14" borderId="20" xfId="3" applyNumberFormat="1" applyFont="1" applyBorder="1" applyAlignment="1" applyProtection="1">
      <alignment horizontal="center" vertical="center"/>
    </xf>
    <xf numFmtId="3" fontId="2" fillId="14" borderId="36" xfId="3" applyNumberFormat="1" applyFont="1" applyBorder="1" applyAlignment="1" applyProtection="1">
      <alignment horizontal="center" vertical="center"/>
    </xf>
    <xf numFmtId="3" fontId="2" fillId="2" borderId="37" xfId="30" applyFont="1" applyBorder="1">
      <alignment horizontal="right" vertical="center"/>
    </xf>
    <xf numFmtId="3" fontId="4" fillId="2" borderId="36" xfId="30" applyFont="1" applyBorder="1">
      <alignment horizontal="right" vertical="center"/>
    </xf>
    <xf numFmtId="0" fontId="0" fillId="2" borderId="30" xfId="0" applyFont="1" applyFill="1" applyBorder="1" applyAlignment="1">
      <alignment vertical="center"/>
    </xf>
    <xf numFmtId="0" fontId="0" fillId="2" borderId="31" xfId="0" applyFont="1" applyFill="1" applyBorder="1" applyAlignment="1">
      <alignment horizontal="left" vertical="center" indent="1"/>
    </xf>
    <xf numFmtId="0" fontId="0" fillId="2" borderId="33" xfId="0" applyFont="1" applyFill="1" applyBorder="1" applyAlignment="1">
      <alignment vertical="center"/>
    </xf>
    <xf numFmtId="0" fontId="0" fillId="2" borderId="34" xfId="0" applyFont="1" applyFill="1" applyBorder="1" applyAlignment="1">
      <alignment horizontal="left" vertical="center" indent="1"/>
    </xf>
    <xf numFmtId="3" fontId="2" fillId="14" borderId="48" xfId="3" applyNumberFormat="1" applyFont="1" applyBorder="1" applyAlignment="1" applyProtection="1">
      <alignment horizontal="center" vertical="center"/>
    </xf>
    <xf numFmtId="3" fontId="2" fillId="14" borderId="49" xfId="3" applyNumberFormat="1" applyFont="1" applyBorder="1" applyAlignment="1" applyProtection="1">
      <alignment horizontal="center" vertical="center"/>
    </xf>
    <xf numFmtId="0" fontId="2" fillId="45" borderId="9" xfId="9" applyFont="1" applyBorder="1" applyProtection="1">
      <alignment horizontal="left" vertical="center"/>
    </xf>
    <xf numFmtId="3" fontId="2" fillId="15" borderId="23" xfId="20" applyBorder="1" applyAlignment="1">
      <alignment horizontal="right" vertical="center"/>
      <protection locked="0"/>
    </xf>
    <xf numFmtId="3" fontId="2" fillId="43" borderId="23" xfId="11" applyFont="1" applyBorder="1" applyAlignment="1" applyProtection="1">
      <alignment horizontal="right" vertical="center"/>
      <protection locked="0"/>
    </xf>
    <xf numFmtId="3" fontId="2" fillId="14" borderId="25" xfId="3" applyNumberFormat="1" applyFont="1" applyBorder="1">
      <alignment horizontal="center" vertical="center"/>
    </xf>
    <xf numFmtId="3" fontId="2" fillId="14" borderId="41" xfId="3" applyNumberFormat="1" applyFont="1" applyBorder="1">
      <alignment horizontal="center" vertical="center"/>
    </xf>
    <xf numFmtId="0" fontId="0" fillId="2" borderId="31" xfId="0" applyFont="1" applyFill="1" applyBorder="1" applyAlignment="1" applyProtection="1">
      <alignment horizontal="left" vertical="center" indent="1"/>
    </xf>
    <xf numFmtId="3" fontId="0" fillId="2" borderId="25" xfId="30" applyFont="1" applyBorder="1" applyAlignment="1">
      <alignment horizontal="right" vertical="center"/>
    </xf>
    <xf numFmtId="0" fontId="2" fillId="2" borderId="32" xfId="0" applyFont="1" applyFill="1" applyBorder="1" applyAlignment="1">
      <alignment horizontal="left" vertical="center"/>
    </xf>
    <xf numFmtId="3" fontId="2" fillId="15" borderId="27" xfId="20" applyBorder="1" applyAlignment="1">
      <alignment horizontal="right" vertical="center"/>
      <protection locked="0"/>
    </xf>
    <xf numFmtId="3" fontId="2" fillId="43" borderId="27" xfId="11" applyFont="1" applyBorder="1" applyAlignment="1" applyProtection="1">
      <alignment horizontal="right" vertical="center"/>
      <protection locked="0"/>
    </xf>
    <xf numFmtId="3" fontId="2" fillId="14" borderId="38" xfId="3" applyNumberFormat="1" applyFont="1" applyBorder="1">
      <alignment horizontal="center" vertical="center"/>
    </xf>
    <xf numFmtId="0" fontId="0" fillId="2" borderId="33" xfId="0" applyFont="1" applyFill="1" applyBorder="1" applyAlignment="1" applyProtection="1">
      <alignment horizontal="left" vertical="center"/>
    </xf>
    <xf numFmtId="0" fontId="0" fillId="2" borderId="34" xfId="0" applyFont="1" applyFill="1" applyBorder="1" applyAlignment="1" applyProtection="1">
      <alignment horizontal="left" vertical="center" indent="1"/>
    </xf>
    <xf numFmtId="0" fontId="2" fillId="2" borderId="34" xfId="0" applyFont="1" applyFill="1" applyBorder="1" applyAlignment="1" applyProtection="1">
      <alignment horizontal="left" vertical="center" indent="2"/>
    </xf>
    <xf numFmtId="0" fontId="2" fillId="2" borderId="35" xfId="0" applyFont="1" applyFill="1" applyBorder="1" applyAlignment="1">
      <alignment horizontal="left" vertical="center"/>
    </xf>
    <xf numFmtId="0" fontId="0" fillId="2" borderId="44" xfId="0" applyFont="1" applyFill="1" applyBorder="1" applyAlignment="1">
      <alignment horizontal="left" vertical="center" indent="1"/>
    </xf>
    <xf numFmtId="0" fontId="2" fillId="2" borderId="44" xfId="0" applyFont="1" applyFill="1" applyBorder="1" applyAlignment="1">
      <alignment horizontal="left" vertical="center" indent="1"/>
    </xf>
    <xf numFmtId="3" fontId="2" fillId="43" borderId="47" xfId="11" applyFont="1" applyBorder="1" applyAlignment="1" applyProtection="1">
      <alignment horizontal="right" vertical="center"/>
      <protection locked="0"/>
    </xf>
    <xf numFmtId="0" fontId="0" fillId="2" borderId="36" xfId="5" applyFont="1" applyBorder="1">
      <alignment horizontal="center" wrapText="1"/>
    </xf>
    <xf numFmtId="0" fontId="35" fillId="2" borderId="34" xfId="83" applyFill="1" applyBorder="1" applyAlignment="1">
      <alignment horizontal="left" vertical="center" wrapText="1" indent="1"/>
    </xf>
    <xf numFmtId="3" fontId="2" fillId="43" borderId="45" xfId="11" applyFont="1" applyBorder="1" applyAlignment="1" applyProtection="1">
      <alignment horizontal="right" vertical="center"/>
      <protection locked="0"/>
    </xf>
    <xf numFmtId="0" fontId="4" fillId="14" borderId="20" xfId="3" applyFont="1" applyBorder="1">
      <alignment horizontal="center" vertical="center"/>
    </xf>
    <xf numFmtId="3" fontId="4" fillId="45" borderId="20" xfId="6" applyFont="1" applyBorder="1">
      <alignment horizontal="right" vertical="center"/>
    </xf>
    <xf numFmtId="3" fontId="0" fillId="2" borderId="20" xfId="30" applyFont="1" applyBorder="1" applyAlignment="1">
      <alignment horizontal="right" vertical="center"/>
    </xf>
    <xf numFmtId="3" fontId="2" fillId="14" borderId="20" xfId="3" applyNumberFormat="1" applyFont="1" applyBorder="1">
      <alignment horizontal="center" vertical="center"/>
    </xf>
    <xf numFmtId="3" fontId="2" fillId="14" borderId="36" xfId="3" applyNumberFormat="1" applyFont="1" applyBorder="1">
      <alignment horizontal="center" vertical="center"/>
    </xf>
    <xf numFmtId="0" fontId="2" fillId="2" borderId="29" xfId="0" applyFont="1" applyFill="1" applyBorder="1" applyAlignment="1" applyProtection="1">
      <alignment vertical="center"/>
    </xf>
    <xf numFmtId="0" fontId="2" fillId="2" borderId="30" xfId="0" applyFont="1" applyFill="1" applyBorder="1" applyAlignment="1" applyProtection="1">
      <alignment vertical="center" wrapText="1"/>
    </xf>
    <xf numFmtId="3" fontId="2" fillId="15" borderId="37" xfId="20" applyBorder="1" applyAlignment="1">
      <alignment horizontal="right" vertical="center"/>
      <protection locked="0"/>
    </xf>
    <xf numFmtId="0" fontId="2" fillId="2" borderId="32" xfId="0" applyFont="1" applyFill="1" applyBorder="1" applyAlignment="1" applyProtection="1">
      <alignment vertical="center" wrapText="1"/>
    </xf>
    <xf numFmtId="3" fontId="2" fillId="15" borderId="38" xfId="20" applyBorder="1" applyAlignment="1">
      <alignment horizontal="right" vertical="center"/>
      <protection locked="0"/>
    </xf>
    <xf numFmtId="0" fontId="33" fillId="2" borderId="36" xfId="0" applyFont="1" applyFill="1" applyBorder="1" applyAlignment="1" applyProtection="1">
      <alignment horizontal="center" vertical="center" wrapText="1"/>
    </xf>
    <xf numFmtId="3" fontId="2" fillId="15" borderId="41" xfId="20" applyBorder="1" applyAlignment="1">
      <alignment horizontal="right" vertical="center"/>
      <protection locked="0"/>
    </xf>
    <xf numFmtId="0" fontId="4" fillId="2" borderId="29" xfId="0" applyFont="1" applyFill="1" applyBorder="1" applyAlignment="1" applyProtection="1">
      <alignment vertical="center" wrapText="1"/>
    </xf>
    <xf numFmtId="3" fontId="0" fillId="2" borderId="36" xfId="30" applyFont="1" applyBorder="1" applyAlignment="1">
      <alignment horizontal="right" vertical="center"/>
    </xf>
    <xf numFmtId="0" fontId="2" fillId="2" borderId="29" xfId="0" applyFont="1" applyFill="1" applyBorder="1" applyAlignment="1">
      <alignment vertical="center"/>
    </xf>
    <xf numFmtId="171" fontId="2" fillId="15" borderId="41" xfId="25" applyBorder="1">
      <alignment horizontal="right" vertical="center"/>
      <protection locked="0"/>
    </xf>
    <xf numFmtId="171" fontId="2" fillId="15" borderId="37" xfId="25" applyBorder="1">
      <alignment horizontal="right" vertical="center"/>
      <protection locked="0"/>
    </xf>
    <xf numFmtId="171" fontId="2" fillId="15" borderId="38" xfId="25" applyBorder="1">
      <alignment horizontal="right" vertical="center"/>
      <protection locked="0"/>
    </xf>
    <xf numFmtId="0" fontId="2" fillId="2" borderId="46" xfId="0" applyFont="1" applyFill="1" applyBorder="1" applyAlignment="1">
      <alignment vertical="center"/>
    </xf>
    <xf numFmtId="171" fontId="2" fillId="15" borderId="47" xfId="25" applyBorder="1">
      <alignment horizontal="right" vertical="center"/>
      <protection locked="0"/>
    </xf>
    <xf numFmtId="3" fontId="2" fillId="43" borderId="37" xfId="11" applyBorder="1">
      <alignment horizontal="right" vertical="center"/>
      <protection locked="0"/>
    </xf>
    <xf numFmtId="3" fontId="2" fillId="43" borderId="41" xfId="11" applyBorder="1">
      <alignment horizontal="right" vertical="center"/>
      <protection locked="0"/>
    </xf>
    <xf numFmtId="3" fontId="2" fillId="43" borderId="38" xfId="11" applyBorder="1">
      <alignment horizontal="right" vertical="center"/>
      <protection locked="0"/>
    </xf>
    <xf numFmtId="0" fontId="4" fillId="2" borderId="29" xfId="0" applyFont="1" applyFill="1" applyBorder="1" applyAlignment="1">
      <alignment vertical="center"/>
    </xf>
    <xf numFmtId="3" fontId="2" fillId="2" borderId="36" xfId="30" applyFont="1" applyBorder="1">
      <alignment horizontal="right" vertical="center"/>
    </xf>
    <xf numFmtId="0" fontId="4" fillId="2" borderId="0" xfId="0" applyFont="1" applyFill="1" applyBorder="1" applyAlignment="1">
      <alignment vertical="center"/>
    </xf>
    <xf numFmtId="170" fontId="32" fillId="2" borderId="41" xfId="29" applyFont="1" applyBorder="1">
      <alignment horizontal="center" vertical="center"/>
    </xf>
    <xf numFmtId="170" fontId="32" fillId="2" borderId="38" xfId="29" applyFont="1" applyBorder="1">
      <alignment horizontal="center" vertical="center"/>
    </xf>
    <xf numFmtId="168" fontId="2" fillId="43" borderId="41" xfId="10" applyBorder="1">
      <alignment vertical="center"/>
      <protection locked="0"/>
    </xf>
    <xf numFmtId="168" fontId="2" fillId="43" borderId="38" xfId="10" applyBorder="1">
      <alignment vertical="center"/>
      <protection locked="0"/>
    </xf>
    <xf numFmtId="0" fontId="0" fillId="2" borderId="46" xfId="0" applyFont="1" applyFill="1" applyBorder="1" applyAlignment="1">
      <alignment vertical="center"/>
    </xf>
    <xf numFmtId="3" fontId="2" fillId="43" borderId="47" xfId="11" applyBorder="1">
      <alignment horizontal="right" vertical="center"/>
      <protection locked="0"/>
    </xf>
    <xf numFmtId="0" fontId="4" fillId="2" borderId="30" xfId="0" applyFont="1" applyFill="1" applyBorder="1" applyAlignment="1">
      <alignment vertical="center"/>
    </xf>
    <xf numFmtId="0" fontId="2" fillId="43" borderId="36" xfId="18" applyFont="1" applyBorder="1" applyAlignment="1" applyProtection="1">
      <alignment horizontal="center" vertical="center" wrapText="1"/>
      <protection locked="0"/>
    </xf>
    <xf numFmtId="3" fontId="2" fillId="43" borderId="25" xfId="11" applyBorder="1">
      <alignment horizontal="right" vertical="center"/>
      <protection locked="0"/>
    </xf>
    <xf numFmtId="3" fontId="2" fillId="43" borderId="27" xfId="11" applyBorder="1">
      <alignment horizontal="right" vertical="center"/>
      <protection locked="0"/>
    </xf>
    <xf numFmtId="3" fontId="2" fillId="2" borderId="28" xfId="30" applyBorder="1">
      <alignment horizontal="right" vertical="center"/>
    </xf>
    <xf numFmtId="3" fontId="2" fillId="2" borderId="42" xfId="30" applyBorder="1">
      <alignment horizontal="right" vertical="center"/>
    </xf>
    <xf numFmtId="0" fontId="0" fillId="2" borderId="32" xfId="0" applyFont="1" applyFill="1" applyBorder="1" applyAlignment="1" applyProtection="1">
      <alignment horizontal="left" vertical="center" indent="1"/>
    </xf>
    <xf numFmtId="0" fontId="0" fillId="2" borderId="29" xfId="0" applyFont="1" applyFill="1" applyBorder="1" applyAlignment="1">
      <alignment vertical="center"/>
    </xf>
    <xf numFmtId="3" fontId="2" fillId="43" borderId="20" xfId="11" applyBorder="1">
      <alignment horizontal="right" vertical="center"/>
      <protection locked="0"/>
    </xf>
    <xf numFmtId="3" fontId="2" fillId="43" borderId="36" xfId="11" applyBorder="1">
      <alignment horizontal="right" vertical="center"/>
      <protection locked="0"/>
    </xf>
    <xf numFmtId="3" fontId="0" fillId="45" borderId="38" xfId="6" applyFont="1" applyBorder="1" applyAlignment="1">
      <alignment horizontal="right" vertical="center"/>
    </xf>
    <xf numFmtId="0" fontId="2" fillId="2" borderId="43" xfId="0" applyFont="1" applyFill="1" applyBorder="1" applyAlignment="1">
      <alignment vertical="center"/>
    </xf>
    <xf numFmtId="3" fontId="2" fillId="14" borderId="28" xfId="3" applyNumberFormat="1" applyFont="1" applyBorder="1" applyAlignment="1" applyProtection="1">
      <alignment horizontal="center" vertical="center"/>
    </xf>
    <xf numFmtId="3" fontId="2" fillId="2" borderId="42" xfId="30" applyFont="1" applyBorder="1">
      <alignment horizontal="right" vertical="center"/>
    </xf>
    <xf numFmtId="3" fontId="0" fillId="45" borderId="27" xfId="6" applyFont="1" applyBorder="1">
      <alignment horizontal="right" vertical="center"/>
    </xf>
    <xf numFmtId="10" fontId="0" fillId="45" borderId="25" xfId="7" applyFont="1" applyBorder="1">
      <alignment horizontal="right" vertical="center"/>
    </xf>
    <xf numFmtId="10" fontId="0" fillId="45" borderId="41" xfId="7" applyFont="1" applyBorder="1">
      <alignment horizontal="right" vertical="center"/>
    </xf>
    <xf numFmtId="0" fontId="2" fillId="2" borderId="32" xfId="0" applyFont="1" applyFill="1" applyBorder="1" applyAlignment="1">
      <alignment horizontal="left" vertical="center" indent="1"/>
    </xf>
    <xf numFmtId="10" fontId="0" fillId="45" borderId="27" xfId="7" applyFont="1" applyBorder="1">
      <alignment horizontal="right" vertical="center"/>
    </xf>
    <xf numFmtId="10" fontId="0" fillId="45" borderId="38" xfId="7" applyFont="1" applyBorder="1">
      <alignment horizontal="right" vertical="center"/>
    </xf>
    <xf numFmtId="0" fontId="2" fillId="2" borderId="43" xfId="0" applyFont="1" applyFill="1" applyBorder="1" applyAlignment="1">
      <alignment horizontal="left" vertical="center" indent="1"/>
    </xf>
    <xf numFmtId="10" fontId="0" fillId="45" borderId="28" xfId="7" applyFont="1" applyBorder="1">
      <alignment horizontal="right" vertical="center"/>
    </xf>
    <xf numFmtId="10" fontId="0" fillId="45" borderId="42" xfId="7" applyFont="1" applyBorder="1">
      <alignment horizontal="right" vertical="center"/>
    </xf>
    <xf numFmtId="0" fontId="4" fillId="2" borderId="40" xfId="0" applyFont="1" applyFill="1" applyBorder="1" applyAlignment="1">
      <alignment horizontal="left" vertical="center"/>
    </xf>
    <xf numFmtId="0" fontId="0" fillId="2" borderId="43" xfId="0" applyFont="1" applyFill="1" applyBorder="1" applyAlignment="1">
      <alignment vertical="center"/>
    </xf>
    <xf numFmtId="0" fontId="4" fillId="2" borderId="51" xfId="0" applyFont="1" applyFill="1" applyBorder="1" applyAlignment="1" applyProtection="1">
      <alignment horizontal="center" vertical="center" wrapText="1"/>
    </xf>
    <xf numFmtId="0" fontId="2" fillId="14" borderId="8" xfId="3" applyBorder="1" applyAlignment="1" applyProtection="1">
      <alignment vertical="center" wrapText="1"/>
    </xf>
    <xf numFmtId="3" fontId="2" fillId="43" borderId="9" xfId="11" applyFont="1" applyBorder="1">
      <alignment horizontal="right" vertical="center"/>
      <protection locked="0"/>
    </xf>
    <xf numFmtId="3" fontId="2" fillId="2" borderId="9" xfId="30" applyFont="1" applyBorder="1" applyAlignment="1">
      <alignment horizontal="right" vertical="center"/>
    </xf>
    <xf numFmtId="3" fontId="2" fillId="45" borderId="9" xfId="6" applyFont="1" applyBorder="1" applyAlignment="1">
      <alignment horizontal="right" vertical="center"/>
    </xf>
    <xf numFmtId="0" fontId="2" fillId="2" borderId="23" xfId="0" applyFont="1" applyFill="1" applyBorder="1" applyAlignment="1" applyProtection="1">
      <alignment vertical="center" wrapText="1"/>
    </xf>
    <xf numFmtId="0" fontId="2" fillId="2" borderId="25" xfId="0" applyFont="1" applyFill="1" applyBorder="1" applyAlignment="1" applyProtection="1">
      <alignment vertical="center" wrapText="1"/>
    </xf>
    <xf numFmtId="0" fontId="0" fillId="2" borderId="25" xfId="0" applyFont="1" applyFill="1" applyBorder="1" applyAlignment="1" applyProtection="1">
      <alignment vertical="center" wrapText="1"/>
    </xf>
    <xf numFmtId="0" fontId="0" fillId="2" borderId="25" xfId="0" applyFont="1" applyFill="1" applyBorder="1" applyAlignment="1">
      <alignment horizontal="left" vertical="center" indent="1"/>
    </xf>
    <xf numFmtId="0" fontId="4" fillId="2" borderId="9" xfId="0" applyFont="1" applyFill="1" applyBorder="1" applyAlignment="1" applyProtection="1">
      <alignment horizontal="center" vertical="center"/>
    </xf>
    <xf numFmtId="0" fontId="2" fillId="45" borderId="49" xfId="9" applyFont="1" applyBorder="1" applyAlignment="1" applyProtection="1">
      <alignment vertical="center" wrapText="1"/>
    </xf>
    <xf numFmtId="3" fontId="2" fillId="45" borderId="8" xfId="6" applyFont="1" applyBorder="1" applyAlignment="1">
      <alignment horizontal="right" vertical="center"/>
    </xf>
    <xf numFmtId="0" fontId="0" fillId="2" borderId="27" xfId="0" applyFont="1" applyFill="1" applyBorder="1" applyAlignment="1">
      <alignment horizontal="left" vertical="center"/>
    </xf>
    <xf numFmtId="0" fontId="0" fillId="2" borderId="31" xfId="0" applyFont="1" applyFill="1" applyBorder="1" applyAlignment="1">
      <alignment horizontal="center" vertical="center"/>
    </xf>
    <xf numFmtId="0" fontId="4" fillId="2" borderId="25" xfId="0" applyFont="1" applyFill="1" applyBorder="1" applyAlignment="1" applyProtection="1">
      <alignment horizontal="left" vertical="center" wrapText="1"/>
    </xf>
    <xf numFmtId="0" fontId="2" fillId="14" borderId="31" xfId="3" applyBorder="1" applyAlignment="1" applyProtection="1">
      <alignment vertical="center" wrapText="1"/>
    </xf>
    <xf numFmtId="3" fontId="2" fillId="2" borderId="41" xfId="30" applyFont="1" applyFill="1" applyBorder="1" applyAlignment="1">
      <alignment horizontal="right" vertical="center"/>
    </xf>
    <xf numFmtId="0" fontId="2" fillId="2" borderId="25" xfId="0" applyFont="1" applyFill="1" applyBorder="1" applyAlignment="1" applyProtection="1">
      <alignment horizontal="left" vertical="center" wrapText="1" indent="1"/>
    </xf>
    <xf numFmtId="0" fontId="0" fillId="2" borderId="25" xfId="0" applyFont="1" applyFill="1" applyBorder="1" applyAlignment="1" applyProtection="1">
      <alignment horizontal="left" vertical="center" wrapText="1"/>
    </xf>
    <xf numFmtId="0" fontId="2" fillId="2" borderId="25" xfId="0" applyFont="1" applyFill="1" applyBorder="1" applyAlignment="1" applyProtection="1">
      <alignment horizontal="left" vertical="center" wrapText="1"/>
    </xf>
    <xf numFmtId="0" fontId="2" fillId="14" borderId="32" xfId="3" applyBorder="1" applyAlignment="1" applyProtection="1">
      <alignment vertical="center" wrapText="1"/>
    </xf>
    <xf numFmtId="0" fontId="0" fillId="2" borderId="43" xfId="0" applyFont="1" applyFill="1" applyBorder="1" applyAlignment="1">
      <alignment horizontal="center" vertical="center"/>
    </xf>
    <xf numFmtId="0" fontId="4" fillId="2" borderId="28" xfId="0" applyFont="1" applyFill="1" applyBorder="1" applyAlignment="1" applyProtection="1">
      <alignment horizontal="left" vertical="center" wrapText="1"/>
    </xf>
    <xf numFmtId="3" fontId="2" fillId="43" borderId="42" xfId="11" applyFont="1" applyBorder="1">
      <alignment horizontal="right" vertical="center"/>
      <protection locked="0"/>
    </xf>
    <xf numFmtId="0" fontId="4" fillId="2" borderId="29" xfId="0" applyFont="1" applyFill="1" applyBorder="1" applyAlignment="1">
      <alignment horizontal="center" wrapText="1"/>
    </xf>
    <xf numFmtId="0" fontId="4" fillId="2" borderId="20" xfId="0" applyFont="1" applyFill="1" applyBorder="1" applyAlignment="1">
      <alignment horizontal="center" wrapText="1"/>
    </xf>
    <xf numFmtId="0" fontId="4" fillId="2" borderId="36" xfId="0" applyFont="1" applyFill="1" applyBorder="1" applyAlignment="1">
      <alignment horizontal="center" wrapText="1"/>
    </xf>
    <xf numFmtId="0" fontId="2" fillId="2" borderId="45" xfId="0" applyFont="1" applyFill="1" applyBorder="1" applyAlignment="1" applyProtection="1">
      <alignment horizontal="left" vertical="center" wrapText="1"/>
    </xf>
    <xf numFmtId="3" fontId="2" fillId="2" borderId="47" xfId="30" applyFont="1" applyBorder="1" applyAlignment="1">
      <alignment horizontal="right" vertical="center"/>
    </xf>
    <xf numFmtId="0" fontId="4" fillId="45" borderId="20" xfId="9" applyFont="1" applyBorder="1" applyAlignment="1" applyProtection="1">
      <alignment vertical="center" wrapText="1"/>
    </xf>
    <xf numFmtId="3" fontId="2" fillId="45" borderId="36" xfId="6" applyFont="1" applyBorder="1" applyAlignment="1">
      <alignment horizontal="right" vertical="center"/>
    </xf>
    <xf numFmtId="0" fontId="2" fillId="14" borderId="30" xfId="3" applyBorder="1" applyAlignment="1" applyProtection="1">
      <alignment vertical="center" wrapText="1"/>
    </xf>
    <xf numFmtId="0" fontId="2" fillId="14" borderId="46" xfId="3" applyBorder="1" applyAlignment="1" applyProtection="1">
      <alignment vertical="center" wrapText="1"/>
    </xf>
    <xf numFmtId="0" fontId="2" fillId="14" borderId="29" xfId="3" applyBorder="1" applyAlignment="1" applyProtection="1">
      <alignment vertical="center" wrapText="1"/>
    </xf>
    <xf numFmtId="0" fontId="2" fillId="14" borderId="33" xfId="3" applyBorder="1" applyAlignment="1" applyProtection="1">
      <alignment vertical="center" wrapText="1"/>
    </xf>
    <xf numFmtId="0" fontId="0" fillId="2" borderId="34" xfId="0" applyFont="1" applyFill="1" applyBorder="1" applyAlignment="1">
      <alignment horizontal="center" vertical="center"/>
    </xf>
    <xf numFmtId="0" fontId="2" fillId="14" borderId="34" xfId="3" applyBorder="1" applyAlignment="1" applyProtection="1">
      <alignment vertical="center" wrapText="1"/>
    </xf>
    <xf numFmtId="0" fontId="2" fillId="14" borderId="35" xfId="3" applyBorder="1" applyAlignment="1" applyProtection="1">
      <alignment vertical="center" wrapText="1"/>
    </xf>
    <xf numFmtId="3" fontId="2" fillId="2" borderId="33" xfId="30" applyFont="1" applyBorder="1" applyAlignment="1">
      <alignment horizontal="right" vertical="center"/>
    </xf>
    <xf numFmtId="3" fontId="2" fillId="43" borderId="34" xfId="11" applyFont="1" applyBorder="1">
      <alignment horizontal="right" vertical="center"/>
      <protection locked="0"/>
    </xf>
    <xf numFmtId="3" fontId="2" fillId="2" borderId="34" xfId="30" applyFont="1" applyBorder="1" applyAlignment="1">
      <alignment horizontal="right" vertical="center"/>
    </xf>
    <xf numFmtId="3" fontId="2" fillId="2" borderId="35" xfId="30" applyFont="1" applyBorder="1" applyAlignment="1">
      <alignment horizontal="right" vertical="center"/>
    </xf>
    <xf numFmtId="0" fontId="4" fillId="2" borderId="23" xfId="0" applyFont="1" applyFill="1" applyBorder="1" applyAlignment="1" applyProtection="1">
      <alignment horizontal="left" vertical="center" wrapText="1"/>
    </xf>
    <xf numFmtId="0" fontId="2" fillId="2" borderId="27" xfId="0" applyFont="1" applyFill="1" applyBorder="1" applyAlignment="1" applyProtection="1">
      <alignment horizontal="left" vertical="center" wrapText="1" indent="1"/>
    </xf>
    <xf numFmtId="0" fontId="4" fillId="45" borderId="49" xfId="9" applyFont="1" applyBorder="1" applyAlignment="1" applyProtection="1">
      <alignment vertical="center" wrapText="1"/>
    </xf>
    <xf numFmtId="0" fontId="4" fillId="2" borderId="9" xfId="0" applyFont="1" applyFill="1" applyBorder="1" applyAlignment="1">
      <alignment horizontal="center" wrapText="1"/>
    </xf>
    <xf numFmtId="0" fontId="0" fillId="3" borderId="8" xfId="0" applyFont="1" applyFill="1" applyBorder="1" applyAlignment="1">
      <alignment vertical="center"/>
    </xf>
    <xf numFmtId="0" fontId="2" fillId="3" borderId="34" xfId="3" applyFill="1" applyBorder="1" applyAlignment="1" applyProtection="1">
      <alignment vertical="center" wrapText="1"/>
    </xf>
    <xf numFmtId="0" fontId="0" fillId="3" borderId="44" xfId="0" applyFont="1" applyFill="1" applyBorder="1" applyAlignment="1">
      <alignment vertical="center"/>
    </xf>
    <xf numFmtId="0" fontId="4" fillId="2" borderId="20" xfId="0" applyFont="1" applyFill="1" applyBorder="1" applyAlignment="1" applyProtection="1">
      <alignment vertical="center" wrapText="1"/>
    </xf>
    <xf numFmtId="0" fontId="2" fillId="14" borderId="9" xfId="3" applyBorder="1" applyAlignment="1" applyProtection="1">
      <alignment horizontal="center" vertical="center" wrapText="1"/>
    </xf>
    <xf numFmtId="0" fontId="2" fillId="14" borderId="8" xfId="3" applyBorder="1" applyAlignment="1" applyProtection="1">
      <alignment horizontal="center" vertical="center" wrapText="1"/>
    </xf>
    <xf numFmtId="0" fontId="2" fillId="14" borderId="0" xfId="3" applyBorder="1" applyAlignment="1" applyProtection="1">
      <alignment horizontal="center" vertical="center" wrapText="1"/>
    </xf>
    <xf numFmtId="0" fontId="4" fillId="2" borderId="20" xfId="0" applyFont="1" applyFill="1" applyBorder="1" applyAlignment="1" applyProtection="1">
      <alignment vertical="center"/>
    </xf>
    <xf numFmtId="0" fontId="4" fillId="2" borderId="20" xfId="0" applyFont="1" applyFill="1" applyBorder="1" applyAlignment="1">
      <alignment vertical="center"/>
    </xf>
    <xf numFmtId="0" fontId="0" fillId="2" borderId="33" xfId="0" applyFont="1" applyFill="1" applyBorder="1" applyAlignment="1">
      <alignment horizontal="center" vertical="center"/>
    </xf>
    <xf numFmtId="0" fontId="2" fillId="2" borderId="23" xfId="0" applyFont="1" applyFill="1" applyBorder="1" applyAlignment="1" applyProtection="1">
      <alignment horizontal="left" vertical="center" wrapText="1"/>
    </xf>
    <xf numFmtId="3" fontId="2" fillId="43" borderId="33" xfId="11" applyFont="1" applyBorder="1">
      <alignment horizontal="right" vertical="center"/>
      <protection locked="0"/>
    </xf>
    <xf numFmtId="0" fontId="0" fillId="2" borderId="35" xfId="0" applyFont="1" applyFill="1" applyBorder="1" applyAlignment="1">
      <alignment horizontal="center" vertical="center"/>
    </xf>
    <xf numFmtId="0" fontId="2" fillId="2" borderId="27" xfId="0" applyFont="1" applyFill="1" applyBorder="1" applyAlignment="1" applyProtection="1">
      <alignment horizontal="left" vertical="center" wrapText="1"/>
    </xf>
    <xf numFmtId="3" fontId="2" fillId="43" borderId="35" xfId="11" applyFont="1" applyBorder="1">
      <alignment horizontal="right" vertical="center"/>
      <protection locked="0"/>
    </xf>
    <xf numFmtId="0" fontId="0" fillId="2" borderId="27" xfId="0" applyFont="1" applyFill="1" applyBorder="1" applyAlignment="1" applyProtection="1">
      <alignment horizontal="left" vertical="center" wrapText="1"/>
    </xf>
    <xf numFmtId="0" fontId="2" fillId="14" borderId="33" xfId="3" applyBorder="1" applyAlignment="1" applyProtection="1">
      <alignment horizontal="center" vertical="center" wrapText="1"/>
    </xf>
    <xf numFmtId="0" fontId="4" fillId="2" borderId="23" xfId="0" applyFont="1" applyFill="1" applyBorder="1" applyAlignment="1" applyProtection="1">
      <alignment vertical="center"/>
    </xf>
    <xf numFmtId="0" fontId="2" fillId="2" borderId="34" xfId="0" applyFont="1" applyFill="1" applyBorder="1" applyAlignment="1" applyProtection="1">
      <alignment horizontal="center" vertical="center"/>
    </xf>
    <xf numFmtId="0" fontId="0" fillId="2" borderId="25" xfId="0" applyFont="1" applyFill="1" applyBorder="1" applyAlignment="1" applyProtection="1">
      <alignment vertical="center"/>
    </xf>
    <xf numFmtId="0" fontId="2" fillId="14" borderId="34" xfId="3" applyBorder="1" applyAlignment="1" applyProtection="1">
      <alignment horizontal="center" vertical="center" wrapText="1"/>
    </xf>
    <xf numFmtId="0" fontId="4" fillId="2" borderId="25" xfId="0" applyFont="1" applyFill="1" applyBorder="1" applyAlignment="1" applyProtection="1">
      <alignment vertical="center"/>
    </xf>
    <xf numFmtId="0" fontId="0" fillId="2" borderId="25" xfId="0" applyFont="1" applyFill="1" applyBorder="1" applyAlignment="1" applyProtection="1">
      <alignment horizontal="left" vertical="center" indent="1"/>
    </xf>
    <xf numFmtId="0" fontId="2" fillId="2" borderId="35" xfId="0" applyFont="1" applyFill="1" applyBorder="1" applyAlignment="1" applyProtection="1">
      <alignment horizontal="center" vertical="center"/>
    </xf>
    <xf numFmtId="0" fontId="0" fillId="2" borderId="27" xfId="0" applyFont="1" applyFill="1" applyBorder="1" applyAlignment="1" applyProtection="1">
      <alignment horizontal="left" vertical="center" indent="1"/>
    </xf>
    <xf numFmtId="0" fontId="2" fillId="14" borderId="35" xfId="3" applyBorder="1" applyAlignment="1" applyProtection="1">
      <alignment horizontal="center" vertical="center" wrapText="1"/>
    </xf>
    <xf numFmtId="0" fontId="4" fillId="2" borderId="27" xfId="0" applyFont="1" applyFill="1" applyBorder="1" applyAlignment="1" applyProtection="1">
      <alignment vertical="center"/>
    </xf>
    <xf numFmtId="0" fontId="2" fillId="2" borderId="33" xfId="0" applyFont="1" applyFill="1" applyBorder="1" applyAlignment="1" applyProtection="1">
      <alignment horizontal="center" vertical="center"/>
    </xf>
    <xf numFmtId="0" fontId="0" fillId="2" borderId="23" xfId="0" applyFont="1" applyFill="1" applyBorder="1" applyAlignment="1" applyProtection="1">
      <alignment vertical="center"/>
    </xf>
    <xf numFmtId="0" fontId="2" fillId="2" borderId="30" xfId="0" applyFont="1" applyFill="1" applyBorder="1" applyAlignment="1" applyProtection="1">
      <alignment horizontal="center" vertical="center"/>
    </xf>
    <xf numFmtId="0" fontId="2" fillId="2" borderId="23" xfId="0" applyFont="1" applyFill="1" applyBorder="1" applyAlignment="1" applyProtection="1">
      <alignment horizontal="left" vertical="center"/>
    </xf>
    <xf numFmtId="0" fontId="2" fillId="2" borderId="31" xfId="0" applyFont="1" applyFill="1" applyBorder="1" applyAlignment="1" applyProtection="1">
      <alignment horizontal="center" vertical="center"/>
    </xf>
    <xf numFmtId="0" fontId="2" fillId="2" borderId="25" xfId="0" applyFont="1" applyFill="1" applyBorder="1" applyAlignment="1" applyProtection="1">
      <alignment horizontal="left" vertical="center"/>
    </xf>
    <xf numFmtId="0" fontId="2" fillId="2" borderId="32" xfId="0" applyFont="1" applyFill="1" applyBorder="1" applyAlignment="1" applyProtection="1">
      <alignment horizontal="center" vertical="center"/>
    </xf>
    <xf numFmtId="0" fontId="2" fillId="2" borderId="27" xfId="0" applyFont="1" applyFill="1" applyBorder="1" applyAlignment="1" applyProtection="1">
      <alignment horizontal="left" vertical="center"/>
    </xf>
    <xf numFmtId="0" fontId="0" fillId="2" borderId="25" xfId="0" applyFont="1" applyFill="1" applyBorder="1" applyAlignment="1" applyProtection="1">
      <alignment horizontal="left" vertical="center" wrapText="1" indent="1"/>
    </xf>
    <xf numFmtId="0" fontId="4" fillId="2" borderId="25" xfId="0" applyFont="1" applyFill="1" applyBorder="1" applyAlignment="1" applyProtection="1">
      <alignment horizontal="left" vertical="center" wrapText="1" indent="1"/>
    </xf>
    <xf numFmtId="0" fontId="4" fillId="2" borderId="27" xfId="0" applyFont="1" applyFill="1" applyBorder="1" applyAlignment="1" applyProtection="1">
      <alignment horizontal="left" vertical="center" indent="1"/>
    </xf>
    <xf numFmtId="0" fontId="2" fillId="14" borderId="44" xfId="3" applyBorder="1" applyAlignment="1" applyProtection="1">
      <alignment horizontal="center" vertical="center" wrapText="1"/>
    </xf>
    <xf numFmtId="0" fontId="4" fillId="2" borderId="45" xfId="0" applyFont="1" applyFill="1" applyBorder="1" applyAlignment="1" applyProtection="1">
      <alignment horizontal="left" vertical="center" wrapText="1" indent="1"/>
    </xf>
    <xf numFmtId="3" fontId="2" fillId="2" borderId="44" xfId="30" applyFont="1" applyBorder="1" applyAlignment="1">
      <alignment horizontal="right" vertical="center"/>
    </xf>
    <xf numFmtId="0" fontId="0" fillId="2" borderId="23" xfId="0" applyFont="1" applyFill="1" applyBorder="1" applyAlignment="1">
      <alignment vertical="center"/>
    </xf>
    <xf numFmtId="3" fontId="2" fillId="0" borderId="33" xfId="30" applyFont="1" applyFill="1" applyBorder="1" applyAlignment="1">
      <alignment horizontal="right" vertical="center"/>
    </xf>
    <xf numFmtId="0" fontId="2" fillId="2" borderId="25" xfId="0" applyFont="1" applyFill="1" applyBorder="1" applyAlignment="1">
      <alignment horizontal="left" vertical="center" indent="1"/>
    </xf>
    <xf numFmtId="0" fontId="2" fillId="2" borderId="25" xfId="0" applyFont="1" applyFill="1" applyBorder="1" applyAlignment="1">
      <alignment horizontal="left" vertical="center" wrapText="1" indent="1"/>
    </xf>
    <xf numFmtId="0" fontId="2" fillId="2" borderId="27" xfId="0" applyFont="1" applyFill="1" applyBorder="1" applyAlignment="1">
      <alignment horizontal="left" vertical="center" indent="1"/>
    </xf>
    <xf numFmtId="0" fontId="4" fillId="2" borderId="48" xfId="0" applyFont="1" applyFill="1" applyBorder="1" applyAlignment="1">
      <alignment vertical="center" wrapText="1"/>
    </xf>
    <xf numFmtId="3" fontId="2" fillId="43" borderId="5" xfId="11" applyFont="1" applyBorder="1" applyAlignment="1">
      <alignment horizontal="right" vertical="center"/>
      <protection locked="0"/>
    </xf>
    <xf numFmtId="0" fontId="2" fillId="2" borderId="34" xfId="0" applyFont="1" applyFill="1" applyBorder="1" applyAlignment="1" applyProtection="1">
      <alignment horizontal="center" vertical="center" wrapText="1"/>
    </xf>
    <xf numFmtId="0" fontId="2" fillId="2" borderId="25" xfId="0" applyNumberFormat="1" applyFont="1" applyFill="1" applyBorder="1" applyAlignment="1">
      <alignment horizontal="left" vertical="center" wrapText="1" indent="1"/>
    </xf>
    <xf numFmtId="3" fontId="2" fillId="43" borderId="34" xfId="11" applyFont="1" applyBorder="1" applyAlignment="1">
      <alignment horizontal="right" vertical="center"/>
      <protection locked="0"/>
    </xf>
    <xf numFmtId="0" fontId="2" fillId="14" borderId="52" xfId="3" applyBorder="1" applyAlignment="1" applyProtection="1">
      <alignment horizontal="center" vertical="center" wrapText="1"/>
    </xf>
    <xf numFmtId="0" fontId="2" fillId="2" borderId="35" xfId="0" applyFont="1" applyFill="1" applyBorder="1" applyAlignment="1" applyProtection="1">
      <alignment horizontal="center" vertical="center" wrapText="1"/>
    </xf>
    <xf numFmtId="0" fontId="2" fillId="2" borderId="27" xfId="0" applyNumberFormat="1" applyFont="1" applyFill="1" applyBorder="1" applyAlignment="1">
      <alignment horizontal="left" vertical="center" wrapText="1"/>
    </xf>
    <xf numFmtId="3" fontId="2" fillId="43" borderId="35" xfId="11" applyFont="1" applyBorder="1" applyAlignment="1">
      <alignment horizontal="right" vertical="center"/>
      <protection locked="0"/>
    </xf>
    <xf numFmtId="0" fontId="0" fillId="2" borderId="25" xfId="0" applyFont="1" applyFill="1" applyBorder="1" applyAlignment="1">
      <alignment vertical="center"/>
    </xf>
    <xf numFmtId="0" fontId="0" fillId="2" borderId="27" xfId="0" applyFont="1" applyFill="1" applyBorder="1" applyAlignment="1">
      <alignment vertical="center"/>
    </xf>
    <xf numFmtId="0" fontId="4" fillId="2" borderId="49" xfId="0" applyFont="1" applyFill="1" applyBorder="1" applyAlignment="1" applyProtection="1">
      <alignment horizontal="left" vertical="center"/>
    </xf>
    <xf numFmtId="3" fontId="2" fillId="2" borderId="8" xfId="30" applyFont="1" applyBorder="1" applyAlignment="1">
      <alignment horizontal="right" vertical="center"/>
    </xf>
    <xf numFmtId="0" fontId="4" fillId="2" borderId="27" xfId="0" applyFont="1" applyFill="1" applyBorder="1" applyAlignment="1" applyProtection="1">
      <alignment horizontal="left" vertical="center"/>
    </xf>
    <xf numFmtId="0" fontId="4" fillId="2" borderId="49" xfId="0" applyFont="1" applyFill="1" applyBorder="1" applyAlignment="1" applyProtection="1">
      <alignment vertical="center"/>
    </xf>
    <xf numFmtId="0" fontId="4" fillId="2" borderId="23" xfId="0" applyFont="1" applyFill="1" applyBorder="1" applyAlignment="1" applyProtection="1">
      <alignment horizontal="left" vertical="center"/>
    </xf>
    <xf numFmtId="0" fontId="4" fillId="2" borderId="25" xfId="0" applyFont="1" applyFill="1" applyBorder="1" applyAlignment="1" applyProtection="1">
      <alignment horizontal="left" vertical="center"/>
    </xf>
    <xf numFmtId="0" fontId="2" fillId="2" borderId="25" xfId="0" applyFont="1" applyFill="1" applyBorder="1" applyAlignment="1" applyProtection="1">
      <alignment horizontal="left" vertical="center" indent="1"/>
    </xf>
    <xf numFmtId="0" fontId="2" fillId="2" borderId="27" xfId="0" applyFont="1" applyFill="1" applyBorder="1" applyAlignment="1" applyProtection="1">
      <alignment horizontal="left" vertical="center" indent="1"/>
    </xf>
    <xf numFmtId="3" fontId="2" fillId="2" borderId="34" xfId="30" applyNumberFormat="1" applyFont="1" applyBorder="1" applyAlignment="1">
      <alignment horizontal="right" vertical="center"/>
    </xf>
    <xf numFmtId="0" fontId="2" fillId="14" borderId="23" xfId="3" applyBorder="1" applyAlignment="1" applyProtection="1">
      <alignment vertical="center" wrapText="1"/>
    </xf>
    <xf numFmtId="0" fontId="2" fillId="14" borderId="25" xfId="3" applyBorder="1" applyAlignment="1" applyProtection="1">
      <alignment vertical="center" wrapText="1"/>
    </xf>
    <xf numFmtId="0" fontId="2" fillId="14" borderId="31" xfId="3" applyBorder="1" applyAlignment="1" applyProtection="1">
      <alignment horizontal="center" vertical="center" wrapText="1"/>
    </xf>
    <xf numFmtId="3" fontId="2" fillId="0" borderId="25" xfId="30" applyFont="1" applyFill="1" applyBorder="1" applyAlignment="1">
      <alignment horizontal="right" vertical="center"/>
    </xf>
    <xf numFmtId="3" fontId="2" fillId="0" borderId="41" xfId="30" applyFont="1" applyFill="1" applyBorder="1" applyAlignment="1">
      <alignment horizontal="right" vertical="center"/>
    </xf>
    <xf numFmtId="0" fontId="2" fillId="14" borderId="41" xfId="3" applyBorder="1" applyAlignment="1" applyProtection="1">
      <alignment vertical="center" wrapText="1"/>
    </xf>
    <xf numFmtId="0" fontId="2" fillId="14" borderId="32" xfId="3" applyBorder="1" applyAlignment="1" applyProtection="1">
      <alignment horizontal="center" vertical="center" wrapText="1"/>
    </xf>
    <xf numFmtId="0" fontId="2" fillId="14" borderId="27" xfId="3" applyBorder="1" applyAlignment="1" applyProtection="1">
      <alignment vertical="center" wrapText="1"/>
    </xf>
    <xf numFmtId="3" fontId="2" fillId="0" borderId="27" xfId="30" applyFont="1" applyFill="1" applyBorder="1" applyAlignment="1">
      <alignment horizontal="right" vertical="center"/>
    </xf>
    <xf numFmtId="3" fontId="2" fillId="0" borderId="38" xfId="30" applyFont="1" applyFill="1" applyBorder="1" applyAlignment="1">
      <alignment horizontal="right" vertical="center"/>
    </xf>
    <xf numFmtId="3" fontId="2" fillId="45" borderId="20" xfId="6" applyBorder="1" applyAlignment="1">
      <alignment horizontal="center"/>
    </xf>
    <xf numFmtId="3" fontId="2" fillId="45" borderId="36" xfId="6" applyBorder="1" applyAlignment="1">
      <alignment horizontal="center"/>
    </xf>
    <xf numFmtId="0" fontId="2" fillId="0" borderId="31" xfId="0" applyFont="1" applyFill="1" applyBorder="1" applyAlignment="1" applyProtection="1">
      <alignment horizontal="left" vertical="center" indent="1"/>
    </xf>
    <xf numFmtId="0" fontId="2" fillId="0" borderId="31" xfId="0" applyFont="1" applyFill="1" applyBorder="1" applyAlignment="1" applyProtection="1">
      <alignment vertical="center"/>
    </xf>
    <xf numFmtId="0" fontId="4" fillId="2" borderId="31" xfId="0" applyFont="1" applyFill="1" applyBorder="1" applyAlignment="1" applyProtection="1">
      <alignment horizontal="left" vertical="center"/>
    </xf>
    <xf numFmtId="0" fontId="2" fillId="14" borderId="30" xfId="3" applyBorder="1" applyAlignment="1" applyProtection="1">
      <alignment horizontal="center" vertical="center" wrapText="1"/>
    </xf>
    <xf numFmtId="3" fontId="4" fillId="45" borderId="23" xfId="6" applyFont="1" applyBorder="1" applyProtection="1">
      <alignment horizontal="right" vertical="center"/>
    </xf>
    <xf numFmtId="3" fontId="2" fillId="0" borderId="23" xfId="30" applyFont="1" applyFill="1" applyBorder="1" applyAlignment="1">
      <alignment horizontal="right" vertical="center"/>
    </xf>
    <xf numFmtId="3" fontId="2" fillId="0" borderId="37" xfId="30" applyFont="1" applyFill="1" applyBorder="1" applyAlignment="1">
      <alignment horizontal="right" vertical="center"/>
    </xf>
    <xf numFmtId="3" fontId="4" fillId="45" borderId="25" xfId="6" applyFont="1" applyBorder="1" applyProtection="1">
      <alignment horizontal="right" vertical="center"/>
    </xf>
    <xf numFmtId="3" fontId="4" fillId="45" borderId="27" xfId="6" applyFont="1" applyBorder="1" applyProtection="1">
      <alignment horizontal="right" vertical="center"/>
    </xf>
    <xf numFmtId="3" fontId="2" fillId="15" borderId="25" xfId="20" applyFont="1" applyBorder="1">
      <alignment horizontal="right" vertical="center"/>
      <protection locked="0"/>
    </xf>
    <xf numFmtId="0" fontId="0" fillId="2" borderId="30" xfId="0" applyFont="1" applyFill="1" applyBorder="1" applyAlignment="1">
      <alignment horizontal="center" vertical="center"/>
    </xf>
    <xf numFmtId="0" fontId="2" fillId="2" borderId="23" xfId="0" applyFont="1" applyFill="1" applyBorder="1" applyAlignment="1">
      <alignment vertical="center"/>
    </xf>
    <xf numFmtId="0" fontId="2" fillId="14" borderId="23" xfId="3" applyFont="1" applyBorder="1">
      <alignment horizontal="center" vertical="center"/>
    </xf>
    <xf numFmtId="0" fontId="2" fillId="14" borderId="37" xfId="3" applyFont="1" applyBorder="1">
      <alignment horizontal="center" vertical="center"/>
    </xf>
    <xf numFmtId="0" fontId="2" fillId="2" borderId="25" xfId="0" applyFont="1" applyFill="1" applyBorder="1" applyAlignment="1">
      <alignment vertical="center"/>
    </xf>
    <xf numFmtId="0" fontId="4" fillId="2" borderId="20" xfId="5" applyFont="1" applyFill="1" applyBorder="1" applyAlignment="1">
      <alignment horizontal="center" vertical="center" wrapText="1"/>
    </xf>
    <xf numFmtId="3" fontId="2" fillId="15" borderId="27" xfId="20" applyFont="1" applyBorder="1">
      <alignment horizontal="right" vertical="center"/>
      <protection locked="0"/>
    </xf>
    <xf numFmtId="3" fontId="2" fillId="15" borderId="38" xfId="20" applyFont="1" applyBorder="1">
      <alignment horizontal="right" vertical="center"/>
      <protection locked="0"/>
    </xf>
    <xf numFmtId="3" fontId="2" fillId="2" borderId="25" xfId="1" applyFont="1" applyBorder="1" applyAlignment="1" applyProtection="1">
      <alignment horizontal="center" vertical="center"/>
    </xf>
    <xf numFmtId="0" fontId="4" fillId="2" borderId="29" xfId="5" applyFont="1" applyFill="1" applyBorder="1" applyAlignment="1">
      <alignment horizontal="center" vertical="center" wrapText="1"/>
    </xf>
    <xf numFmtId="3" fontId="2" fillId="15" borderId="31" xfId="20" applyFont="1" applyBorder="1">
      <alignment horizontal="right" vertical="center"/>
      <protection locked="0"/>
    </xf>
    <xf numFmtId="0" fontId="2" fillId="14" borderId="31" xfId="3" applyFont="1" applyBorder="1">
      <alignment horizontal="center" vertical="center"/>
    </xf>
    <xf numFmtId="0" fontId="2" fillId="14" borderId="20" xfId="3" applyFont="1" applyBorder="1">
      <alignment horizontal="center" vertical="center"/>
    </xf>
    <xf numFmtId="0" fontId="2" fillId="14" borderId="36" xfId="3" applyFont="1" applyBorder="1">
      <alignment horizontal="center" vertical="center"/>
    </xf>
    <xf numFmtId="0" fontId="4" fillId="2" borderId="36" xfId="5" applyFont="1" applyFill="1" applyBorder="1" applyAlignment="1">
      <alignment horizontal="center" vertical="center" wrapText="1"/>
    </xf>
    <xf numFmtId="0" fontId="2" fillId="14" borderId="32" xfId="3" applyFont="1" applyBorder="1">
      <alignment horizontal="center" vertical="center"/>
    </xf>
    <xf numFmtId="3" fontId="2" fillId="2" borderId="9" xfId="1" applyFont="1" applyBorder="1" applyAlignment="1" applyProtection="1">
      <alignment horizontal="center" vertical="center"/>
    </xf>
    <xf numFmtId="0" fontId="2" fillId="14" borderId="45" xfId="3" applyFont="1" applyBorder="1">
      <alignment horizontal="center" vertical="center"/>
    </xf>
    <xf numFmtId="3" fontId="2" fillId="43" borderId="45" xfId="11" applyFont="1" applyBorder="1">
      <alignment horizontal="right" vertical="center"/>
      <protection locked="0"/>
    </xf>
    <xf numFmtId="0" fontId="2" fillId="14" borderId="47" xfId="3" applyFont="1" applyBorder="1">
      <alignment horizontal="center" vertical="center"/>
    </xf>
    <xf numFmtId="0" fontId="2" fillId="14" borderId="46" xfId="3" applyFont="1" applyBorder="1">
      <alignment horizontal="center" vertical="center"/>
    </xf>
    <xf numFmtId="0" fontId="2" fillId="45" borderId="20" xfId="9" applyFont="1" applyBorder="1">
      <alignment horizontal="left" vertical="center"/>
    </xf>
    <xf numFmtId="3" fontId="2" fillId="45" borderId="20" xfId="6" applyFont="1" applyBorder="1">
      <alignment horizontal="right" vertical="center"/>
    </xf>
    <xf numFmtId="3" fontId="2" fillId="45" borderId="29" xfId="6" applyFont="1" applyBorder="1">
      <alignment horizontal="right" vertical="center"/>
    </xf>
    <xf numFmtId="0" fontId="2" fillId="2" borderId="45" xfId="0" applyFont="1" applyFill="1" applyBorder="1" applyAlignment="1">
      <alignment vertical="center"/>
    </xf>
    <xf numFmtId="0" fontId="2" fillId="14" borderId="29" xfId="3" applyFont="1" applyBorder="1">
      <alignment horizontal="center" vertical="center"/>
    </xf>
    <xf numFmtId="0" fontId="4" fillId="2" borderId="48" xfId="5" applyFont="1" applyFill="1" applyBorder="1" applyAlignment="1">
      <alignment horizontal="center" vertical="center" wrapText="1"/>
    </xf>
    <xf numFmtId="0" fontId="33" fillId="2" borderId="50" xfId="0" applyFont="1" applyFill="1" applyBorder="1" applyAlignment="1" applyProtection="1">
      <alignment horizontal="center" vertical="center" wrapText="1"/>
    </xf>
    <xf numFmtId="0" fontId="4" fillId="2" borderId="39" xfId="5" applyFont="1" applyFill="1" applyBorder="1" applyAlignment="1">
      <alignment horizontal="center" vertical="center" wrapText="1"/>
    </xf>
    <xf numFmtId="0" fontId="2" fillId="14" borderId="30" xfId="3" applyFont="1" applyBorder="1">
      <alignment horizontal="center" vertical="center"/>
    </xf>
    <xf numFmtId="3" fontId="2" fillId="15" borderId="41" xfId="20" applyFont="1" applyBorder="1">
      <alignment horizontal="right" vertical="center"/>
      <protection locked="0"/>
    </xf>
    <xf numFmtId="49" fontId="2" fillId="2" borderId="25" xfId="0" applyNumberFormat="1" applyFont="1" applyFill="1" applyBorder="1" applyAlignment="1">
      <alignment horizontal="left" vertical="center"/>
    </xf>
    <xf numFmtId="0" fontId="2" fillId="2" borderId="27" xfId="0" applyFont="1" applyFill="1" applyBorder="1" applyAlignment="1">
      <alignment vertical="center"/>
    </xf>
    <xf numFmtId="0" fontId="2" fillId="2" borderId="28" xfId="0" applyFont="1" applyFill="1" applyBorder="1" applyAlignment="1">
      <alignment vertical="center" wrapText="1"/>
    </xf>
    <xf numFmtId="3" fontId="2" fillId="2" borderId="28" xfId="30" applyFont="1" applyBorder="1">
      <alignment horizontal="right" vertical="center"/>
    </xf>
    <xf numFmtId="0" fontId="4" fillId="2" borderId="49" xfId="5" applyFont="1" applyFill="1" applyBorder="1" applyAlignment="1">
      <alignment horizontal="center" vertical="center" wrapText="1"/>
    </xf>
    <xf numFmtId="0" fontId="4" fillId="2" borderId="51" xfId="5" applyFont="1" applyFill="1" applyBorder="1" applyAlignment="1">
      <alignment horizontal="center" vertical="center" wrapText="1"/>
    </xf>
    <xf numFmtId="0" fontId="4" fillId="2" borderId="40" xfId="5" applyFont="1" applyFill="1" applyBorder="1" applyAlignment="1">
      <alignment horizontal="center" vertical="center" wrapText="1"/>
    </xf>
    <xf numFmtId="3" fontId="2" fillId="2" borderId="43" xfId="30" applyFont="1" applyBorder="1">
      <alignment horizontal="right" vertical="center"/>
    </xf>
    <xf numFmtId="3" fontId="2" fillId="15" borderId="32" xfId="20" applyFont="1" applyBorder="1">
      <alignment horizontal="right" vertical="center"/>
      <protection locked="0"/>
    </xf>
    <xf numFmtId="0" fontId="35" fillId="2" borderId="25" xfId="83" applyFill="1" applyBorder="1" applyAlignment="1">
      <alignment vertical="center"/>
    </xf>
    <xf numFmtId="0" fontId="35" fillId="2" borderId="27" xfId="83" applyFill="1" applyBorder="1" applyAlignment="1">
      <alignment vertical="center"/>
    </xf>
    <xf numFmtId="0" fontId="2" fillId="14" borderId="43" xfId="3" applyBorder="1" applyAlignment="1" applyProtection="1">
      <alignment vertical="center" wrapText="1"/>
    </xf>
    <xf numFmtId="0" fontId="2" fillId="2" borderId="28" xfId="0" applyFont="1" applyFill="1" applyBorder="1" applyAlignment="1">
      <alignment vertical="center"/>
    </xf>
    <xf numFmtId="3" fontId="2" fillId="15" borderId="42" xfId="20" applyFont="1" applyBorder="1">
      <alignment horizontal="right" vertical="center"/>
      <protection locked="0"/>
    </xf>
    <xf numFmtId="3" fontId="2" fillId="15" borderId="34" xfId="20" applyFont="1" applyBorder="1">
      <alignment horizontal="right" vertical="center"/>
      <protection locked="0"/>
    </xf>
    <xf numFmtId="3" fontId="2" fillId="15" borderId="47" xfId="20" applyFont="1" applyBorder="1">
      <alignment horizontal="right" vertical="center"/>
      <protection locked="0"/>
    </xf>
    <xf numFmtId="0" fontId="2" fillId="45" borderId="23" xfId="9" applyFont="1" applyBorder="1">
      <alignment horizontal="left" vertical="center"/>
    </xf>
    <xf numFmtId="3" fontId="2" fillId="45" borderId="37" xfId="6" applyFont="1" applyBorder="1">
      <alignment horizontal="right" vertical="center"/>
    </xf>
    <xf numFmtId="3" fontId="2" fillId="45" borderId="33" xfId="6" applyFont="1" applyBorder="1">
      <alignment horizontal="right" vertical="center"/>
    </xf>
    <xf numFmtId="0" fontId="0" fillId="2" borderId="29" xfId="0" applyFont="1" applyFill="1" applyBorder="1" applyAlignment="1">
      <alignment horizontal="center" vertical="center"/>
    </xf>
    <xf numFmtId="3" fontId="2" fillId="2" borderId="27" xfId="30" applyFont="1" applyBorder="1">
      <alignment horizontal="right" vertical="center"/>
    </xf>
    <xf numFmtId="3" fontId="2" fillId="2" borderId="38" xfId="30" applyFont="1" applyBorder="1">
      <alignment horizontal="right" vertical="center"/>
    </xf>
    <xf numFmtId="3" fontId="2" fillId="43" borderId="31" xfId="11" applyFont="1" applyBorder="1">
      <alignment horizontal="right" vertical="center"/>
      <protection locked="0"/>
    </xf>
    <xf numFmtId="3" fontId="2" fillId="2" borderId="31" xfId="1" applyFont="1" applyBorder="1" applyAlignment="1" applyProtection="1">
      <alignment horizontal="center" vertical="center"/>
    </xf>
    <xf numFmtId="3" fontId="2" fillId="2" borderId="32" xfId="1" applyFont="1" applyBorder="1" applyAlignment="1" applyProtection="1">
      <alignment horizontal="center" vertical="center"/>
    </xf>
    <xf numFmtId="3" fontId="2" fillId="2" borderId="25" xfId="30" quotePrefix="1" applyFont="1" applyBorder="1">
      <alignment horizontal="right" vertical="center"/>
    </xf>
    <xf numFmtId="3" fontId="2" fillId="2" borderId="28" xfId="30" quotePrefix="1" applyFont="1" applyBorder="1">
      <alignment horizontal="right" vertical="center"/>
    </xf>
    <xf numFmtId="3" fontId="2" fillId="2" borderId="45" xfId="30" quotePrefix="1" applyFont="1" applyBorder="1">
      <alignment horizontal="right" vertical="center"/>
    </xf>
    <xf numFmtId="10" fontId="2" fillId="45" borderId="20" xfId="7" applyFont="1" applyBorder="1">
      <alignment horizontal="right" vertical="center"/>
    </xf>
    <xf numFmtId="3" fontId="2" fillId="2" borderId="43" xfId="30" quotePrefix="1" applyFont="1" applyBorder="1">
      <alignment horizontal="right" vertical="center"/>
    </xf>
    <xf numFmtId="3" fontId="2" fillId="2" borderId="31" xfId="30" quotePrefix="1" applyFont="1" applyBorder="1">
      <alignment horizontal="right" vertical="center"/>
    </xf>
    <xf numFmtId="3" fontId="2" fillId="2" borderId="46" xfId="30" quotePrefix="1" applyFont="1" applyBorder="1">
      <alignment horizontal="right" vertical="center"/>
    </xf>
    <xf numFmtId="10" fontId="2" fillId="45" borderId="29" xfId="7" applyFont="1" applyBorder="1">
      <alignment horizontal="right" vertical="center"/>
    </xf>
    <xf numFmtId="3" fontId="2" fillId="15" borderId="36" xfId="20" applyFont="1" applyBorder="1">
      <alignment horizontal="right" vertical="center"/>
      <protection locked="0"/>
    </xf>
    <xf numFmtId="0" fontId="0" fillId="2" borderId="29" xfId="0" applyFont="1" applyFill="1" applyBorder="1">
      <alignment vertical="center"/>
    </xf>
    <xf numFmtId="0" fontId="2" fillId="0" borderId="36" xfId="0" applyFont="1" applyBorder="1" applyAlignment="1">
      <alignment horizontal="left" vertical="top" wrapText="1"/>
    </xf>
    <xf numFmtId="0" fontId="17" fillId="0" borderId="37" xfId="0" applyFont="1" applyBorder="1" applyAlignment="1">
      <alignment vertical="center"/>
    </xf>
    <xf numFmtId="0" fontId="2" fillId="0" borderId="41" xfId="0" applyFont="1" applyBorder="1" applyAlignment="1">
      <alignment horizontal="left" vertical="top" wrapText="1" indent="1"/>
    </xf>
    <xf numFmtId="0" fontId="0" fillId="2" borderId="34" xfId="0" applyFont="1" applyFill="1" applyBorder="1">
      <alignment vertical="center"/>
    </xf>
    <xf numFmtId="0" fontId="0" fillId="2" borderId="31" xfId="0" applyFont="1" applyFill="1" applyBorder="1">
      <alignment vertical="center"/>
    </xf>
    <xf numFmtId="3" fontId="17" fillId="2" borderId="41" xfId="30" applyFont="1" applyBorder="1">
      <alignment horizontal="right" vertical="center"/>
    </xf>
    <xf numFmtId="0" fontId="2" fillId="0" borderId="41" xfId="0" applyFont="1" applyBorder="1" applyAlignment="1">
      <alignment horizontal="left" vertical="top" wrapText="1" indent="2"/>
    </xf>
    <xf numFmtId="0" fontId="2" fillId="0" borderId="41" xfId="0" applyFont="1" applyBorder="1" applyAlignment="1">
      <alignment horizontal="left" vertical="top" wrapText="1" indent="3"/>
    </xf>
    <xf numFmtId="0" fontId="2" fillId="0" borderId="41" xfId="0" applyFont="1" applyBorder="1" applyAlignment="1">
      <alignment horizontal="left" vertical="top" wrapText="1" indent="4"/>
    </xf>
    <xf numFmtId="0" fontId="2" fillId="0" borderId="41" xfId="0" applyFont="1" applyBorder="1" applyAlignment="1">
      <alignment horizontal="left" vertical="top" wrapText="1" indent="5"/>
    </xf>
    <xf numFmtId="0" fontId="35" fillId="0" borderId="41" xfId="83" applyBorder="1" applyAlignment="1">
      <alignment horizontal="left" vertical="top" indent="5"/>
    </xf>
    <xf numFmtId="0" fontId="2" fillId="0" borderId="41" xfId="0" applyFont="1" applyFill="1" applyBorder="1" applyAlignment="1">
      <alignment horizontal="left" vertical="top" wrapText="1" indent="4"/>
    </xf>
    <xf numFmtId="0" fontId="2" fillId="0" borderId="41" xfId="0" applyFont="1" applyFill="1" applyBorder="1" applyAlignment="1">
      <alignment horizontal="left" vertical="top" wrapText="1" indent="3"/>
    </xf>
    <xf numFmtId="0" fontId="35" fillId="0" borderId="41" xfId="83" applyBorder="1" applyAlignment="1">
      <alignment horizontal="left" vertical="top" indent="4"/>
    </xf>
    <xf numFmtId="0" fontId="0" fillId="0" borderId="41" xfId="0" applyFont="1" applyFill="1" applyBorder="1" applyAlignment="1">
      <alignment horizontal="left" vertical="top" wrapText="1" indent="3"/>
    </xf>
    <xf numFmtId="0" fontId="35" fillId="0" borderId="38" xfId="83" applyBorder="1" applyAlignment="1">
      <alignment vertical="top"/>
    </xf>
    <xf numFmtId="0" fontId="0" fillId="2" borderId="35" xfId="0" applyFont="1" applyFill="1" applyBorder="1">
      <alignment vertical="center"/>
    </xf>
    <xf numFmtId="0" fontId="0" fillId="2" borderId="32" xfId="0" applyFont="1" applyFill="1" applyBorder="1">
      <alignment vertical="center"/>
    </xf>
    <xf numFmtId="0" fontId="11" fillId="2" borderId="23" xfId="0" applyFont="1" applyFill="1" applyBorder="1" applyAlignment="1" applyProtection="1">
      <alignment horizontal="center" vertical="center" wrapText="1"/>
    </xf>
    <xf numFmtId="3" fontId="11" fillId="43" borderId="23" xfId="11" applyFont="1" applyBorder="1" applyProtection="1">
      <alignment horizontal="right" vertical="center"/>
      <protection locked="0"/>
    </xf>
    <xf numFmtId="0" fontId="2" fillId="14" borderId="23" xfId="3" applyFont="1" applyBorder="1" applyProtection="1">
      <alignment horizontal="center" vertical="center"/>
    </xf>
    <xf numFmtId="2" fontId="11" fillId="2" borderId="23" xfId="31" applyNumberFormat="1" applyFont="1" applyBorder="1" applyProtection="1">
      <alignment horizontal="right" vertical="center"/>
    </xf>
    <xf numFmtId="3" fontId="11" fillId="2" borderId="37" xfId="30" applyFont="1" applyBorder="1" applyProtection="1">
      <alignment horizontal="right" vertical="center"/>
    </xf>
    <xf numFmtId="0" fontId="2" fillId="14" borderId="25" xfId="3" applyFont="1" applyBorder="1" applyProtection="1">
      <alignment horizontal="center" vertical="center"/>
    </xf>
    <xf numFmtId="3" fontId="11" fillId="43" borderId="25" xfId="11" applyFont="1" applyBorder="1" applyProtection="1">
      <alignment horizontal="right" vertical="center"/>
      <protection locked="0"/>
    </xf>
    <xf numFmtId="0" fontId="2" fillId="14" borderId="41" xfId="3" applyFont="1" applyBorder="1" applyProtection="1">
      <alignment horizontal="center" vertical="center"/>
    </xf>
    <xf numFmtId="0" fontId="11" fillId="2" borderId="25" xfId="0" applyFont="1" applyFill="1" applyBorder="1" applyAlignment="1" applyProtection="1">
      <alignment horizontal="center" vertical="center" wrapText="1"/>
    </xf>
    <xf numFmtId="2" fontId="11" fillId="2" borderId="25" xfId="31" applyNumberFormat="1" applyFont="1" applyBorder="1" applyProtection="1">
      <alignment horizontal="right" vertical="center"/>
    </xf>
    <xf numFmtId="3" fontId="11" fillId="2" borderId="41" xfId="30" applyFont="1" applyBorder="1" applyProtection="1">
      <alignment horizontal="right" vertical="center"/>
    </xf>
    <xf numFmtId="0" fontId="2" fillId="2" borderId="25" xfId="2" applyBorder="1">
      <alignment horizontal="center" vertical="center"/>
    </xf>
    <xf numFmtId="2" fontId="12" fillId="14" borderId="25" xfId="3" applyNumberFormat="1" applyFont="1" applyBorder="1" applyAlignment="1" applyProtection="1">
      <alignment horizontal="center" wrapText="1"/>
    </xf>
    <xf numFmtId="0" fontId="12" fillId="2" borderId="25" xfId="0" applyFont="1" applyFill="1" applyBorder="1" applyAlignment="1" applyProtection="1">
      <alignment horizontal="center" vertical="center" wrapText="1"/>
    </xf>
    <xf numFmtId="3" fontId="12" fillId="2" borderId="41" xfId="30" applyFont="1" applyBorder="1" applyProtection="1">
      <alignment horizontal="right" vertical="center"/>
    </xf>
    <xf numFmtId="3" fontId="11" fillId="2" borderId="25" xfId="30" applyFont="1" applyBorder="1" applyProtection="1">
      <alignment horizontal="right" vertical="center"/>
    </xf>
    <xf numFmtId="0" fontId="11" fillId="2" borderId="27" xfId="0" applyFont="1" applyFill="1" applyBorder="1" applyAlignment="1" applyProtection="1">
      <alignment horizontal="center" vertical="center" wrapText="1"/>
    </xf>
    <xf numFmtId="0" fontId="2" fillId="14" borderId="27" xfId="3" applyFont="1" applyBorder="1" applyProtection="1">
      <alignment horizontal="center" vertical="center"/>
    </xf>
    <xf numFmtId="3" fontId="11" fillId="2" borderId="38" xfId="30" applyFont="1" applyBorder="1" applyProtection="1">
      <alignment horizontal="right" vertical="center"/>
    </xf>
    <xf numFmtId="0" fontId="4" fillId="2" borderId="29" xfId="0" applyFont="1" applyFill="1" applyBorder="1" applyAlignment="1" applyProtection="1">
      <alignment vertical="center"/>
    </xf>
    <xf numFmtId="0" fontId="4" fillId="2" borderId="20" xfId="5" applyFont="1" applyFill="1" applyBorder="1" applyAlignment="1" applyProtection="1">
      <alignment horizontal="center" vertical="center" wrapText="1"/>
    </xf>
    <xf numFmtId="0" fontId="2" fillId="14" borderId="20" xfId="3" applyFont="1" applyBorder="1" applyProtection="1">
      <alignment horizontal="center" vertical="center"/>
    </xf>
    <xf numFmtId="0" fontId="4" fillId="2" borderId="36" xfId="5" applyFont="1" applyFill="1" applyBorder="1" applyAlignment="1" applyProtection="1">
      <alignment horizontal="center" vertical="center" wrapText="1"/>
    </xf>
    <xf numFmtId="0" fontId="11" fillId="2" borderId="45" xfId="0" applyFont="1" applyFill="1" applyBorder="1" applyAlignment="1" applyProtection="1">
      <alignment horizontal="center" vertical="center" wrapText="1"/>
    </xf>
    <xf numFmtId="3" fontId="11" fillId="43" borderId="45" xfId="11" applyFont="1" applyBorder="1" applyProtection="1">
      <alignment horizontal="right" vertical="center"/>
      <protection locked="0"/>
    </xf>
    <xf numFmtId="0" fontId="2" fillId="14" borderId="45" xfId="3" applyFont="1" applyBorder="1" applyProtection="1">
      <alignment horizontal="center" vertical="center"/>
    </xf>
    <xf numFmtId="2" fontId="11" fillId="2" borderId="45" xfId="31" applyNumberFormat="1" applyFont="1" applyBorder="1" applyProtection="1">
      <alignment horizontal="right" vertical="center"/>
    </xf>
    <xf numFmtId="3" fontId="11" fillId="2" borderId="47" xfId="30" applyFont="1" applyBorder="1" applyProtection="1">
      <alignment horizontal="right" vertical="center"/>
    </xf>
    <xf numFmtId="0" fontId="12" fillId="2" borderId="23" xfId="0" applyFont="1" applyFill="1" applyBorder="1" applyAlignment="1" applyProtection="1">
      <alignment horizontal="center" vertical="center" wrapText="1"/>
    </xf>
    <xf numFmtId="3" fontId="12" fillId="2" borderId="37" xfId="30" applyFont="1" applyBorder="1" applyProtection="1">
      <alignment horizontal="right" vertical="center"/>
    </xf>
    <xf numFmtId="0" fontId="11" fillId="2" borderId="30" xfId="0" applyFont="1" applyFill="1" applyBorder="1" applyAlignment="1" applyProtection="1">
      <alignment vertical="center" wrapText="1"/>
    </xf>
    <xf numFmtId="0" fontId="11" fillId="2" borderId="31" xfId="0" applyFont="1" applyFill="1" applyBorder="1" applyAlignment="1" applyProtection="1">
      <alignment vertical="center" wrapText="1"/>
    </xf>
    <xf numFmtId="0" fontId="11" fillId="2" borderId="31" xfId="0" applyFont="1" applyFill="1" applyBorder="1" applyAlignment="1" applyProtection="1">
      <alignment horizontal="left" vertical="center" wrapText="1" indent="1"/>
    </xf>
    <xf numFmtId="0" fontId="11" fillId="2" borderId="31" xfId="0" applyFont="1" applyFill="1" applyBorder="1" applyAlignment="1" applyProtection="1">
      <alignment horizontal="left" vertical="center" wrapText="1"/>
    </xf>
    <xf numFmtId="0" fontId="11" fillId="2" borderId="46" xfId="0" applyFont="1" applyFill="1" applyBorder="1" applyAlignment="1" applyProtection="1">
      <alignment horizontal="left" vertical="center" wrapText="1" indent="1"/>
    </xf>
    <xf numFmtId="0" fontId="12" fillId="2" borderId="30" xfId="0" applyFont="1" applyFill="1" applyBorder="1" applyAlignment="1" applyProtection="1">
      <alignment vertical="center" wrapText="1"/>
    </xf>
    <xf numFmtId="0" fontId="11" fillId="2" borderId="32" xfId="0" applyFont="1" applyFill="1" applyBorder="1" applyAlignment="1" applyProtection="1">
      <alignment vertical="center" wrapText="1"/>
    </xf>
    <xf numFmtId="2" fontId="12" fillId="14" borderId="23" xfId="3" applyNumberFormat="1" applyFont="1" applyBorder="1" applyAlignment="1" applyProtection="1">
      <alignment horizontal="center" wrapText="1"/>
    </xf>
    <xf numFmtId="3" fontId="12" fillId="14" borderId="37" xfId="3" applyNumberFormat="1" applyFont="1" applyBorder="1" applyAlignment="1" applyProtection="1">
      <alignment horizontal="center" wrapText="1"/>
    </xf>
    <xf numFmtId="3" fontId="11" fillId="43" borderId="25" xfId="11" applyNumberFormat="1" applyFont="1" applyBorder="1" applyAlignment="1" applyProtection="1">
      <alignment horizontal="right" vertical="center"/>
      <protection locked="0"/>
    </xf>
    <xf numFmtId="3" fontId="11" fillId="43" borderId="27" xfId="11" applyNumberFormat="1" applyFont="1" applyBorder="1" applyAlignment="1" applyProtection="1">
      <alignment horizontal="right" vertical="center"/>
      <protection locked="0"/>
    </xf>
    <xf numFmtId="2" fontId="11" fillId="2" borderId="27" xfId="31" applyNumberFormat="1" applyFont="1" applyBorder="1" applyProtection="1">
      <alignment horizontal="right" vertical="center"/>
    </xf>
    <xf numFmtId="3" fontId="12" fillId="2" borderId="23" xfId="30" applyFont="1" applyBorder="1" applyAlignment="1" applyProtection="1">
      <alignment horizontal="right" vertical="center"/>
    </xf>
    <xf numFmtId="2" fontId="11" fillId="14" borderId="23" xfId="3" applyNumberFormat="1" applyFont="1" applyBorder="1">
      <alignment horizontal="center" vertical="center"/>
    </xf>
    <xf numFmtId="3" fontId="11" fillId="2" borderId="25" xfId="30" applyFont="1" applyBorder="1" applyAlignment="1" applyProtection="1">
      <alignment horizontal="right" vertical="center"/>
    </xf>
    <xf numFmtId="2" fontId="11" fillId="14" borderId="25" xfId="3" applyNumberFormat="1" applyFont="1" applyBorder="1">
      <alignment horizontal="center" vertical="center"/>
    </xf>
    <xf numFmtId="2" fontId="11" fillId="14" borderId="41" xfId="3" applyNumberFormat="1" applyFont="1" applyBorder="1">
      <alignment horizontal="center" vertical="center"/>
    </xf>
    <xf numFmtId="3" fontId="11" fillId="2" borderId="27" xfId="30" applyFont="1" applyBorder="1" applyAlignment="1" applyProtection="1">
      <alignment horizontal="right" vertical="center"/>
    </xf>
    <xf numFmtId="0" fontId="11" fillId="2" borderId="20" xfId="0" applyFont="1" applyFill="1" applyBorder="1" applyAlignment="1" applyProtection="1">
      <alignment horizontal="center" vertical="center" wrapText="1"/>
    </xf>
    <xf numFmtId="3" fontId="11" fillId="15" borderId="25" xfId="20" applyFont="1" applyBorder="1">
      <alignment horizontal="right" vertical="center"/>
      <protection locked="0"/>
    </xf>
    <xf numFmtId="0" fontId="12" fillId="2" borderId="29" xfId="0" applyFont="1" applyFill="1" applyBorder="1" applyAlignment="1" applyProtection="1">
      <alignment vertical="center" wrapText="1"/>
    </xf>
    <xf numFmtId="3" fontId="12" fillId="2" borderId="20" xfId="30" applyFont="1" applyBorder="1">
      <alignment horizontal="right" vertical="center"/>
    </xf>
    <xf numFmtId="2" fontId="11" fillId="14" borderId="20" xfId="3" applyNumberFormat="1" applyFont="1" applyBorder="1">
      <alignment horizontal="center" vertical="center"/>
    </xf>
    <xf numFmtId="2" fontId="11" fillId="14" borderId="36" xfId="3" applyNumberFormat="1" applyFont="1" applyBorder="1">
      <alignment horizontal="center" vertical="center"/>
    </xf>
    <xf numFmtId="3" fontId="12" fillId="2" borderId="36" xfId="30" applyFont="1" applyBorder="1" applyProtection="1">
      <alignment horizontal="right" vertical="center"/>
    </xf>
    <xf numFmtId="3" fontId="11" fillId="15" borderId="23" xfId="20" applyFont="1" applyBorder="1">
      <alignment horizontal="right" vertical="center"/>
      <protection locked="0"/>
    </xf>
    <xf numFmtId="3" fontId="11" fillId="2" borderId="37" xfId="30" applyFont="1" applyBorder="1" applyAlignment="1" applyProtection="1">
      <alignment horizontal="right" vertical="center"/>
    </xf>
    <xf numFmtId="3" fontId="11" fillId="2" borderId="41" xfId="30" applyFont="1" applyBorder="1" applyAlignment="1" applyProtection="1">
      <alignment horizontal="right" vertical="center"/>
    </xf>
    <xf numFmtId="49" fontId="11" fillId="2" borderId="25" xfId="0" applyNumberFormat="1" applyFont="1" applyFill="1" applyBorder="1" applyAlignment="1" applyProtection="1">
      <alignment horizontal="center" vertical="center" wrapText="1"/>
    </xf>
    <xf numFmtId="0" fontId="12" fillId="2" borderId="31" xfId="0" applyFont="1" applyFill="1" applyBorder="1" applyAlignment="1" applyProtection="1">
      <alignment vertical="center" wrapText="1"/>
    </xf>
    <xf numFmtId="3" fontId="12" fillId="2" borderId="25" xfId="30" applyFont="1" applyBorder="1">
      <alignment horizontal="right" vertical="center"/>
    </xf>
    <xf numFmtId="3" fontId="12" fillId="7" borderId="41" xfId="11" applyNumberFormat="1" applyFont="1" applyFill="1" applyBorder="1" applyAlignment="1" applyProtection="1">
      <alignment horizontal="right" vertical="center"/>
    </xf>
    <xf numFmtId="3" fontId="11" fillId="2" borderId="25" xfId="30" applyFont="1" applyBorder="1">
      <alignment horizontal="right" vertical="center"/>
    </xf>
    <xf numFmtId="2" fontId="11" fillId="7" borderId="25" xfId="31" applyNumberFormat="1" applyFont="1" applyFill="1" applyBorder="1" applyProtection="1">
      <alignment horizontal="right" vertical="center"/>
    </xf>
    <xf numFmtId="3" fontId="11" fillId="7" borderId="41" xfId="30" applyFont="1" applyFill="1" applyBorder="1" applyProtection="1">
      <alignment horizontal="right" vertical="center"/>
    </xf>
    <xf numFmtId="3" fontId="11" fillId="7" borderId="41" xfId="30" applyFont="1" applyFill="1" applyBorder="1" applyAlignment="1" applyProtection="1">
      <alignment horizontal="right" vertical="center"/>
    </xf>
    <xf numFmtId="3" fontId="11" fillId="2" borderId="27" xfId="30" applyFont="1" applyBorder="1">
      <alignment horizontal="right" vertical="center"/>
    </xf>
    <xf numFmtId="2" fontId="11" fillId="14" borderId="27" xfId="3" applyNumberFormat="1" applyFont="1" applyBorder="1">
      <alignment horizontal="center" vertical="center"/>
    </xf>
    <xf numFmtId="3" fontId="11" fillId="7" borderId="38" xfId="11" applyNumberFormat="1" applyFont="1" applyFill="1" applyBorder="1" applyAlignment="1" applyProtection="1">
      <alignment horizontal="right" vertical="center"/>
    </xf>
    <xf numFmtId="0" fontId="11" fillId="2" borderId="30" xfId="0" applyFont="1" applyFill="1" applyBorder="1" applyAlignment="1" applyProtection="1">
      <alignment horizontal="left" vertical="center" wrapText="1"/>
    </xf>
    <xf numFmtId="3" fontId="11" fillId="7" borderId="37" xfId="30" applyFont="1" applyFill="1" applyBorder="1" applyProtection="1">
      <alignment horizontal="right" vertical="center"/>
    </xf>
    <xf numFmtId="0" fontId="11" fillId="2" borderId="32" xfId="0" applyFont="1" applyFill="1" applyBorder="1" applyAlignment="1" applyProtection="1">
      <alignment horizontal="left" vertical="center" wrapText="1"/>
    </xf>
    <xf numFmtId="3" fontId="11" fillId="7" borderId="38" xfId="30" applyFont="1" applyFill="1" applyBorder="1" applyProtection="1">
      <alignment horizontal="right" vertical="center"/>
    </xf>
    <xf numFmtId="0" fontId="4" fillId="2" borderId="9" xfId="0" applyFont="1" applyFill="1" applyBorder="1" applyAlignment="1" applyProtection="1">
      <alignment vertical="center"/>
    </xf>
    <xf numFmtId="3" fontId="11" fillId="43" borderId="23" xfId="11" applyNumberFormat="1" applyFont="1" applyBorder="1" applyAlignment="1" applyProtection="1">
      <alignment horizontal="right" vertical="center"/>
      <protection locked="0"/>
    </xf>
    <xf numFmtId="3" fontId="11" fillId="15" borderId="23" xfId="20" applyFont="1" applyBorder="1" applyAlignment="1">
      <alignment horizontal="right" vertical="center"/>
      <protection locked="0"/>
    </xf>
    <xf numFmtId="2" fontId="11" fillId="14" borderId="37" xfId="3" applyNumberFormat="1" applyFont="1" applyBorder="1">
      <alignment horizontal="center" vertical="center"/>
    </xf>
    <xf numFmtId="3" fontId="11" fillId="15" borderId="25" xfId="20" applyFont="1" applyBorder="1" applyAlignment="1">
      <alignment horizontal="right" vertical="center"/>
      <protection locked="0"/>
    </xf>
    <xf numFmtId="0" fontId="2" fillId="2" borderId="27" xfId="2" applyBorder="1">
      <alignment horizontal="center" vertical="center"/>
    </xf>
    <xf numFmtId="2" fontId="11" fillId="14" borderId="38" xfId="3" applyNumberFormat="1" applyFont="1" applyBorder="1">
      <alignment horizontal="center" vertical="center"/>
    </xf>
    <xf numFmtId="0" fontId="11" fillId="0" borderId="31" xfId="0" applyFont="1" applyFill="1" applyBorder="1" applyAlignment="1" applyProtection="1">
      <alignment horizontal="left" vertical="center" wrapText="1"/>
    </xf>
    <xf numFmtId="2" fontId="12" fillId="14" borderId="25" xfId="3" applyNumberFormat="1" applyFont="1" applyBorder="1">
      <alignment horizontal="center" vertical="center"/>
    </xf>
    <xf numFmtId="2" fontId="12" fillId="3" borderId="25" xfId="3" applyNumberFormat="1" applyFont="1" applyFill="1" applyBorder="1" applyAlignment="1" applyProtection="1">
      <alignment horizontal="center" wrapText="1"/>
    </xf>
    <xf numFmtId="2" fontId="12" fillId="3" borderId="41" xfId="3" applyNumberFormat="1" applyFont="1" applyFill="1" applyBorder="1" applyAlignment="1" applyProtection="1">
      <alignment horizontal="center" wrapText="1"/>
    </xf>
    <xf numFmtId="0" fontId="11" fillId="0" borderId="31" xfId="0" applyFont="1" applyFill="1" applyBorder="1" applyAlignment="1" applyProtection="1">
      <alignment horizontal="left" vertical="center" wrapText="1" indent="1"/>
    </xf>
    <xf numFmtId="0" fontId="11" fillId="0" borderId="31" xfId="0" applyFont="1" applyFill="1" applyBorder="1" applyAlignment="1" applyProtection="1">
      <alignment vertical="center" wrapText="1"/>
    </xf>
    <xf numFmtId="3" fontId="11" fillId="15" borderId="41" xfId="20" applyFont="1" applyBorder="1">
      <alignment horizontal="right" vertical="center"/>
      <protection locked="0"/>
    </xf>
    <xf numFmtId="0" fontId="11" fillId="0" borderId="32" xfId="0" applyFont="1" applyFill="1" applyBorder="1" applyAlignment="1" applyProtection="1">
      <alignment vertical="center" wrapText="1"/>
    </xf>
    <xf numFmtId="2" fontId="12" fillId="14" borderId="27" xfId="3" applyNumberFormat="1" applyFont="1" applyBorder="1">
      <alignment horizontal="center" vertical="center"/>
    </xf>
    <xf numFmtId="2" fontId="12" fillId="3" borderId="27" xfId="3" applyNumberFormat="1" applyFont="1" applyFill="1" applyBorder="1" applyAlignment="1" applyProtection="1">
      <alignment horizontal="center" wrapText="1"/>
    </xf>
    <xf numFmtId="0" fontId="11" fillId="0" borderId="43" xfId="0" applyFont="1" applyFill="1" applyBorder="1" applyAlignment="1" applyProtection="1">
      <alignment horizontal="left" vertical="center" wrapText="1"/>
    </xf>
    <xf numFmtId="0" fontId="11" fillId="2" borderId="28" xfId="0" applyFont="1" applyFill="1" applyBorder="1" applyAlignment="1" applyProtection="1">
      <alignment horizontal="center" vertical="center" wrapText="1"/>
    </xf>
    <xf numFmtId="3" fontId="11" fillId="15" borderId="28" xfId="20" applyFont="1" applyBorder="1">
      <alignment horizontal="right" vertical="center"/>
      <protection locked="0"/>
    </xf>
    <xf numFmtId="2" fontId="11" fillId="2" borderId="28" xfId="31" applyNumberFormat="1" applyFont="1" applyBorder="1" applyProtection="1">
      <alignment horizontal="right" vertical="center"/>
    </xf>
    <xf numFmtId="3" fontId="11" fillId="2" borderId="42" xfId="30" applyFont="1" applyBorder="1" applyProtection="1">
      <alignment horizontal="right" vertical="center"/>
    </xf>
    <xf numFmtId="0" fontId="35" fillId="0" borderId="31" xfId="83" applyBorder="1" applyAlignment="1" applyProtection="1">
      <alignment horizontal="left" vertical="center" wrapText="1" indent="1"/>
    </xf>
    <xf numFmtId="0" fontId="35" fillId="0" borderId="32" xfId="83" applyBorder="1" applyAlignment="1" applyProtection="1">
      <alignment horizontal="left" vertical="center" wrapText="1" indent="1"/>
    </xf>
    <xf numFmtId="0" fontId="34" fillId="0" borderId="29" xfId="83" applyFont="1" applyFill="1" applyBorder="1" applyAlignment="1" applyProtection="1">
      <alignment horizontal="left" vertical="center" wrapText="1"/>
    </xf>
    <xf numFmtId="0" fontId="33" fillId="0" borderId="36" xfId="0" applyFont="1" applyFill="1" applyBorder="1" applyAlignment="1" applyProtection="1">
      <alignment horizontal="center" vertical="center" wrapText="1"/>
    </xf>
    <xf numFmtId="3" fontId="11" fillId="45" borderId="36" xfId="6" applyFont="1" applyBorder="1" applyProtection="1">
      <alignment horizontal="right" vertical="center"/>
    </xf>
    <xf numFmtId="3" fontId="11" fillId="14" borderId="20" xfId="3" applyNumberFormat="1" applyFont="1" applyBorder="1">
      <alignment horizontal="center" vertical="center"/>
    </xf>
    <xf numFmtId="3" fontId="11" fillId="14" borderId="20" xfId="3" applyNumberFormat="1" applyFont="1" applyBorder="1" applyAlignment="1">
      <alignment horizontal="right" vertical="center"/>
    </xf>
    <xf numFmtId="0" fontId="2" fillId="14" borderId="20" xfId="3" applyFont="1" applyBorder="1" applyAlignment="1" applyProtection="1">
      <alignment horizontal="right" vertical="center"/>
    </xf>
    <xf numFmtId="3" fontId="12" fillId="14" borderId="20" xfId="3" applyNumberFormat="1" applyFont="1" applyBorder="1" applyAlignment="1" applyProtection="1">
      <alignment horizontal="right" vertical="center" wrapText="1"/>
    </xf>
    <xf numFmtId="0" fontId="12" fillId="14" borderId="20" xfId="3" applyFont="1" applyBorder="1" applyAlignment="1" applyProtection="1">
      <alignment horizontal="right" vertical="center" wrapText="1"/>
    </xf>
    <xf numFmtId="3" fontId="12" fillId="14" borderId="20" xfId="3" applyNumberFormat="1" applyFont="1" applyBorder="1" applyAlignment="1" applyProtection="1">
      <alignment horizontal="right" wrapText="1"/>
    </xf>
    <xf numFmtId="2" fontId="11" fillId="14" borderId="20" xfId="3" applyNumberFormat="1" applyFont="1" applyBorder="1" applyAlignment="1">
      <alignment horizontal="right" vertical="center"/>
    </xf>
    <xf numFmtId="3" fontId="12" fillId="14" borderId="20" xfId="3" applyNumberFormat="1" applyFont="1" applyBorder="1" applyProtection="1">
      <alignment horizontal="center" vertical="center"/>
    </xf>
    <xf numFmtId="3" fontId="12" fillId="2" borderId="36" xfId="30" applyFont="1" applyBorder="1" applyAlignment="1">
      <alignment horizontal="right" vertical="center"/>
    </xf>
    <xf numFmtId="3" fontId="11" fillId="14" borderId="23" xfId="3" applyNumberFormat="1" applyFont="1" applyBorder="1">
      <alignment horizontal="center" vertical="center"/>
    </xf>
    <xf numFmtId="3" fontId="11" fillId="14" borderId="23" xfId="3" applyNumberFormat="1" applyFont="1" applyBorder="1" applyAlignment="1">
      <alignment horizontal="right" vertical="center"/>
    </xf>
    <xf numFmtId="0" fontId="2" fillId="14" borderId="23" xfId="3" applyFont="1" applyBorder="1" applyAlignment="1">
      <alignment horizontal="right" vertical="center"/>
    </xf>
    <xf numFmtId="0" fontId="11" fillId="14" borderId="23" xfId="3" applyFont="1" applyBorder="1" applyAlignment="1">
      <alignment horizontal="right" vertical="center"/>
    </xf>
    <xf numFmtId="0" fontId="11" fillId="14" borderId="37" xfId="3" applyFont="1" applyBorder="1" applyAlignment="1">
      <alignment horizontal="right" vertical="center"/>
    </xf>
    <xf numFmtId="3" fontId="11" fillId="14" borderId="25" xfId="3" applyNumberFormat="1" applyFont="1" applyBorder="1">
      <alignment horizontal="center" vertical="center"/>
    </xf>
    <xf numFmtId="3" fontId="11" fillId="14" borderId="25" xfId="3" applyNumberFormat="1" applyFont="1" applyBorder="1" applyAlignment="1">
      <alignment horizontal="right" vertical="center"/>
    </xf>
    <xf numFmtId="0" fontId="2" fillId="14" borderId="25" xfId="3" applyFont="1" applyBorder="1" applyAlignment="1">
      <alignment horizontal="right" vertical="center"/>
    </xf>
    <xf numFmtId="0" fontId="11" fillId="14" borderId="25" xfId="3" applyFont="1" applyBorder="1" applyAlignment="1">
      <alignment horizontal="right" vertical="center"/>
    </xf>
    <xf numFmtId="0" fontId="11" fillId="14" borderId="41" xfId="3" applyFont="1" applyBorder="1" applyAlignment="1">
      <alignment horizontal="right" vertical="center"/>
    </xf>
    <xf numFmtId="0" fontId="11" fillId="2" borderId="31" xfId="0" applyFont="1" applyFill="1" applyBorder="1" applyAlignment="1" applyProtection="1">
      <alignment horizontal="left" vertical="center" wrapText="1" indent="2"/>
    </xf>
    <xf numFmtId="0" fontId="0" fillId="2" borderId="31" xfId="0" applyFont="1" applyFill="1" applyBorder="1" applyAlignment="1" applyProtection="1">
      <alignment horizontal="left" vertical="center" wrapText="1" indent="3"/>
    </xf>
    <xf numFmtId="3" fontId="12" fillId="14" borderId="25" xfId="3" applyNumberFormat="1" applyFont="1" applyBorder="1" applyAlignment="1">
      <alignment horizontal="right" vertical="center"/>
    </xf>
    <xf numFmtId="0" fontId="12" fillId="14" borderId="25" xfId="3" applyFont="1" applyBorder="1" applyAlignment="1">
      <alignment horizontal="right" vertical="center"/>
    </xf>
    <xf numFmtId="0" fontId="2" fillId="2" borderId="31" xfId="0" applyFont="1" applyFill="1" applyBorder="1" applyAlignment="1" applyProtection="1">
      <alignment horizontal="left" vertical="center" wrapText="1" indent="4"/>
    </xf>
    <xf numFmtId="0" fontId="2" fillId="14" borderId="25" xfId="3" applyFont="1" applyBorder="1" applyAlignment="1" applyProtection="1">
      <alignment horizontal="right" vertical="center"/>
    </xf>
    <xf numFmtId="2" fontId="11" fillId="2" borderId="25" xfId="31" applyNumberFormat="1" applyFont="1" applyBorder="1" applyAlignment="1" applyProtection="1">
      <alignment horizontal="right" vertical="center"/>
    </xf>
    <xf numFmtId="3" fontId="11" fillId="2" borderId="41" xfId="30" applyFont="1" applyBorder="1" applyAlignment="1">
      <alignment horizontal="right" vertical="center"/>
    </xf>
    <xf numFmtId="3" fontId="12" fillId="14" borderId="25" xfId="3" applyNumberFormat="1" applyFont="1" applyBorder="1" applyAlignment="1" applyProtection="1">
      <alignment horizontal="right" vertical="center" wrapText="1"/>
    </xf>
    <xf numFmtId="0" fontId="12" fillId="14" borderId="25" xfId="3" applyFont="1" applyBorder="1" applyAlignment="1" applyProtection="1">
      <alignment horizontal="right" vertical="center" wrapText="1"/>
    </xf>
    <xf numFmtId="3" fontId="11" fillId="14" borderId="25" xfId="3" applyNumberFormat="1" applyFont="1" applyBorder="1" applyAlignment="1" applyProtection="1">
      <alignment horizontal="right" vertical="center" wrapText="1"/>
    </xf>
    <xf numFmtId="3" fontId="12" fillId="14" borderId="25" xfId="3" applyNumberFormat="1" applyFont="1" applyBorder="1" applyAlignment="1" applyProtection="1">
      <alignment horizontal="right" wrapText="1"/>
    </xf>
    <xf numFmtId="2" fontId="11" fillId="14" borderId="25" xfId="3" applyNumberFormat="1" applyFont="1" applyBorder="1" applyAlignment="1">
      <alignment horizontal="right" vertical="center"/>
    </xf>
    <xf numFmtId="2" fontId="11" fillId="14" borderId="41" xfId="3" applyNumberFormat="1" applyFont="1" applyBorder="1" applyAlignment="1">
      <alignment horizontal="right" vertical="center"/>
    </xf>
    <xf numFmtId="49" fontId="11" fillId="2" borderId="31" xfId="0" applyNumberFormat="1" applyFont="1" applyFill="1" applyBorder="1" applyAlignment="1" applyProtection="1">
      <alignment horizontal="left" vertical="center" wrapText="1" indent="2"/>
    </xf>
    <xf numFmtId="3" fontId="12" fillId="14" borderId="25" xfId="3" applyNumberFormat="1" applyFont="1" applyBorder="1" applyProtection="1">
      <alignment horizontal="center" vertical="center"/>
    </xf>
    <xf numFmtId="0" fontId="11" fillId="2" borderId="32" xfId="0" applyFont="1" applyFill="1" applyBorder="1" applyAlignment="1" applyProtection="1">
      <alignment horizontal="left" vertical="center" wrapText="1" indent="2"/>
    </xf>
    <xf numFmtId="0" fontId="2" fillId="14" borderId="27" xfId="3" applyFont="1" applyBorder="1" applyAlignment="1" applyProtection="1">
      <alignment horizontal="right" vertical="center"/>
    </xf>
    <xf numFmtId="2" fontId="11" fillId="2" borderId="27" xfId="31" applyNumberFormat="1" applyFont="1" applyBorder="1" applyAlignment="1" applyProtection="1">
      <alignment horizontal="right" vertical="center"/>
    </xf>
    <xf numFmtId="3" fontId="11" fillId="2" borderId="38" xfId="30" applyFont="1" applyBorder="1" applyAlignment="1">
      <alignment horizontal="right" vertical="center"/>
    </xf>
    <xf numFmtId="3" fontId="12" fillId="14" borderId="23" xfId="3" applyNumberFormat="1" applyFont="1" applyBorder="1" applyAlignment="1" applyProtection="1">
      <alignment horizontal="right" vertical="center"/>
    </xf>
    <xf numFmtId="0" fontId="2" fillId="14" borderId="23" xfId="3" applyFont="1" applyBorder="1" applyAlignment="1" applyProtection="1">
      <alignment horizontal="right" vertical="center"/>
    </xf>
    <xf numFmtId="3" fontId="12" fillId="14" borderId="37" xfId="3" applyNumberFormat="1" applyFont="1" applyBorder="1" applyAlignment="1" applyProtection="1">
      <alignment horizontal="right" vertical="center"/>
    </xf>
    <xf numFmtId="3" fontId="11" fillId="7" borderId="25" xfId="3" applyNumberFormat="1" applyFont="1" applyFill="1" applyBorder="1" applyProtection="1">
      <alignment horizontal="center" vertical="center"/>
    </xf>
    <xf numFmtId="3" fontId="12" fillId="14" borderId="25" xfId="3" applyNumberFormat="1" applyFont="1" applyBorder="1" applyAlignment="1" applyProtection="1">
      <alignment horizontal="right" vertical="center"/>
    </xf>
    <xf numFmtId="3" fontId="12" fillId="14" borderId="41" xfId="3" applyNumberFormat="1" applyFont="1" applyBorder="1" applyAlignment="1" applyProtection="1">
      <alignment horizontal="right" vertical="center"/>
    </xf>
    <xf numFmtId="0" fontId="11" fillId="2" borderId="31" xfId="0" applyFont="1" applyFill="1" applyBorder="1" applyAlignment="1" applyProtection="1">
      <alignment horizontal="left" vertical="center" wrapText="1" indent="3"/>
    </xf>
    <xf numFmtId="0" fontId="0" fillId="2" borderId="31" xfId="0" applyFont="1" applyFill="1" applyBorder="1" applyAlignment="1" applyProtection="1">
      <alignment horizontal="left" vertical="center" wrapText="1" indent="4"/>
    </xf>
    <xf numFmtId="0" fontId="2" fillId="2" borderId="31" xfId="0" applyFont="1" applyFill="1" applyBorder="1" applyAlignment="1" applyProtection="1">
      <alignment horizontal="left" vertical="center" wrapText="1" indent="5"/>
    </xf>
    <xf numFmtId="3" fontId="11" fillId="43" borderId="25" xfId="11" applyFont="1" applyBorder="1" applyAlignment="1" applyProtection="1">
      <alignment horizontal="right" vertical="center"/>
      <protection locked="0"/>
    </xf>
    <xf numFmtId="49" fontId="11" fillId="2" borderId="31" xfId="0" applyNumberFormat="1" applyFont="1" applyFill="1" applyBorder="1" applyAlignment="1" applyProtection="1">
      <alignment horizontal="left" vertical="center" wrapText="1" indent="3"/>
    </xf>
    <xf numFmtId="3" fontId="12" fillId="14" borderId="41" xfId="3" applyNumberFormat="1" applyFont="1" applyBorder="1" applyAlignment="1">
      <alignment horizontal="right" vertical="center"/>
    </xf>
    <xf numFmtId="0" fontId="11" fillId="2" borderId="32" xfId="0" applyFont="1" applyFill="1" applyBorder="1" applyAlignment="1" applyProtection="1">
      <alignment horizontal="left" vertical="center" wrapText="1" indent="1"/>
    </xf>
    <xf numFmtId="3" fontId="12" fillId="14" borderId="27" xfId="3" applyNumberFormat="1" applyFont="1" applyBorder="1">
      <alignment horizontal="center" vertical="center"/>
    </xf>
    <xf numFmtId="3" fontId="11" fillId="43" borderId="27" xfId="11" applyFont="1" applyBorder="1" applyAlignment="1" applyProtection="1">
      <alignment horizontal="right" vertical="center"/>
      <protection locked="0"/>
    </xf>
    <xf numFmtId="0" fontId="12" fillId="2" borderId="29" xfId="0" applyFont="1" applyFill="1" applyBorder="1" applyAlignment="1" applyProtection="1">
      <alignment horizontal="left" vertical="center" wrapText="1"/>
    </xf>
    <xf numFmtId="3" fontId="12" fillId="14" borderId="20" xfId="3" applyNumberFormat="1" applyFont="1" applyBorder="1">
      <alignment horizontal="center" vertical="center"/>
    </xf>
    <xf numFmtId="3" fontId="12" fillId="14" borderId="23" xfId="3" applyNumberFormat="1" applyFont="1" applyBorder="1" applyProtection="1">
      <alignment horizontal="center" vertical="center"/>
    </xf>
    <xf numFmtId="3" fontId="12" fillId="14" borderId="27" xfId="3" applyNumberFormat="1" applyFont="1" applyBorder="1" applyProtection="1">
      <alignment horizontal="center" vertical="center"/>
    </xf>
    <xf numFmtId="0" fontId="11" fillId="2" borderId="30" xfId="0" applyFont="1" applyFill="1" applyBorder="1" applyAlignment="1" applyProtection="1">
      <alignment horizontal="left" vertical="center"/>
    </xf>
    <xf numFmtId="3" fontId="12" fillId="14" borderId="23" xfId="3" applyNumberFormat="1" applyFont="1" applyBorder="1" applyAlignment="1">
      <alignment horizontal="right" vertical="center"/>
    </xf>
    <xf numFmtId="2" fontId="11" fillId="14" borderId="37" xfId="3" applyNumberFormat="1" applyFont="1" applyBorder="1" applyAlignment="1">
      <alignment horizontal="right" vertical="center"/>
    </xf>
    <xf numFmtId="0" fontId="11" fillId="2" borderId="31" xfId="0" applyFont="1" applyFill="1" applyBorder="1" applyAlignment="1" applyProtection="1">
      <alignment horizontal="left" vertical="center" indent="1"/>
    </xf>
    <xf numFmtId="0" fontId="11" fillId="2" borderId="31" xfId="0" applyFont="1" applyFill="1" applyBorder="1" applyAlignment="1" applyProtection="1">
      <alignment horizontal="left" vertical="center" indent="2"/>
    </xf>
    <xf numFmtId="0" fontId="11" fillId="2" borderId="31" xfId="0" applyFont="1" applyFill="1" applyBorder="1" applyAlignment="1" applyProtection="1">
      <alignment horizontal="left" vertical="center"/>
    </xf>
    <xf numFmtId="0" fontId="0" fillId="0" borderId="31" xfId="0" applyFont="1" applyBorder="1" applyAlignment="1" applyProtection="1">
      <alignment horizontal="left" vertical="center" wrapText="1" indent="1"/>
    </xf>
    <xf numFmtId="0" fontId="0" fillId="0" borderId="32" xfId="0" applyFont="1" applyBorder="1" applyAlignment="1" applyProtection="1">
      <alignment horizontal="left" vertical="center" wrapText="1" indent="1"/>
    </xf>
    <xf numFmtId="3" fontId="11" fillId="43" borderId="27" xfId="11" applyNumberFormat="1" applyFont="1" applyBorder="1" applyAlignment="1" applyProtection="1">
      <alignment horizontal="right"/>
      <protection locked="0"/>
    </xf>
    <xf numFmtId="3" fontId="11" fillId="14" borderId="27" xfId="3" applyNumberFormat="1" applyFont="1" applyBorder="1" applyAlignment="1">
      <alignment horizontal="right" vertical="center"/>
    </xf>
    <xf numFmtId="0" fontId="14" fillId="2" borderId="29" xfId="0" applyFont="1" applyFill="1" applyBorder="1" applyAlignment="1" applyProtection="1">
      <alignment horizontal="left"/>
    </xf>
    <xf numFmtId="3" fontId="12" fillId="14" borderId="20" xfId="3" applyNumberFormat="1" applyFont="1" applyBorder="1" applyAlignment="1" applyProtection="1">
      <alignment horizontal="right" vertical="center"/>
    </xf>
    <xf numFmtId="0" fontId="35" fillId="0" borderId="31" xfId="83" applyBorder="1" applyAlignment="1" applyProtection="1">
      <alignment horizontal="left" vertical="center" wrapText="1" indent="2"/>
    </xf>
    <xf numFmtId="2" fontId="12" fillId="14" borderId="25" xfId="3" applyNumberFormat="1" applyFont="1" applyBorder="1" applyAlignment="1" applyProtection="1">
      <alignment horizontal="right" vertical="center" wrapText="1"/>
    </xf>
    <xf numFmtId="2" fontId="12" fillId="14" borderId="41" xfId="3" applyNumberFormat="1" applyFont="1" applyBorder="1" applyAlignment="1" applyProtection="1">
      <alignment horizontal="right" vertical="center" wrapText="1"/>
    </xf>
    <xf numFmtId="0" fontId="11" fillId="0" borderId="31" xfId="0" applyFont="1" applyBorder="1" applyAlignment="1" applyProtection="1">
      <alignment horizontal="left" vertical="center" wrapText="1" indent="1"/>
    </xf>
    <xf numFmtId="0" fontId="0" fillId="2" borderId="32" xfId="0" applyFont="1" applyFill="1" applyBorder="1" applyAlignment="1" applyProtection="1">
      <alignment horizontal="left" vertical="center" wrapText="1"/>
    </xf>
    <xf numFmtId="0" fontId="2" fillId="14" borderId="27" xfId="3" applyFont="1" applyBorder="1" applyAlignment="1">
      <alignment horizontal="right" vertical="center"/>
    </xf>
    <xf numFmtId="0" fontId="11" fillId="2" borderId="43" xfId="0" applyFont="1" applyFill="1" applyBorder="1" applyAlignment="1" applyProtection="1">
      <alignment horizontal="left" vertical="center" wrapText="1"/>
    </xf>
    <xf numFmtId="3" fontId="11" fillId="43" borderId="28" xfId="11" applyFont="1" applyBorder="1" applyAlignment="1" applyProtection="1">
      <alignment horizontal="right" vertical="center"/>
      <protection locked="0"/>
    </xf>
    <xf numFmtId="0" fontId="2" fillId="14" borderId="28" xfId="3" applyFont="1" applyBorder="1" applyAlignment="1">
      <alignment horizontal="right" vertical="center"/>
    </xf>
    <xf numFmtId="2" fontId="11" fillId="2" borderId="28" xfId="31" applyNumberFormat="1" applyFont="1" applyBorder="1" applyAlignment="1" applyProtection="1">
      <alignment horizontal="right" vertical="center"/>
    </xf>
    <xf numFmtId="3" fontId="11" fillId="2" borderId="42" xfId="30" applyFont="1" applyBorder="1" applyAlignment="1">
      <alignment horizontal="right" vertical="center"/>
    </xf>
    <xf numFmtId="3" fontId="2" fillId="14" borderId="25" xfId="3" applyNumberFormat="1" applyFont="1" applyBorder="1" applyAlignment="1" applyProtection="1">
      <alignment horizontal="right" vertical="center"/>
    </xf>
    <xf numFmtId="3" fontId="11" fillId="2" borderId="25" xfId="30" applyFont="1" applyBorder="1" applyAlignment="1">
      <alignment horizontal="right" vertical="center"/>
    </xf>
    <xf numFmtId="2" fontId="11" fillId="14" borderId="25" xfId="3" applyNumberFormat="1" applyFont="1" applyBorder="1" applyAlignment="1" applyProtection="1">
      <alignment horizontal="right" vertical="center"/>
    </xf>
    <xf numFmtId="0" fontId="11" fillId="14" borderId="41" xfId="3" applyFont="1" applyBorder="1" applyAlignment="1" applyProtection="1">
      <alignment horizontal="right" vertical="center"/>
    </xf>
    <xf numFmtId="0" fontId="12" fillId="0" borderId="39" xfId="0" applyFont="1" applyFill="1" applyBorder="1" applyAlignment="1" applyProtection="1">
      <alignment horizontal="left" wrapText="1"/>
    </xf>
    <xf numFmtId="0" fontId="4" fillId="2" borderId="48" xfId="5" applyFont="1" applyFill="1" applyBorder="1" applyAlignment="1" applyProtection="1">
      <alignment horizontal="center" vertical="center" wrapText="1"/>
    </xf>
    <xf numFmtId="0" fontId="4" fillId="2" borderId="50" xfId="5" applyFont="1" applyFill="1" applyBorder="1" applyAlignment="1" applyProtection="1">
      <alignment horizontal="center" vertical="center" wrapText="1"/>
    </xf>
    <xf numFmtId="0" fontId="12" fillId="0" borderId="40" xfId="0" applyFont="1" applyFill="1" applyBorder="1" applyAlignment="1" applyProtection="1">
      <alignment horizontal="left" vertical="center" wrapText="1"/>
    </xf>
    <xf numFmtId="3" fontId="12" fillId="14" borderId="49" xfId="3" applyNumberFormat="1" applyFont="1" applyBorder="1" applyProtection="1">
      <alignment horizontal="center" vertical="center"/>
    </xf>
    <xf numFmtId="3" fontId="11" fillId="14" borderId="49" xfId="3" applyNumberFormat="1" applyFont="1" applyBorder="1" applyAlignment="1" applyProtection="1">
      <alignment horizontal="right" vertical="center"/>
    </xf>
    <xf numFmtId="3" fontId="12" fillId="2" borderId="51" xfId="30" applyFont="1" applyBorder="1" applyAlignment="1" applyProtection="1">
      <alignment horizontal="right" vertical="center"/>
    </xf>
    <xf numFmtId="0" fontId="11" fillId="2" borderId="30" xfId="0" applyFont="1" applyFill="1" applyBorder="1" applyAlignment="1" applyProtection="1">
      <alignment horizontal="left" vertical="center" wrapText="1" indent="1"/>
    </xf>
    <xf numFmtId="3" fontId="11" fillId="43" borderId="23" xfId="11" applyFont="1" applyBorder="1" applyAlignment="1" applyProtection="1">
      <alignment horizontal="right" vertical="center"/>
      <protection locked="0"/>
    </xf>
    <xf numFmtId="3" fontId="2" fillId="14" borderId="23" xfId="3" applyNumberFormat="1" applyFont="1" applyBorder="1" applyAlignment="1" applyProtection="1">
      <alignment horizontal="right" vertical="center"/>
    </xf>
    <xf numFmtId="2" fontId="11" fillId="2" borderId="23" xfId="31" applyNumberFormat="1" applyFont="1" applyBorder="1" applyAlignment="1" applyProtection="1">
      <alignment horizontal="right" vertical="center"/>
    </xf>
    <xf numFmtId="3" fontId="2" fillId="2" borderId="27" xfId="30" applyFont="1" applyBorder="1" applyAlignment="1" applyProtection="1">
      <alignment horizontal="right" vertical="center"/>
    </xf>
    <xf numFmtId="3" fontId="11" fillId="2" borderId="38" xfId="30" applyFont="1" applyBorder="1" applyAlignment="1" applyProtection="1">
      <alignment horizontal="right" vertical="center"/>
    </xf>
    <xf numFmtId="0" fontId="11" fillId="2" borderId="9" xfId="0" applyFont="1" applyFill="1" applyBorder="1" applyAlignment="1" applyProtection="1">
      <alignment horizontal="left" wrapText="1" indent="1"/>
    </xf>
    <xf numFmtId="0" fontId="11" fillId="2" borderId="9" xfId="0" applyFont="1" applyFill="1" applyBorder="1" applyAlignment="1" applyProtection="1">
      <alignment horizontal="center" wrapText="1"/>
    </xf>
    <xf numFmtId="0" fontId="12" fillId="2" borderId="29" xfId="0" applyFont="1" applyFill="1" applyBorder="1" applyAlignment="1" applyProtection="1">
      <alignment vertical="center"/>
    </xf>
    <xf numFmtId="3" fontId="11" fillId="2" borderId="9" xfId="0" applyNumberFormat="1" applyFont="1" applyFill="1" applyBorder="1" applyProtection="1">
      <alignment vertical="center"/>
    </xf>
    <xf numFmtId="0" fontId="12" fillId="0" borderId="9" xfId="0" applyFont="1" applyFill="1" applyBorder="1" applyAlignment="1" applyProtection="1">
      <alignment horizontal="left" vertical="center" wrapText="1"/>
    </xf>
    <xf numFmtId="0" fontId="12" fillId="2" borderId="9" xfId="0" applyFont="1" applyFill="1" applyBorder="1" applyAlignment="1" applyProtection="1">
      <alignment vertical="center"/>
    </xf>
    <xf numFmtId="3" fontId="12" fillId="2" borderId="9" xfId="30" applyFont="1" applyBorder="1" applyAlignment="1" applyProtection="1">
      <alignment horizontal="right" vertical="center"/>
    </xf>
    <xf numFmtId="2" fontId="12" fillId="14" borderId="20" xfId="3" applyNumberFormat="1" applyFont="1" applyBorder="1" applyAlignment="1" applyProtection="1">
      <alignment horizontal="right" vertical="center" wrapText="1"/>
    </xf>
    <xf numFmtId="0" fontId="11" fillId="0" borderId="33" xfId="0" applyFont="1" applyFill="1" applyBorder="1" applyAlignment="1" applyProtection="1">
      <alignment horizontal="left" vertical="center" wrapText="1"/>
    </xf>
    <xf numFmtId="0" fontId="2" fillId="2" borderId="23" xfId="5" applyFont="1" applyFill="1" applyBorder="1" applyAlignment="1" applyProtection="1">
      <alignment horizontal="center" vertical="center" wrapText="1"/>
    </xf>
    <xf numFmtId="3" fontId="11" fillId="2" borderId="33" xfId="30" applyFont="1" applyBorder="1" applyAlignment="1" applyProtection="1">
      <alignment horizontal="right" vertical="center"/>
    </xf>
    <xf numFmtId="0" fontId="11" fillId="2" borderId="34" xfId="0" applyFont="1" applyFill="1" applyBorder="1" applyAlignment="1" applyProtection="1">
      <alignment horizontal="left" vertical="center" wrapText="1"/>
    </xf>
    <xf numFmtId="3" fontId="11" fillId="2" borderId="34" xfId="30" applyFont="1" applyBorder="1" applyAlignment="1" applyProtection="1">
      <alignment horizontal="right" vertical="center"/>
    </xf>
    <xf numFmtId="2" fontId="12" fillId="14" borderId="34" xfId="3" applyNumberFormat="1" applyFont="1" applyBorder="1" applyAlignment="1" applyProtection="1">
      <alignment horizontal="right" vertical="center" wrapText="1"/>
    </xf>
    <xf numFmtId="0" fontId="11" fillId="2" borderId="34" xfId="0" applyFont="1" applyFill="1" applyBorder="1" applyAlignment="1" applyProtection="1">
      <alignment horizontal="left" vertical="center" wrapText="1" indent="1"/>
    </xf>
    <xf numFmtId="0" fontId="11" fillId="2" borderId="35" xfId="0" applyFont="1" applyFill="1" applyBorder="1" applyAlignment="1" applyProtection="1">
      <alignment horizontal="left" vertical="center" wrapText="1"/>
    </xf>
    <xf numFmtId="3" fontId="11" fillId="2" borderId="35" xfId="30" applyFont="1" applyBorder="1" applyAlignment="1" applyProtection="1">
      <alignment horizontal="right" vertical="center"/>
    </xf>
    <xf numFmtId="0" fontId="11" fillId="45" borderId="29" xfId="9" applyFont="1" applyBorder="1" applyProtection="1">
      <alignment horizontal="left" vertical="center"/>
    </xf>
    <xf numFmtId="0" fontId="11" fillId="45" borderId="20" xfId="9" applyFont="1" applyBorder="1" applyProtection="1">
      <alignment horizontal="left" vertical="center"/>
    </xf>
    <xf numFmtId="3" fontId="12" fillId="14" borderId="41" xfId="3" applyNumberFormat="1" applyFont="1" applyBorder="1" applyAlignment="1" applyProtection="1">
      <alignment horizontal="right" vertical="center" wrapText="1"/>
    </xf>
    <xf numFmtId="3" fontId="2" fillId="14" borderId="25" xfId="3" applyNumberFormat="1" applyFont="1" applyBorder="1" applyProtection="1">
      <alignment horizontal="center" vertical="center"/>
    </xf>
    <xf numFmtId="3" fontId="12" fillId="14" borderId="41" xfId="3" applyNumberFormat="1" applyFont="1" applyBorder="1" applyAlignment="1" applyProtection="1">
      <alignment horizontal="right" wrapText="1"/>
    </xf>
    <xf numFmtId="3" fontId="12" fillId="14" borderId="25" xfId="3" applyNumberFormat="1" applyFont="1" applyBorder="1" applyAlignment="1" applyProtection="1">
      <alignment horizontal="left" vertical="center"/>
    </xf>
    <xf numFmtId="0" fontId="11" fillId="2" borderId="43" xfId="0" applyFont="1" applyFill="1" applyBorder="1" applyAlignment="1" applyProtection="1">
      <alignment vertical="center" wrapText="1"/>
    </xf>
    <xf numFmtId="3" fontId="12" fillId="14" borderId="28" xfId="3" applyNumberFormat="1" applyFont="1" applyBorder="1" applyAlignment="1" applyProtection="1">
      <alignment horizontal="right" vertical="center" wrapText="1"/>
    </xf>
    <xf numFmtId="3" fontId="2" fillId="14" borderId="28" xfId="3" applyNumberFormat="1" applyFont="1" applyBorder="1" applyAlignment="1" applyProtection="1">
      <alignment horizontal="right" vertical="center"/>
    </xf>
    <xf numFmtId="3" fontId="12" fillId="14" borderId="42" xfId="3" applyNumberFormat="1" applyFont="1" applyBorder="1" applyAlignment="1" applyProtection="1">
      <alignment horizontal="right" vertical="center" wrapText="1"/>
    </xf>
    <xf numFmtId="3" fontId="2" fillId="14" borderId="20" xfId="3" applyNumberFormat="1" applyFont="1" applyBorder="1" applyProtection="1">
      <alignment horizontal="center" vertical="center"/>
    </xf>
    <xf numFmtId="0" fontId="11" fillId="2" borderId="46" xfId="0" applyFont="1" applyFill="1" applyBorder="1" applyAlignment="1" applyProtection="1">
      <alignment horizontal="left" vertical="center" wrapText="1" indent="2"/>
    </xf>
    <xf numFmtId="3" fontId="11" fillId="43" borderId="45" xfId="11" applyNumberFormat="1" applyFont="1" applyBorder="1" applyAlignment="1" applyProtection="1">
      <alignment horizontal="right" vertical="center"/>
      <protection locked="0"/>
    </xf>
    <xf numFmtId="2" fontId="11" fillId="2" borderId="45" xfId="31" applyNumberFormat="1" applyFont="1" applyBorder="1" applyAlignment="1" applyProtection="1">
      <alignment horizontal="right" vertical="center"/>
    </xf>
    <xf numFmtId="3" fontId="11" fillId="2" borderId="47" xfId="30" applyFont="1" applyBorder="1" applyAlignment="1" applyProtection="1">
      <alignment horizontal="right" vertical="center"/>
    </xf>
    <xf numFmtId="3" fontId="12" fillId="14" borderId="20" xfId="3" applyNumberFormat="1" applyFont="1" applyBorder="1" applyAlignment="1" applyProtection="1">
      <alignment horizontal="left" vertical="center"/>
    </xf>
    <xf numFmtId="3" fontId="12" fillId="2" borderId="36" xfId="30" applyFont="1" applyBorder="1" applyAlignment="1" applyProtection="1">
      <alignment horizontal="right" vertical="center"/>
    </xf>
    <xf numFmtId="0" fontId="2" fillId="14" borderId="20" xfId="3" applyFont="1" applyBorder="1" applyAlignment="1" applyProtection="1">
      <alignment horizontal="center" vertical="center"/>
    </xf>
    <xf numFmtId="3" fontId="12" fillId="14" borderId="23" xfId="3" applyNumberFormat="1" applyFont="1" applyBorder="1" applyAlignment="1" applyProtection="1">
      <alignment horizontal="right" vertical="center" wrapText="1"/>
    </xf>
    <xf numFmtId="0" fontId="2" fillId="14" borderId="23" xfId="3" applyFont="1" applyBorder="1" applyAlignment="1" applyProtection="1">
      <alignment horizontal="center" vertical="center"/>
    </xf>
    <xf numFmtId="3" fontId="12" fillId="14" borderId="37" xfId="3" applyNumberFormat="1" applyFont="1" applyBorder="1" applyAlignment="1" applyProtection="1">
      <alignment horizontal="right" vertical="center" wrapText="1"/>
    </xf>
    <xf numFmtId="0" fontId="2" fillId="14" borderId="25" xfId="3" applyFont="1" applyBorder="1" applyAlignment="1" applyProtection="1">
      <alignment horizontal="center" vertical="center"/>
    </xf>
    <xf numFmtId="0" fontId="2" fillId="14" borderId="27" xfId="3" applyFont="1" applyBorder="1" applyAlignment="1" applyProtection="1">
      <alignment horizontal="center" vertical="center"/>
    </xf>
    <xf numFmtId="0" fontId="3" fillId="2" borderId="29" xfId="0" applyFont="1" applyFill="1" applyBorder="1" applyAlignment="1" applyProtection="1">
      <alignment horizontal="left" wrapText="1"/>
    </xf>
    <xf numFmtId="0" fontId="11" fillId="45" borderId="20" xfId="9" applyFont="1" applyBorder="1" applyAlignment="1" applyProtection="1">
      <alignment horizontal="center" vertical="center"/>
    </xf>
    <xf numFmtId="0" fontId="11" fillId="45" borderId="20" xfId="9" applyFont="1" applyBorder="1" applyAlignment="1" applyProtection="1">
      <alignment horizontal="left" vertical="center"/>
    </xf>
    <xf numFmtId="3" fontId="11" fillId="45" borderId="36" xfId="6" applyFont="1" applyBorder="1" applyAlignment="1" applyProtection="1">
      <alignment horizontal="right" vertical="center"/>
    </xf>
    <xf numFmtId="4" fontId="11" fillId="14" borderId="25" xfId="3" applyNumberFormat="1" applyFont="1" applyBorder="1">
      <alignment horizontal="center" vertical="center"/>
    </xf>
    <xf numFmtId="3" fontId="11" fillId="14" borderId="41" xfId="3" applyNumberFormat="1" applyFont="1" applyBorder="1">
      <alignment horizontal="center" vertical="center"/>
    </xf>
    <xf numFmtId="3" fontId="12" fillId="14" borderId="25" xfId="3" applyNumberFormat="1" applyFont="1" applyBorder="1">
      <alignment horizontal="center" vertical="center"/>
    </xf>
    <xf numFmtId="3" fontId="11" fillId="14" borderId="25" xfId="3" applyNumberFormat="1" applyFont="1" applyBorder="1" applyAlignment="1">
      <alignment horizontal="center" vertical="center"/>
    </xf>
    <xf numFmtId="4" fontId="11" fillId="2" borderId="25" xfId="31" applyNumberFormat="1" applyFont="1" applyBorder="1" applyAlignment="1" applyProtection="1">
      <alignment horizontal="right" vertical="center"/>
    </xf>
    <xf numFmtId="3" fontId="2" fillId="14" borderId="25" xfId="3" applyNumberFormat="1" applyFont="1" applyBorder="1" applyAlignment="1">
      <alignment horizontal="center" vertical="center"/>
    </xf>
    <xf numFmtId="2" fontId="11" fillId="14" borderId="25" xfId="3" applyNumberFormat="1" applyFont="1" applyBorder="1" applyAlignment="1">
      <alignment horizontal="center" vertical="center"/>
    </xf>
    <xf numFmtId="4" fontId="11" fillId="14" borderId="25" xfId="3" applyNumberFormat="1" applyFont="1" applyBorder="1" applyAlignment="1">
      <alignment horizontal="center" vertical="center"/>
    </xf>
    <xf numFmtId="3" fontId="11" fillId="14" borderId="41" xfId="3" applyNumberFormat="1" applyFont="1" applyBorder="1" applyAlignment="1">
      <alignment horizontal="center" vertical="center"/>
    </xf>
    <xf numFmtId="1" fontId="11" fillId="14" borderId="25" xfId="3" applyNumberFormat="1" applyFont="1" applyBorder="1">
      <alignment horizontal="center" vertical="center"/>
    </xf>
    <xf numFmtId="3" fontId="11" fillId="2" borderId="41" xfId="30" applyFont="1" applyBorder="1">
      <alignment horizontal="right" vertical="center"/>
    </xf>
    <xf numFmtId="4" fontId="11" fillId="14" borderId="25" xfId="3" applyNumberFormat="1" applyFont="1" applyBorder="1" applyAlignment="1" applyProtection="1">
      <alignment horizontal="right" vertical="center" wrapText="1"/>
    </xf>
    <xf numFmtId="3" fontId="11" fillId="14" borderId="41" xfId="3" applyNumberFormat="1" applyFont="1" applyBorder="1" applyAlignment="1" applyProtection="1">
      <alignment horizontal="right" wrapText="1"/>
    </xf>
    <xf numFmtId="1" fontId="11" fillId="14" borderId="41" xfId="3" applyNumberFormat="1" applyFont="1" applyBorder="1">
      <alignment horizontal="center" vertical="center"/>
    </xf>
    <xf numFmtId="4" fontId="11" fillId="7" borderId="25" xfId="31" applyNumberFormat="1" applyFont="1" applyFill="1" applyBorder="1" applyAlignment="1" applyProtection="1">
      <alignment horizontal="right" vertical="center"/>
    </xf>
    <xf numFmtId="2" fontId="11" fillId="7" borderId="25" xfId="3" applyNumberFormat="1" applyFont="1" applyFill="1" applyBorder="1" applyAlignment="1" applyProtection="1">
      <alignment horizontal="right" vertical="center" wrapText="1"/>
    </xf>
    <xf numFmtId="4" fontId="11" fillId="7" borderId="25" xfId="3" applyNumberFormat="1" applyFont="1" applyFill="1" applyBorder="1" applyAlignment="1" applyProtection="1">
      <alignment horizontal="right" vertical="center" wrapText="1"/>
    </xf>
    <xf numFmtId="3" fontId="2" fillId="14" borderId="25" xfId="3" applyNumberFormat="1" applyFont="1" applyBorder="1" applyAlignment="1">
      <alignment horizontal="right" vertical="center"/>
    </xf>
    <xf numFmtId="1" fontId="11" fillId="14" borderId="25" xfId="3" applyNumberFormat="1" applyFont="1" applyBorder="1" applyAlignment="1">
      <alignment horizontal="right" vertical="center"/>
    </xf>
    <xf numFmtId="4" fontId="11" fillId="14" borderId="25" xfId="3" applyNumberFormat="1" applyFont="1" applyBorder="1" applyAlignment="1">
      <alignment horizontal="right" vertical="center"/>
    </xf>
    <xf numFmtId="1" fontId="11" fillId="14" borderId="41" xfId="3" applyNumberFormat="1" applyFont="1" applyBorder="1" applyAlignment="1">
      <alignment horizontal="right" vertical="center"/>
    </xf>
    <xf numFmtId="2" fontId="11" fillId="7" borderId="25" xfId="31" applyNumberFormat="1" applyFont="1" applyFill="1" applyBorder="1" applyAlignment="1" applyProtection="1">
      <alignment horizontal="right" vertical="center"/>
    </xf>
    <xf numFmtId="3" fontId="11" fillId="14" borderId="28" xfId="3" applyNumberFormat="1" applyFont="1" applyBorder="1">
      <alignment horizontal="center" vertical="center"/>
    </xf>
    <xf numFmtId="4" fontId="11" fillId="14" borderId="28" xfId="3" applyNumberFormat="1" applyFont="1" applyBorder="1">
      <alignment horizontal="center" vertical="center"/>
    </xf>
    <xf numFmtId="3" fontId="11" fillId="14" borderId="42" xfId="3" applyNumberFormat="1" applyFont="1" applyBorder="1">
      <alignment horizontal="center" vertical="center"/>
    </xf>
    <xf numFmtId="3" fontId="11" fillId="43" borderId="45" xfId="11" applyFont="1" applyBorder="1" applyAlignment="1" applyProtection="1">
      <alignment horizontal="right" vertical="center"/>
      <protection locked="0"/>
    </xf>
    <xf numFmtId="3" fontId="11" fillId="14" borderId="45" xfId="3" applyNumberFormat="1" applyFont="1" applyBorder="1" applyAlignment="1">
      <alignment horizontal="right" vertical="center"/>
    </xf>
    <xf numFmtId="3" fontId="11" fillId="2" borderId="45" xfId="30" applyFont="1" applyBorder="1" applyAlignment="1">
      <alignment horizontal="right" vertical="center"/>
    </xf>
    <xf numFmtId="4" fontId="11" fillId="2" borderId="45" xfId="31" applyNumberFormat="1" applyFont="1" applyBorder="1" applyAlignment="1" applyProtection="1">
      <alignment horizontal="right" vertical="center"/>
    </xf>
    <xf numFmtId="3" fontId="11" fillId="2" borderId="47" xfId="30" applyFont="1" applyBorder="1" applyAlignment="1">
      <alignment horizontal="right" vertical="center"/>
    </xf>
    <xf numFmtId="3" fontId="2" fillId="14" borderId="20" xfId="3" applyNumberFormat="1" applyFont="1" applyBorder="1" applyAlignment="1">
      <alignment horizontal="right" vertical="center"/>
    </xf>
    <xf numFmtId="3" fontId="12" fillId="2" borderId="36" xfId="30" applyFont="1" applyBorder="1">
      <alignment horizontal="right" vertical="center"/>
    </xf>
    <xf numFmtId="0" fontId="35" fillId="0" borderId="31" xfId="83" applyBorder="1" applyAlignment="1" applyProtection="1">
      <alignment horizontal="left" vertical="center" wrapText="1" indent="3"/>
    </xf>
    <xf numFmtId="0" fontId="11" fillId="2" borderId="9" xfId="0" applyFont="1" applyFill="1" applyBorder="1" applyAlignment="1" applyProtection="1">
      <alignment horizontal="left" vertical="center" wrapText="1" indent="2"/>
    </xf>
    <xf numFmtId="0" fontId="11" fillId="7" borderId="30" xfId="0" applyFont="1" applyFill="1" applyBorder="1" applyAlignment="1" applyProtection="1">
      <alignment horizontal="left" vertical="center" wrapText="1"/>
    </xf>
    <xf numFmtId="3" fontId="12" fillId="14" borderId="23" xfId="3" applyNumberFormat="1" applyFont="1" applyBorder="1">
      <alignment horizontal="center" vertical="center"/>
    </xf>
    <xf numFmtId="3" fontId="11" fillId="7" borderId="23" xfId="30" applyFont="1" applyFill="1" applyBorder="1">
      <alignment horizontal="right" vertical="center"/>
    </xf>
    <xf numFmtId="3" fontId="11" fillId="14" borderId="37" xfId="3" applyNumberFormat="1" applyFont="1" applyBorder="1">
      <alignment horizontal="center" vertical="center"/>
    </xf>
    <xf numFmtId="0" fontId="11" fillId="7" borderId="31" xfId="0" applyFont="1" applyFill="1" applyBorder="1" applyAlignment="1" applyProtection="1">
      <alignment horizontal="left" vertical="center" wrapText="1"/>
    </xf>
    <xf numFmtId="3" fontId="11" fillId="7" borderId="25" xfId="30" applyFont="1" applyFill="1" applyBorder="1">
      <alignment horizontal="right" vertical="center"/>
    </xf>
    <xf numFmtId="0" fontId="11" fillId="7" borderId="32" xfId="0" applyFont="1" applyFill="1" applyBorder="1" applyAlignment="1" applyProtection="1">
      <alignment horizontal="left" vertical="center" wrapText="1"/>
    </xf>
    <xf numFmtId="3" fontId="11" fillId="7" borderId="27" xfId="30" applyFont="1" applyFill="1" applyBorder="1">
      <alignment horizontal="right" vertical="center"/>
    </xf>
    <xf numFmtId="3" fontId="11" fillId="14" borderId="27" xfId="3" applyNumberFormat="1" applyFont="1" applyBorder="1">
      <alignment horizontal="center" vertical="center"/>
    </xf>
    <xf numFmtId="3" fontId="11" fillId="14" borderId="38" xfId="3" applyNumberFormat="1" applyFont="1" applyBorder="1">
      <alignment horizontal="center" vertical="center"/>
    </xf>
    <xf numFmtId="0" fontId="11" fillId="2" borderId="33" xfId="0" applyFont="1" applyFill="1" applyBorder="1" applyAlignment="1" applyProtection="1">
      <alignment vertical="center" wrapText="1"/>
    </xf>
    <xf numFmtId="0" fontId="11" fillId="2" borderId="33" xfId="0" applyFont="1" applyFill="1" applyBorder="1" applyAlignment="1" applyProtection="1">
      <alignment horizontal="center" vertical="center"/>
    </xf>
    <xf numFmtId="3" fontId="12" fillId="2" borderId="33" xfId="3" applyNumberFormat="1" applyFont="1" applyFill="1" applyBorder="1" applyAlignment="1" applyProtection="1">
      <alignment horizontal="right" wrapText="1"/>
    </xf>
    <xf numFmtId="0" fontId="2" fillId="2" borderId="33" xfId="0" applyFont="1" applyFill="1" applyBorder="1" applyProtection="1">
      <alignment vertical="center"/>
    </xf>
    <xf numFmtId="0" fontId="11" fillId="2" borderId="30" xfId="0" applyFont="1" applyFill="1" applyBorder="1" applyProtection="1">
      <alignment vertical="center"/>
    </xf>
    <xf numFmtId="0" fontId="11" fillId="2" borderId="44" xfId="0" applyFont="1" applyFill="1" applyBorder="1" applyAlignment="1" applyProtection="1">
      <alignment vertical="center" wrapText="1"/>
    </xf>
    <xf numFmtId="0" fontId="11" fillId="2" borderId="44" xfId="0" applyFont="1" applyFill="1" applyBorder="1" applyAlignment="1" applyProtection="1">
      <alignment horizontal="center" vertical="center"/>
    </xf>
    <xf numFmtId="3" fontId="12" fillId="2" borderId="44" xfId="3" applyNumberFormat="1" applyFont="1" applyFill="1" applyBorder="1" applyAlignment="1" applyProtection="1">
      <alignment horizontal="right" wrapText="1"/>
    </xf>
    <xf numFmtId="0" fontId="2" fillId="2" borderId="44" xfId="0" applyFont="1" applyFill="1" applyBorder="1" applyProtection="1">
      <alignment vertical="center"/>
    </xf>
    <xf numFmtId="0" fontId="11" fillId="2" borderId="46" xfId="0" applyFont="1" applyFill="1" applyBorder="1" applyProtection="1">
      <alignment vertical="center"/>
    </xf>
    <xf numFmtId="9" fontId="11" fillId="45" borderId="36" xfId="8" applyFont="1" applyBorder="1" applyProtection="1">
      <alignment horizontal="right" vertical="center"/>
    </xf>
    <xf numFmtId="0" fontId="2" fillId="2" borderId="40" xfId="0" applyFont="1" applyFill="1" applyBorder="1" applyProtection="1">
      <alignment vertical="center"/>
    </xf>
    <xf numFmtId="3" fontId="2" fillId="14" borderId="23" xfId="3" applyNumberFormat="1" applyFont="1" applyBorder="1">
      <alignment horizontal="center" vertical="center"/>
    </xf>
    <xf numFmtId="171" fontId="2" fillId="43" borderId="25" xfId="17" applyFont="1" applyBorder="1">
      <alignment horizontal="right" vertical="center"/>
      <protection locked="0"/>
    </xf>
    <xf numFmtId="0" fontId="2" fillId="43" borderId="25" xfId="18" applyFont="1" applyBorder="1">
      <alignment horizontal="center" vertical="center" wrapText="1"/>
      <protection locked="0"/>
    </xf>
    <xf numFmtId="171" fontId="2" fillId="43" borderId="27" xfId="17" applyFont="1" applyBorder="1">
      <alignment horizontal="right" vertical="center"/>
      <protection locked="0"/>
    </xf>
    <xf numFmtId="0" fontId="4" fillId="2" borderId="36" xfId="5" applyFont="1" applyBorder="1">
      <alignment horizontal="center" wrapText="1"/>
    </xf>
    <xf numFmtId="0" fontId="0" fillId="2" borderId="29" xfId="5" applyFont="1" applyBorder="1">
      <alignment horizontal="center" wrapText="1"/>
    </xf>
    <xf numFmtId="0" fontId="4" fillId="2" borderId="9" xfId="5" applyFont="1" applyBorder="1">
      <alignment horizontal="center" wrapText="1"/>
    </xf>
    <xf numFmtId="0" fontId="0" fillId="2" borderId="29" xfId="5" applyFont="1" applyBorder="1">
      <alignment horizontal="center" wrapText="1"/>
    </xf>
    <xf numFmtId="0" fontId="9" fillId="2" borderId="2" xfId="0" applyFont="1" applyFill="1" applyBorder="1" applyProtection="1">
      <alignment vertical="center"/>
    </xf>
    <xf numFmtId="0" fontId="9" fillId="2" borderId="0" xfId="0" applyFont="1" applyFill="1" applyBorder="1" applyProtection="1">
      <alignment vertical="center"/>
    </xf>
    <xf numFmtId="0" fontId="9" fillId="2" borderId="6" xfId="0" applyFont="1" applyFill="1" applyBorder="1" applyProtection="1">
      <alignment vertical="center"/>
    </xf>
    <xf numFmtId="0" fontId="9" fillId="2" borderId="10" xfId="0" applyFont="1" applyFill="1" applyBorder="1" applyProtection="1">
      <alignment vertical="center"/>
    </xf>
    <xf numFmtId="0" fontId="9" fillId="2" borderId="7" xfId="0" applyFont="1" applyFill="1" applyBorder="1" applyProtection="1">
      <alignment vertical="center"/>
    </xf>
    <xf numFmtId="0" fontId="0" fillId="2" borderId="4" xfId="0" applyFont="1" applyFill="1" applyBorder="1" applyProtection="1">
      <alignment vertical="center"/>
    </xf>
    <xf numFmtId="0" fontId="0" fillId="2" borderId="9" xfId="0" applyFill="1" applyBorder="1" applyAlignment="1" applyProtection="1">
      <alignment vertical="center"/>
    </xf>
    <xf numFmtId="0" fontId="0" fillId="2" borderId="4" xfId="0" applyFill="1" applyBorder="1" applyAlignment="1" applyProtection="1">
      <alignment vertical="center"/>
    </xf>
    <xf numFmtId="0" fontId="9" fillId="2" borderId="20" xfId="5" applyFont="1" applyBorder="1">
      <alignment horizontal="center" wrapText="1"/>
    </xf>
    <xf numFmtId="0" fontId="9" fillId="2" borderId="9" xfId="0" applyFont="1" applyFill="1" applyBorder="1" applyProtection="1">
      <alignment vertical="center"/>
    </xf>
    <xf numFmtId="0" fontId="9" fillId="2" borderId="36" xfId="5" applyFont="1" applyBorder="1">
      <alignment horizontal="center" wrapText="1"/>
    </xf>
    <xf numFmtId="0" fontId="2" fillId="14" borderId="31" xfId="3" applyFont="1" applyBorder="1" applyProtection="1">
      <alignment horizontal="center" vertical="center"/>
    </xf>
    <xf numFmtId="0" fontId="9" fillId="2" borderId="29" xfId="5" applyFont="1" applyBorder="1">
      <alignment horizontal="center" wrapText="1"/>
    </xf>
    <xf numFmtId="0" fontId="2" fillId="2" borderId="41" xfId="2" applyBorder="1">
      <alignment horizontal="center" vertical="center"/>
    </xf>
    <xf numFmtId="3" fontId="11" fillId="43" borderId="41" xfId="11" applyFont="1" applyBorder="1" applyProtection="1">
      <alignment horizontal="right" vertical="center"/>
      <protection locked="0"/>
    </xf>
    <xf numFmtId="3" fontId="11" fillId="43" borderId="37" xfId="11" applyFont="1" applyBorder="1" applyProtection="1">
      <alignment horizontal="right" vertical="center"/>
      <protection locked="0"/>
    </xf>
    <xf numFmtId="0" fontId="2" fillId="14" borderId="35" xfId="3" applyFont="1" applyBorder="1" applyProtection="1">
      <alignment horizontal="center" vertical="center"/>
    </xf>
    <xf numFmtId="0" fontId="2" fillId="14" borderId="32" xfId="3" applyFont="1" applyBorder="1" applyProtection="1">
      <alignment horizontal="center" vertical="center"/>
    </xf>
    <xf numFmtId="0" fontId="9" fillId="2" borderId="31" xfId="0" applyFont="1" applyFill="1" applyBorder="1" applyAlignment="1" applyProtection="1">
      <alignment vertical="center" wrapText="1"/>
    </xf>
    <xf numFmtId="0" fontId="35" fillId="2" borderId="31" xfId="83" applyFill="1" applyBorder="1" applyAlignment="1" applyProtection="1">
      <alignment horizontal="left" vertical="center" wrapText="1" indent="1"/>
    </xf>
    <xf numFmtId="0" fontId="9" fillId="2" borderId="31" xfId="0" applyFont="1" applyFill="1" applyBorder="1" applyAlignment="1" applyProtection="1">
      <alignment horizontal="left" vertical="center" wrapText="1" indent="1"/>
    </xf>
    <xf numFmtId="0" fontId="2" fillId="14" borderId="8" xfId="3" applyFont="1" applyBorder="1" applyProtection="1">
      <alignment horizontal="center" vertical="center"/>
    </xf>
    <xf numFmtId="0" fontId="2" fillId="14" borderId="40" xfId="3" applyFont="1" applyBorder="1" applyProtection="1">
      <alignment horizontal="center" vertical="center"/>
    </xf>
    <xf numFmtId="3" fontId="9" fillId="2" borderId="23" xfId="30" applyFont="1" applyBorder="1">
      <alignment horizontal="right" vertical="center"/>
    </xf>
    <xf numFmtId="3" fontId="9" fillId="2" borderId="37" xfId="30" applyFont="1" applyBorder="1">
      <alignment horizontal="right" vertical="center"/>
    </xf>
    <xf numFmtId="3" fontId="9" fillId="2" borderId="25" xfId="30" applyFont="1" applyBorder="1">
      <alignment horizontal="right" vertical="center"/>
    </xf>
    <xf numFmtId="3" fontId="9" fillId="2" borderId="41" xfId="30" applyFont="1" applyBorder="1">
      <alignment horizontal="right" vertical="center"/>
    </xf>
    <xf numFmtId="3" fontId="9" fillId="2" borderId="31" xfId="30" applyFont="1" applyBorder="1">
      <alignment horizontal="right" vertical="center"/>
    </xf>
    <xf numFmtId="3" fontId="9" fillId="2" borderId="38" xfId="30" applyFont="1" applyBorder="1">
      <alignment horizontal="right" vertical="center"/>
    </xf>
    <xf numFmtId="0" fontId="2" fillId="14" borderId="28" xfId="3" applyFont="1" applyBorder="1" applyProtection="1">
      <alignment horizontal="center" vertical="center"/>
    </xf>
    <xf numFmtId="2" fontId="9" fillId="2" borderId="34" xfId="32" applyNumberFormat="1" applyFont="1" applyBorder="1">
      <alignment horizontal="right" vertical="center"/>
    </xf>
    <xf numFmtId="3" fontId="11" fillId="43" borderId="42" xfId="11" applyFont="1" applyBorder="1" applyProtection="1">
      <alignment horizontal="right" vertical="center"/>
      <protection locked="0"/>
    </xf>
    <xf numFmtId="0" fontId="2" fillId="14" borderId="42" xfId="3" applyFont="1" applyBorder="1" applyProtection="1">
      <alignment horizontal="center" vertical="center"/>
    </xf>
    <xf numFmtId="0" fontId="2" fillId="14" borderId="43" xfId="3" applyFont="1" applyBorder="1" applyProtection="1">
      <alignment horizontal="center" vertical="center"/>
    </xf>
    <xf numFmtId="0" fontId="9" fillId="2" borderId="0" xfId="0" applyFont="1" applyFill="1" applyBorder="1" applyAlignment="1" applyProtection="1">
      <alignment horizontal="left" vertical="center" indent="1"/>
    </xf>
    <xf numFmtId="2" fontId="9" fillId="2" borderId="54" xfId="32" applyNumberFormat="1" applyFont="1" applyBorder="1">
      <alignment horizontal="right" vertical="center"/>
    </xf>
    <xf numFmtId="3" fontId="9" fillId="2" borderId="42" xfId="30" applyFont="1" applyBorder="1">
      <alignment horizontal="right" vertical="center"/>
    </xf>
    <xf numFmtId="0" fontId="2" fillId="14" borderId="51" xfId="3" applyFont="1" applyBorder="1" applyProtection="1">
      <alignment horizontal="center" vertical="center"/>
    </xf>
    <xf numFmtId="0" fontId="9" fillId="45" borderId="8" xfId="9" applyFont="1" applyBorder="1" applyProtection="1">
      <alignment horizontal="left" vertical="center"/>
    </xf>
    <xf numFmtId="0" fontId="9" fillId="45" borderId="40" xfId="9" applyFont="1" applyBorder="1" applyProtection="1">
      <alignment horizontal="left" vertical="center"/>
    </xf>
    <xf numFmtId="3" fontId="9" fillId="45" borderId="51" xfId="6" applyFont="1" applyBorder="1">
      <alignment horizontal="right" vertical="center"/>
    </xf>
    <xf numFmtId="3" fontId="11" fillId="43" borderId="38" xfId="11" applyFont="1" applyBorder="1" applyProtection="1">
      <alignment horizontal="right" vertical="center"/>
      <protection locked="0"/>
    </xf>
    <xf numFmtId="2" fontId="9" fillId="2" borderId="35" xfId="32" applyNumberFormat="1" applyFont="1" applyBorder="1">
      <alignment horizontal="right" vertical="center"/>
    </xf>
    <xf numFmtId="0" fontId="9" fillId="45" borderId="9" xfId="9" applyFont="1" applyBorder="1" applyProtection="1">
      <alignment horizontal="left" vertical="center"/>
    </xf>
    <xf numFmtId="0" fontId="9" fillId="45" borderId="29" xfId="9" applyFont="1" applyBorder="1" applyProtection="1">
      <alignment horizontal="left" vertical="center"/>
    </xf>
    <xf numFmtId="0" fontId="35" fillId="2" borderId="35" xfId="83" applyFill="1" applyBorder="1" applyAlignment="1" applyProtection="1">
      <alignment horizontal="left" vertical="center" wrapText="1"/>
    </xf>
    <xf numFmtId="0" fontId="2" fillId="14" borderId="38" xfId="3" applyFont="1" applyBorder="1" applyProtection="1">
      <alignment horizontal="center" vertical="center"/>
    </xf>
    <xf numFmtId="0" fontId="2" fillId="14" borderId="49" xfId="3" applyFont="1" applyBorder="1" applyProtection="1">
      <alignment horizontal="center" vertical="center"/>
    </xf>
    <xf numFmtId="0" fontId="2" fillId="2" borderId="38" xfId="2" applyBorder="1">
      <alignment horizontal="center" vertical="center"/>
    </xf>
    <xf numFmtId="0" fontId="33" fillId="2" borderId="12" xfId="83" applyFont="1" applyFill="1" applyBorder="1" applyAlignment="1" applyProtection="1"/>
    <xf numFmtId="0" fontId="9" fillId="2" borderId="5" xfId="0" applyFont="1" applyFill="1" applyBorder="1" applyProtection="1">
      <alignment vertical="center"/>
    </xf>
    <xf numFmtId="0" fontId="9" fillId="2" borderId="11" xfId="0" applyFont="1" applyFill="1" applyBorder="1" applyProtection="1">
      <alignment vertical="center"/>
    </xf>
    <xf numFmtId="0" fontId="4" fillId="2" borderId="20" xfId="5" applyFont="1" applyFill="1" applyBorder="1" applyAlignment="1">
      <alignment horizontal="center" vertical="center" wrapText="1"/>
    </xf>
    <xf numFmtId="0" fontId="4" fillId="2" borderId="36" xfId="5" applyFont="1" applyFill="1" applyBorder="1" applyAlignment="1">
      <alignment horizontal="center" vertical="center" wrapText="1"/>
    </xf>
    <xf numFmtId="0" fontId="2" fillId="2" borderId="23" xfId="0" applyFont="1" applyFill="1" applyBorder="1" applyAlignment="1" applyProtection="1">
      <alignment horizontal="center" vertical="center"/>
    </xf>
    <xf numFmtId="0" fontId="2" fillId="2" borderId="27" xfId="0" applyFont="1" applyFill="1" applyBorder="1" applyAlignment="1" applyProtection="1">
      <alignment horizontal="center" vertical="center"/>
    </xf>
    <xf numFmtId="0" fontId="0" fillId="2" borderId="31" xfId="0" applyFill="1" applyBorder="1" applyAlignment="1">
      <alignment horizontal="center" vertical="center"/>
    </xf>
    <xf numFmtId="0" fontId="0" fillId="2" borderId="32" xfId="0" applyFill="1" applyBorder="1" applyAlignment="1">
      <alignment horizontal="center" vertical="center"/>
    </xf>
    <xf numFmtId="0" fontId="0" fillId="2" borderId="2" xfId="0" applyFill="1" applyBorder="1" applyProtection="1">
      <alignment vertical="center"/>
    </xf>
    <xf numFmtId="0" fontId="3" fillId="2" borderId="9" xfId="0" applyFont="1" applyFill="1" applyBorder="1" applyProtection="1">
      <alignment vertical="center"/>
    </xf>
    <xf numFmtId="0" fontId="3" fillId="2" borderId="0" xfId="0" applyFont="1" applyFill="1" applyBorder="1" applyProtection="1">
      <alignment vertical="center"/>
    </xf>
    <xf numFmtId="0" fontId="11" fillId="2" borderId="9" xfId="0" applyFont="1" applyFill="1" applyBorder="1" applyAlignment="1" applyProtection="1">
      <alignment horizontal="left" vertical="center" wrapText="1"/>
    </xf>
    <xf numFmtId="0" fontId="4" fillId="2" borderId="5" xfId="0" applyFont="1" applyFill="1" applyBorder="1" applyAlignment="1" applyProtection="1">
      <alignment vertical="center"/>
    </xf>
    <xf numFmtId="0" fontId="4" fillId="2" borderId="33" xfId="0" applyFont="1" applyFill="1" applyBorder="1" applyAlignment="1" applyProtection="1">
      <alignment vertical="center"/>
    </xf>
    <xf numFmtId="0" fontId="0" fillId="2" borderId="33" xfId="0" applyFont="1" applyFill="1" applyBorder="1" applyAlignment="1" applyProtection="1">
      <alignment vertical="center"/>
    </xf>
    <xf numFmtId="0" fontId="2" fillId="2" borderId="33" xfId="0" applyFont="1" applyFill="1" applyBorder="1" applyAlignment="1" applyProtection="1">
      <alignment vertical="center"/>
    </xf>
    <xf numFmtId="0" fontId="0" fillId="2" borderId="34" xfId="0" applyFont="1" applyFill="1" applyBorder="1" applyAlignment="1" applyProtection="1">
      <alignment vertical="center"/>
    </xf>
    <xf numFmtId="0" fontId="2" fillId="2" borderId="34" xfId="0" applyFont="1" applyFill="1" applyBorder="1" applyAlignment="1" applyProtection="1">
      <alignment vertical="center"/>
    </xf>
    <xf numFmtId="0" fontId="0" fillId="2" borderId="34" xfId="0" applyFont="1" applyFill="1" applyBorder="1" applyAlignment="1" applyProtection="1">
      <alignment horizontal="left" vertical="center" indent="2"/>
    </xf>
    <xf numFmtId="0" fontId="4" fillId="2" borderId="34" xfId="0" applyFont="1" applyFill="1" applyBorder="1" applyAlignment="1" applyProtection="1">
      <alignment vertical="center"/>
    </xf>
    <xf numFmtId="0" fontId="11" fillId="2" borderId="34" xfId="0" applyFont="1" applyFill="1" applyBorder="1" applyAlignment="1" applyProtection="1">
      <alignment horizontal="left" vertical="center" indent="1"/>
    </xf>
    <xf numFmtId="0" fontId="0" fillId="2" borderId="35" xfId="0" applyFont="1" applyFill="1" applyBorder="1" applyAlignment="1" applyProtection="1">
      <alignment horizontal="left" vertical="center" indent="1"/>
    </xf>
    <xf numFmtId="0" fontId="0" fillId="2" borderId="35" xfId="0" applyFont="1" applyFill="1" applyBorder="1" applyAlignment="1" applyProtection="1">
      <alignment vertical="center"/>
    </xf>
    <xf numFmtId="0" fontId="2" fillId="2" borderId="35" xfId="0" applyFont="1" applyFill="1" applyBorder="1" applyAlignment="1" applyProtection="1">
      <alignment vertical="center"/>
    </xf>
    <xf numFmtId="0" fontId="2" fillId="14" borderId="37" xfId="3" applyFont="1" applyBorder="1" applyAlignment="1" applyProtection="1">
      <alignment horizontal="center" vertical="center"/>
    </xf>
    <xf numFmtId="0" fontId="2" fillId="14" borderId="41" xfId="3" applyFont="1" applyBorder="1" applyAlignment="1" applyProtection="1">
      <alignment horizontal="center" vertical="center"/>
    </xf>
    <xf numFmtId="2" fontId="0" fillId="16" borderId="41" xfId="49" applyNumberFormat="1" applyFont="1" applyBorder="1" applyAlignment="1">
      <alignment vertical="center"/>
    </xf>
    <xf numFmtId="2" fontId="0" fillId="16" borderId="38" xfId="49" applyNumberFormat="1" applyFont="1" applyBorder="1" applyAlignment="1">
      <alignment vertical="center"/>
    </xf>
    <xf numFmtId="1" fontId="2" fillId="5" borderId="20" xfId="37" applyFont="1" applyBorder="1" applyAlignment="1">
      <alignment horizontal="center" vertical="center"/>
    </xf>
    <xf numFmtId="1" fontId="0" fillId="5" borderId="20" xfId="37" applyFont="1" applyBorder="1" applyAlignment="1">
      <alignment horizontal="center" vertical="center"/>
    </xf>
    <xf numFmtId="1" fontId="2" fillId="16" borderId="36" xfId="48" applyFont="1" applyBorder="1" applyAlignment="1">
      <alignment horizontal="center" vertical="center"/>
    </xf>
    <xf numFmtId="0" fontId="2" fillId="16" borderId="36" xfId="55" applyFont="1" applyBorder="1">
      <alignment horizontal="center" vertical="center" wrapText="1"/>
    </xf>
    <xf numFmtId="2" fontId="0" fillId="16" borderId="36" xfId="49" applyNumberFormat="1" applyFont="1" applyBorder="1">
      <alignment vertical="center"/>
    </xf>
    <xf numFmtId="2" fontId="0" fillId="16" borderId="37" xfId="49" applyNumberFormat="1" applyFont="1" applyBorder="1">
      <alignment vertical="center"/>
    </xf>
    <xf numFmtId="2" fontId="0" fillId="16" borderId="41" xfId="49" applyNumberFormat="1" applyFont="1" applyBorder="1">
      <alignment vertical="center"/>
    </xf>
    <xf numFmtId="2" fontId="0" fillId="16" borderId="38" xfId="49" applyNumberFormat="1" applyFont="1" applyBorder="1">
      <alignment vertical="center"/>
    </xf>
    <xf numFmtId="0" fontId="2" fillId="14" borderId="33" xfId="3" applyFont="1" applyBorder="1">
      <alignment horizontal="center" vertical="center"/>
    </xf>
    <xf numFmtId="0" fontId="2" fillId="14" borderId="34" xfId="3" applyFont="1" applyBorder="1">
      <alignment horizontal="center" vertical="center"/>
    </xf>
    <xf numFmtId="0" fontId="0" fillId="2" borderId="35" xfId="0" applyFont="1" applyFill="1" applyBorder="1" applyAlignment="1">
      <alignment vertical="center"/>
    </xf>
    <xf numFmtId="49" fontId="2" fillId="16" borderId="33" xfId="56" applyFont="1" applyBorder="1">
      <alignment vertical="center"/>
    </xf>
    <xf numFmtId="49" fontId="2" fillId="16" borderId="34" xfId="56" applyFont="1" applyBorder="1">
      <alignment vertical="center"/>
    </xf>
    <xf numFmtId="2" fontId="0" fillId="16" borderId="23" xfId="49" applyNumberFormat="1" applyFont="1" applyBorder="1">
      <alignment vertical="center"/>
    </xf>
    <xf numFmtId="2" fontId="0" fillId="16" borderId="25" xfId="49" applyNumberFormat="1" applyFont="1" applyBorder="1">
      <alignment vertical="center"/>
    </xf>
    <xf numFmtId="2" fontId="0" fillId="16" borderId="27" xfId="49" applyNumberFormat="1" applyFont="1" applyBorder="1">
      <alignment vertical="center"/>
    </xf>
    <xf numFmtId="0" fontId="11" fillId="2" borderId="33" xfId="0" applyFont="1" applyFill="1" applyBorder="1" applyAlignment="1" applyProtection="1">
      <alignment vertical="center"/>
    </xf>
    <xf numFmtId="0" fontId="11" fillId="2" borderId="34" xfId="0" applyFont="1" applyFill="1" applyBorder="1" applyAlignment="1" applyProtection="1">
      <alignment vertical="center"/>
    </xf>
    <xf numFmtId="0" fontId="0" fillId="3" borderId="41" xfId="0" applyFont="1" applyFill="1" applyBorder="1" applyAlignment="1" applyProtection="1">
      <alignment vertical="center"/>
    </xf>
    <xf numFmtId="0" fontId="11" fillId="2" borderId="35" xfId="0" applyFont="1" applyFill="1" applyBorder="1" applyAlignment="1" applyProtection="1">
      <alignment horizontal="left" vertical="center"/>
    </xf>
    <xf numFmtId="0" fontId="2" fillId="2" borderId="20" xfId="0" applyFont="1" applyFill="1" applyBorder="1" applyAlignment="1" applyProtection="1">
      <alignment horizontal="center" vertical="center"/>
    </xf>
    <xf numFmtId="0" fontId="2" fillId="2" borderId="33" xfId="0" applyFont="1" applyFill="1" applyBorder="1" applyAlignment="1" applyProtection="1">
      <alignment horizontal="left" vertical="center"/>
    </xf>
    <xf numFmtId="0" fontId="2" fillId="2" borderId="35" xfId="0" applyFont="1" applyFill="1" applyBorder="1" applyAlignment="1" applyProtection="1">
      <alignment horizontal="left" vertical="center"/>
    </xf>
    <xf numFmtId="0" fontId="2" fillId="2" borderId="25" xfId="0" applyFont="1" applyFill="1" applyBorder="1" applyAlignment="1" applyProtection="1">
      <alignment horizontal="center" vertical="center"/>
    </xf>
    <xf numFmtId="0" fontId="0" fillId="2" borderId="35" xfId="0" applyFont="1" applyFill="1" applyBorder="1" applyAlignment="1" applyProtection="1">
      <alignment horizontal="left" vertical="center"/>
    </xf>
    <xf numFmtId="0" fontId="9" fillId="2" borderId="23" xfId="0" applyFont="1" applyFill="1" applyBorder="1" applyAlignment="1">
      <alignment vertical="center" wrapText="1"/>
    </xf>
    <xf numFmtId="0" fontId="9" fillId="2" borderId="25" xfId="0" applyFont="1" applyFill="1" applyBorder="1" applyAlignment="1">
      <alignment vertical="center" wrapText="1"/>
    </xf>
    <xf numFmtId="0" fontId="0" fillId="2" borderId="32" xfId="0" applyFont="1" applyFill="1" applyBorder="1" applyAlignment="1">
      <alignment horizontal="center" vertical="center"/>
    </xf>
    <xf numFmtId="0" fontId="9" fillId="2" borderId="27" xfId="0" applyFont="1" applyFill="1" applyBorder="1" applyAlignment="1">
      <alignment vertical="center" wrapText="1"/>
    </xf>
    <xf numFmtId="0" fontId="4" fillId="2" borderId="29" xfId="0" applyFont="1" applyFill="1" applyBorder="1" applyAlignment="1">
      <alignment horizontal="center" vertical="center"/>
    </xf>
    <xf numFmtId="0" fontId="4" fillId="2" borderId="20" xfId="0" applyFont="1" applyFill="1" applyBorder="1" applyAlignment="1">
      <alignment horizontal="center" vertical="center" wrapText="1"/>
    </xf>
    <xf numFmtId="0" fontId="4" fillId="2" borderId="36" xfId="0" applyFont="1" applyFill="1" applyBorder="1" applyAlignment="1">
      <alignment horizontal="center" vertical="center" wrapText="1"/>
    </xf>
    <xf numFmtId="170" fontId="2" fillId="2" borderId="41" xfId="29" applyFont="1" applyBorder="1">
      <alignment horizontal="center" vertical="center"/>
    </xf>
    <xf numFmtId="0" fontId="0" fillId="2" borderId="25" xfId="0" applyFont="1" applyFill="1" applyBorder="1" applyAlignment="1">
      <alignment vertical="center" wrapText="1"/>
    </xf>
    <xf numFmtId="0" fontId="2" fillId="14" borderId="38" xfId="3" applyFont="1" applyBorder="1" applyAlignment="1" applyProtection="1">
      <alignment horizontal="center" vertical="center"/>
    </xf>
    <xf numFmtId="0" fontId="9" fillId="2" borderId="28" xfId="0" applyFont="1" applyFill="1" applyBorder="1" applyAlignment="1">
      <alignment vertical="center" wrapText="1"/>
    </xf>
    <xf numFmtId="0" fontId="2" fillId="14" borderId="28" xfId="3" applyFont="1" applyBorder="1" applyAlignment="1" applyProtection="1">
      <alignment horizontal="center" vertical="center"/>
    </xf>
    <xf numFmtId="3" fontId="2" fillId="2" borderId="28" xfId="1" applyFont="1" applyBorder="1" applyAlignment="1" applyProtection="1">
      <alignment horizontal="center" vertical="center"/>
    </xf>
    <xf numFmtId="170" fontId="2" fillId="2" borderId="42" xfId="29" applyFont="1" applyBorder="1">
      <alignment horizontal="center" vertical="center"/>
    </xf>
    <xf numFmtId="170" fontId="4" fillId="2" borderId="36" xfId="29" applyFont="1" applyBorder="1">
      <alignment horizontal="center" vertical="center"/>
    </xf>
    <xf numFmtId="0" fontId="2" fillId="2" borderId="28" xfId="2" applyBorder="1">
      <alignment horizontal="center" vertical="center"/>
    </xf>
    <xf numFmtId="0" fontId="2" fillId="14" borderId="42" xfId="3" applyFont="1" applyBorder="1" applyAlignment="1" applyProtection="1">
      <alignment horizontal="center" vertical="center"/>
    </xf>
    <xf numFmtId="0" fontId="2" fillId="2" borderId="25" xfId="0" applyFont="1" applyFill="1" applyBorder="1" applyAlignment="1">
      <alignment vertical="center" wrapText="1"/>
    </xf>
    <xf numFmtId="0" fontId="2" fillId="2" borderId="42" xfId="2" applyBorder="1">
      <alignment horizontal="center" vertical="center"/>
    </xf>
    <xf numFmtId="0" fontId="4" fillId="2" borderId="20" xfId="5" applyFont="1" applyBorder="1" applyAlignment="1" applyProtection="1">
      <alignment horizontal="center" vertical="center" wrapText="1"/>
    </xf>
    <xf numFmtId="0" fontId="4" fillId="2" borderId="36" xfId="5" applyFont="1" applyBorder="1" applyAlignment="1" applyProtection="1">
      <alignment horizontal="center" vertical="center" wrapText="1"/>
    </xf>
    <xf numFmtId="14" fontId="4" fillId="2" borderId="36" xfId="5" applyNumberFormat="1" applyFont="1" applyBorder="1">
      <alignment horizontal="center" wrapText="1"/>
    </xf>
    <xf numFmtId="0" fontId="2" fillId="2" borderId="0" xfId="0" applyFont="1" applyFill="1" applyProtection="1">
      <alignment vertical="center"/>
    </xf>
    <xf numFmtId="0" fontId="2" fillId="2" borderId="0" xfId="0" applyFont="1" applyFill="1" applyBorder="1" applyProtection="1">
      <alignment vertical="center"/>
    </xf>
    <xf numFmtId="0" fontId="2" fillId="2" borderId="6" xfId="0" applyFont="1" applyFill="1" applyBorder="1" applyProtection="1">
      <alignment vertical="center"/>
    </xf>
    <xf numFmtId="0" fontId="2" fillId="2" borderId="2" xfId="0" applyFont="1" applyFill="1" applyBorder="1" applyProtection="1">
      <alignment vertical="center"/>
    </xf>
    <xf numFmtId="3" fontId="2" fillId="43" borderId="23" xfId="11" applyFont="1" applyBorder="1">
      <alignment horizontal="right" vertical="center"/>
      <protection locked="0"/>
    </xf>
    <xf numFmtId="3" fontId="2" fillId="2" borderId="30" xfId="30" applyFont="1" applyBorder="1" applyAlignment="1">
      <alignment horizontal="center" vertical="center"/>
    </xf>
    <xf numFmtId="3" fontId="2" fillId="2" borderId="31" xfId="30" applyFont="1" applyBorder="1" applyAlignment="1">
      <alignment horizontal="center" vertical="center"/>
    </xf>
    <xf numFmtId="3" fontId="2" fillId="2" borderId="32" xfId="30" applyFont="1" applyBorder="1" applyAlignment="1">
      <alignment horizontal="center" vertical="center"/>
    </xf>
    <xf numFmtId="0" fontId="4" fillId="2" borderId="5" xfId="0" applyFont="1" applyFill="1" applyBorder="1" applyAlignment="1" applyProtection="1">
      <alignment vertical="center"/>
    </xf>
    <xf numFmtId="0" fontId="2" fillId="2" borderId="33" xfId="0" applyFont="1" applyFill="1" applyBorder="1" applyAlignment="1" applyProtection="1">
      <alignment horizontal="left" vertical="center"/>
    </xf>
    <xf numFmtId="3" fontId="2" fillId="2" borderId="33" xfId="30" applyFont="1" applyBorder="1" applyAlignment="1">
      <alignment horizontal="center" vertical="center"/>
    </xf>
    <xf numFmtId="3" fontId="2" fillId="2" borderId="34" xfId="30" applyFont="1" applyBorder="1" applyAlignment="1">
      <alignment horizontal="center" vertical="center"/>
    </xf>
    <xf numFmtId="3" fontId="2" fillId="2" borderId="35" xfId="30" applyFont="1" applyBorder="1" applyAlignment="1">
      <alignment horizontal="center" vertical="center"/>
    </xf>
    <xf numFmtId="0" fontId="16" fillId="2" borderId="0" xfId="0" applyFont="1" applyFill="1" applyBorder="1">
      <alignment vertical="center"/>
    </xf>
    <xf numFmtId="0" fontId="3" fillId="2" borderId="2" xfId="0" applyFont="1" applyFill="1" applyBorder="1" applyAlignment="1" applyProtection="1">
      <alignment horizontal="left"/>
    </xf>
    <xf numFmtId="0" fontId="2" fillId="2" borderId="44" xfId="0" applyFont="1" applyFill="1" applyBorder="1" applyAlignment="1" applyProtection="1">
      <alignment horizontal="left" vertical="center"/>
    </xf>
    <xf numFmtId="0" fontId="6" fillId="2" borderId="3" xfId="4" applyFont="1" applyFill="1" applyBorder="1" applyAlignment="1"/>
    <xf numFmtId="0" fontId="0" fillId="2" borderId="33" xfId="0" applyFill="1" applyBorder="1">
      <alignment vertical="center"/>
    </xf>
    <xf numFmtId="0" fontId="0" fillId="2" borderId="34" xfId="0" applyFill="1" applyBorder="1">
      <alignment vertical="center"/>
    </xf>
    <xf numFmtId="0" fontId="0" fillId="2" borderId="35" xfId="0" applyFill="1" applyBorder="1">
      <alignment vertical="center"/>
    </xf>
    <xf numFmtId="0" fontId="2" fillId="2" borderId="0" xfId="0" applyFont="1" applyFill="1" applyBorder="1" applyProtection="1">
      <alignment vertical="center"/>
    </xf>
    <xf numFmtId="0" fontId="2" fillId="2" borderId="34" xfId="0" applyFont="1" applyFill="1" applyBorder="1" applyAlignment="1" applyProtection="1">
      <alignment horizontal="left" vertical="center"/>
    </xf>
    <xf numFmtId="0" fontId="2" fillId="2" borderId="25" xfId="0" applyFont="1" applyFill="1" applyBorder="1" applyAlignment="1" applyProtection="1">
      <alignment horizontal="center" vertical="center"/>
    </xf>
    <xf numFmtId="0" fontId="2" fillId="43" borderId="38" xfId="18" applyFont="1" applyBorder="1">
      <alignment horizontal="center" vertical="center" wrapText="1"/>
      <protection locked="0"/>
    </xf>
    <xf numFmtId="0" fontId="2" fillId="43" borderId="41" xfId="18" applyFont="1" applyBorder="1">
      <alignment horizontal="center" vertical="center" wrapText="1"/>
      <protection locked="0"/>
    </xf>
    <xf numFmtId="0" fontId="2" fillId="43" borderId="37" xfId="18" applyFont="1" applyBorder="1">
      <alignment horizontal="center" vertical="center" wrapText="1"/>
      <protection locked="0"/>
    </xf>
    <xf numFmtId="3" fontId="2" fillId="43" borderId="41" xfId="11" applyFont="1" applyBorder="1">
      <alignment horizontal="right" vertical="center"/>
      <protection locked="0"/>
    </xf>
    <xf numFmtId="3" fontId="2" fillId="43" borderId="37" xfId="11" applyFont="1" applyBorder="1">
      <alignment horizontal="right" vertical="center"/>
      <protection locked="0"/>
    </xf>
    <xf numFmtId="3" fontId="2" fillId="43" borderId="38" xfId="11" applyFont="1" applyBorder="1">
      <alignment horizontal="right" vertical="center"/>
      <protection locked="0"/>
    </xf>
    <xf numFmtId="0" fontId="0" fillId="2" borderId="36" xfId="0" applyFont="1" applyFill="1" applyBorder="1" applyAlignment="1">
      <alignment horizontal="left" vertical="center"/>
    </xf>
    <xf numFmtId="0" fontId="0" fillId="2" borderId="0" xfId="0" applyFont="1" applyFill="1" applyAlignment="1">
      <alignment horizontal="left" vertical="center"/>
    </xf>
    <xf numFmtId="0" fontId="0" fillId="2" borderId="8" xfId="0" applyFill="1" applyBorder="1">
      <alignment vertical="center"/>
    </xf>
    <xf numFmtId="0" fontId="0" fillId="2" borderId="7" xfId="0" applyFill="1" applyBorder="1">
      <alignment vertical="center"/>
    </xf>
    <xf numFmtId="0" fontId="3" fillId="2" borderId="6" xfId="0" applyFont="1" applyFill="1" applyBorder="1" applyAlignment="1">
      <alignment vertical="center"/>
    </xf>
    <xf numFmtId="0" fontId="3" fillId="2" borderId="0" xfId="0" applyFont="1" applyFill="1" applyBorder="1" applyAlignment="1">
      <alignment vertical="center"/>
    </xf>
    <xf numFmtId="0" fontId="0" fillId="2" borderId="0" xfId="0" applyFill="1" applyBorder="1">
      <alignment vertical="center"/>
    </xf>
    <xf numFmtId="0" fontId="0" fillId="2" borderId="6" xfId="0" applyFill="1" applyBorder="1">
      <alignment vertical="center"/>
    </xf>
    <xf numFmtId="0" fontId="0" fillId="2" borderId="2" xfId="0" applyFill="1" applyBorder="1">
      <alignment vertical="center"/>
    </xf>
    <xf numFmtId="0" fontId="2" fillId="2" borderId="10" xfId="0" applyFont="1" applyFill="1" applyBorder="1" applyAlignment="1" applyProtection="1">
      <alignment vertical="center"/>
    </xf>
    <xf numFmtId="0" fontId="0" fillId="2" borderId="0" xfId="0" applyFont="1" applyFill="1" applyAlignment="1">
      <alignment vertical="center"/>
    </xf>
    <xf numFmtId="0" fontId="0" fillId="2" borderId="6" xfId="0" applyFont="1" applyFill="1" applyBorder="1" applyAlignment="1">
      <alignment vertical="center"/>
    </xf>
    <xf numFmtId="0" fontId="0" fillId="2" borderId="2" xfId="0" applyFont="1" applyFill="1" applyBorder="1" applyAlignment="1">
      <alignment vertical="center"/>
    </xf>
    <xf numFmtId="0" fontId="2" fillId="2" borderId="0" xfId="0" applyFont="1" applyFill="1" applyBorder="1" applyAlignment="1">
      <alignment vertical="center"/>
    </xf>
    <xf numFmtId="3" fontId="2" fillId="43" borderId="28" xfId="11" applyFont="1" applyBorder="1">
      <alignment horizontal="right" vertical="center"/>
      <protection locked="0"/>
    </xf>
    <xf numFmtId="0" fontId="2" fillId="14" borderId="28" xfId="3" applyFont="1" applyBorder="1">
      <alignment horizontal="center" vertical="center"/>
    </xf>
    <xf numFmtId="0" fontId="2" fillId="14" borderId="42" xfId="3" applyFont="1" applyBorder="1">
      <alignment horizontal="center" vertical="center"/>
    </xf>
    <xf numFmtId="0" fontId="0" fillId="2" borderId="0" xfId="0" applyFont="1" applyFill="1" applyAlignment="1">
      <alignment vertical="center"/>
    </xf>
    <xf numFmtId="0" fontId="0" fillId="2" borderId="6" xfId="0" applyFont="1" applyFill="1" applyBorder="1" applyAlignment="1">
      <alignment vertical="center"/>
    </xf>
    <xf numFmtId="0" fontId="0" fillId="2" borderId="2" xfId="0" applyFont="1" applyFill="1" applyBorder="1" applyAlignment="1">
      <alignment vertical="center"/>
    </xf>
    <xf numFmtId="0" fontId="2" fillId="2" borderId="0" xfId="0" applyFont="1" applyFill="1" applyBorder="1" applyAlignment="1">
      <alignment vertical="center"/>
    </xf>
    <xf numFmtId="3" fontId="2" fillId="2" borderId="23" xfId="30" applyFont="1" applyBorder="1">
      <alignment horizontal="right" vertical="center"/>
    </xf>
    <xf numFmtId="0" fontId="0" fillId="2" borderId="25" xfId="0" applyFont="1" applyFill="1" applyBorder="1" applyAlignment="1">
      <alignment horizontal="left" vertical="center" indent="1"/>
    </xf>
    <xf numFmtId="0" fontId="0" fillId="2" borderId="31" xfId="0" applyFont="1" applyFill="1" applyBorder="1" applyAlignment="1">
      <alignment horizontal="center" vertical="center"/>
    </xf>
    <xf numFmtId="0" fontId="0" fillId="2" borderId="25" xfId="0" applyFont="1" applyFill="1" applyBorder="1" applyAlignment="1">
      <alignment horizontal="left" vertical="center" indent="1"/>
    </xf>
    <xf numFmtId="0" fontId="0" fillId="2" borderId="31" xfId="0" applyFont="1" applyFill="1" applyBorder="1" applyAlignment="1">
      <alignment horizontal="center" vertical="center"/>
    </xf>
    <xf numFmtId="0" fontId="0" fillId="2" borderId="45" xfId="0" applyFont="1" applyFill="1" applyBorder="1" applyAlignment="1">
      <alignment horizontal="left" vertical="center" indent="1"/>
    </xf>
    <xf numFmtId="0" fontId="0" fillId="2" borderId="0" xfId="0" applyFont="1" applyFill="1" applyAlignment="1">
      <alignment vertical="center"/>
    </xf>
    <xf numFmtId="0" fontId="0" fillId="2" borderId="6" xfId="0" applyFont="1" applyFill="1" applyBorder="1" applyAlignment="1">
      <alignment vertical="center"/>
    </xf>
    <xf numFmtId="0" fontId="0" fillId="2" borderId="2" xfId="0" applyFont="1" applyFill="1" applyBorder="1" applyAlignment="1">
      <alignment vertical="center"/>
    </xf>
    <xf numFmtId="0" fontId="2" fillId="2" borderId="0" xfId="0" applyFont="1" applyFill="1" applyBorder="1" applyAlignment="1">
      <alignment vertical="center"/>
    </xf>
    <xf numFmtId="3" fontId="2" fillId="43" borderId="25" xfId="11" applyFont="1" applyBorder="1">
      <alignment horizontal="right" vertical="center"/>
      <protection locked="0"/>
    </xf>
    <xf numFmtId="0" fontId="2" fillId="14" borderId="28" xfId="3" applyFont="1" applyBorder="1">
      <alignment horizontal="center" vertical="center"/>
    </xf>
    <xf numFmtId="3" fontId="2" fillId="14" borderId="25" xfId="3" applyNumberFormat="1" applyFont="1" applyBorder="1">
      <alignment horizontal="center" vertical="center"/>
    </xf>
    <xf numFmtId="3" fontId="2" fillId="15" borderId="25" xfId="20" applyFont="1" applyBorder="1">
      <alignment horizontal="right" vertical="center"/>
      <protection locked="0"/>
    </xf>
    <xf numFmtId="3" fontId="2" fillId="43" borderId="25" xfId="11" applyFont="1">
      <alignment horizontal="right" vertical="center"/>
      <protection locked="0"/>
    </xf>
    <xf numFmtId="0" fontId="0" fillId="2" borderId="25" xfId="0" applyFont="1" applyFill="1" applyBorder="1" applyAlignment="1">
      <alignment horizontal="left" vertical="center" indent="1"/>
    </xf>
    <xf numFmtId="0" fontId="0" fillId="2" borderId="45" xfId="0" applyFont="1" applyFill="1" applyBorder="1" applyAlignment="1">
      <alignment horizontal="left" vertical="center" indent="1"/>
    </xf>
    <xf numFmtId="0" fontId="2" fillId="2" borderId="37" xfId="0" applyFont="1" applyFill="1" applyBorder="1" applyAlignment="1">
      <alignment vertical="center"/>
    </xf>
    <xf numFmtId="0" fontId="0" fillId="2" borderId="0" xfId="0" applyFont="1" applyFill="1" applyAlignment="1">
      <alignment vertical="center"/>
    </xf>
    <xf numFmtId="0" fontId="0" fillId="2" borderId="6" xfId="0" applyFont="1" applyFill="1" applyBorder="1" applyAlignment="1">
      <alignment vertical="center"/>
    </xf>
    <xf numFmtId="0" fontId="0" fillId="2" borderId="2" xfId="0" applyFont="1" applyFill="1" applyBorder="1" applyAlignment="1">
      <alignment vertical="center"/>
    </xf>
    <xf numFmtId="0" fontId="2" fillId="2" borderId="0" xfId="0" applyFont="1" applyFill="1" applyBorder="1" applyAlignment="1">
      <alignment vertical="center"/>
    </xf>
    <xf numFmtId="3" fontId="2" fillId="43" borderId="25" xfId="11" applyFont="1" applyBorder="1">
      <alignment horizontal="right" vertical="center"/>
      <protection locked="0"/>
    </xf>
    <xf numFmtId="0" fontId="2" fillId="14" borderId="25" xfId="3" applyFont="1" applyBorder="1">
      <alignment horizontal="center" vertical="center"/>
    </xf>
    <xf numFmtId="0" fontId="2" fillId="14" borderId="41" xfId="3" applyFont="1" applyBorder="1">
      <alignment horizontal="center" vertical="center"/>
    </xf>
    <xf numFmtId="0" fontId="2" fillId="14" borderId="31" xfId="3" applyFont="1" applyBorder="1">
      <alignment horizontal="center" vertical="center"/>
    </xf>
    <xf numFmtId="0" fontId="2" fillId="14" borderId="45" xfId="3" applyFont="1" applyBorder="1">
      <alignment horizontal="center" vertical="center"/>
    </xf>
    <xf numFmtId="3" fontId="2" fillId="43" borderId="45" xfId="11" applyFont="1" applyBorder="1">
      <alignment horizontal="right" vertical="center"/>
      <protection locked="0"/>
    </xf>
    <xf numFmtId="0" fontId="2" fillId="14" borderId="47" xfId="3" applyFont="1" applyBorder="1">
      <alignment horizontal="center" vertical="center"/>
    </xf>
    <xf numFmtId="0" fontId="2" fillId="14" borderId="46" xfId="3" applyFont="1" applyBorder="1">
      <alignment horizontal="center" vertical="center"/>
    </xf>
    <xf numFmtId="0" fontId="0" fillId="14" borderId="31" xfId="3" applyFont="1" applyBorder="1">
      <alignment horizontal="center" vertical="center"/>
    </xf>
    <xf numFmtId="0" fontId="0" fillId="2" borderId="25" xfId="0" applyFont="1" applyFill="1" applyBorder="1" applyAlignment="1">
      <alignment horizontal="left" vertical="center" indent="1"/>
    </xf>
    <xf numFmtId="0" fontId="0" fillId="2" borderId="31" xfId="0" applyFont="1" applyFill="1" applyBorder="1" applyAlignment="1">
      <alignment horizontal="center" vertical="center"/>
    </xf>
    <xf numFmtId="0" fontId="0" fillId="2" borderId="23" xfId="0" applyFont="1" applyFill="1" applyBorder="1" applyAlignment="1">
      <alignment vertical="center"/>
    </xf>
    <xf numFmtId="0" fontId="0" fillId="2" borderId="45" xfId="0" applyFont="1" applyFill="1" applyBorder="1" applyAlignment="1">
      <alignment horizontal="left" vertical="center" indent="1"/>
    </xf>
    <xf numFmtId="3" fontId="2" fillId="43" borderId="25" xfId="11" applyFont="1" applyBorder="1">
      <alignment horizontal="right" vertical="center"/>
      <protection locked="0"/>
    </xf>
    <xf numFmtId="0" fontId="2" fillId="14" borderId="25" xfId="3" applyFont="1" applyBorder="1">
      <alignment horizontal="center" vertical="center"/>
    </xf>
    <xf numFmtId="3" fontId="2" fillId="43" borderId="28" xfId="11" applyFont="1" applyBorder="1">
      <alignment horizontal="right" vertical="center"/>
      <protection locked="0"/>
    </xf>
    <xf numFmtId="0" fontId="2" fillId="14" borderId="28" xfId="3" applyFont="1" applyBorder="1">
      <alignment horizontal="center" vertical="center"/>
    </xf>
    <xf numFmtId="0" fontId="2" fillId="14" borderId="42" xfId="3" applyFont="1" applyBorder="1">
      <alignment horizontal="center" vertical="center"/>
    </xf>
    <xf numFmtId="0" fontId="2" fillId="14" borderId="41" xfId="3" applyFont="1" applyBorder="1">
      <alignment horizontal="center" vertical="center"/>
    </xf>
    <xf numFmtId="3" fontId="2" fillId="2" borderId="23" xfId="30" applyFont="1" applyBorder="1">
      <alignment horizontal="right" vertical="center"/>
    </xf>
    <xf numFmtId="3" fontId="2" fillId="14" borderId="25" xfId="3" applyNumberFormat="1" applyFont="1" applyBorder="1">
      <alignment horizontal="center" vertical="center"/>
    </xf>
    <xf numFmtId="3" fontId="2" fillId="14" borderId="42" xfId="3" applyNumberFormat="1" applyFont="1" applyBorder="1">
      <alignment horizontal="center" vertical="center"/>
    </xf>
    <xf numFmtId="0" fontId="0" fillId="2" borderId="25" xfId="0" applyFont="1" applyFill="1" applyBorder="1" applyAlignment="1">
      <alignment horizontal="left" vertical="center" indent="1"/>
    </xf>
    <xf numFmtId="3" fontId="2" fillId="15" borderId="25" xfId="20" applyFont="1" applyBorder="1">
      <alignment horizontal="right" vertical="center"/>
      <protection locked="0"/>
    </xf>
    <xf numFmtId="0" fontId="2" fillId="14" borderId="23" xfId="3" applyFont="1" applyBorder="1">
      <alignment horizontal="center" vertical="center"/>
    </xf>
    <xf numFmtId="0" fontId="2" fillId="14" borderId="37" xfId="3" applyFont="1" applyBorder="1">
      <alignment horizontal="center" vertical="center"/>
    </xf>
    <xf numFmtId="0" fontId="2" fillId="14" borderId="45" xfId="3" applyFont="1" applyBorder="1">
      <alignment horizontal="center" vertical="center"/>
    </xf>
    <xf numFmtId="0" fontId="2" fillId="14" borderId="47" xfId="3" applyFont="1" applyBorder="1">
      <alignment horizontal="center" vertical="center"/>
    </xf>
    <xf numFmtId="3" fontId="2" fillId="14" borderId="28" xfId="3" applyNumberFormat="1" applyFont="1" applyBorder="1">
      <alignment horizontal="center" vertical="center"/>
    </xf>
    <xf numFmtId="3" fontId="2" fillId="43" borderId="25" xfId="11" applyFont="1">
      <alignment horizontal="right" vertical="center"/>
      <protection locked="0"/>
    </xf>
    <xf numFmtId="3" fontId="2" fillId="14" borderId="28" xfId="3" applyNumberFormat="1" applyFont="1" applyBorder="1">
      <alignment horizontal="center" vertical="center"/>
    </xf>
    <xf numFmtId="0" fontId="0" fillId="2" borderId="0" xfId="0" applyFont="1" applyFill="1" applyAlignment="1">
      <alignment vertical="center"/>
    </xf>
    <xf numFmtId="0" fontId="0" fillId="2" borderId="6" xfId="0" applyFont="1" applyFill="1" applyBorder="1" applyAlignment="1">
      <alignment vertical="center"/>
    </xf>
    <xf numFmtId="0" fontId="0" fillId="2" borderId="2" xfId="0" applyFont="1" applyFill="1" applyBorder="1" applyAlignment="1">
      <alignment vertical="center"/>
    </xf>
    <xf numFmtId="0" fontId="2" fillId="2" borderId="0" xfId="0" applyFont="1" applyFill="1" applyBorder="1" applyAlignment="1">
      <alignment vertical="center"/>
    </xf>
    <xf numFmtId="3" fontId="2" fillId="43" borderId="27" xfId="11" applyFont="1" applyBorder="1">
      <alignment horizontal="right" vertical="center"/>
      <protection locked="0"/>
    </xf>
    <xf numFmtId="0" fontId="2" fillId="14" borderId="25" xfId="3" applyFont="1" applyBorder="1">
      <alignment horizontal="center" vertical="center"/>
    </xf>
    <xf numFmtId="0" fontId="2" fillId="14" borderId="27" xfId="3" applyFont="1" applyBorder="1">
      <alignment horizontal="center" vertical="center"/>
    </xf>
    <xf numFmtId="0" fontId="2" fillId="14" borderId="28" xfId="3" applyFont="1" applyBorder="1">
      <alignment horizontal="center" vertical="center"/>
    </xf>
    <xf numFmtId="0" fontId="2" fillId="14" borderId="42" xfId="3" applyFont="1" applyBorder="1">
      <alignment horizontal="center" vertical="center"/>
    </xf>
    <xf numFmtId="0" fontId="2" fillId="14" borderId="38" xfId="3" applyFont="1" applyBorder="1">
      <alignment horizontal="center" vertical="center"/>
    </xf>
    <xf numFmtId="3" fontId="2" fillId="14" borderId="27" xfId="3" applyNumberFormat="1" applyFont="1" applyBorder="1">
      <alignment horizontal="center" vertical="center"/>
    </xf>
    <xf numFmtId="0" fontId="2" fillId="14" borderId="29" xfId="3" applyBorder="1" applyAlignment="1" applyProtection="1">
      <alignment vertical="center" wrapText="1"/>
    </xf>
    <xf numFmtId="3" fontId="2" fillId="15" borderId="25" xfId="20" applyFont="1" applyBorder="1">
      <alignment horizontal="right" vertical="center"/>
      <protection locked="0"/>
    </xf>
    <xf numFmtId="3" fontId="2" fillId="2" borderId="41" xfId="1" applyFont="1" applyBorder="1" applyAlignment="1" applyProtection="1">
      <alignment horizontal="center" vertical="center"/>
    </xf>
    <xf numFmtId="3" fontId="2" fillId="15" borderId="27" xfId="20" applyFont="1" applyBorder="1">
      <alignment horizontal="right" vertical="center"/>
      <protection locked="0"/>
    </xf>
    <xf numFmtId="3" fontId="2" fillId="15" borderId="31" xfId="20" applyFont="1" applyBorder="1">
      <alignment horizontal="right" vertical="center"/>
      <protection locked="0"/>
    </xf>
    <xf numFmtId="3" fontId="2" fillId="15" borderId="20" xfId="20" applyFont="1" applyBorder="1">
      <alignment horizontal="right" vertical="center"/>
      <protection locked="0"/>
    </xf>
    <xf numFmtId="0" fontId="2" fillId="14" borderId="20" xfId="3" applyFont="1" applyBorder="1">
      <alignment horizontal="center" vertical="center"/>
    </xf>
    <xf numFmtId="0" fontId="2" fillId="14" borderId="36" xfId="3" applyFont="1" applyBorder="1">
      <alignment horizontal="center" vertical="center"/>
    </xf>
    <xf numFmtId="3" fontId="2" fillId="2" borderId="28" xfId="30" applyFont="1" applyBorder="1">
      <alignment horizontal="right" vertical="center"/>
    </xf>
    <xf numFmtId="3" fontId="2" fillId="15" borderId="32" xfId="20" applyFont="1" applyBorder="1">
      <alignment horizontal="right" vertical="center"/>
      <protection locked="0"/>
    </xf>
    <xf numFmtId="3" fontId="2" fillId="15" borderId="36" xfId="20" applyFont="1" applyBorder="1">
      <alignment horizontal="right" vertical="center"/>
      <protection locked="0"/>
    </xf>
    <xf numFmtId="3" fontId="2" fillId="14" borderId="28" xfId="3" applyNumberFormat="1" applyFont="1" applyBorder="1">
      <alignment horizontal="center" vertical="center"/>
    </xf>
    <xf numFmtId="0" fontId="2" fillId="14" borderId="53" xfId="3" applyFont="1" applyBorder="1">
      <alignment horizontal="center" vertical="center"/>
    </xf>
    <xf numFmtId="0" fontId="2" fillId="14" borderId="43" xfId="3" applyFont="1" applyBorder="1">
      <alignment horizontal="center" vertical="center"/>
    </xf>
    <xf numFmtId="0" fontId="35" fillId="2" borderId="20" xfId="83" applyFill="1" applyBorder="1" applyAlignment="1">
      <alignment horizontal="left" vertical="center" wrapText="1"/>
    </xf>
    <xf numFmtId="0" fontId="0" fillId="2" borderId="0" xfId="0" applyFont="1" applyFill="1" applyAlignment="1">
      <alignment vertical="center"/>
    </xf>
    <xf numFmtId="0" fontId="2" fillId="2" borderId="0" xfId="0" applyFont="1" applyFill="1" applyBorder="1" applyAlignment="1" applyProtection="1">
      <alignment vertical="center"/>
    </xf>
    <xf numFmtId="0" fontId="0" fillId="2" borderId="0" xfId="0" applyFont="1" applyFill="1" applyBorder="1" applyAlignment="1">
      <alignment vertical="center"/>
    </xf>
    <xf numFmtId="0" fontId="0" fillId="2" borderId="6" xfId="0" applyFont="1" applyFill="1" applyBorder="1">
      <alignment vertical="center"/>
    </xf>
    <xf numFmtId="3" fontId="2" fillId="43" borderId="25" xfId="11" applyFont="1" applyBorder="1">
      <alignment horizontal="right" vertical="center"/>
      <protection locked="0"/>
    </xf>
    <xf numFmtId="0" fontId="2" fillId="14" borderId="41" xfId="3" applyFont="1" applyBorder="1">
      <alignment horizontal="center" vertical="center"/>
    </xf>
    <xf numFmtId="3" fontId="2" fillId="2" borderId="25" xfId="30" applyFont="1" applyBorder="1">
      <alignment horizontal="right" vertical="center"/>
    </xf>
    <xf numFmtId="0" fontId="0" fillId="2" borderId="25" xfId="0" applyFont="1" applyFill="1" applyBorder="1" applyAlignment="1">
      <alignment horizontal="left" vertical="center" indent="1"/>
    </xf>
    <xf numFmtId="0" fontId="0" fillId="2" borderId="31" xfId="0" applyFont="1" applyFill="1" applyBorder="1" applyAlignment="1">
      <alignment horizontal="center" vertical="center"/>
    </xf>
    <xf numFmtId="0" fontId="2" fillId="14" borderId="31" xfId="3" applyBorder="1" applyAlignment="1" applyProtection="1">
      <alignment vertical="center" wrapText="1"/>
    </xf>
    <xf numFmtId="0" fontId="0" fillId="2" borderId="43" xfId="0" applyFont="1" applyFill="1" applyBorder="1" applyAlignment="1">
      <alignment horizontal="center" vertical="center"/>
    </xf>
    <xf numFmtId="0" fontId="2" fillId="2" borderId="25" xfId="0" applyFont="1" applyFill="1" applyBorder="1" applyAlignment="1">
      <alignment horizontal="left" vertical="center" indent="1"/>
    </xf>
    <xf numFmtId="0" fontId="0" fillId="2" borderId="25" xfId="0" applyFont="1" applyFill="1" applyBorder="1" applyAlignment="1">
      <alignment vertical="center"/>
    </xf>
    <xf numFmtId="0" fontId="0" fillId="2" borderId="30" xfId="0" applyFont="1" applyFill="1" applyBorder="1" applyAlignment="1">
      <alignment horizontal="center" vertical="center"/>
    </xf>
    <xf numFmtId="0" fontId="2" fillId="2" borderId="25" xfId="0" applyFont="1" applyFill="1" applyBorder="1" applyAlignment="1">
      <alignment vertical="center"/>
    </xf>
    <xf numFmtId="0" fontId="4" fillId="2" borderId="25" xfId="0" applyFont="1" applyFill="1" applyBorder="1" applyAlignment="1">
      <alignment vertical="center"/>
    </xf>
    <xf numFmtId="0" fontId="4" fillId="2" borderId="23" xfId="0" applyFont="1" applyFill="1" applyBorder="1" applyAlignment="1">
      <alignment vertical="center"/>
    </xf>
    <xf numFmtId="3" fontId="2" fillId="2" borderId="38" xfId="1" applyFont="1" applyBorder="1" applyAlignment="1" applyProtection="1">
      <alignment horizontal="center" vertical="center"/>
    </xf>
    <xf numFmtId="3" fontId="17" fillId="2" borderId="37" xfId="30" applyFont="1" applyBorder="1">
      <alignment horizontal="right" vertical="center"/>
    </xf>
    <xf numFmtId="0" fontId="0" fillId="2" borderId="28" xfId="0" applyFont="1" applyFill="1" applyBorder="1" applyAlignment="1">
      <alignment vertical="center"/>
    </xf>
    <xf numFmtId="0" fontId="0" fillId="2" borderId="20" xfId="5" applyFont="1" applyBorder="1">
      <alignment horizontal="center" wrapText="1"/>
    </xf>
    <xf numFmtId="0" fontId="0" fillId="2" borderId="20" xfId="5" applyFont="1" applyBorder="1">
      <alignment horizontal="center" wrapText="1"/>
    </xf>
    <xf numFmtId="3" fontId="11" fillId="43" borderId="25" xfId="11" applyFont="1" applyBorder="1" applyProtection="1">
      <alignment horizontal="right" vertical="center"/>
      <protection locked="0"/>
    </xf>
    <xf numFmtId="0" fontId="0" fillId="2" borderId="43" xfId="0" applyFont="1" applyFill="1" applyBorder="1" applyAlignment="1" applyProtection="1">
      <alignment vertical="center" wrapText="1"/>
    </xf>
    <xf numFmtId="0" fontId="0" fillId="2" borderId="31" xfId="0" applyFont="1" applyFill="1" applyBorder="1" applyAlignment="1" applyProtection="1">
      <alignment horizontal="left" vertical="center" wrapText="1" indent="1"/>
    </xf>
    <xf numFmtId="3" fontId="11" fillId="43" borderId="25" xfId="11" applyFont="1" applyBorder="1" applyProtection="1">
      <alignment horizontal="right" vertical="center"/>
      <protection locked="0"/>
    </xf>
    <xf numFmtId="0" fontId="0" fillId="2" borderId="31" xfId="0" applyFont="1" applyFill="1" applyBorder="1" applyAlignment="1" applyProtection="1">
      <alignment horizontal="left" vertical="center" wrapText="1" indent="1"/>
    </xf>
    <xf numFmtId="3" fontId="11" fillId="43" borderId="25" xfId="11" applyFont="1" applyBorder="1" applyProtection="1">
      <alignment horizontal="right" vertical="center"/>
      <protection locked="0"/>
    </xf>
    <xf numFmtId="0" fontId="35" fillId="2" borderId="31" xfId="83" applyFill="1" applyBorder="1" applyAlignment="1" applyProtection="1">
      <alignment horizontal="left" vertical="center" wrapText="1" indent="1"/>
    </xf>
    <xf numFmtId="0" fontId="0" fillId="0" borderId="31" xfId="0" applyFont="1" applyFill="1" applyBorder="1" applyAlignment="1" applyProtection="1">
      <alignment vertical="center" wrapText="1"/>
    </xf>
    <xf numFmtId="0" fontId="0" fillId="2" borderId="31" xfId="0" applyFont="1" applyFill="1" applyBorder="1" applyAlignment="1" applyProtection="1">
      <alignment horizontal="left" vertical="center" wrapText="1" indent="1"/>
    </xf>
    <xf numFmtId="0" fontId="2" fillId="14" borderId="25" xfId="3" applyFont="1" applyBorder="1" applyProtection="1">
      <alignment horizontal="center" vertical="center"/>
    </xf>
    <xf numFmtId="0" fontId="35" fillId="2" borderId="31" xfId="83" applyFill="1" applyBorder="1" applyAlignment="1" applyProtection="1">
      <alignment horizontal="left" vertical="center" wrapText="1" indent="1"/>
    </xf>
    <xf numFmtId="0" fontId="2" fillId="14" borderId="28" xfId="3" applyFont="1" applyBorder="1" applyProtection="1">
      <alignment horizontal="center" vertical="center"/>
    </xf>
    <xf numFmtId="0" fontId="2" fillId="14" borderId="23" xfId="3" applyFont="1" applyBorder="1" applyProtection="1">
      <alignment horizontal="center" vertical="center"/>
    </xf>
    <xf numFmtId="0" fontId="2" fillId="14" borderId="25" xfId="3" applyFont="1" applyBorder="1" applyProtection="1">
      <alignment horizontal="center" vertical="center"/>
    </xf>
    <xf numFmtId="2" fontId="2" fillId="2" borderId="25" xfId="32" applyNumberFormat="1" applyFont="1" applyBorder="1">
      <alignment horizontal="right" vertical="center"/>
    </xf>
    <xf numFmtId="2" fontId="2" fillId="0" borderId="31" xfId="32" applyNumberFormat="1" applyFont="1" applyFill="1" applyBorder="1">
      <alignment horizontal="right" vertical="center"/>
    </xf>
    <xf numFmtId="0" fontId="2" fillId="14" borderId="25" xfId="3" applyFont="1" applyBorder="1" applyProtection="1">
      <alignment horizontal="center" vertical="center"/>
    </xf>
    <xf numFmtId="2" fontId="2" fillId="2" borderId="25" xfId="32" applyNumberFormat="1" applyFont="1" applyBorder="1">
      <alignment horizontal="right" vertical="center"/>
    </xf>
    <xf numFmtId="0" fontId="0" fillId="7" borderId="31" xfId="0" applyFont="1" applyFill="1" applyBorder="1" applyAlignment="1" applyProtection="1">
      <alignment horizontal="center" vertical="center"/>
    </xf>
    <xf numFmtId="0" fontId="0" fillId="2" borderId="20" xfId="5" applyFont="1" applyBorder="1">
      <alignment horizontal="center" wrapText="1"/>
    </xf>
    <xf numFmtId="0" fontId="35" fillId="2" borderId="31" xfId="83" applyFill="1" applyBorder="1" applyAlignment="1" applyProtection="1">
      <alignment horizontal="left" vertical="center" wrapText="1" indent="1"/>
    </xf>
    <xf numFmtId="3" fontId="2" fillId="15" borderId="54" xfId="20" applyFont="1" applyBorder="1">
      <alignment horizontal="right" vertical="center"/>
      <protection locked="0"/>
    </xf>
    <xf numFmtId="0" fontId="2" fillId="2" borderId="34" xfId="0" applyFont="1" applyFill="1" applyBorder="1" applyAlignment="1" applyProtection="1">
      <alignment vertical="center" wrapText="1"/>
    </xf>
    <xf numFmtId="0" fontId="2" fillId="2" borderId="34" xfId="0" applyFont="1" applyFill="1" applyBorder="1" applyAlignment="1" applyProtection="1">
      <alignment horizontal="left" vertical="center" wrapText="1" indent="1"/>
    </xf>
    <xf numFmtId="0" fontId="0" fillId="2" borderId="34" xfId="0" applyFont="1" applyFill="1" applyBorder="1" applyAlignment="1" applyProtection="1">
      <alignment vertical="center" wrapText="1"/>
    </xf>
    <xf numFmtId="0" fontId="2" fillId="14" borderId="25" xfId="3" applyFont="1" applyBorder="1" applyProtection="1">
      <alignment horizontal="center" vertical="center"/>
    </xf>
    <xf numFmtId="3" fontId="11" fillId="43" borderId="25" xfId="11" applyFont="1" applyBorder="1" applyProtection="1">
      <alignment horizontal="right" vertical="center"/>
      <protection locked="0"/>
    </xf>
    <xf numFmtId="0" fontId="2" fillId="14" borderId="41" xfId="3" applyFont="1" applyBorder="1" applyProtection="1">
      <alignment horizontal="center" vertical="center"/>
    </xf>
    <xf numFmtId="3" fontId="11" fillId="43" borderId="41" xfId="11" applyFont="1" applyBorder="1" applyProtection="1">
      <alignment horizontal="right" vertical="center"/>
      <protection locked="0"/>
    </xf>
    <xf numFmtId="3" fontId="11" fillId="43" borderId="47" xfId="11" applyFont="1" applyBorder="1" applyProtection="1">
      <alignment horizontal="right" vertical="center"/>
      <protection locked="0"/>
    </xf>
    <xf numFmtId="0" fontId="2" fillId="14" borderId="25" xfId="3" applyFont="1" applyBorder="1" applyProtection="1">
      <alignment horizontal="center" vertical="center"/>
    </xf>
    <xf numFmtId="0" fontId="2" fillId="14" borderId="41" xfId="3" applyFont="1" applyBorder="1" applyProtection="1">
      <alignment horizontal="center" vertical="center"/>
    </xf>
    <xf numFmtId="0" fontId="2" fillId="14" borderId="27" xfId="3" applyFont="1" applyBorder="1" applyProtection="1">
      <alignment horizontal="center" vertical="center"/>
    </xf>
    <xf numFmtId="0" fontId="2" fillId="14" borderId="31" xfId="3" applyFont="1" applyBorder="1" applyProtection="1">
      <alignment horizontal="center" vertical="center"/>
    </xf>
    <xf numFmtId="2" fontId="2" fillId="2" borderId="31" xfId="32" applyNumberFormat="1" applyFont="1" applyBorder="1">
      <alignment horizontal="right" vertical="center"/>
    </xf>
    <xf numFmtId="0" fontId="2" fillId="14" borderId="28" xfId="3" applyFont="1" applyBorder="1" applyProtection="1">
      <alignment horizontal="center" vertical="center"/>
    </xf>
    <xf numFmtId="0" fontId="2" fillId="14" borderId="42" xfId="3" applyFont="1" applyBorder="1" applyProtection="1">
      <alignment horizontal="center" vertical="center"/>
    </xf>
    <xf numFmtId="0" fontId="2" fillId="14" borderId="43" xfId="3" applyFont="1" applyBorder="1" applyProtection="1">
      <alignment horizontal="center" vertical="center"/>
    </xf>
    <xf numFmtId="2" fontId="2" fillId="2" borderId="31" xfId="0" applyNumberFormat="1" applyFont="1" applyFill="1" applyBorder="1" applyProtection="1">
      <alignment vertical="center"/>
    </xf>
    <xf numFmtId="2" fontId="2" fillId="2" borderId="25" xfId="0" applyNumberFormat="1" applyFont="1" applyFill="1" applyBorder="1" applyProtection="1">
      <alignment vertical="center"/>
    </xf>
    <xf numFmtId="2" fontId="2" fillId="2" borderId="41" xfId="0" applyNumberFormat="1" applyFont="1" applyFill="1" applyBorder="1" applyProtection="1">
      <alignment vertical="center"/>
    </xf>
    <xf numFmtId="2" fontId="2" fillId="14" borderId="28" xfId="3" applyNumberFormat="1" applyFont="1" applyBorder="1" applyProtection="1">
      <alignment horizontal="center" vertical="center"/>
    </xf>
    <xf numFmtId="2" fontId="2" fillId="14" borderId="42" xfId="3" applyNumberFormat="1" applyFont="1" applyBorder="1" applyProtection="1">
      <alignment horizontal="center" vertical="center"/>
    </xf>
    <xf numFmtId="0" fontId="0" fillId="2" borderId="32" xfId="0" applyFont="1" applyFill="1" applyBorder="1" applyAlignment="1" applyProtection="1">
      <alignment horizontal="left" vertical="center" wrapText="1" indent="2"/>
    </xf>
    <xf numFmtId="0" fontId="0" fillId="2" borderId="20" xfId="5" applyFont="1" applyBorder="1">
      <alignment horizontal="center" wrapText="1"/>
    </xf>
    <xf numFmtId="0" fontId="0" fillId="2" borderId="20" xfId="5" applyFont="1" applyBorder="1">
      <alignment horizontal="center" wrapText="1"/>
    </xf>
    <xf numFmtId="0" fontId="2" fillId="2" borderId="34" xfId="0" applyFont="1" applyFill="1" applyBorder="1" applyAlignment="1" applyProtection="1">
      <alignment vertical="center" wrapText="1"/>
    </xf>
    <xf numFmtId="0" fontId="2" fillId="2" borderId="34" xfId="0" applyFont="1" applyFill="1" applyBorder="1" applyAlignment="1" applyProtection="1">
      <alignment horizontal="left" vertical="center" wrapText="1" indent="1"/>
    </xf>
    <xf numFmtId="0" fontId="2" fillId="2" borderId="34" xfId="0" applyFont="1" applyFill="1" applyBorder="1" applyAlignment="1" applyProtection="1">
      <alignment horizontal="left" vertical="center" wrapText="1"/>
    </xf>
    <xf numFmtId="0" fontId="0" fillId="2" borderId="31" xfId="0" applyFont="1" applyFill="1" applyBorder="1" applyAlignment="1" applyProtection="1">
      <alignment vertical="center" wrapText="1"/>
    </xf>
    <xf numFmtId="0" fontId="0" fillId="2" borderId="34" xfId="0" applyFont="1" applyFill="1" applyBorder="1" applyAlignment="1" applyProtection="1">
      <alignment vertical="center" wrapText="1"/>
    </xf>
    <xf numFmtId="0" fontId="0" fillId="2" borderId="34" xfId="0" applyFont="1" applyFill="1" applyBorder="1" applyAlignment="1" applyProtection="1">
      <alignment horizontal="left" vertical="center" wrapText="1" indent="1"/>
    </xf>
    <xf numFmtId="0" fontId="0" fillId="2" borderId="33" xfId="0" applyFont="1" applyFill="1" applyBorder="1" applyAlignment="1" applyProtection="1">
      <alignment vertical="center" wrapText="1"/>
    </xf>
    <xf numFmtId="0" fontId="2" fillId="14" borderId="23" xfId="3" applyFont="1" applyBorder="1" applyProtection="1">
      <alignment horizontal="center" vertical="center"/>
    </xf>
    <xf numFmtId="0" fontId="2" fillId="14" borderId="25" xfId="3" applyFont="1" applyBorder="1" applyProtection="1">
      <alignment horizontal="center" vertical="center"/>
    </xf>
    <xf numFmtId="0" fontId="2" fillId="14" borderId="41" xfId="3" applyFont="1" applyBorder="1" applyProtection="1">
      <alignment horizontal="center" vertical="center"/>
    </xf>
    <xf numFmtId="0" fontId="2" fillId="14" borderId="31" xfId="3" applyFont="1" applyBorder="1" applyProtection="1">
      <alignment horizontal="center" vertical="center"/>
    </xf>
    <xf numFmtId="0" fontId="2" fillId="14" borderId="30" xfId="3" applyFont="1" applyBorder="1" applyProtection="1">
      <alignment horizontal="center" vertical="center"/>
    </xf>
    <xf numFmtId="2" fontId="2" fillId="2" borderId="37" xfId="32" applyNumberFormat="1" applyFont="1" applyBorder="1">
      <alignment horizontal="right" vertical="center"/>
    </xf>
    <xf numFmtId="2" fontId="2" fillId="2" borderId="41" xfId="32" applyNumberFormat="1" applyFont="1" applyBorder="1">
      <alignment horizontal="right" vertical="center"/>
    </xf>
    <xf numFmtId="2" fontId="2" fillId="2" borderId="31" xfId="32" applyNumberFormat="1" applyFont="1" applyBorder="1">
      <alignment horizontal="right" vertical="center"/>
    </xf>
    <xf numFmtId="2" fontId="2" fillId="2" borderId="25" xfId="32" applyNumberFormat="1" applyFont="1" applyBorder="1">
      <alignment horizontal="right" vertical="center"/>
    </xf>
    <xf numFmtId="0" fontId="2" fillId="2" borderId="0" xfId="0" applyFont="1" applyFill="1" applyBorder="1" applyAlignment="1" applyProtection="1">
      <alignment vertical="center" wrapText="1"/>
    </xf>
    <xf numFmtId="0" fontId="2" fillId="2" borderId="31" xfId="0" applyFont="1" applyFill="1" applyBorder="1" applyAlignment="1" applyProtection="1">
      <alignment vertical="center" wrapText="1"/>
    </xf>
    <xf numFmtId="0" fontId="2" fillId="2" borderId="31" xfId="0" applyFont="1" applyFill="1" applyBorder="1" applyAlignment="1" applyProtection="1">
      <alignment horizontal="left" vertical="center" wrapText="1" indent="1"/>
    </xf>
    <xf numFmtId="0" fontId="2" fillId="2" borderId="0" xfId="0" applyFont="1" applyFill="1" applyBorder="1" applyAlignment="1" applyProtection="1">
      <alignment horizontal="left" vertical="center" wrapText="1" indent="1"/>
    </xf>
    <xf numFmtId="0" fontId="0" fillId="2" borderId="31" xfId="0" applyFont="1" applyFill="1" applyBorder="1" applyAlignment="1" applyProtection="1">
      <alignment horizontal="left" vertical="center" wrapText="1" indent="2"/>
    </xf>
    <xf numFmtId="0" fontId="0" fillId="2" borderId="0" xfId="0" applyFont="1" applyFill="1" applyBorder="1" applyAlignment="1" applyProtection="1">
      <alignment horizontal="left" vertical="center" wrapText="1" indent="1"/>
    </xf>
    <xf numFmtId="0" fontId="0" fillId="2" borderId="46" xfId="0" applyFont="1" applyFill="1" applyBorder="1" applyAlignment="1" applyProtection="1">
      <alignment horizontal="left" vertical="center" wrapText="1" indent="2"/>
    </xf>
    <xf numFmtId="0" fontId="2" fillId="14" borderId="23" xfId="3" applyFont="1" applyBorder="1" applyProtection="1">
      <alignment horizontal="center" vertical="center"/>
    </xf>
    <xf numFmtId="0" fontId="2" fillId="14" borderId="25" xfId="3" applyFont="1" applyBorder="1" applyProtection="1">
      <alignment horizontal="center" vertical="center"/>
    </xf>
    <xf numFmtId="0" fontId="2" fillId="14" borderId="41" xfId="3" applyFont="1" applyBorder="1" applyProtection="1">
      <alignment horizontal="center" vertical="center"/>
    </xf>
    <xf numFmtId="3" fontId="11" fillId="15" borderId="25" xfId="20" applyFont="1" applyBorder="1">
      <alignment horizontal="right" vertical="center"/>
      <protection locked="0"/>
    </xf>
    <xf numFmtId="0" fontId="2" fillId="14" borderId="28" xfId="3" applyFont="1" applyBorder="1" applyProtection="1">
      <alignment horizontal="center" vertical="center"/>
    </xf>
    <xf numFmtId="0" fontId="2" fillId="14" borderId="37" xfId="3" applyFont="1" applyBorder="1" applyProtection="1">
      <alignment horizontal="center" vertical="center"/>
    </xf>
    <xf numFmtId="0" fontId="0" fillId="2" borderId="0" xfId="0" applyFont="1" applyFill="1" applyBorder="1" applyProtection="1">
      <alignment vertical="center"/>
    </xf>
    <xf numFmtId="0" fontId="2" fillId="2" borderId="25" xfId="2" applyBorder="1">
      <alignment horizontal="center" vertical="center"/>
    </xf>
    <xf numFmtId="3" fontId="2" fillId="2" borderId="33" xfId="30" applyFont="1" applyBorder="1">
      <alignment horizontal="right" vertical="center"/>
    </xf>
    <xf numFmtId="3" fontId="2" fillId="2" borderId="34" xfId="1" applyFont="1" applyBorder="1" applyAlignment="1" applyProtection="1">
      <alignment horizontal="center" vertical="center"/>
    </xf>
    <xf numFmtId="0" fontId="35" fillId="0" borderId="31" xfId="0" applyFont="1" applyBorder="1" applyAlignment="1" applyProtection="1">
      <alignment horizontal="left" vertical="center" wrapText="1" indent="2"/>
    </xf>
    <xf numFmtId="0" fontId="35" fillId="2" borderId="31" xfId="0" applyFont="1" applyFill="1" applyBorder="1" applyAlignment="1">
      <alignment horizontal="left" vertical="center" wrapText="1"/>
    </xf>
    <xf numFmtId="0" fontId="35" fillId="2" borderId="32" xfId="0" applyFont="1" applyFill="1" applyBorder="1" applyAlignment="1">
      <alignment horizontal="left" vertical="center" wrapText="1"/>
    </xf>
    <xf numFmtId="0" fontId="35" fillId="2" borderId="29" xfId="0" applyFont="1" applyFill="1" applyBorder="1" applyAlignment="1">
      <alignment horizontal="left" vertical="center" wrapText="1"/>
    </xf>
    <xf numFmtId="0" fontId="35" fillId="2" borderId="34" xfId="83" applyFont="1" applyFill="1" applyBorder="1" applyAlignment="1">
      <alignment horizontal="left" vertical="center" wrapText="1" indent="1"/>
    </xf>
    <xf numFmtId="0" fontId="0" fillId="2" borderId="8" xfId="0" applyFont="1" applyFill="1" applyBorder="1" applyAlignment="1">
      <alignment horizontal="center" vertical="center"/>
    </xf>
    <xf numFmtId="0" fontId="9" fillId="2" borderId="8" xfId="0" applyFont="1" applyFill="1" applyBorder="1" applyAlignment="1">
      <alignment vertical="center" wrapText="1"/>
    </xf>
    <xf numFmtId="0" fontId="2" fillId="2" borderId="8" xfId="2" applyBorder="1">
      <alignment horizontal="center" vertical="center"/>
    </xf>
    <xf numFmtId="3" fontId="2" fillId="2" borderId="41" xfId="2" applyNumberFormat="1" applyBorder="1" applyAlignment="1">
      <alignment horizontal="left" vertical="center" wrapText="1"/>
    </xf>
    <xf numFmtId="3" fontId="2" fillId="2" borderId="38" xfId="2" applyNumberFormat="1" applyBorder="1" applyAlignment="1">
      <alignment horizontal="left" vertical="center" wrapText="1"/>
    </xf>
    <xf numFmtId="170" fontId="32" fillId="2" borderId="51" xfId="29" applyFont="1" applyBorder="1">
      <alignment horizontal="center" vertical="center"/>
    </xf>
    <xf numFmtId="0" fontId="0" fillId="2" borderId="9" xfId="0" applyFont="1" applyFill="1" applyBorder="1" applyAlignment="1">
      <alignment vertical="center"/>
    </xf>
    <xf numFmtId="3" fontId="2" fillId="2" borderId="35" xfId="1" applyFont="1" applyBorder="1" applyAlignment="1" applyProtection="1">
      <alignment horizontal="center" vertical="center"/>
    </xf>
    <xf numFmtId="0" fontId="35" fillId="0" borderId="31" xfId="0" applyFont="1" applyBorder="1" applyAlignment="1" applyProtection="1">
      <alignment horizontal="left" vertical="center" wrapText="1" indent="3"/>
    </xf>
    <xf numFmtId="0" fontId="35" fillId="2" borderId="25" xfId="83" applyFont="1" applyFill="1" applyBorder="1" applyAlignment="1">
      <alignment vertical="center" wrapText="1"/>
    </xf>
    <xf numFmtId="0" fontId="35" fillId="2" borderId="27" xfId="83" applyFont="1" applyFill="1" applyBorder="1" applyAlignment="1">
      <alignment vertical="center" wrapText="1"/>
    </xf>
    <xf numFmtId="0" fontId="2" fillId="2" borderId="28" xfId="0" applyFont="1" applyFill="1" applyBorder="1" applyAlignment="1" applyProtection="1">
      <alignment horizontal="center" vertical="center"/>
    </xf>
    <xf numFmtId="0" fontId="2" fillId="2" borderId="54" xfId="0" applyFont="1" applyFill="1" applyBorder="1" applyAlignment="1" applyProtection="1">
      <alignment horizontal="left" vertical="center"/>
    </xf>
    <xf numFmtId="0" fontId="0" fillId="2" borderId="54" xfId="0" applyFont="1" applyFill="1" applyBorder="1" applyAlignment="1" applyProtection="1">
      <alignment horizontal="left" vertical="center"/>
    </xf>
    <xf numFmtId="0" fontId="0" fillId="2" borderId="46" xfId="0" applyFont="1" applyFill="1" applyBorder="1" applyAlignment="1">
      <alignment horizontal="center" vertical="center"/>
    </xf>
    <xf numFmtId="0" fontId="0" fillId="14" borderId="43" xfId="3" applyFont="1" applyBorder="1">
      <alignment horizontal="center" vertical="center"/>
    </xf>
    <xf numFmtId="0" fontId="35" fillId="2" borderId="23" xfId="83" applyFont="1" applyFill="1" applyBorder="1" applyAlignment="1">
      <alignment vertical="center" wrapText="1"/>
    </xf>
    <xf numFmtId="3" fontId="2" fillId="2" borderId="37" xfId="1" applyFont="1" applyBorder="1" applyAlignment="1" applyProtection="1">
      <alignment horizontal="center" vertical="center"/>
    </xf>
    <xf numFmtId="3" fontId="2" fillId="2" borderId="30" xfId="1" applyFont="1" applyBorder="1" applyAlignment="1" applyProtection="1">
      <alignment horizontal="center" vertical="center"/>
    </xf>
    <xf numFmtId="0" fontId="2" fillId="2" borderId="0" xfId="0" applyFont="1" applyFill="1" applyProtection="1">
      <alignment vertical="center"/>
    </xf>
    <xf numFmtId="0" fontId="0" fillId="2" borderId="0" xfId="0" applyFont="1" applyFill="1" applyProtection="1">
      <alignment vertical="center"/>
    </xf>
    <xf numFmtId="0" fontId="0" fillId="2" borderId="0" xfId="0" applyFill="1" applyAlignment="1" applyProtection="1">
      <alignment vertical="center"/>
    </xf>
    <xf numFmtId="0" fontId="0" fillId="2" borderId="0" xfId="0" applyFont="1" applyFill="1" applyBorder="1" applyProtection="1">
      <alignment vertical="center"/>
    </xf>
    <xf numFmtId="3" fontId="2" fillId="2" borderId="47" xfId="1" applyFont="1" applyBorder="1" applyAlignment="1" applyProtection="1">
      <alignment horizontal="center" vertical="center"/>
    </xf>
    <xf numFmtId="3" fontId="11" fillId="15" borderId="27" xfId="20" applyFont="1" applyBorder="1">
      <alignment horizontal="right" vertical="center"/>
      <protection locked="0"/>
    </xf>
    <xf numFmtId="3" fontId="11" fillId="15" borderId="38" xfId="20" applyFont="1" applyBorder="1">
      <alignment horizontal="right" vertical="center"/>
      <protection locked="0"/>
    </xf>
    <xf numFmtId="0" fontId="11" fillId="2" borderId="36" xfId="0" applyFont="1" applyFill="1" applyBorder="1" applyAlignment="1" applyProtection="1">
      <alignment horizontal="center" vertical="center" wrapText="1"/>
    </xf>
    <xf numFmtId="0" fontId="0" fillId="2" borderId="34" xfId="0" applyFont="1" applyFill="1" applyBorder="1" applyAlignment="1" applyProtection="1">
      <alignment horizontal="left" vertical="center" wrapText="1" indent="2"/>
    </xf>
    <xf numFmtId="0" fontId="0" fillId="2" borderId="34" xfId="0" applyFont="1" applyFill="1" applyBorder="1" applyAlignment="1" applyProtection="1">
      <alignment horizontal="left" vertical="center" wrapText="1"/>
    </xf>
    <xf numFmtId="9" fontId="9" fillId="45" borderId="36" xfId="8" applyFont="1" applyBorder="1">
      <alignment horizontal="right" vertical="center"/>
    </xf>
    <xf numFmtId="0" fontId="9" fillId="2" borderId="34" xfId="0" applyFont="1" applyFill="1" applyBorder="1" applyAlignment="1" applyProtection="1">
      <alignment vertical="center" wrapText="1"/>
    </xf>
    <xf numFmtId="0" fontId="35" fillId="2" borderId="34" xfId="83" applyFill="1" applyBorder="1" applyAlignment="1" applyProtection="1">
      <alignment horizontal="left" vertical="center" wrapText="1" indent="1"/>
    </xf>
    <xf numFmtId="0" fontId="0" fillId="2" borderId="44" xfId="0" applyFont="1" applyFill="1" applyBorder="1" applyAlignment="1" applyProtection="1">
      <alignment horizontal="left" vertical="center" wrapText="1"/>
    </xf>
    <xf numFmtId="0" fontId="35" fillId="2" borderId="35" xfId="83" applyFill="1" applyBorder="1" applyAlignment="1" applyProtection="1">
      <alignment horizontal="left" vertical="center" wrapText="1" indent="1"/>
    </xf>
    <xf numFmtId="3" fontId="11" fillId="43" borderId="55" xfId="11" applyFont="1" applyBorder="1" applyProtection="1">
      <alignment horizontal="right" vertical="center"/>
      <protection locked="0"/>
    </xf>
    <xf numFmtId="3" fontId="11" fillId="43" borderId="56" xfId="11" applyFont="1" applyBorder="1" applyProtection="1">
      <alignment horizontal="right" vertical="center"/>
      <protection locked="0"/>
    </xf>
    <xf numFmtId="0" fontId="2" fillId="2" borderId="56" xfId="2" applyBorder="1">
      <alignment horizontal="center" vertical="center"/>
    </xf>
    <xf numFmtId="0" fontId="2" fillId="14" borderId="56" xfId="3" applyFont="1" applyBorder="1" applyProtection="1">
      <alignment horizontal="center" vertical="center"/>
    </xf>
    <xf numFmtId="3" fontId="11" fillId="43" borderId="57" xfId="11" applyFont="1" applyBorder="1" applyProtection="1">
      <alignment horizontal="right" vertical="center"/>
      <protection locked="0"/>
    </xf>
    <xf numFmtId="0" fontId="2" fillId="2" borderId="58" xfId="2" applyBorder="1">
      <alignment horizontal="center" vertical="center"/>
    </xf>
    <xf numFmtId="3" fontId="9" fillId="2" borderId="30" xfId="30" applyFont="1" applyBorder="1">
      <alignment horizontal="right" vertical="center"/>
    </xf>
    <xf numFmtId="3" fontId="2" fillId="14" borderId="43" xfId="3" applyNumberFormat="1" applyFont="1" applyBorder="1">
      <alignment horizontal="center" vertical="center"/>
    </xf>
    <xf numFmtId="3" fontId="2" fillId="14" borderId="32" xfId="3" applyNumberFormat="1" applyFont="1" applyBorder="1">
      <alignment horizontal="center" vertical="center"/>
    </xf>
    <xf numFmtId="0" fontId="2" fillId="2" borderId="27" xfId="0" applyFont="1" applyFill="1" applyBorder="1" applyAlignment="1" applyProtection="1">
      <alignment horizontal="center" vertical="center"/>
    </xf>
    <xf numFmtId="0" fontId="4" fillId="2" borderId="20" xfId="5" applyFont="1" applyBorder="1" applyAlignment="1">
      <alignment horizontal="center" wrapText="1"/>
    </xf>
    <xf numFmtId="0" fontId="0" fillId="2" borderId="12" xfId="0" applyFill="1" applyBorder="1">
      <alignment vertical="center"/>
    </xf>
    <xf numFmtId="0" fontId="0" fillId="2" borderId="5" xfId="0" applyFill="1" applyBorder="1">
      <alignment vertical="center"/>
    </xf>
    <xf numFmtId="0" fontId="0" fillId="2" borderId="11" xfId="0" applyFill="1" applyBorder="1">
      <alignment vertical="center"/>
    </xf>
    <xf numFmtId="0" fontId="2" fillId="2" borderId="48" xfId="0" applyFont="1" applyFill="1" applyBorder="1" applyAlignment="1" applyProtection="1">
      <alignment horizontal="center" vertical="center"/>
    </xf>
    <xf numFmtId="0" fontId="2" fillId="2" borderId="5" xfId="0" applyFont="1" applyFill="1" applyBorder="1" applyAlignment="1" applyProtection="1">
      <alignment horizontal="left" vertical="center"/>
    </xf>
    <xf numFmtId="3" fontId="0" fillId="2" borderId="32" xfId="30" applyFont="1" applyBorder="1" applyAlignment="1">
      <alignment horizontal="center" vertical="center"/>
    </xf>
    <xf numFmtId="0" fontId="2" fillId="2" borderId="30" xfId="0" applyFont="1" applyFill="1" applyBorder="1" applyAlignment="1">
      <alignment horizontal="left" vertical="center"/>
    </xf>
    <xf numFmtId="0" fontId="4" fillId="2" borderId="49" xfId="0" applyFont="1" applyFill="1" applyBorder="1" applyAlignment="1" applyProtection="1">
      <alignment horizontal="center" vertical="center" wrapText="1"/>
    </xf>
    <xf numFmtId="0" fontId="4" fillId="2" borderId="20" xfId="0" applyFont="1" applyFill="1" applyBorder="1" applyAlignment="1" applyProtection="1">
      <alignment horizontal="center" vertical="center" wrapText="1"/>
    </xf>
    <xf numFmtId="0" fontId="4" fillId="2" borderId="36" xfId="0" applyFont="1" applyFill="1" applyBorder="1" applyAlignment="1" applyProtection="1">
      <alignment horizontal="center" vertical="center" wrapText="1"/>
    </xf>
    <xf numFmtId="0" fontId="4" fillId="2" borderId="20" xfId="0" applyFont="1" applyFill="1" applyBorder="1" applyAlignment="1" applyProtection="1">
      <alignment horizontal="center" vertical="center" wrapText="1"/>
    </xf>
    <xf numFmtId="0" fontId="4" fillId="2" borderId="36" xfId="0" applyFont="1" applyFill="1" applyBorder="1" applyAlignment="1" applyProtection="1">
      <alignment horizontal="center" vertical="center" wrapText="1"/>
    </xf>
    <xf numFmtId="0" fontId="0" fillId="2" borderId="30" xfId="0" applyFont="1" applyFill="1" applyBorder="1" applyAlignment="1">
      <alignment vertical="center"/>
    </xf>
    <xf numFmtId="0" fontId="0" fillId="2" borderId="31" xfId="0" applyFont="1" applyFill="1" applyBorder="1" applyAlignment="1">
      <alignment vertical="center"/>
    </xf>
    <xf numFmtId="0" fontId="2" fillId="2" borderId="23" xfId="0" applyFont="1" applyFill="1" applyBorder="1" applyAlignment="1" applyProtection="1">
      <alignment horizontal="center" vertical="center"/>
    </xf>
    <xf numFmtId="0" fontId="2" fillId="2" borderId="27" xfId="0" applyFont="1" applyFill="1" applyBorder="1" applyAlignment="1" applyProtection="1">
      <alignment horizontal="center" vertical="center"/>
    </xf>
    <xf numFmtId="0" fontId="2" fillId="2" borderId="10" xfId="0" applyFont="1" applyFill="1" applyBorder="1" applyAlignment="1" applyProtection="1">
      <alignment horizontal="left" vertical="center"/>
    </xf>
    <xf numFmtId="0" fontId="0" fillId="2" borderId="30" xfId="0" applyFont="1" applyFill="1" applyBorder="1" applyAlignment="1" applyProtection="1">
      <alignment horizontal="left" vertical="center"/>
    </xf>
    <xf numFmtId="0" fontId="0" fillId="2" borderId="31" xfId="0" applyFill="1" applyBorder="1" applyAlignment="1" applyProtection="1">
      <alignment horizontal="left" vertical="center" indent="1"/>
    </xf>
    <xf numFmtId="0" fontId="0" fillId="2" borderId="31" xfId="0" applyFont="1" applyFill="1" applyBorder="1" applyAlignment="1" applyProtection="1">
      <alignment horizontal="left" vertical="center" indent="2"/>
    </xf>
    <xf numFmtId="3" fontId="2" fillId="2" borderId="37" xfId="30" applyFont="1" applyBorder="1" applyAlignment="1" applyProtection="1">
      <alignment horizontal="right" vertical="center"/>
    </xf>
    <xf numFmtId="3" fontId="2" fillId="2" borderId="41" xfId="30" applyFont="1" applyBorder="1" applyAlignment="1" applyProtection="1">
      <alignment horizontal="right" vertical="center"/>
    </xf>
    <xf numFmtId="3" fontId="2" fillId="2" borderId="47" xfId="30" applyFont="1" applyBorder="1" applyAlignment="1" applyProtection="1">
      <alignment horizontal="right" vertical="center"/>
    </xf>
    <xf numFmtId="3" fontId="2" fillId="43" borderId="47" xfId="11" applyFont="1" applyBorder="1">
      <alignment horizontal="right" vertical="center"/>
      <protection locked="0"/>
    </xf>
    <xf numFmtId="0" fontId="0" fillId="2" borderId="46" xfId="0" applyFill="1" applyBorder="1" applyAlignment="1" applyProtection="1">
      <alignment horizontal="left" vertical="center"/>
    </xf>
    <xf numFmtId="3" fontId="2" fillId="2" borderId="36" xfId="30" applyFont="1" applyBorder="1" applyAlignment="1" applyProtection="1">
      <alignment horizontal="right" vertical="center"/>
    </xf>
    <xf numFmtId="0" fontId="6" fillId="2" borderId="4" xfId="4" applyFont="1" applyFill="1" applyBorder="1" applyAlignment="1"/>
    <xf numFmtId="0" fontId="2" fillId="2" borderId="23" xfId="0" applyFont="1" applyFill="1" applyBorder="1" applyAlignment="1" applyProtection="1">
      <alignment horizontal="center" vertical="center"/>
    </xf>
    <xf numFmtId="0" fontId="2" fillId="2" borderId="27" xfId="0" applyFont="1" applyFill="1" applyBorder="1" applyAlignment="1" applyProtection="1">
      <alignment horizontal="center" vertical="center"/>
    </xf>
    <xf numFmtId="0" fontId="4" fillId="2" borderId="39" xfId="0" applyFont="1" applyFill="1" applyBorder="1" applyAlignment="1" applyProtection="1">
      <alignment vertical="center"/>
    </xf>
    <xf numFmtId="3" fontId="0" fillId="2" borderId="41" xfId="30" applyFont="1" applyBorder="1">
      <alignment horizontal="right" vertical="center"/>
    </xf>
    <xf numFmtId="0" fontId="0" fillId="14" borderId="50" xfId="0" applyFont="1" applyFill="1" applyBorder="1" applyAlignment="1">
      <alignment vertical="center"/>
    </xf>
    <xf numFmtId="0" fontId="0" fillId="14" borderId="53" xfId="0" applyFont="1" applyFill="1" applyBorder="1" applyAlignment="1">
      <alignment vertical="center"/>
    </xf>
    <xf numFmtId="0" fontId="0" fillId="14" borderId="42" xfId="0" applyFont="1" applyFill="1" applyBorder="1" applyAlignment="1">
      <alignment vertical="center"/>
    </xf>
    <xf numFmtId="0" fontId="0" fillId="14" borderId="38" xfId="0" applyFont="1" applyFill="1" applyBorder="1" applyAlignment="1">
      <alignment vertical="center"/>
    </xf>
    <xf numFmtId="165" fontId="0" fillId="2" borderId="41" xfId="31" applyFont="1" applyBorder="1">
      <alignment horizontal="right" vertical="center"/>
    </xf>
    <xf numFmtId="0" fontId="2" fillId="2" borderId="29" xfId="5" applyFont="1" applyBorder="1">
      <alignment horizontal="center" wrapText="1"/>
    </xf>
    <xf numFmtId="0" fontId="2" fillId="2" borderId="36" xfId="5" applyFont="1" applyBorder="1">
      <alignment horizontal="center" wrapText="1"/>
    </xf>
    <xf numFmtId="0" fontId="2" fillId="2" borderId="20" xfId="5" applyFont="1" applyBorder="1">
      <alignment horizontal="center" wrapText="1"/>
    </xf>
    <xf numFmtId="0" fontId="0" fillId="2" borderId="39" xfId="0" applyFill="1" applyBorder="1">
      <alignment vertical="center"/>
    </xf>
    <xf numFmtId="0" fontId="0" fillId="2" borderId="59" xfId="0" applyFill="1" applyBorder="1">
      <alignment vertical="center"/>
    </xf>
    <xf numFmtId="0" fontId="0" fillId="2" borderId="40" xfId="0" applyFill="1" applyBorder="1">
      <alignment vertical="center"/>
    </xf>
    <xf numFmtId="0" fontId="0" fillId="2" borderId="30" xfId="0" applyFill="1" applyBorder="1">
      <alignment vertical="center"/>
    </xf>
    <xf numFmtId="0" fontId="0" fillId="2" borderId="31" xfId="0" applyFill="1" applyBorder="1">
      <alignment vertical="center"/>
    </xf>
    <xf numFmtId="0" fontId="0" fillId="2" borderId="32" xfId="0" applyFill="1" applyBorder="1">
      <alignment vertical="center"/>
    </xf>
    <xf numFmtId="0" fontId="0" fillId="2" borderId="43" xfId="0" applyFill="1" applyBorder="1">
      <alignment vertical="center"/>
    </xf>
    <xf numFmtId="0" fontId="2" fillId="2" borderId="45" xfId="0" applyFont="1" applyFill="1" applyBorder="1" applyAlignment="1" applyProtection="1">
      <alignment horizontal="center" vertical="center"/>
    </xf>
    <xf numFmtId="0" fontId="0" fillId="2" borderId="46" xfId="0" applyFill="1" applyBorder="1">
      <alignment vertical="center"/>
    </xf>
    <xf numFmtId="0" fontId="35" fillId="2" borderId="32" xfId="83" applyFill="1" applyBorder="1" applyAlignment="1" applyProtection="1">
      <alignment horizontal="left" vertical="center" wrapText="1"/>
    </xf>
    <xf numFmtId="0" fontId="4" fillId="2" borderId="36" xfId="0" applyFont="1" applyFill="1" applyBorder="1" applyAlignment="1" applyProtection="1">
      <alignment horizontal="center" vertical="center" wrapText="1"/>
    </xf>
    <xf numFmtId="0" fontId="2" fillId="2" borderId="23" xfId="0" applyFont="1" applyFill="1" applyBorder="1" applyAlignment="1" applyProtection="1">
      <alignment horizontal="center" vertical="center"/>
    </xf>
    <xf numFmtId="0" fontId="2" fillId="2" borderId="27" xfId="0" applyFont="1" applyFill="1" applyBorder="1" applyAlignment="1" applyProtection="1">
      <alignment horizontal="center" vertical="center"/>
    </xf>
    <xf numFmtId="0" fontId="4" fillId="2" borderId="29" xfId="5" applyFont="1" applyBorder="1">
      <alignment horizontal="center" wrapText="1"/>
    </xf>
    <xf numFmtId="0" fontId="0" fillId="2" borderId="31" xfId="0" applyFont="1" applyFill="1" applyBorder="1" applyAlignment="1" applyProtection="1">
      <alignment horizontal="left" vertical="center" wrapText="1"/>
    </xf>
    <xf numFmtId="0" fontId="4" fillId="2" borderId="36" xfId="5" applyFont="1" applyBorder="1" applyAlignment="1">
      <alignment horizontal="center" wrapText="1"/>
    </xf>
    <xf numFmtId="0" fontId="4" fillId="2" borderId="9" xfId="5" applyFont="1" applyBorder="1" applyAlignment="1">
      <alignment horizontal="center" wrapText="1"/>
    </xf>
    <xf numFmtId="3" fontId="2" fillId="43" borderId="53" xfId="11" applyFont="1" applyBorder="1">
      <alignment horizontal="right" vertical="center"/>
      <protection locked="0"/>
    </xf>
    <xf numFmtId="0" fontId="0" fillId="2" borderId="32" xfId="0" applyFont="1" applyFill="1" applyBorder="1" applyAlignment="1" applyProtection="1">
      <alignment horizontal="left" vertical="center"/>
    </xf>
    <xf numFmtId="0" fontId="3" fillId="2" borderId="3" xfId="0" applyFont="1" applyFill="1" applyBorder="1" applyAlignment="1" applyProtection="1">
      <alignment horizontal="left"/>
    </xf>
    <xf numFmtId="0" fontId="2" fillId="2" borderId="2" xfId="0" applyFont="1" applyFill="1" applyBorder="1" applyProtection="1">
      <alignment vertical="center"/>
    </xf>
    <xf numFmtId="0" fontId="9" fillId="2" borderId="6" xfId="0" applyFont="1" applyFill="1" applyBorder="1">
      <alignment vertical="center"/>
    </xf>
    <xf numFmtId="3" fontId="2" fillId="2" borderId="43" xfId="30" applyFont="1" applyBorder="1" applyAlignment="1">
      <alignment horizontal="center" vertical="center"/>
    </xf>
    <xf numFmtId="0" fontId="2" fillId="43" borderId="42" xfId="18" applyFont="1" applyBorder="1">
      <alignment horizontal="center" vertical="center" wrapText="1"/>
      <protection locked="0"/>
    </xf>
    <xf numFmtId="0" fontId="4" fillId="2" borderId="20" xfId="5" applyFont="1" applyBorder="1" applyAlignment="1">
      <alignment horizontal="center" wrapText="1"/>
    </xf>
    <xf numFmtId="0" fontId="0" fillId="2" borderId="23" xfId="35" applyNumberFormat="1" applyFont="1" applyBorder="1">
      <alignment horizontal="center" vertical="center" wrapText="1"/>
    </xf>
    <xf numFmtId="0" fontId="2" fillId="43" borderId="28" xfId="18" applyFont="1" applyBorder="1" applyAlignment="1">
      <alignment horizontal="center" vertical="center" wrapText="1"/>
      <protection locked="0"/>
    </xf>
    <xf numFmtId="0" fontId="0" fillId="2" borderId="25" xfId="35" applyNumberFormat="1" applyFont="1" applyBorder="1">
      <alignment horizontal="center" vertical="center" wrapText="1"/>
    </xf>
    <xf numFmtId="0" fontId="0" fillId="2" borderId="27" xfId="35" applyNumberFormat="1" applyFont="1" applyBorder="1">
      <alignment horizontal="center" vertical="center" wrapText="1"/>
    </xf>
    <xf numFmtId="0" fontId="2" fillId="43" borderId="49" xfId="18" applyFont="1" applyBorder="1" applyAlignment="1">
      <alignment horizontal="center" vertical="center" wrapText="1"/>
      <protection locked="0"/>
    </xf>
    <xf numFmtId="3" fontId="2" fillId="43" borderId="49" xfId="11" applyFont="1" applyBorder="1">
      <alignment horizontal="right" vertical="center"/>
      <protection locked="0"/>
    </xf>
    <xf numFmtId="3" fontId="2" fillId="43" borderId="51" xfId="11" applyFont="1" applyBorder="1">
      <alignment horizontal="right" vertical="center"/>
      <protection locked="0"/>
    </xf>
    <xf numFmtId="0" fontId="0" fillId="2" borderId="28" xfId="35" applyNumberFormat="1" applyFont="1" applyBorder="1">
      <alignment horizontal="center" vertical="center" wrapText="1"/>
    </xf>
    <xf numFmtId="0" fontId="2" fillId="2" borderId="29" xfId="5" applyFont="1" applyBorder="1" applyAlignment="1">
      <alignment horizontal="center" wrapText="1"/>
    </xf>
    <xf numFmtId="168" fontId="4" fillId="43" borderId="20" xfId="10" applyFont="1" applyBorder="1">
      <alignment vertical="center"/>
      <protection locked="0"/>
    </xf>
    <xf numFmtId="0" fontId="0" fillId="14" borderId="27" xfId="3" applyNumberFormat="1" applyFont="1" applyBorder="1">
      <alignment horizontal="center" vertical="center"/>
    </xf>
    <xf numFmtId="0" fontId="3" fillId="2" borderId="12" xfId="0" applyFont="1" applyFill="1" applyBorder="1" applyAlignment="1" applyProtection="1">
      <alignment horizontal="left"/>
    </xf>
    <xf numFmtId="0" fontId="0" fillId="2" borderId="5" xfId="0" applyFill="1" applyBorder="1" applyAlignment="1" applyProtection="1">
      <alignment horizontal="left"/>
    </xf>
    <xf numFmtId="0" fontId="0" fillId="2" borderId="5" xfId="0" applyFill="1" applyBorder="1" applyProtection="1">
      <alignment vertical="center"/>
    </xf>
    <xf numFmtId="0" fontId="4" fillId="2" borderId="20" xfId="0" applyFont="1" applyFill="1" applyBorder="1" applyAlignment="1" applyProtection="1">
      <alignment horizontal="center" vertical="center" wrapText="1"/>
    </xf>
    <xf numFmtId="0" fontId="4" fillId="2" borderId="36" xfId="0" applyFont="1" applyFill="1" applyBorder="1" applyAlignment="1" applyProtection="1">
      <alignment horizontal="center" vertical="center" wrapText="1"/>
    </xf>
    <xf numFmtId="14" fontId="4" fillId="2" borderId="0" xfId="5" applyNumberFormat="1" applyFont="1" applyBorder="1">
      <alignment horizontal="center" wrapText="1"/>
    </xf>
    <xf numFmtId="0" fontId="4" fillId="2" borderId="50" xfId="0" applyFont="1" applyFill="1" applyBorder="1" applyAlignment="1" applyProtection="1">
      <alignment horizontal="center" vertical="center" wrapText="1"/>
    </xf>
    <xf numFmtId="3" fontId="2" fillId="43" borderId="30" xfId="11" applyFont="1" applyBorder="1" applyAlignment="1" applyProtection="1">
      <alignment horizontal="right" vertical="center"/>
      <protection locked="0"/>
    </xf>
    <xf numFmtId="3" fontId="2" fillId="43" borderId="31" xfId="11" applyFont="1" applyBorder="1" applyAlignment="1" applyProtection="1">
      <alignment horizontal="right" vertical="center"/>
      <protection locked="0"/>
    </xf>
    <xf numFmtId="170" fontId="32" fillId="2" borderId="31" xfId="29" applyFont="1" applyBorder="1">
      <alignment horizontal="center" vertical="center"/>
    </xf>
    <xf numFmtId="3" fontId="0" fillId="2" borderId="31" xfId="30" applyFont="1" applyBorder="1" applyAlignment="1">
      <alignment horizontal="right" vertical="center"/>
    </xf>
    <xf numFmtId="3" fontId="2" fillId="43" borderId="32" xfId="11" applyFont="1" applyBorder="1" applyAlignment="1" applyProtection="1">
      <alignment horizontal="right" vertical="center"/>
      <protection locked="0"/>
    </xf>
    <xf numFmtId="3" fontId="0" fillId="2" borderId="29" xfId="30" applyFont="1" applyBorder="1" applyAlignment="1">
      <alignment horizontal="right" vertical="center"/>
    </xf>
    <xf numFmtId="3" fontId="2" fillId="14" borderId="45" xfId="3" applyNumberFormat="1" applyFont="1" applyBorder="1">
      <alignment horizontal="center" vertical="center"/>
    </xf>
    <xf numFmtId="0" fontId="4" fillId="2" borderId="20" xfId="0" applyFont="1" applyFill="1" applyBorder="1" applyAlignment="1" applyProtection="1">
      <alignment horizontal="center" vertical="center" wrapText="1"/>
    </xf>
    <xf numFmtId="0" fontId="4" fillId="2" borderId="49" xfId="0" applyFont="1" applyFill="1" applyBorder="1" applyAlignment="1" applyProtection="1">
      <alignment horizontal="center" vertical="center" wrapText="1"/>
    </xf>
    <xf numFmtId="3" fontId="2" fillId="15" borderId="23" xfId="20" applyFont="1" applyBorder="1">
      <alignment horizontal="right" vertical="center"/>
      <protection locked="0"/>
    </xf>
    <xf numFmtId="3" fontId="2" fillId="15" borderId="37" xfId="20" applyFont="1" applyBorder="1">
      <alignment horizontal="right" vertical="center"/>
      <protection locked="0"/>
    </xf>
    <xf numFmtId="168" fontId="2" fillId="46" borderId="20" xfId="10" applyFont="1" applyFill="1" applyBorder="1">
      <alignment vertical="center"/>
      <protection locked="0"/>
    </xf>
    <xf numFmtId="168" fontId="2" fillId="46" borderId="36" xfId="10" applyFont="1" applyFill="1" applyBorder="1">
      <alignment vertical="center"/>
      <protection locked="0"/>
    </xf>
    <xf numFmtId="0" fontId="3" fillId="2" borderId="8" xfId="0" applyFont="1" applyFill="1" applyBorder="1" applyAlignment="1" applyProtection="1"/>
    <xf numFmtId="0" fontId="0" fillId="2" borderId="8" xfId="0" applyFill="1" applyBorder="1" applyAlignment="1" applyProtection="1"/>
    <xf numFmtId="0" fontId="0" fillId="2" borderId="7" xfId="0" applyFill="1" applyBorder="1" applyAlignment="1" applyProtection="1"/>
    <xf numFmtId="0" fontId="0" fillId="2" borderId="0" xfId="0" applyFill="1" applyAlignment="1" applyProtection="1"/>
    <xf numFmtId="0" fontId="3" fillId="2" borderId="9" xfId="0" applyFont="1" applyFill="1" applyBorder="1" applyAlignment="1" applyProtection="1"/>
    <xf numFmtId="0" fontId="0" fillId="2" borderId="4" xfId="0" applyFill="1" applyBorder="1" applyAlignment="1" applyProtection="1"/>
    <xf numFmtId="0" fontId="0" fillId="2" borderId="9" xfId="0" applyFont="1" applyFill="1" applyBorder="1" applyAlignment="1" applyProtection="1">
      <alignment horizontal="left" vertical="center"/>
    </xf>
    <xf numFmtId="165" fontId="2" fillId="2" borderId="25" xfId="31" applyFont="1" applyBorder="1">
      <alignment horizontal="right" vertical="center"/>
    </xf>
    <xf numFmtId="165" fontId="2" fillId="2" borderId="41" xfId="31" applyFont="1" applyBorder="1">
      <alignment horizontal="right" vertical="center"/>
    </xf>
    <xf numFmtId="166" fontId="0" fillId="16" borderId="36" xfId="49" applyFont="1" applyBorder="1">
      <alignment vertical="center"/>
    </xf>
    <xf numFmtId="3" fontId="2" fillId="43" borderId="37" xfId="11" applyFont="1" applyBorder="1" applyAlignment="1" applyProtection="1">
      <alignment horizontal="right" vertical="center"/>
      <protection locked="0"/>
    </xf>
    <xf numFmtId="3" fontId="2" fillId="43" borderId="36" xfId="11" applyFont="1" applyBorder="1" applyAlignment="1" applyProtection="1">
      <alignment horizontal="right" vertical="center"/>
      <protection locked="0"/>
    </xf>
    <xf numFmtId="3" fontId="2" fillId="43" borderId="22" xfId="11" applyFont="1" applyBorder="1" applyAlignment="1" applyProtection="1">
      <alignment horizontal="right" vertical="center"/>
      <protection locked="0"/>
    </xf>
    <xf numFmtId="3" fontId="2" fillId="43" borderId="61" xfId="11" applyFont="1" applyBorder="1" applyAlignment="1" applyProtection="1">
      <alignment horizontal="right" vertical="center"/>
      <protection locked="0"/>
    </xf>
    <xf numFmtId="3" fontId="2" fillId="43" borderId="24" xfId="11" applyFont="1" applyBorder="1" applyAlignment="1" applyProtection="1">
      <alignment horizontal="right" vertical="center"/>
      <protection locked="0"/>
    </xf>
    <xf numFmtId="3" fontId="2" fillId="43" borderId="62" xfId="11" applyFont="1" applyBorder="1" applyAlignment="1" applyProtection="1">
      <alignment horizontal="right" vertical="center"/>
      <protection locked="0"/>
    </xf>
    <xf numFmtId="3" fontId="2" fillId="43" borderId="26" xfId="11" applyFont="1" applyBorder="1" applyAlignment="1" applyProtection="1">
      <alignment horizontal="right" vertical="center"/>
      <protection locked="0"/>
    </xf>
    <xf numFmtId="3" fontId="2" fillId="43" borderId="63" xfId="11" applyFont="1" applyBorder="1" applyAlignment="1" applyProtection="1">
      <alignment horizontal="right" vertical="center"/>
      <protection locked="0"/>
    </xf>
    <xf numFmtId="0" fontId="2" fillId="14" borderId="19" xfId="3" applyFont="1" applyBorder="1" applyProtection="1">
      <alignment horizontal="center" vertical="center"/>
    </xf>
    <xf numFmtId="0" fontId="0" fillId="2" borderId="30" xfId="0" applyFill="1" applyBorder="1" applyAlignment="1">
      <alignment horizontal="center" vertical="center"/>
    </xf>
    <xf numFmtId="0" fontId="0" fillId="2" borderId="43" xfId="0" applyFill="1" applyBorder="1" applyAlignment="1">
      <alignment horizontal="center" vertical="center"/>
    </xf>
    <xf numFmtId="3" fontId="2" fillId="43" borderId="39" xfId="11" applyFont="1" applyBorder="1" applyAlignment="1" applyProtection="1">
      <alignment horizontal="right" vertical="center"/>
      <protection locked="0"/>
    </xf>
    <xf numFmtId="3" fontId="2" fillId="43" borderId="48" xfId="11" applyFont="1" applyBorder="1" applyAlignment="1" applyProtection="1">
      <alignment horizontal="right" vertical="center"/>
      <protection locked="0"/>
    </xf>
    <xf numFmtId="3" fontId="2" fillId="43" borderId="50" xfId="11" applyFont="1" applyBorder="1" applyAlignment="1" applyProtection="1">
      <alignment horizontal="right" vertical="center"/>
      <protection locked="0"/>
    </xf>
    <xf numFmtId="3" fontId="2" fillId="43" borderId="64" xfId="11" applyFont="1" applyBorder="1" applyAlignment="1" applyProtection="1">
      <alignment horizontal="right" vertical="center"/>
      <protection locked="0"/>
    </xf>
    <xf numFmtId="3" fontId="2" fillId="43" borderId="60" xfId="11" applyFont="1" applyBorder="1" applyAlignment="1" applyProtection="1">
      <alignment horizontal="right" vertical="center"/>
      <protection locked="0"/>
    </xf>
    <xf numFmtId="0" fontId="6" fillId="2" borderId="12" xfId="4" applyFont="1" applyFill="1" applyBorder="1" applyAlignment="1"/>
    <xf numFmtId="0" fontId="6" fillId="2" borderId="5" xfId="4" applyFont="1" applyFill="1" applyBorder="1" applyAlignment="1"/>
    <xf numFmtId="0" fontId="9" fillId="2" borderId="5" xfId="0" applyFont="1" applyFill="1" applyBorder="1">
      <alignment vertical="center"/>
    </xf>
    <xf numFmtId="0" fontId="4" fillId="2" borderId="3" xfId="0" applyFont="1" applyFill="1" applyBorder="1" applyAlignment="1" applyProtection="1">
      <alignment horizontal="center" vertical="center" wrapText="1"/>
    </xf>
    <xf numFmtId="0" fontId="4" fillId="2" borderId="21" xfId="0" applyFont="1" applyFill="1" applyBorder="1" applyAlignment="1" applyProtection="1">
      <alignment horizontal="center" vertical="center" wrapText="1"/>
    </xf>
    <xf numFmtId="0" fontId="0" fillId="2" borderId="46" xfId="0" applyFill="1" applyBorder="1" applyAlignment="1">
      <alignment horizontal="center" vertical="center"/>
    </xf>
    <xf numFmtId="0" fontId="0" fillId="2" borderId="33" xfId="0" applyFill="1" applyBorder="1" applyAlignment="1">
      <alignment horizontal="left" vertical="center"/>
    </xf>
    <xf numFmtId="0" fontId="0" fillId="2" borderId="34" xfId="0" applyFill="1" applyBorder="1" applyAlignment="1">
      <alignment horizontal="left" vertical="center"/>
    </xf>
    <xf numFmtId="0" fontId="0" fillId="2" borderId="29" xfId="0" applyFill="1" applyBorder="1" applyAlignment="1">
      <alignment horizontal="center" vertical="center" wrapText="1"/>
    </xf>
    <xf numFmtId="0" fontId="0" fillId="2" borderId="20" xfId="0" applyFill="1" applyBorder="1" applyAlignment="1">
      <alignment horizontal="center" vertical="center" wrapText="1"/>
    </xf>
    <xf numFmtId="0" fontId="0" fillId="2" borderId="36"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21" xfId="0" applyFill="1" applyBorder="1" applyAlignment="1">
      <alignment horizontal="center" vertical="center" wrapText="1"/>
    </xf>
    <xf numFmtId="0" fontId="16" fillId="2" borderId="5" xfId="0" applyFont="1" applyFill="1" applyBorder="1">
      <alignment vertical="center"/>
    </xf>
    <xf numFmtId="0" fontId="16" fillId="2" borderId="11" xfId="0" applyFont="1" applyFill="1" applyBorder="1">
      <alignment vertical="center"/>
    </xf>
    <xf numFmtId="3" fontId="2" fillId="45" borderId="36" xfId="6" applyFont="1" applyBorder="1">
      <alignment horizontal="right" vertical="center"/>
    </xf>
    <xf numFmtId="0" fontId="0" fillId="2" borderId="34" xfId="0" applyFont="1" applyFill="1" applyBorder="1" applyAlignment="1" applyProtection="1">
      <alignment horizontal="left" vertical="center"/>
    </xf>
    <xf numFmtId="0" fontId="0" fillId="2" borderId="35" xfId="0" applyFont="1" applyFill="1" applyBorder="1" applyAlignment="1" applyProtection="1">
      <alignment horizontal="left" vertical="center"/>
    </xf>
    <xf numFmtId="0" fontId="0" fillId="2" borderId="33" xfId="0" applyFont="1" applyFill="1" applyBorder="1" applyAlignment="1" applyProtection="1">
      <alignment horizontal="left" vertical="center"/>
    </xf>
    <xf numFmtId="0" fontId="0" fillId="2" borderId="54" xfId="0" applyFont="1" applyFill="1" applyBorder="1" applyAlignment="1" applyProtection="1">
      <alignment horizontal="left" vertical="center"/>
    </xf>
    <xf numFmtId="3" fontId="2" fillId="14" borderId="24" xfId="3" applyNumberFormat="1" applyFont="1" applyBorder="1">
      <alignment horizontal="center" vertical="center"/>
    </xf>
    <xf numFmtId="3" fontId="2" fillId="14" borderId="62" xfId="3" applyNumberFormat="1" applyFont="1" applyBorder="1">
      <alignment horizontal="center" vertical="center"/>
    </xf>
    <xf numFmtId="3" fontId="2" fillId="43" borderId="67" xfId="11" applyFont="1" applyBorder="1" applyAlignment="1" applyProtection="1">
      <alignment horizontal="right" vertical="center"/>
      <protection locked="0"/>
    </xf>
    <xf numFmtId="3" fontId="2" fillId="43" borderId="68" xfId="11" applyFont="1" applyBorder="1" applyAlignment="1" applyProtection="1">
      <alignment horizontal="right" vertical="center"/>
      <protection locked="0"/>
    </xf>
    <xf numFmtId="0" fontId="2" fillId="14" borderId="21" xfId="3" applyFont="1" applyBorder="1" applyProtection="1">
      <alignment horizontal="center" vertical="center"/>
    </xf>
    <xf numFmtId="0" fontId="2" fillId="14" borderId="36" xfId="3" applyFont="1" applyBorder="1" applyProtection="1">
      <alignment horizontal="center" vertical="center"/>
    </xf>
    <xf numFmtId="3" fontId="2" fillId="14" borderId="61" xfId="3" applyNumberFormat="1" applyFont="1" applyBorder="1">
      <alignment horizontal="center" vertical="center"/>
    </xf>
    <xf numFmtId="0" fontId="43" fillId="2" borderId="0" xfId="0" applyFont="1" applyFill="1" applyBorder="1">
      <alignment vertical="center"/>
    </xf>
    <xf numFmtId="3" fontId="2" fillId="43" borderId="46" xfId="11" applyFont="1" applyBorder="1" applyAlignment="1" applyProtection="1">
      <alignment horizontal="right" vertical="center"/>
      <protection locked="0"/>
    </xf>
    <xf numFmtId="171" fontId="0" fillId="2" borderId="34" xfId="0" applyNumberFormat="1" applyFill="1" applyBorder="1">
      <alignment vertical="center"/>
    </xf>
    <xf numFmtId="171" fontId="0" fillId="2" borderId="35" xfId="0" applyNumberFormat="1" applyFill="1" applyBorder="1">
      <alignment vertical="center"/>
    </xf>
    <xf numFmtId="3" fontId="2" fillId="14" borderId="26" xfId="3" applyNumberFormat="1" applyFont="1" applyBorder="1">
      <alignment horizontal="center" vertical="center"/>
    </xf>
    <xf numFmtId="3" fontId="2" fillId="2" borderId="22" xfId="30" applyFont="1" applyBorder="1">
      <alignment horizontal="right" vertical="center"/>
    </xf>
    <xf numFmtId="3" fontId="2" fillId="14" borderId="37" xfId="3" applyNumberFormat="1" applyFont="1" applyBorder="1">
      <alignment horizontal="center" vertical="center"/>
    </xf>
    <xf numFmtId="3" fontId="2" fillId="2" borderId="21" xfId="30" applyFont="1" applyBorder="1">
      <alignment horizontal="right" vertical="center"/>
    </xf>
    <xf numFmtId="0" fontId="0" fillId="2" borderId="41" xfId="0" applyFill="1" applyBorder="1" applyAlignment="1">
      <alignment horizontal="center" vertical="center" wrapText="1"/>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3" fillId="2" borderId="3" xfId="0" applyFont="1" applyFill="1" applyBorder="1" applyAlignment="1"/>
    <xf numFmtId="0" fontId="3" fillId="2" borderId="3" xfId="0" applyFont="1" applyFill="1" applyBorder="1" applyAlignment="1" applyProtection="1"/>
    <xf numFmtId="168" fontId="4" fillId="43" borderId="36" xfId="10" applyFont="1" applyBorder="1">
      <alignment vertical="center"/>
      <protection locked="0"/>
    </xf>
    <xf numFmtId="0" fontId="0" fillId="2" borderId="0" xfId="0" applyFill="1" applyBorder="1" applyAlignment="1">
      <alignment horizontal="left" vertical="center"/>
    </xf>
    <xf numFmtId="0" fontId="0" fillId="2" borderId="25" xfId="35" applyNumberFormat="1" applyFont="1" applyBorder="1" applyAlignment="1">
      <alignment horizontal="left" vertical="center" wrapText="1"/>
    </xf>
    <xf numFmtId="0" fontId="4" fillId="2" borderId="20" xfId="5" applyFont="1" applyBorder="1" applyAlignment="1">
      <alignment wrapText="1"/>
    </xf>
    <xf numFmtId="0" fontId="0" fillId="2" borderId="23" xfId="0" applyFill="1" applyBorder="1" applyAlignment="1">
      <alignment horizontal="left" vertical="center"/>
    </xf>
    <xf numFmtId="0" fontId="0" fillId="2" borderId="25" xfId="0" applyFill="1" applyBorder="1" applyAlignment="1">
      <alignment horizontal="left" vertical="center"/>
    </xf>
    <xf numFmtId="0" fontId="0" fillId="2" borderId="45" xfId="35" applyNumberFormat="1" applyFont="1" applyBorder="1" applyAlignment="1">
      <alignment horizontal="left" vertical="center" wrapText="1"/>
    </xf>
    <xf numFmtId="0" fontId="0" fillId="2" borderId="27" xfId="35" applyNumberFormat="1" applyFont="1" applyBorder="1" applyAlignment="1">
      <alignment horizontal="left" vertical="center" wrapText="1"/>
    </xf>
    <xf numFmtId="0" fontId="0" fillId="2" borderId="28" xfId="35" applyNumberFormat="1" applyFont="1" applyBorder="1" applyAlignment="1">
      <alignment horizontal="left" vertical="center" wrapText="1"/>
    </xf>
    <xf numFmtId="0" fontId="0" fillId="2" borderId="28" xfId="35" applyNumberFormat="1" applyFont="1" applyBorder="1" applyAlignment="1">
      <alignment horizontal="left" vertical="center" wrapText="1" indent="1"/>
    </xf>
    <xf numFmtId="3" fontId="0" fillId="43" borderId="28" xfId="11" applyFont="1" applyBorder="1">
      <alignment horizontal="right" vertical="center"/>
      <protection locked="0"/>
    </xf>
    <xf numFmtId="0" fontId="0" fillId="2" borderId="2" xfId="0" applyFill="1" applyBorder="1" applyAlignment="1">
      <alignment horizontal="left" vertical="center"/>
    </xf>
    <xf numFmtId="0" fontId="0" fillId="2" borderId="6" xfId="0" applyFill="1" applyBorder="1" applyAlignment="1">
      <alignment horizontal="left" vertical="center"/>
    </xf>
    <xf numFmtId="0" fontId="4" fillId="2" borderId="9" xfId="5" applyFont="1" applyBorder="1" applyAlignment="1">
      <alignment horizontal="center" vertical="center" wrapText="1"/>
    </xf>
    <xf numFmtId="0" fontId="4" fillId="2" borderId="5" xfId="5" applyFont="1" applyBorder="1" applyAlignment="1">
      <alignment horizontal="center" wrapText="1"/>
    </xf>
    <xf numFmtId="0" fontId="4" fillId="2" borderId="8" xfId="5" applyFont="1" applyBorder="1" applyAlignment="1">
      <alignment horizontal="center" wrapText="1"/>
    </xf>
    <xf numFmtId="0" fontId="4" fillId="2" borderId="20" xfId="5" applyFont="1" applyBorder="1" applyAlignment="1">
      <alignment horizontal="center" wrapText="1"/>
    </xf>
    <xf numFmtId="0" fontId="0" fillId="2" borderId="23" xfId="35" applyNumberFormat="1" applyFont="1" applyBorder="1" applyAlignment="1">
      <alignment horizontal="left" vertical="center" wrapText="1"/>
    </xf>
    <xf numFmtId="0" fontId="35" fillId="2" borderId="25" xfId="83" applyFill="1" applyBorder="1" applyAlignment="1" applyProtection="1">
      <alignment horizontal="left" vertical="center" wrapText="1" indent="1"/>
    </xf>
    <xf numFmtId="0" fontId="2" fillId="2" borderId="5" xfId="0"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0" fillId="2" borderId="50" xfId="0" applyFill="1" applyBorder="1" applyAlignment="1">
      <alignment horizontal="left" vertical="center"/>
    </xf>
    <xf numFmtId="0" fontId="0" fillId="2" borderId="41" xfId="0" applyFill="1" applyBorder="1" applyAlignment="1">
      <alignment horizontal="left" vertical="center"/>
    </xf>
    <xf numFmtId="0" fontId="0" fillId="2" borderId="0" xfId="0" applyFont="1" applyFill="1" applyBorder="1" applyAlignment="1" applyProtection="1">
      <alignment horizontal="left" vertical="center"/>
    </xf>
    <xf numFmtId="0" fontId="0" fillId="2" borderId="5" xfId="0" applyFont="1" applyFill="1" applyBorder="1" applyAlignment="1" applyProtection="1">
      <alignment horizontal="left" vertical="center"/>
    </xf>
    <xf numFmtId="0" fontId="2" fillId="2" borderId="8" xfId="0" applyFont="1" applyFill="1" applyBorder="1" applyAlignment="1" applyProtection="1">
      <alignment horizontal="left" vertical="center"/>
    </xf>
    <xf numFmtId="0" fontId="4" fillId="2" borderId="36" xfId="0" applyFont="1" applyFill="1" applyBorder="1" applyAlignment="1" applyProtection="1">
      <alignment horizontal="center" vertical="center" wrapText="1"/>
    </xf>
    <xf numFmtId="0" fontId="4" fillId="2" borderId="36" xfId="5" applyFont="1" applyBorder="1">
      <alignment horizontal="center" wrapText="1"/>
    </xf>
    <xf numFmtId="0" fontId="4" fillId="2" borderId="36" xfId="5" applyFont="1" applyBorder="1" applyAlignment="1">
      <alignment horizontal="center" wrapText="1"/>
    </xf>
    <xf numFmtId="0" fontId="4" fillId="2" borderId="20" xfId="5" applyFont="1" applyBorder="1" applyAlignment="1">
      <alignment horizontal="center" wrapText="1"/>
    </xf>
    <xf numFmtId="0" fontId="4" fillId="2" borderId="5" xfId="5" applyFont="1" applyBorder="1" applyAlignment="1">
      <alignment horizontal="center" wrapText="1"/>
    </xf>
    <xf numFmtId="0" fontId="4" fillId="2" borderId="8" xfId="5" applyFont="1" applyBorder="1" applyAlignment="1">
      <alignment horizontal="center" wrapText="1"/>
    </xf>
    <xf numFmtId="3" fontId="0" fillId="43" borderId="41" xfId="18" applyNumberFormat="1" applyFont="1" applyBorder="1">
      <alignment horizontal="center" vertical="center" wrapText="1"/>
      <protection locked="0"/>
    </xf>
    <xf numFmtId="3" fontId="2" fillId="43" borderId="9" xfId="11" applyFont="1" applyBorder="1" applyAlignment="1" applyProtection="1">
      <alignment horizontal="right" vertical="center"/>
      <protection locked="0"/>
    </xf>
    <xf numFmtId="0" fontId="0" fillId="2" borderId="54" xfId="0" applyFill="1" applyBorder="1" applyAlignment="1">
      <alignment horizontal="left" vertical="center"/>
    </xf>
    <xf numFmtId="0" fontId="0" fillId="45" borderId="9" xfId="9" applyFont="1" applyBorder="1" applyAlignment="1">
      <alignment vertical="center"/>
    </xf>
    <xf numFmtId="0" fontId="2" fillId="14" borderId="29" xfId="3" applyFont="1" applyBorder="1" applyProtection="1">
      <alignment horizontal="center" vertical="center"/>
    </xf>
    <xf numFmtId="3" fontId="2" fillId="43" borderId="19" xfId="11" applyFont="1" applyBorder="1" applyAlignment="1" applyProtection="1">
      <alignment horizontal="right" vertical="center"/>
      <protection locked="0"/>
    </xf>
    <xf numFmtId="0" fontId="0" fillId="2" borderId="19" xfId="0" applyFont="1" applyFill="1" applyBorder="1" applyAlignment="1">
      <alignment horizontal="center" vertical="center" wrapText="1"/>
    </xf>
    <xf numFmtId="0" fontId="0" fillId="2" borderId="20"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0" fillId="2" borderId="54" xfId="0" applyFill="1" applyBorder="1">
      <alignment vertical="center"/>
    </xf>
    <xf numFmtId="0" fontId="0" fillId="2" borderId="29" xfId="0" applyFill="1" applyBorder="1">
      <alignment vertical="center"/>
    </xf>
    <xf numFmtId="9" fontId="0" fillId="2" borderId="30" xfId="34" applyFont="1" applyBorder="1" applyAlignment="1">
      <alignment horizontal="center" vertical="center"/>
    </xf>
    <xf numFmtId="9" fontId="0" fillId="2" borderId="31" xfId="34" applyFont="1" applyBorder="1" applyAlignment="1">
      <alignment horizontal="center" vertical="center"/>
    </xf>
    <xf numFmtId="9" fontId="0" fillId="2" borderId="46" xfId="34" applyFont="1" applyBorder="1" applyAlignment="1">
      <alignment horizontal="center" vertical="center"/>
    </xf>
    <xf numFmtId="0" fontId="0" fillId="2" borderId="29" xfId="0" applyFill="1" applyBorder="1" applyAlignment="1">
      <alignment horizontal="center" vertical="center"/>
    </xf>
    <xf numFmtId="9" fontId="0" fillId="2" borderId="43" xfId="34" applyFont="1" applyBorder="1" applyAlignment="1">
      <alignment horizontal="center" vertical="center"/>
    </xf>
    <xf numFmtId="3" fontId="2" fillId="43" borderId="42" xfId="11" applyFont="1" applyBorder="1" applyAlignment="1" applyProtection="1">
      <alignment horizontal="right" vertical="center"/>
      <protection locked="0"/>
    </xf>
    <xf numFmtId="0" fontId="0" fillId="2" borderId="20" xfId="0" applyFill="1" applyBorder="1" applyAlignment="1">
      <alignment horizontal="center" vertical="center"/>
    </xf>
    <xf numFmtId="0" fontId="0" fillId="2" borderId="36" xfId="0" applyFill="1" applyBorder="1" applyAlignment="1">
      <alignment horizontal="center" vertical="center"/>
    </xf>
    <xf numFmtId="3" fontId="2" fillId="43" borderId="36" xfId="11" applyFont="1" applyBorder="1">
      <alignment horizontal="right" vertical="center"/>
      <protection locked="0"/>
    </xf>
    <xf numFmtId="0" fontId="0" fillId="43" borderId="25" xfId="18" applyFont="1" applyBorder="1">
      <alignment horizontal="center" vertical="center" wrapText="1"/>
      <protection locked="0"/>
    </xf>
    <xf numFmtId="0" fontId="35" fillId="2" borderId="31" xfId="83" applyFill="1" applyBorder="1" applyAlignment="1" applyProtection="1">
      <alignment horizontal="left" vertical="center" wrapText="1"/>
    </xf>
    <xf numFmtId="3" fontId="2" fillId="2" borderId="46" xfId="30" applyFont="1" applyBorder="1" applyAlignment="1">
      <alignment horizontal="left" vertical="center" indent="1"/>
    </xf>
    <xf numFmtId="3" fontId="0" fillId="2" borderId="44" xfId="30" applyFont="1" applyBorder="1" applyAlignment="1">
      <alignment horizontal="left" vertical="center" indent="2"/>
    </xf>
    <xf numFmtId="4" fontId="2" fillId="14" borderId="27" xfId="3" applyNumberFormat="1" applyFont="1" applyBorder="1">
      <alignment horizontal="center" vertical="center"/>
    </xf>
    <xf numFmtId="0" fontId="0" fillId="47" borderId="0" xfId="0" applyFill="1" applyBorder="1">
      <alignment vertical="center"/>
    </xf>
    <xf numFmtId="3" fontId="2" fillId="15" borderId="45" xfId="20" applyFont="1" applyBorder="1">
      <alignment horizontal="right" vertical="center"/>
      <protection locked="0"/>
    </xf>
    <xf numFmtId="0" fontId="35" fillId="2" borderId="25" xfId="83" applyFill="1" applyBorder="1" applyAlignment="1" applyProtection="1">
      <alignment horizontal="left" vertical="center" wrapText="1"/>
    </xf>
    <xf numFmtId="0" fontId="4" fillId="2" borderId="36" xfId="5" applyFont="1" applyBorder="1" applyAlignment="1">
      <alignment horizontal="center" wrapText="1"/>
    </xf>
    <xf numFmtId="0" fontId="4" fillId="2" borderId="9" xfId="5" applyFont="1" applyBorder="1" applyAlignment="1">
      <alignment horizontal="center" wrapText="1"/>
    </xf>
    <xf numFmtId="0" fontId="4" fillId="2" borderId="20" xfId="5" applyFont="1" applyBorder="1" applyAlignment="1">
      <alignment horizontal="center" wrapText="1"/>
    </xf>
    <xf numFmtId="0" fontId="4" fillId="2" borderId="5" xfId="5" applyFont="1" applyBorder="1" applyAlignment="1">
      <alignment horizontal="center" wrapText="1"/>
    </xf>
    <xf numFmtId="0" fontId="4" fillId="2" borderId="8" xfId="5" applyFont="1" applyBorder="1" applyAlignment="1">
      <alignment horizontal="center" wrapText="1"/>
    </xf>
    <xf numFmtId="0" fontId="4" fillId="2" borderId="20" xfId="0" applyFont="1" applyFill="1" applyBorder="1" applyAlignment="1" applyProtection="1">
      <alignment horizontal="center" vertical="center" wrapText="1"/>
    </xf>
    <xf numFmtId="0" fontId="4" fillId="2" borderId="36" xfId="0" applyFont="1" applyFill="1" applyBorder="1" applyAlignment="1" applyProtection="1">
      <alignment horizontal="center" vertical="center" wrapText="1"/>
    </xf>
    <xf numFmtId="0" fontId="4" fillId="2" borderId="48" xfId="0" applyFont="1" applyFill="1" applyBorder="1" applyAlignment="1" applyProtection="1">
      <alignment horizontal="center" vertical="center" wrapText="1"/>
    </xf>
    <xf numFmtId="0" fontId="4" fillId="2" borderId="9" xfId="0" applyFont="1" applyFill="1" applyBorder="1" applyAlignment="1">
      <alignment horizontal="center" vertical="center" wrapText="1"/>
    </xf>
    <xf numFmtId="0" fontId="0" fillId="2" borderId="36" xfId="0" applyFont="1" applyFill="1" applyBorder="1" applyAlignment="1">
      <alignment horizontal="center" vertical="center" wrapText="1"/>
    </xf>
    <xf numFmtId="0" fontId="0" fillId="2" borderId="29" xfId="0" applyFont="1" applyFill="1" applyBorder="1" applyAlignment="1">
      <alignment horizontal="center" vertical="center" wrapText="1"/>
    </xf>
    <xf numFmtId="0" fontId="4" fillId="2" borderId="12" xfId="0" applyFont="1" applyFill="1" applyBorder="1" applyAlignment="1" applyProtection="1">
      <alignment horizontal="center" vertical="center" wrapText="1"/>
    </xf>
    <xf numFmtId="0" fontId="4" fillId="2" borderId="60" xfId="0" applyFont="1" applyFill="1" applyBorder="1" applyAlignment="1" applyProtection="1">
      <alignment horizontal="center" vertical="center" wrapText="1"/>
    </xf>
    <xf numFmtId="0" fontId="0" fillId="2" borderId="41" xfId="0" applyFill="1" applyBorder="1" applyAlignment="1">
      <alignment horizontal="left" vertical="center" wrapText="1"/>
    </xf>
    <xf numFmtId="0" fontId="4" fillId="2" borderId="50" xfId="0" applyFont="1" applyFill="1" applyBorder="1" applyAlignment="1" applyProtection="1">
      <alignment horizontal="center" vertical="center" wrapText="1"/>
    </xf>
    <xf numFmtId="0" fontId="4" fillId="2" borderId="64" xfId="0" applyFont="1" applyFill="1" applyBorder="1" applyAlignment="1" applyProtection="1">
      <alignment horizontal="center" vertical="center" wrapText="1"/>
    </xf>
    <xf numFmtId="2" fontId="3" fillId="2" borderId="2" xfId="0" applyNumberFormat="1" applyFont="1" applyFill="1" applyBorder="1" applyAlignment="1" applyProtection="1">
      <alignment horizontal="left"/>
    </xf>
    <xf numFmtId="0" fontId="4" fillId="2" borderId="9" xfId="0" applyFont="1" applyFill="1" applyBorder="1" applyAlignment="1" applyProtection="1">
      <alignment horizontal="left"/>
    </xf>
    <xf numFmtId="0" fontId="4" fillId="2" borderId="9" xfId="0" applyFont="1" applyFill="1" applyBorder="1" applyProtection="1">
      <alignment vertical="center"/>
    </xf>
    <xf numFmtId="0" fontId="4" fillId="2" borderId="9" xfId="0" applyFont="1" applyFill="1" applyBorder="1">
      <alignment vertical="center"/>
    </xf>
    <xf numFmtId="0" fontId="4" fillId="2" borderId="4" xfId="0" applyFont="1" applyFill="1" applyBorder="1">
      <alignment vertical="center"/>
    </xf>
    <xf numFmtId="0" fontId="4" fillId="2" borderId="36" xfId="0" applyFont="1" applyFill="1" applyBorder="1" applyAlignment="1">
      <alignment horizontal="center" vertical="center" wrapText="1"/>
    </xf>
    <xf numFmtId="0" fontId="4" fillId="2" borderId="29" xfId="0" applyFont="1" applyFill="1" applyBorder="1" applyAlignment="1">
      <alignment horizontal="center" vertical="center"/>
    </xf>
    <xf numFmtId="3" fontId="2" fillId="2" borderId="50" xfId="1" applyFont="1" applyBorder="1" applyAlignment="1" applyProtection="1">
      <alignment horizontal="center" vertical="center"/>
    </xf>
    <xf numFmtId="3" fontId="2" fillId="2" borderId="37" xfId="2" applyNumberFormat="1" applyBorder="1" applyAlignment="1">
      <alignment horizontal="left" vertical="center" wrapText="1"/>
    </xf>
    <xf numFmtId="0" fontId="0" fillId="2" borderId="40" xfId="0" applyFont="1" applyFill="1" applyBorder="1" applyAlignment="1">
      <alignment horizontal="center" vertical="center"/>
    </xf>
    <xf numFmtId="0" fontId="2" fillId="2" borderId="23" xfId="2" applyBorder="1">
      <alignment horizontal="center" vertical="center"/>
    </xf>
    <xf numFmtId="0" fontId="2" fillId="2" borderId="37" xfId="2" applyBorder="1">
      <alignment horizontal="center" vertical="center"/>
    </xf>
    <xf numFmtId="0" fontId="3" fillId="2" borderId="12" xfId="0" applyFont="1" applyFill="1" applyBorder="1" applyAlignment="1"/>
    <xf numFmtId="3" fontId="2" fillId="2" borderId="41" xfId="30" applyFont="1" applyBorder="1">
      <alignment horizontal="right" vertical="center"/>
    </xf>
    <xf numFmtId="0" fontId="0" fillId="2" borderId="0" xfId="0" applyFill="1" applyBorder="1" applyAlignment="1" applyProtection="1"/>
    <xf numFmtId="0" fontId="3" fillId="2" borderId="2" xfId="0" applyFont="1" applyFill="1" applyBorder="1" applyAlignment="1"/>
    <xf numFmtId="0" fontId="2" fillId="2" borderId="0" xfId="0" applyFont="1" applyFill="1" applyProtection="1">
      <alignment vertical="center"/>
    </xf>
    <xf numFmtId="0" fontId="0" fillId="2" borderId="0" xfId="0" applyFill="1" applyProtection="1">
      <alignment vertical="center"/>
    </xf>
    <xf numFmtId="0" fontId="0" fillId="2" borderId="0" xfId="0" applyFont="1" applyFill="1" applyBorder="1">
      <alignment vertical="center"/>
    </xf>
    <xf numFmtId="0" fontId="0" fillId="2" borderId="6" xfId="0" applyFont="1" applyFill="1" applyBorder="1">
      <alignment vertical="center"/>
    </xf>
    <xf numFmtId="0" fontId="0" fillId="2" borderId="2" xfId="0" applyFont="1" applyFill="1" applyBorder="1">
      <alignment vertical="center"/>
    </xf>
    <xf numFmtId="0" fontId="0" fillId="2" borderId="5" xfId="0" applyFont="1" applyFill="1" applyBorder="1">
      <alignment vertical="center"/>
    </xf>
    <xf numFmtId="0" fontId="0" fillId="2" borderId="43" xfId="0" applyFont="1" applyFill="1" applyBorder="1" applyAlignment="1">
      <alignment horizontal="center" vertical="center"/>
    </xf>
    <xf numFmtId="0" fontId="4" fillId="2" borderId="20" xfId="0" applyFont="1" applyFill="1" applyBorder="1" applyAlignment="1">
      <alignment vertical="center"/>
    </xf>
    <xf numFmtId="3" fontId="2" fillId="2" borderId="41" xfId="1" applyFont="1" applyBorder="1" applyAlignment="1" applyProtection="1">
      <alignment horizontal="center" vertical="center"/>
    </xf>
    <xf numFmtId="3" fontId="2" fillId="2" borderId="23" xfId="1" applyFont="1" applyBorder="1" applyAlignment="1" applyProtection="1">
      <alignment horizontal="center" vertical="center"/>
    </xf>
    <xf numFmtId="3" fontId="2" fillId="2" borderId="25" xfId="1" applyFont="1" applyBorder="1" applyAlignment="1" applyProtection="1">
      <alignment horizontal="center" vertical="center"/>
    </xf>
    <xf numFmtId="3" fontId="2" fillId="2" borderId="27" xfId="1" applyFont="1" applyBorder="1" applyAlignment="1" applyProtection="1">
      <alignment horizontal="center" vertical="center"/>
    </xf>
    <xf numFmtId="3" fontId="2" fillId="2" borderId="38" xfId="1" applyFont="1" applyBorder="1" applyAlignment="1" applyProtection="1">
      <alignment horizontal="center" vertical="center"/>
    </xf>
    <xf numFmtId="0" fontId="2" fillId="14" borderId="23" xfId="3" applyFont="1" applyBorder="1" applyAlignment="1" applyProtection="1">
      <alignment horizontal="center" vertical="center"/>
    </xf>
    <xf numFmtId="0" fontId="2" fillId="14" borderId="25" xfId="3" applyFont="1" applyBorder="1" applyAlignment="1" applyProtection="1">
      <alignment horizontal="center" vertical="center"/>
    </xf>
    <xf numFmtId="0" fontId="2" fillId="14" borderId="27" xfId="3" applyFont="1" applyBorder="1" applyAlignment="1" applyProtection="1">
      <alignment horizontal="center" vertical="center"/>
    </xf>
    <xf numFmtId="0" fontId="2" fillId="14" borderId="37" xfId="3" applyFont="1" applyBorder="1" applyAlignment="1" applyProtection="1">
      <alignment horizontal="center" vertical="center"/>
    </xf>
    <xf numFmtId="0" fontId="2" fillId="14" borderId="41" xfId="3" applyFont="1" applyBorder="1" applyAlignment="1" applyProtection="1">
      <alignment horizontal="center" vertical="center"/>
    </xf>
    <xf numFmtId="0" fontId="4" fillId="2" borderId="29" xfId="0" applyFont="1" applyFill="1" applyBorder="1" applyAlignment="1">
      <alignment horizontal="center" vertical="center"/>
    </xf>
    <xf numFmtId="0" fontId="4" fillId="2" borderId="20"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2" fillId="14" borderId="38" xfId="3" applyFont="1" applyBorder="1" applyAlignment="1" applyProtection="1">
      <alignment horizontal="center" vertical="center"/>
    </xf>
    <xf numFmtId="3" fontId="2" fillId="2" borderId="41" xfId="2" applyNumberFormat="1" applyBorder="1" applyAlignment="1">
      <alignment horizontal="left" vertical="center" wrapText="1"/>
    </xf>
    <xf numFmtId="3" fontId="2" fillId="2" borderId="38" xfId="2" applyNumberFormat="1" applyBorder="1" applyAlignment="1">
      <alignment horizontal="left" vertical="center" wrapText="1"/>
    </xf>
    <xf numFmtId="3" fontId="2" fillId="2" borderId="37" xfId="1" applyFont="1" applyBorder="1" applyAlignment="1" applyProtection="1">
      <alignment horizontal="center" vertical="center"/>
    </xf>
    <xf numFmtId="0" fontId="0" fillId="16" borderId="41" xfId="55" applyFont="1" applyBorder="1">
      <alignment horizontal="center" vertical="center" wrapText="1"/>
    </xf>
    <xf numFmtId="0" fontId="4" fillId="2" borderId="36" xfId="0" applyFont="1" applyFill="1" applyBorder="1" applyAlignment="1" applyProtection="1">
      <alignment horizontal="center" vertical="center" wrapText="1"/>
    </xf>
    <xf numFmtId="0" fontId="4" fillId="2" borderId="20" xfId="0" applyFont="1" applyFill="1" applyBorder="1" applyAlignment="1" applyProtection="1">
      <alignment horizontal="center" vertical="center" wrapText="1"/>
    </xf>
    <xf numFmtId="0" fontId="4" fillId="2" borderId="48" xfId="0" applyFont="1" applyFill="1" applyBorder="1" applyAlignment="1" applyProtection="1">
      <alignment horizontal="center" vertical="center" wrapText="1"/>
    </xf>
    <xf numFmtId="0" fontId="4" fillId="2" borderId="60" xfId="0" applyFont="1" applyFill="1" applyBorder="1" applyAlignment="1" applyProtection="1">
      <alignment horizontal="center" vertical="center" wrapText="1"/>
    </xf>
    <xf numFmtId="0" fontId="4" fillId="2" borderId="64" xfId="0" applyFont="1" applyFill="1" applyBorder="1" applyAlignment="1" applyProtection="1">
      <alignment horizontal="center" vertical="center" wrapText="1"/>
    </xf>
    <xf numFmtId="0" fontId="4" fillId="2" borderId="50" xfId="0" applyFont="1" applyFill="1" applyBorder="1" applyAlignment="1" applyProtection="1">
      <alignment horizontal="center" vertical="center" wrapText="1"/>
    </xf>
    <xf numFmtId="0" fontId="0" fillId="2" borderId="41" xfId="0" applyFill="1" applyBorder="1" applyAlignment="1">
      <alignment horizontal="left" vertical="center" wrapText="1"/>
    </xf>
    <xf numFmtId="0" fontId="4" fillId="2" borderId="12" xfId="0" applyFont="1" applyFill="1" applyBorder="1" applyAlignment="1" applyProtection="1">
      <alignment horizontal="center" vertical="center" wrapText="1"/>
    </xf>
    <xf numFmtId="0" fontId="4" fillId="2" borderId="9" xfId="0" applyFont="1" applyFill="1" applyBorder="1" applyAlignment="1">
      <alignment horizontal="center" vertical="center" wrapText="1"/>
    </xf>
    <xf numFmtId="0" fontId="0" fillId="2" borderId="36" xfId="0" applyFont="1" applyFill="1" applyBorder="1" applyAlignment="1">
      <alignment horizontal="center" vertical="center" wrapText="1"/>
    </xf>
    <xf numFmtId="0" fontId="0" fillId="2" borderId="29" xfId="0" applyFont="1" applyFill="1" applyBorder="1" applyAlignment="1">
      <alignment horizontal="center" vertical="center" wrapText="1"/>
    </xf>
    <xf numFmtId="0" fontId="2" fillId="14" borderId="9" xfId="3" applyFont="1" applyBorder="1" applyProtection="1">
      <alignment horizontal="center" vertical="center"/>
    </xf>
    <xf numFmtId="0" fontId="4" fillId="2" borderId="36" xfId="5" applyFont="1" applyFill="1" applyBorder="1" applyAlignment="1">
      <alignment horizontal="center" vertical="center" wrapText="1"/>
    </xf>
    <xf numFmtId="0" fontId="2" fillId="14" borderId="38" xfId="3" applyFont="1" applyBorder="1" applyAlignment="1" applyProtection="1">
      <alignment horizontal="center" vertical="center"/>
    </xf>
    <xf numFmtId="0" fontId="0" fillId="2" borderId="59" xfId="0" applyFont="1" applyFill="1" applyBorder="1" applyAlignment="1">
      <alignment vertical="center"/>
    </xf>
    <xf numFmtId="0" fontId="0" fillId="2" borderId="9" xfId="0" applyFill="1" applyBorder="1" applyAlignment="1">
      <alignment horizontal="center" vertical="center"/>
    </xf>
    <xf numFmtId="3" fontId="0" fillId="2" borderId="69" xfId="30" applyFont="1" applyBorder="1">
      <alignment horizontal="right" vertical="center"/>
    </xf>
    <xf numFmtId="3" fontId="0" fillId="2" borderId="70" xfId="30" applyFont="1" applyBorder="1">
      <alignment horizontal="right" vertical="center"/>
    </xf>
    <xf numFmtId="168" fontId="2" fillId="46" borderId="29" xfId="10" applyFont="1" applyFill="1" applyBorder="1">
      <alignment vertical="center"/>
      <protection locked="0"/>
    </xf>
    <xf numFmtId="168" fontId="4" fillId="0" borderId="71" xfId="46" applyFont="1" applyFill="1" applyBorder="1">
      <alignment vertical="center"/>
    </xf>
    <xf numFmtId="0" fontId="47" fillId="2" borderId="0" xfId="0" applyFont="1" applyFill="1" applyAlignment="1" applyProtection="1">
      <alignment vertical="center"/>
    </xf>
    <xf numFmtId="0" fontId="2" fillId="2" borderId="5" xfId="0"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0" fontId="38" fillId="42" borderId="0" xfId="0" applyNumberFormat="1" applyFont="1" applyFill="1" applyBorder="1" applyAlignment="1">
      <alignment horizontal="center" vertical="center" wrapText="1"/>
    </xf>
    <xf numFmtId="0" fontId="2" fillId="2" borderId="0" xfId="0" applyFont="1" applyFill="1" applyBorder="1" applyAlignment="1" applyProtection="1">
      <alignment horizontal="center" vertical="center"/>
    </xf>
    <xf numFmtId="0" fontId="4" fillId="2" borderId="20" xfId="0" applyFont="1" applyFill="1" applyBorder="1" applyAlignment="1" applyProtection="1">
      <alignment horizontal="center" vertical="center" wrapText="1"/>
    </xf>
    <xf numFmtId="0" fontId="4" fillId="2" borderId="36" xfId="0" applyFont="1" applyFill="1" applyBorder="1" applyAlignment="1" applyProtection="1">
      <alignment horizontal="center" vertical="center" wrapText="1"/>
    </xf>
    <xf numFmtId="0" fontId="33" fillId="2" borderId="20" xfId="0" applyFont="1" applyFill="1" applyBorder="1" applyAlignment="1" applyProtection="1">
      <alignment horizontal="center" vertical="center"/>
    </xf>
    <xf numFmtId="0" fontId="33" fillId="2" borderId="36" xfId="0" applyFont="1" applyFill="1" applyBorder="1" applyAlignment="1" applyProtection="1">
      <alignment horizontal="center" vertical="center"/>
    </xf>
    <xf numFmtId="0" fontId="4" fillId="2" borderId="48" xfId="0" applyFont="1" applyFill="1" applyBorder="1" applyAlignment="1" applyProtection="1">
      <alignment horizontal="center" vertical="center" wrapText="1"/>
    </xf>
    <xf numFmtId="0" fontId="4" fillId="2" borderId="49"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xf>
    <xf numFmtId="0" fontId="4" fillId="2" borderId="9" xfId="0" applyFont="1" applyFill="1" applyBorder="1" applyAlignment="1" applyProtection="1">
      <alignment horizontal="center" vertical="center" wrapText="1"/>
    </xf>
    <xf numFmtId="0" fontId="33" fillId="2" borderId="29" xfId="0" applyFont="1" applyFill="1" applyBorder="1" applyAlignment="1" applyProtection="1">
      <alignment horizontal="center" vertical="center"/>
    </xf>
    <xf numFmtId="0" fontId="2" fillId="2" borderId="30" xfId="0" applyFont="1" applyFill="1" applyBorder="1" applyAlignment="1">
      <alignment horizontal="left" vertical="center"/>
    </xf>
    <xf numFmtId="0" fontId="2" fillId="2" borderId="46" xfId="0" applyFont="1" applyFill="1" applyBorder="1" applyAlignment="1">
      <alignment horizontal="left" vertical="center"/>
    </xf>
    <xf numFmtId="0" fontId="4" fillId="2" borderId="28" xfId="0" applyFont="1" applyFill="1" applyBorder="1" applyAlignment="1" applyProtection="1">
      <alignment horizontal="center" vertical="center" wrapText="1"/>
    </xf>
    <xf numFmtId="0" fontId="4" fillId="2" borderId="27" xfId="0" applyFont="1" applyFill="1" applyBorder="1" applyAlignment="1" applyProtection="1">
      <alignment horizontal="center" vertical="center" wrapText="1"/>
    </xf>
    <xf numFmtId="0" fontId="4" fillId="2" borderId="42" xfId="0" applyFont="1" applyFill="1" applyBorder="1" applyAlignment="1" applyProtection="1">
      <alignment horizontal="center" vertical="center" wrapText="1"/>
    </xf>
    <xf numFmtId="0" fontId="4" fillId="2" borderId="38" xfId="0" applyFont="1" applyFill="1" applyBorder="1" applyAlignment="1" applyProtection="1">
      <alignment horizontal="center" vertical="center" wrapText="1"/>
    </xf>
    <xf numFmtId="0" fontId="4" fillId="2" borderId="51" xfId="0" applyFont="1" applyFill="1" applyBorder="1" applyAlignment="1" applyProtection="1">
      <alignment horizontal="center" vertical="center" wrapText="1"/>
    </xf>
    <xf numFmtId="0" fontId="4" fillId="2" borderId="8" xfId="0" applyFont="1" applyFill="1" applyBorder="1" applyAlignment="1" applyProtection="1">
      <alignment horizontal="center" vertical="center" wrapText="1"/>
    </xf>
    <xf numFmtId="0" fontId="4" fillId="2" borderId="52" xfId="0" applyFont="1" applyFill="1" applyBorder="1" applyAlignment="1" applyProtection="1">
      <alignment horizontal="center" vertical="center" wrapText="1"/>
    </xf>
    <xf numFmtId="0" fontId="4" fillId="2" borderId="30" xfId="0" applyFont="1" applyFill="1" applyBorder="1" applyAlignment="1" applyProtection="1">
      <alignment horizontal="center" vertical="center"/>
    </xf>
    <xf numFmtId="0" fontId="4" fillId="2" borderId="32" xfId="0" applyFont="1" applyFill="1" applyBorder="1" applyAlignment="1" applyProtection="1">
      <alignment horizontal="center" vertical="center"/>
    </xf>
    <xf numFmtId="0" fontId="3" fillId="2" borderId="2" xfId="0" applyFont="1" applyFill="1" applyBorder="1" applyAlignment="1" applyProtection="1">
      <alignment horizontal="left" wrapText="1"/>
    </xf>
    <xf numFmtId="0" fontId="3" fillId="2" borderId="0" xfId="0" applyFont="1" applyFill="1" applyBorder="1" applyAlignment="1" applyProtection="1">
      <alignment horizontal="left" wrapText="1"/>
    </xf>
    <xf numFmtId="0" fontId="2" fillId="2" borderId="9" xfId="0" applyFont="1" applyFill="1" applyBorder="1" applyAlignment="1" applyProtection="1">
      <alignment horizontal="center" vertical="center"/>
    </xf>
    <xf numFmtId="0" fontId="2" fillId="2" borderId="29" xfId="0" applyFont="1" applyFill="1" applyBorder="1" applyAlignment="1" applyProtection="1">
      <alignment horizontal="center" vertical="center"/>
    </xf>
    <xf numFmtId="0" fontId="4" fillId="2" borderId="20" xfId="5" applyFont="1" applyFill="1" applyBorder="1" applyAlignment="1">
      <alignment horizontal="center" vertical="center" wrapText="1"/>
    </xf>
    <xf numFmtId="0" fontId="4" fillId="2" borderId="36" xfId="5" applyFont="1" applyFill="1" applyBorder="1" applyAlignment="1">
      <alignment horizontal="center" vertical="center" wrapText="1"/>
    </xf>
    <xf numFmtId="0" fontId="4" fillId="2" borderId="29" xfId="5" applyFont="1" applyFill="1" applyBorder="1" applyAlignment="1">
      <alignment horizontal="center" vertical="center" wrapText="1"/>
    </xf>
    <xf numFmtId="0" fontId="4" fillId="2" borderId="9" xfId="5" applyFont="1" applyFill="1" applyBorder="1" applyAlignment="1">
      <alignment horizontal="center" vertical="center" wrapText="1"/>
    </xf>
    <xf numFmtId="0" fontId="35" fillId="2" borderId="9" xfId="83"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2" fillId="2" borderId="48" xfId="0" applyFont="1" applyFill="1" applyBorder="1" applyAlignment="1" applyProtection="1">
      <alignment horizontal="center" vertical="center"/>
    </xf>
    <xf numFmtId="0" fontId="2" fillId="2" borderId="49" xfId="0" applyFont="1" applyFill="1" applyBorder="1" applyAlignment="1" applyProtection="1">
      <alignment horizontal="center" vertical="center"/>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4" fillId="0" borderId="30"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2" fillId="2" borderId="23" xfId="0" applyFont="1" applyFill="1" applyBorder="1" applyAlignment="1" applyProtection="1">
      <alignment horizontal="center" vertical="center"/>
    </xf>
    <xf numFmtId="0" fontId="2" fillId="2" borderId="27" xfId="0" applyFont="1" applyFill="1" applyBorder="1" applyAlignment="1" applyProtection="1">
      <alignment horizontal="center" vertical="center"/>
    </xf>
    <xf numFmtId="0" fontId="4" fillId="0" borderId="29" xfId="0" applyFont="1" applyFill="1" applyBorder="1" applyAlignment="1">
      <alignment horizontal="center" vertical="center" wrapText="1"/>
    </xf>
    <xf numFmtId="0" fontId="2" fillId="2" borderId="20" xfId="0" applyFont="1" applyFill="1" applyBorder="1" applyAlignment="1">
      <alignment horizontal="center" vertical="center"/>
    </xf>
    <xf numFmtId="0" fontId="0" fillId="2" borderId="5" xfId="0" applyFont="1" applyFill="1" applyBorder="1" applyAlignment="1">
      <alignment horizontal="left" vertical="center"/>
    </xf>
    <xf numFmtId="0" fontId="0" fillId="2" borderId="0" xfId="0" applyFont="1" applyFill="1" applyBorder="1" applyAlignment="1">
      <alignment horizontal="left" vertical="center"/>
    </xf>
    <xf numFmtId="0" fontId="3" fillId="2" borderId="23" xfId="0" applyFont="1" applyFill="1" applyBorder="1" applyAlignment="1">
      <alignment horizontal="center" vertical="center"/>
    </xf>
    <xf numFmtId="0" fontId="3" fillId="2" borderId="27" xfId="0" applyFont="1" applyFill="1" applyBorder="1" applyAlignment="1">
      <alignment horizontal="center" vertical="center"/>
    </xf>
    <xf numFmtId="0" fontId="4" fillId="0" borderId="39" xfId="0" applyFont="1" applyFill="1" applyBorder="1" applyAlignment="1">
      <alignment horizontal="center" vertical="center" wrapText="1"/>
    </xf>
    <xf numFmtId="0" fontId="4" fillId="0" borderId="40" xfId="0" applyFont="1" applyFill="1" applyBorder="1" applyAlignment="1">
      <alignment horizontal="center" vertical="center" wrapText="1"/>
    </xf>
    <xf numFmtId="0" fontId="2" fillId="0" borderId="41" xfId="0" applyFont="1" applyBorder="1" applyAlignment="1">
      <alignment horizontal="left" vertical="top" wrapText="1" indent="5"/>
    </xf>
    <xf numFmtId="0" fontId="2" fillId="0" borderId="34" xfId="0" applyFont="1" applyBorder="1" applyAlignment="1">
      <alignment horizontal="left" vertical="top" wrapText="1" indent="5"/>
    </xf>
    <xf numFmtId="0" fontId="2" fillId="0" borderId="31" xfId="0" applyFont="1" applyBorder="1" applyAlignment="1">
      <alignment horizontal="left" vertical="top" wrapText="1" indent="5"/>
    </xf>
    <xf numFmtId="0" fontId="4" fillId="2" borderId="48" xfId="5" applyFont="1" applyFill="1" applyBorder="1" applyAlignment="1" applyProtection="1">
      <alignment horizontal="center" vertical="center" wrapText="1"/>
    </xf>
    <xf numFmtId="0" fontId="4" fillId="2" borderId="49" xfId="5" applyFont="1" applyFill="1" applyBorder="1" applyAlignment="1" applyProtection="1">
      <alignment horizontal="center" vertical="center" wrapText="1"/>
    </xf>
    <xf numFmtId="0" fontId="4" fillId="2" borderId="20" xfId="5" applyFont="1" applyFill="1" applyBorder="1" applyAlignment="1" applyProtection="1">
      <alignment horizontal="center" vertical="center" wrapText="1"/>
    </xf>
    <xf numFmtId="0" fontId="4" fillId="2" borderId="36" xfId="0" applyFont="1" applyFill="1" applyBorder="1" applyAlignment="1" applyProtection="1">
      <alignment horizontal="center" vertical="center"/>
    </xf>
    <xf numFmtId="0" fontId="4" fillId="2" borderId="9" xfId="0" applyFont="1" applyFill="1" applyBorder="1" applyAlignment="1" applyProtection="1">
      <alignment horizontal="center" vertical="center"/>
    </xf>
    <xf numFmtId="0" fontId="4" fillId="2" borderId="29" xfId="0" applyFont="1" applyFill="1" applyBorder="1" applyAlignment="1" applyProtection="1">
      <alignment horizontal="center" vertical="center"/>
    </xf>
    <xf numFmtId="0" fontId="2" fillId="2" borderId="39" xfId="0" applyFont="1" applyFill="1" applyBorder="1" applyAlignment="1" applyProtection="1">
      <alignment horizontal="center" vertical="center"/>
    </xf>
    <xf numFmtId="0" fontId="2" fillId="2" borderId="40" xfId="0" applyFont="1" applyFill="1" applyBorder="1" applyAlignment="1" applyProtection="1">
      <alignment horizontal="center" vertical="center"/>
    </xf>
    <xf numFmtId="0" fontId="3" fillId="2" borderId="6" xfId="0" applyFont="1" applyFill="1" applyBorder="1" applyAlignment="1" applyProtection="1">
      <alignment horizontal="left" wrapText="1"/>
    </xf>
    <xf numFmtId="0" fontId="4" fillId="2" borderId="29" xfId="5" applyFont="1" applyBorder="1">
      <alignment horizontal="center" wrapText="1"/>
    </xf>
    <xf numFmtId="0" fontId="4" fillId="2" borderId="20" xfId="5" applyFont="1" applyBorder="1">
      <alignment horizontal="center" wrapText="1"/>
    </xf>
    <xf numFmtId="0" fontId="4" fillId="2" borderId="36" xfId="5" applyFont="1" applyBorder="1">
      <alignment horizontal="center" wrapText="1"/>
    </xf>
    <xf numFmtId="0" fontId="9" fillId="2" borderId="5" xfId="0" applyFont="1" applyFill="1" applyBorder="1" applyAlignment="1" applyProtection="1">
      <alignment horizontal="center" vertical="center"/>
    </xf>
    <xf numFmtId="0" fontId="9" fillId="2" borderId="8" xfId="0" applyFont="1" applyFill="1" applyBorder="1" applyAlignment="1" applyProtection="1">
      <alignment horizontal="center" vertical="center"/>
    </xf>
    <xf numFmtId="0" fontId="4" fillId="2" borderId="20" xfId="0" applyFont="1" applyFill="1" applyBorder="1" applyAlignment="1" applyProtection="1">
      <alignment horizontal="center" vertical="center"/>
    </xf>
    <xf numFmtId="0" fontId="9" fillId="2" borderId="39" xfId="0" applyFont="1" applyFill="1" applyBorder="1" applyAlignment="1" applyProtection="1">
      <alignment horizontal="center" vertical="center"/>
    </xf>
    <xf numFmtId="0" fontId="9" fillId="2" borderId="40" xfId="0"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9" fillId="2" borderId="9" xfId="0" applyFont="1" applyFill="1" applyBorder="1" applyAlignment="1" applyProtection="1">
      <alignment horizontal="center" vertical="center"/>
    </xf>
    <xf numFmtId="0" fontId="4" fillId="2" borderId="29" xfId="0" applyFont="1" applyFill="1" applyBorder="1" applyAlignment="1">
      <alignment horizontal="left" vertical="center"/>
    </xf>
    <xf numFmtId="0" fontId="4" fillId="2" borderId="36" xfId="5" applyFont="1" applyBorder="1" applyAlignment="1">
      <alignment horizontal="center" wrapText="1"/>
    </xf>
    <xf numFmtId="0" fontId="4" fillId="2" borderId="29" xfId="5" applyFont="1" applyBorder="1" applyAlignment="1">
      <alignment horizontal="center" wrapText="1"/>
    </xf>
    <xf numFmtId="0" fontId="4" fillId="2" borderId="9" xfId="5" applyFont="1" applyBorder="1" applyAlignment="1">
      <alignment horizontal="center" wrapText="1"/>
    </xf>
    <xf numFmtId="0" fontId="4" fillId="2" borderId="20"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5" xfId="0" applyFont="1" applyFill="1" applyBorder="1" applyAlignment="1">
      <alignment horizontal="left" vertical="center"/>
    </xf>
    <xf numFmtId="0" fontId="4" fillId="2" borderId="39" xfId="0" applyFont="1" applyFill="1" applyBorder="1" applyAlignment="1">
      <alignment horizontal="left" vertical="center"/>
    </xf>
    <xf numFmtId="0" fontId="4" fillId="2" borderId="0" xfId="0" applyFont="1" applyFill="1" applyBorder="1" applyAlignment="1">
      <alignment horizontal="left" vertical="center"/>
    </xf>
    <xf numFmtId="0" fontId="4" fillId="2" borderId="59" xfId="0" applyFont="1" applyFill="1" applyBorder="1" applyAlignment="1">
      <alignment horizontal="left" vertical="center"/>
    </xf>
    <xf numFmtId="0" fontId="4" fillId="2" borderId="8" xfId="0" applyFont="1" applyFill="1" applyBorder="1" applyAlignment="1">
      <alignment horizontal="left" vertical="center"/>
    </xf>
    <xf numFmtId="0" fontId="4" fillId="2" borderId="40" xfId="0" applyFont="1" applyFill="1" applyBorder="1" applyAlignment="1">
      <alignment horizontal="left" vertical="center"/>
    </xf>
    <xf numFmtId="0" fontId="4" fillId="2" borderId="36" xfId="0" applyFont="1" applyFill="1" applyBorder="1" applyAlignment="1">
      <alignment horizontal="left" vertical="center"/>
    </xf>
    <xf numFmtId="0" fontId="4" fillId="2" borderId="9" xfId="0" applyFont="1" applyFill="1" applyBorder="1" applyAlignment="1">
      <alignment horizontal="left" vertical="center"/>
    </xf>
    <xf numFmtId="0" fontId="4" fillId="2" borderId="36"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0" fillId="2" borderId="36"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29"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4" fillId="2" borderId="33" xfId="0" applyFont="1" applyFill="1" applyBorder="1" applyAlignment="1">
      <alignment horizontal="left" vertical="center"/>
    </xf>
    <xf numFmtId="0" fontId="4" fillId="2" borderId="30" xfId="0" applyFont="1" applyFill="1" applyBorder="1" applyAlignment="1">
      <alignment horizontal="left" vertical="center"/>
    </xf>
    <xf numFmtId="0" fontId="4" fillId="2" borderId="34" xfId="0" applyFont="1" applyFill="1" applyBorder="1" applyAlignment="1">
      <alignment horizontal="left" vertical="center"/>
    </xf>
    <xf numFmtId="0" fontId="4" fillId="2" borderId="31" xfId="0" applyFont="1" applyFill="1" applyBorder="1" applyAlignment="1">
      <alignment horizontal="left" vertical="center"/>
    </xf>
    <xf numFmtId="0" fontId="4" fillId="2" borderId="35" xfId="0" applyFont="1" applyFill="1" applyBorder="1" applyAlignment="1">
      <alignment horizontal="left" vertical="center"/>
    </xf>
    <xf numFmtId="0" fontId="4" fillId="2" borderId="32" xfId="0" applyFont="1" applyFill="1" applyBorder="1" applyAlignment="1">
      <alignment horizontal="left" vertical="center"/>
    </xf>
    <xf numFmtId="0" fontId="4" fillId="2" borderId="9" xfId="0" applyFont="1" applyFill="1" applyBorder="1" applyAlignment="1">
      <alignment horizontal="center" vertical="center"/>
    </xf>
    <xf numFmtId="0" fontId="0" fillId="2" borderId="9" xfId="0" applyFont="1" applyFill="1" applyBorder="1" applyAlignment="1" applyProtection="1">
      <alignment horizontal="left" vertical="center"/>
    </xf>
    <xf numFmtId="0" fontId="0" fillId="45" borderId="9" xfId="9" applyFont="1" applyBorder="1" applyAlignment="1">
      <alignment horizontal="left" vertical="center"/>
    </xf>
    <xf numFmtId="0" fontId="4" fillId="2" borderId="5"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0" fillId="2" borderId="41" xfId="0" applyFill="1" applyBorder="1" applyAlignment="1">
      <alignment horizontal="left" vertical="center" wrapText="1"/>
    </xf>
    <xf numFmtId="0" fontId="0" fillId="2" borderId="34" xfId="0" applyFill="1" applyBorder="1" applyAlignment="1">
      <alignment horizontal="left" vertical="center" wrapText="1"/>
    </xf>
    <xf numFmtId="0" fontId="0" fillId="2" borderId="38" xfId="0" applyFill="1" applyBorder="1" applyAlignment="1">
      <alignment horizontal="left" vertical="center" wrapText="1"/>
    </xf>
    <xf numFmtId="0" fontId="0" fillId="2" borderId="35" xfId="0" applyFill="1" applyBorder="1" applyAlignment="1">
      <alignment horizontal="left" vertical="center" wrapText="1"/>
    </xf>
    <xf numFmtId="0" fontId="0" fillId="2" borderId="50" xfId="0" applyFill="1" applyBorder="1" applyAlignment="1">
      <alignment horizontal="left" vertical="center" wrapText="1"/>
    </xf>
    <xf numFmtId="0" fontId="0" fillId="2" borderId="5" xfId="0" applyFill="1" applyBorder="1" applyAlignment="1">
      <alignment horizontal="left" vertical="center" wrapText="1"/>
    </xf>
    <xf numFmtId="0" fontId="0" fillId="2" borderId="19"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50"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39" xfId="0" applyFont="1" applyFill="1" applyBorder="1" applyAlignment="1">
      <alignment horizontal="center" vertical="center"/>
    </xf>
    <xf numFmtId="0" fontId="4" fillId="2" borderId="12" xfId="0" applyFont="1" applyFill="1" applyBorder="1" applyAlignment="1" applyProtection="1">
      <alignment horizontal="center" vertical="center" wrapText="1"/>
    </xf>
    <xf numFmtId="0" fontId="4" fillId="2" borderId="10" xfId="0" applyFont="1" applyFill="1" applyBorder="1" applyAlignment="1" applyProtection="1">
      <alignment horizontal="center" vertical="center" wrapText="1"/>
    </xf>
    <xf numFmtId="0" fontId="4" fillId="2" borderId="60" xfId="0" applyFont="1" applyFill="1" applyBorder="1" applyAlignment="1" applyProtection="1">
      <alignment horizontal="center" vertical="center" wrapText="1"/>
    </xf>
    <xf numFmtId="0" fontId="4" fillId="2" borderId="66" xfId="0" applyFont="1" applyFill="1" applyBorder="1" applyAlignment="1" applyProtection="1">
      <alignment horizontal="center" vertical="center" wrapText="1"/>
    </xf>
    <xf numFmtId="0" fontId="4" fillId="2" borderId="11"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0" fillId="2" borderId="45" xfId="0" applyFill="1" applyBorder="1" applyAlignment="1">
      <alignment horizontal="center" vertical="center"/>
    </xf>
    <xf numFmtId="0" fontId="0" fillId="2" borderId="28" xfId="0" applyFill="1" applyBorder="1" applyAlignment="1">
      <alignment horizontal="center" vertical="center"/>
    </xf>
    <xf numFmtId="0" fontId="2" fillId="14" borderId="38" xfId="3" applyFont="1" applyBorder="1" applyAlignment="1" applyProtection="1">
      <alignment horizontal="center" vertical="center"/>
    </xf>
    <xf numFmtId="0" fontId="2" fillId="14" borderId="35" xfId="3" applyFont="1" applyBorder="1" applyAlignment="1" applyProtection="1">
      <alignment horizontal="center" vertical="center"/>
    </xf>
    <xf numFmtId="0" fontId="4" fillId="2" borderId="39" xfId="0" applyFont="1" applyFill="1" applyBorder="1" applyAlignment="1">
      <alignment horizontal="center" vertical="center" wrapText="1"/>
    </xf>
    <xf numFmtId="0" fontId="4" fillId="2" borderId="59"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50"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39" xfId="0" applyFont="1" applyFill="1" applyBorder="1" applyAlignment="1">
      <alignment horizontal="left" vertical="center" wrapText="1"/>
    </xf>
    <xf numFmtId="0" fontId="4" fillId="2" borderId="53"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59" xfId="0" applyFont="1" applyFill="1" applyBorder="1" applyAlignment="1">
      <alignment horizontal="left" vertical="center" wrapText="1"/>
    </xf>
    <xf numFmtId="0" fontId="4" fillId="2" borderId="51"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40" xfId="0" applyFont="1" applyFill="1" applyBorder="1" applyAlignment="1">
      <alignment horizontal="left" vertical="center" wrapText="1"/>
    </xf>
    <xf numFmtId="0" fontId="0" fillId="2" borderId="48" xfId="0" applyFill="1" applyBorder="1" applyAlignment="1">
      <alignment horizontal="center" vertical="center"/>
    </xf>
    <xf numFmtId="0" fontId="0" fillId="2" borderId="52" xfId="0" applyFill="1" applyBorder="1" applyAlignment="1">
      <alignment horizontal="center" vertical="center"/>
    </xf>
    <xf numFmtId="0" fontId="0" fillId="2" borderId="48" xfId="0" applyFill="1" applyBorder="1" applyAlignment="1">
      <alignment horizontal="center" vertical="center" wrapText="1"/>
    </xf>
    <xf numFmtId="0" fontId="0" fillId="2" borderId="52" xfId="0" applyFill="1" applyBorder="1" applyAlignment="1">
      <alignment horizontal="center" vertical="center" wrapText="1"/>
    </xf>
    <xf numFmtId="0" fontId="0" fillId="2" borderId="28" xfId="0" applyFill="1" applyBorder="1" applyAlignment="1">
      <alignment horizontal="center" vertical="center" wrapText="1"/>
    </xf>
    <xf numFmtId="0" fontId="0" fillId="2" borderId="45" xfId="0" applyFill="1" applyBorder="1" applyAlignment="1">
      <alignment horizontal="center" vertical="center" wrapText="1"/>
    </xf>
    <xf numFmtId="0" fontId="4" fillId="2" borderId="48"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4" fillId="2" borderId="50" xfId="0" applyFont="1" applyFill="1" applyBorder="1" applyAlignment="1">
      <alignment horizontal="center" vertical="center" wrapText="1"/>
    </xf>
    <xf numFmtId="0" fontId="4" fillId="2" borderId="51" xfId="0" applyFont="1" applyFill="1" applyBorder="1" applyAlignment="1">
      <alignment horizontal="center" vertical="center" wrapText="1"/>
    </xf>
    <xf numFmtId="0" fontId="4" fillId="2" borderId="50" xfId="0" applyFont="1" applyFill="1" applyBorder="1" applyAlignment="1" applyProtection="1">
      <alignment horizontal="center" vertical="center" wrapText="1"/>
    </xf>
    <xf numFmtId="0" fontId="4" fillId="2" borderId="19"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64" xfId="0" applyFont="1" applyFill="1" applyBorder="1" applyAlignment="1" applyProtection="1">
      <alignment horizontal="center" vertical="center" wrapText="1"/>
    </xf>
    <xf numFmtId="0" fontId="4" fillId="2" borderId="65" xfId="0" applyFont="1" applyFill="1" applyBorder="1" applyAlignment="1" applyProtection="1">
      <alignment horizontal="center" vertical="center" wrapText="1"/>
    </xf>
    <xf numFmtId="0" fontId="4" fillId="2" borderId="39" xfId="0" applyFont="1" applyFill="1" applyBorder="1" applyAlignment="1" applyProtection="1">
      <alignment horizontal="center" vertical="center" wrapText="1"/>
    </xf>
    <xf numFmtId="0" fontId="4" fillId="2" borderId="40" xfId="0" applyFont="1" applyFill="1" applyBorder="1" applyAlignment="1" applyProtection="1">
      <alignment horizontal="center" vertical="center" wrapText="1"/>
    </xf>
    <xf numFmtId="0" fontId="4" fillId="2" borderId="5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3"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0" fillId="2" borderId="37" xfId="0" applyFill="1" applyBorder="1" applyAlignment="1">
      <alignment horizontal="left" vertical="center" wrapText="1"/>
    </xf>
    <xf numFmtId="0" fontId="0" fillId="2" borderId="33" xfId="0" applyFill="1" applyBorder="1" applyAlignment="1">
      <alignment horizontal="left" vertical="center" wrapText="1"/>
    </xf>
    <xf numFmtId="0" fontId="4" fillId="2" borderId="5" xfId="0" applyFont="1" applyFill="1" applyBorder="1" applyAlignment="1" applyProtection="1">
      <alignment horizontal="left" vertical="center" wrapText="1"/>
    </xf>
    <xf numFmtId="0" fontId="4" fillId="2" borderId="39" xfId="0" applyFont="1" applyFill="1" applyBorder="1" applyAlignment="1" applyProtection="1">
      <alignment horizontal="left" vertical="center" wrapText="1"/>
    </xf>
    <xf numFmtId="0" fontId="4" fillId="2" borderId="8" xfId="0" applyFont="1" applyFill="1" applyBorder="1" applyAlignment="1" applyProtection="1">
      <alignment horizontal="left" vertical="center" wrapText="1"/>
    </xf>
    <xf numFmtId="0" fontId="4" fillId="2" borderId="40" xfId="0" applyFont="1" applyFill="1" applyBorder="1" applyAlignment="1" applyProtection="1">
      <alignment horizontal="left" vertical="center" wrapText="1"/>
    </xf>
    <xf numFmtId="9" fontId="0" fillId="2" borderId="46" xfId="34" applyFont="1" applyBorder="1" applyAlignment="1">
      <alignment horizontal="center" vertical="center"/>
    </xf>
    <xf numFmtId="9" fontId="0" fillId="2" borderId="59" xfId="34" applyFont="1" applyBorder="1" applyAlignment="1">
      <alignment horizontal="center" vertical="center"/>
    </xf>
    <xf numFmtId="9" fontId="0" fillId="2" borderId="43" xfId="34" applyFont="1" applyBorder="1" applyAlignment="1">
      <alignment horizontal="center" vertical="center"/>
    </xf>
    <xf numFmtId="0" fontId="33" fillId="2" borderId="8" xfId="83" applyFont="1" applyFill="1" applyBorder="1" applyAlignment="1" applyProtection="1">
      <alignment horizontal="center" vertical="center" wrapText="1"/>
    </xf>
    <xf numFmtId="0" fontId="33" fillId="2" borderId="36"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49" fontId="2" fillId="43" borderId="25" xfId="19" applyFont="1">
      <alignment vertical="center"/>
      <protection locked="0"/>
    </xf>
    <xf numFmtId="49" fontId="2" fillId="43" borderId="27" xfId="19" applyFont="1" applyBorder="1">
      <alignment vertical="center"/>
      <protection locked="0"/>
    </xf>
    <xf numFmtId="0" fontId="2" fillId="43" borderId="41" xfId="18" applyFont="1" applyBorder="1" applyAlignment="1">
      <alignment horizontal="center" vertical="center" wrapText="1"/>
      <protection locked="0"/>
    </xf>
    <xf numFmtId="0" fontId="2" fillId="43" borderId="34" xfId="18" applyFont="1" applyBorder="1" applyAlignment="1">
      <alignment horizontal="center" vertical="center" wrapText="1"/>
      <protection locked="0"/>
    </xf>
    <xf numFmtId="0" fontId="2" fillId="43" borderId="37" xfId="18" applyFont="1" applyBorder="1" applyAlignment="1">
      <alignment horizontal="center" vertical="center" wrapText="1"/>
      <protection locked="0"/>
    </xf>
    <xf numFmtId="0" fontId="2" fillId="43" borderId="33" xfId="18" applyFont="1" applyBorder="1" applyAlignment="1">
      <alignment horizontal="center" vertical="center" wrapText="1"/>
      <protection locked="0"/>
    </xf>
    <xf numFmtId="0" fontId="2" fillId="43" borderId="38" xfId="18" applyFont="1" applyBorder="1" applyAlignment="1">
      <alignment horizontal="center" vertical="center" wrapText="1"/>
      <protection locked="0"/>
    </xf>
    <xf numFmtId="0" fontId="2" fillId="43" borderId="35" xfId="18" applyFont="1" applyBorder="1" applyAlignment="1">
      <alignment horizontal="center" vertical="center" wrapText="1"/>
      <protection locked="0"/>
    </xf>
    <xf numFmtId="0" fontId="4" fillId="2" borderId="5" xfId="5" applyFont="1" applyBorder="1" applyAlignment="1">
      <alignment horizontal="center" wrapText="1"/>
    </xf>
    <xf numFmtId="0" fontId="4" fillId="2" borderId="8" xfId="5" applyFont="1" applyBorder="1" applyAlignment="1">
      <alignment horizontal="center" wrapText="1"/>
    </xf>
    <xf numFmtId="0" fontId="4" fillId="2" borderId="48" xfId="5" applyFont="1" applyBorder="1" applyAlignment="1">
      <alignment horizontal="center" wrapText="1"/>
    </xf>
    <xf numFmtId="0" fontId="4" fillId="2" borderId="49" xfId="5" applyFont="1" applyBorder="1" applyAlignment="1">
      <alignment horizontal="center" wrapText="1"/>
    </xf>
    <xf numFmtId="0" fontId="4" fillId="2" borderId="50" xfId="5" applyFont="1" applyBorder="1" applyAlignment="1">
      <alignment horizontal="center" wrapText="1"/>
    </xf>
    <xf numFmtId="0" fontId="4" fillId="2" borderId="51" xfId="5" applyFont="1" applyBorder="1" applyAlignment="1">
      <alignment horizontal="center" wrapText="1"/>
    </xf>
    <xf numFmtId="0" fontId="4" fillId="2" borderId="20" xfId="5" applyFont="1" applyBorder="1" applyAlignment="1">
      <alignment horizontal="center" wrapText="1"/>
    </xf>
    <xf numFmtId="0" fontId="0" fillId="2" borderId="35" xfId="0" applyFill="1" applyBorder="1" applyAlignment="1">
      <alignment horizontal="center" vertical="center"/>
    </xf>
    <xf numFmtId="0" fontId="0" fillId="2" borderId="33" xfId="0" applyFill="1" applyBorder="1" applyAlignment="1">
      <alignment horizontal="center" vertical="center"/>
    </xf>
    <xf numFmtId="0" fontId="0" fillId="2" borderId="34" xfId="0" applyFill="1" applyBorder="1" applyAlignment="1">
      <alignment horizontal="center" vertical="center"/>
    </xf>
    <xf numFmtId="0" fontId="35" fillId="2" borderId="34" xfId="83" applyFill="1" applyBorder="1" applyAlignment="1" applyProtection="1">
      <alignment horizontal="left" vertical="center" wrapText="1"/>
    </xf>
    <xf numFmtId="0" fontId="35" fillId="2" borderId="31" xfId="83" applyFill="1" applyBorder="1" applyAlignment="1" applyProtection="1">
      <alignment horizontal="left" vertical="center" wrapText="1"/>
    </xf>
    <xf numFmtId="3" fontId="0" fillId="2" borderId="34" xfId="30" applyFont="1" applyBorder="1" applyAlignment="1">
      <alignment horizontal="left" vertical="center" indent="1"/>
    </xf>
    <xf numFmtId="3" fontId="2" fillId="2" borderId="31" xfId="30" applyFont="1" applyBorder="1" applyAlignment="1">
      <alignment horizontal="left" vertical="center" indent="1"/>
    </xf>
    <xf numFmtId="0" fontId="35" fillId="2" borderId="34" xfId="83" applyFill="1" applyBorder="1" applyAlignment="1" applyProtection="1">
      <alignment horizontal="left" vertical="center" wrapText="1" indent="2"/>
    </xf>
    <xf numFmtId="0" fontId="35" fillId="2" borderId="31" xfId="83" applyFill="1" applyBorder="1" applyAlignment="1" applyProtection="1">
      <alignment horizontal="left" vertical="center" wrapText="1" indent="2"/>
    </xf>
    <xf numFmtId="0" fontId="0" fillId="2" borderId="35" xfId="35" applyNumberFormat="1" applyFont="1" applyBorder="1" applyAlignment="1">
      <alignment horizontal="left" vertical="center" wrapText="1" indent="1"/>
    </xf>
    <xf numFmtId="0" fontId="0" fillId="2" borderId="32" xfId="35" applyNumberFormat="1" applyFont="1" applyBorder="1" applyAlignment="1">
      <alignment horizontal="left" vertical="center" wrapText="1" indent="1"/>
    </xf>
    <xf numFmtId="0" fontId="0" fillId="2" borderId="33" xfId="5" applyFont="1" applyBorder="1" applyAlignment="1">
      <alignment horizontal="left" vertical="center" wrapText="1"/>
    </xf>
    <xf numFmtId="0" fontId="2" fillId="2" borderId="30" xfId="5" applyFont="1" applyBorder="1" applyAlignment="1">
      <alignment horizontal="left" vertical="center" wrapText="1"/>
    </xf>
    <xf numFmtId="3" fontId="0" fillId="2" borderId="34" xfId="30" applyFont="1" applyBorder="1" applyAlignment="1">
      <alignment horizontal="left" vertical="center"/>
    </xf>
    <xf numFmtId="3" fontId="2" fillId="2" borderId="31" xfId="30" applyFont="1" applyBorder="1" applyAlignment="1">
      <alignment horizontal="left" vertical="center"/>
    </xf>
    <xf numFmtId="0" fontId="0" fillId="2" borderId="34" xfId="35" applyNumberFormat="1" applyFont="1" applyBorder="1" applyAlignment="1">
      <alignment horizontal="left" vertical="center" wrapText="1" indent="1"/>
    </xf>
    <xf numFmtId="0" fontId="0" fillId="2" borderId="31" xfId="35" applyNumberFormat="1" applyFont="1" applyBorder="1" applyAlignment="1">
      <alignment horizontal="left" vertical="center" wrapText="1" indent="1"/>
    </xf>
    <xf numFmtId="0" fontId="35" fillId="2" borderId="34" xfId="83" applyFill="1" applyBorder="1" applyAlignment="1" applyProtection="1">
      <alignment horizontal="left" vertical="center" wrapText="1" indent="1"/>
    </xf>
    <xf numFmtId="0" fontId="35" fillId="2" borderId="31" xfId="83" applyFill="1" applyBorder="1" applyAlignment="1" applyProtection="1">
      <alignment horizontal="left" vertical="center" wrapText="1" indent="1"/>
    </xf>
    <xf numFmtId="0" fontId="0" fillId="0" borderId="31" xfId="0" applyBorder="1" applyAlignment="1">
      <alignment horizontal="center" vertical="center" wrapText="1"/>
    </xf>
    <xf numFmtId="3" fontId="0" fillId="2" borderId="44" xfId="30" applyFont="1" applyBorder="1" applyAlignment="1">
      <alignment horizontal="center" vertical="center" wrapText="1"/>
    </xf>
    <xf numFmtId="3" fontId="0" fillId="2" borderId="0" xfId="30" applyFont="1" applyBorder="1" applyAlignment="1">
      <alignment horizontal="center" vertical="center" wrapText="1"/>
    </xf>
    <xf numFmtId="3" fontId="0" fillId="2" borderId="54" xfId="30" applyFont="1" applyBorder="1" applyAlignment="1">
      <alignment horizontal="center" vertical="center" wrapText="1"/>
    </xf>
    <xf numFmtId="3" fontId="0" fillId="2" borderId="8" xfId="30" applyFont="1" applyBorder="1" applyAlignment="1">
      <alignment horizontal="center" vertical="center" wrapText="1"/>
    </xf>
    <xf numFmtId="0" fontId="0" fillId="0" borderId="30" xfId="0" applyBorder="1" applyAlignment="1">
      <alignment horizontal="center" vertical="center" wrapText="1"/>
    </xf>
    <xf numFmtId="3" fontId="2" fillId="2" borderId="30" xfId="30" applyFont="1" applyBorder="1" applyAlignment="1">
      <alignment horizontal="left" vertical="center"/>
    </xf>
    <xf numFmtId="3" fontId="2" fillId="2" borderId="23" xfId="30" applyFont="1" applyBorder="1" applyAlignment="1">
      <alignment horizontal="left" vertical="center"/>
    </xf>
    <xf numFmtId="3" fontId="0" fillId="2" borderId="31" xfId="30" applyFont="1" applyBorder="1" applyAlignment="1">
      <alignment horizontal="left" vertical="center"/>
    </xf>
    <xf numFmtId="3" fontId="2" fillId="2" borderId="25" xfId="30" applyFont="1" applyBorder="1" applyAlignment="1">
      <alignment horizontal="left" vertical="center"/>
    </xf>
    <xf numFmtId="3" fontId="0" fillId="2" borderId="32" xfId="30" applyFont="1" applyBorder="1" applyAlignment="1">
      <alignment horizontal="left" vertical="center"/>
    </xf>
    <xf numFmtId="3" fontId="2" fillId="2" borderId="27" xfId="30" applyFont="1" applyBorder="1" applyAlignment="1">
      <alignment horizontal="left" vertical="center"/>
    </xf>
    <xf numFmtId="0" fontId="0" fillId="2" borderId="5" xfId="0" applyFill="1" applyBorder="1" applyAlignment="1">
      <alignment horizontal="center" vertical="center" wrapText="1"/>
    </xf>
    <xf numFmtId="0" fontId="0" fillId="2" borderId="0" xfId="0" applyFill="1" applyBorder="1" applyAlignment="1">
      <alignment horizontal="center" vertical="center" wrapText="1"/>
    </xf>
    <xf numFmtId="0" fontId="0" fillId="2" borderId="54" xfId="0" applyFill="1" applyBorder="1" applyAlignment="1">
      <alignment horizontal="center" vertical="center" wrapText="1"/>
    </xf>
    <xf numFmtId="0" fontId="0" fillId="0" borderId="0" xfId="0" applyBorder="1" applyAlignment="1">
      <alignment horizontal="center" vertical="center" wrapText="1"/>
    </xf>
    <xf numFmtId="0" fontId="0" fillId="0" borderId="8" xfId="0" applyBorder="1" applyAlignment="1">
      <alignment horizontal="center" vertical="center" wrapText="1"/>
    </xf>
    <xf numFmtId="0" fontId="0" fillId="0" borderId="46" xfId="0" applyBorder="1" applyAlignment="1">
      <alignment horizontal="center" vertical="center" wrapText="1"/>
    </xf>
    <xf numFmtId="0" fontId="0" fillId="0" borderId="59" xfId="0" applyBorder="1" applyAlignment="1">
      <alignment horizontal="center" vertical="center" wrapText="1"/>
    </xf>
    <xf numFmtId="0" fontId="0" fillId="0" borderId="43" xfId="0" applyBorder="1" applyAlignment="1">
      <alignment horizontal="center" vertical="center" wrapText="1"/>
    </xf>
    <xf numFmtId="0" fontId="35" fillId="2" borderId="35" xfId="83" applyFill="1" applyBorder="1" applyAlignment="1" applyProtection="1">
      <alignment horizontal="left" vertical="center" wrapText="1"/>
    </xf>
    <xf numFmtId="0" fontId="35" fillId="2" borderId="32" xfId="83" applyFill="1" applyBorder="1" applyAlignment="1" applyProtection="1">
      <alignment horizontal="left" vertical="center" wrapText="1"/>
    </xf>
    <xf numFmtId="0" fontId="0" fillId="2" borderId="39" xfId="0" applyFill="1" applyBorder="1" applyAlignment="1">
      <alignment horizontal="center" vertical="center" wrapText="1"/>
    </xf>
    <xf numFmtId="0" fontId="0" fillId="2" borderId="59" xfId="0" applyFill="1" applyBorder="1" applyAlignment="1">
      <alignment horizontal="center" vertical="center" wrapText="1"/>
    </xf>
    <xf numFmtId="0" fontId="0" fillId="2" borderId="46" xfId="0" applyFill="1" applyBorder="1" applyAlignment="1">
      <alignment horizontal="center" vertical="center" wrapText="1"/>
    </xf>
    <xf numFmtId="0" fontId="0" fillId="2" borderId="43" xfId="0" applyFill="1" applyBorder="1" applyAlignment="1">
      <alignment horizontal="center" vertical="center" wrapText="1"/>
    </xf>
    <xf numFmtId="0" fontId="0" fillId="2" borderId="40" xfId="0" applyFill="1" applyBorder="1" applyAlignment="1">
      <alignment horizontal="center" vertical="center" wrapText="1"/>
    </xf>
    <xf numFmtId="3" fontId="0" fillId="2" borderId="33" xfId="30" applyFont="1" applyBorder="1" applyAlignment="1">
      <alignment horizontal="left" vertical="center"/>
    </xf>
    <xf numFmtId="3" fontId="0" fillId="2" borderId="34" xfId="30" applyFont="1" applyBorder="1" applyAlignment="1">
      <alignment horizontal="left" vertical="center" wrapText="1"/>
    </xf>
    <xf numFmtId="3" fontId="2" fillId="2" borderId="31" xfId="30" applyFont="1" applyBorder="1" applyAlignment="1">
      <alignment horizontal="left" vertical="center" wrapText="1"/>
    </xf>
    <xf numFmtId="0" fontId="9" fillId="2" borderId="34" xfId="0" applyFont="1" applyFill="1" applyBorder="1" applyAlignment="1" applyProtection="1">
      <alignment horizontal="left" vertical="center" wrapText="1"/>
    </xf>
    <xf numFmtId="0" fontId="9" fillId="2" borderId="31" xfId="0" applyFont="1" applyFill="1" applyBorder="1" applyAlignment="1" applyProtection="1">
      <alignment horizontal="left" vertical="center" wrapText="1"/>
    </xf>
    <xf numFmtId="0" fontId="9" fillId="2" borderId="34" xfId="0" applyFont="1" applyFill="1" applyBorder="1" applyAlignment="1" applyProtection="1">
      <alignment horizontal="left" vertical="center" wrapText="1" indent="1"/>
    </xf>
    <xf numFmtId="0" fontId="9" fillId="2" borderId="31" xfId="0" applyFont="1" applyFill="1" applyBorder="1" applyAlignment="1" applyProtection="1">
      <alignment horizontal="left" vertical="center" wrapText="1" indent="1"/>
    </xf>
    <xf numFmtId="0" fontId="0" fillId="2" borderId="34" xfId="0" applyFont="1" applyFill="1" applyBorder="1" applyAlignment="1" applyProtection="1">
      <alignment horizontal="left" vertical="center" wrapText="1" indent="2"/>
    </xf>
    <xf numFmtId="0" fontId="0" fillId="2" borderId="33" xfId="0" applyFont="1" applyFill="1" applyBorder="1" applyAlignment="1" applyProtection="1">
      <alignment horizontal="left" vertical="center" wrapText="1"/>
    </xf>
    <xf numFmtId="0" fontId="0" fillId="2" borderId="30" xfId="0" applyFont="1" applyFill="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31" xfId="0" applyFont="1" applyFill="1" applyBorder="1" applyAlignment="1" applyProtection="1">
      <alignment horizontal="left" vertical="center" wrapText="1"/>
    </xf>
    <xf numFmtId="0" fontId="0" fillId="2" borderId="9" xfId="0" applyFont="1" applyFill="1" applyBorder="1" applyAlignment="1" applyProtection="1">
      <alignment horizontal="center" vertical="center"/>
    </xf>
    <xf numFmtId="0" fontId="9" fillId="2" borderId="35" xfId="0" applyFont="1" applyFill="1" applyBorder="1" applyAlignment="1" applyProtection="1">
      <alignment horizontal="left" vertical="center" wrapText="1"/>
    </xf>
    <xf numFmtId="0" fontId="9" fillId="2" borderId="32" xfId="0" applyFont="1" applyFill="1" applyBorder="1" applyAlignment="1" applyProtection="1">
      <alignment horizontal="left" vertical="center" wrapText="1"/>
    </xf>
  </cellXfs>
  <cellStyles count="140">
    <cellStyle name="=C:\WINNT35\SYSTEM32\COMMAND.COM" xfId="139"/>
    <cellStyle name="20% - Accent1" xfId="85" builtinId="30" hidden="1"/>
    <cellStyle name="20% - Accent2" xfId="89" builtinId="34" hidden="1"/>
    <cellStyle name="20% - Accent3" xfId="93" builtinId="38" hidden="1"/>
    <cellStyle name="20% - Accent4" xfId="97" builtinId="42" hidden="1"/>
    <cellStyle name="20% - Accent5" xfId="101" builtinId="46" hidden="1"/>
    <cellStyle name="20% - Accent6" xfId="105" builtinId="50" hidden="1"/>
    <cellStyle name="40% - Accent1" xfId="86" builtinId="31" hidden="1"/>
    <cellStyle name="40% - Accent2" xfId="90" builtinId="35" hidden="1"/>
    <cellStyle name="40% - Accent3" xfId="94" builtinId="39" hidden="1"/>
    <cellStyle name="40% - Accent4" xfId="98" builtinId="43" hidden="1"/>
    <cellStyle name="40% - Accent5" xfId="102" builtinId="47" hidden="1"/>
    <cellStyle name="40% - Accent6" xfId="106" builtinId="51" hidden="1"/>
    <cellStyle name="60% - Accent1" xfId="87" builtinId="32" hidden="1"/>
    <cellStyle name="60% - Accent2" xfId="91" builtinId="36" hidden="1"/>
    <cellStyle name="60% - Accent3" xfId="95" builtinId="40" hidden="1"/>
    <cellStyle name="60% - Accent4" xfId="99" builtinId="44" hidden="1"/>
    <cellStyle name="60% - Accent5" xfId="103" builtinId="48" hidden="1"/>
    <cellStyle name="60% - Accent6" xfId="107" builtinId="52" hidden="1"/>
    <cellStyle name="Accent1" xfId="84" builtinId="29" hidden="1"/>
    <cellStyle name="Accent2" xfId="88" builtinId="33" hidden="1"/>
    <cellStyle name="Accent3" xfId="92" builtinId="37" hidden="1"/>
    <cellStyle name="Accent4" xfId="96" builtinId="41" hidden="1"/>
    <cellStyle name="Accent5" xfId="100" builtinId="45" hidden="1"/>
    <cellStyle name="Accent6" xfId="104" builtinId="49" hidden="1"/>
    <cellStyle name="Bad" xfId="61" builtinId="27" hidden="1"/>
    <cellStyle name="Bad" xfId="74" builtinId="27" hidden="1"/>
    <cellStyle name="Calculation" xfId="65" builtinId="22" hidden="1"/>
    <cellStyle name="Calculation" xfId="78" builtinId="22" hidden="1"/>
    <cellStyle name="Check Cell" xfId="67" builtinId="23" hidden="1"/>
    <cellStyle name="Check Cell" xfId="80" builtinId="23" hidden="1"/>
    <cellStyle name="checkExposure" xfId="1"/>
    <cellStyle name="checkLiq" xfId="2"/>
    <cellStyle name="Comma [0]" xfId="108" builtinId="6" hidden="1"/>
    <cellStyle name="Currency [0]" xfId="109" builtinId="7" hidden="1"/>
    <cellStyle name="Explanatory Text" xfId="68" builtinId="53" hidden="1"/>
    <cellStyle name="Explanatory Text" xfId="81" builtinId="53" hidden="1"/>
    <cellStyle name="Good" xfId="60" builtinId="26" hidden="1"/>
    <cellStyle name="Good" xfId="73" builtinId="26" hidden="1"/>
    <cellStyle name="greyed" xfId="3"/>
    <cellStyle name="Heading 1" xfId="4"/>
    <cellStyle name="Heading 1 2" xfId="129"/>
    <cellStyle name="Heading 2 2" xfId="130"/>
    <cellStyle name="Heading 2 3" xfId="114"/>
    <cellStyle name="Heading 3" xfId="58" builtinId="18" hidden="1"/>
    <cellStyle name="Heading 3" xfId="71" builtinId="18" hidden="1"/>
    <cellStyle name="Heading 4" xfId="59" builtinId="19" hidden="1"/>
    <cellStyle name="Heading 4" xfId="72" builtinId="19" hidden="1"/>
    <cellStyle name="HeadingTable" xfId="5"/>
    <cellStyle name="highlightExposure" xfId="6"/>
    <cellStyle name="highlightExposure 2" xfId="115"/>
    <cellStyle name="highlightPD" xfId="7"/>
    <cellStyle name="highlightPD 2" xfId="116"/>
    <cellStyle name="highlightPercentage" xfId="8"/>
    <cellStyle name="highlightPercentage 2" xfId="117"/>
    <cellStyle name="highlightText" xfId="9"/>
    <cellStyle name="highlightText 2" xfId="118"/>
    <cellStyle name="Input" xfId="63" builtinId="20" hidden="1"/>
    <cellStyle name="Input" xfId="76" builtinId="20" hidden="1"/>
    <cellStyle name="inputDate" xfId="10"/>
    <cellStyle name="inputDate 2" xfId="137"/>
    <cellStyle name="inputDate 3" xfId="119"/>
    <cellStyle name="inputExposure" xfId="11"/>
    <cellStyle name="inputExposure 2" xfId="138"/>
    <cellStyle name="inputExposure 3" xfId="120"/>
    <cellStyle name="inputMaturity" xfId="12"/>
    <cellStyle name="inputMaturity 2" xfId="121"/>
    <cellStyle name="inputParameterE" xfId="13"/>
    <cellStyle name="inputParameterE 2" xfId="122"/>
    <cellStyle name="inputPD" xfId="14"/>
    <cellStyle name="inputPD 2" xfId="123"/>
    <cellStyle name="inputPercentage" xfId="15"/>
    <cellStyle name="inputPercentage 2" xfId="124"/>
    <cellStyle name="inputPercentageL" xfId="16"/>
    <cellStyle name="inputPercentageL 2" xfId="125"/>
    <cellStyle name="inputPercentageS" xfId="17"/>
    <cellStyle name="inputPercentageS 2" xfId="126"/>
    <cellStyle name="inputSelection" xfId="18"/>
    <cellStyle name="inputSelection 2" xfId="127"/>
    <cellStyle name="inputText" xfId="19"/>
    <cellStyle name="inputText 2" xfId="136"/>
    <cellStyle name="inputText 3" xfId="128"/>
    <cellStyle name="Linked Cell" xfId="66" builtinId="24" hidden="1"/>
    <cellStyle name="Linked Cell" xfId="79" builtinId="24" hidden="1"/>
    <cellStyle name="Migliaia 2" xfId="113"/>
    <cellStyle name="Neutral" xfId="62" builtinId="28" hidden="1"/>
    <cellStyle name="Neutral" xfId="75" builtinId="28" hidden="1"/>
    <cellStyle name="Normal" xfId="0" builtinId="0"/>
    <cellStyle name="Normale 2" xfId="112"/>
    <cellStyle name="optionalDate" xfId="110"/>
    <cellStyle name="optionalDate 2" xfId="111"/>
    <cellStyle name="optionalExposure" xfId="20"/>
    <cellStyle name="optionalMaturity" xfId="21"/>
    <cellStyle name="optionalPD" xfId="22"/>
    <cellStyle name="optionalPercentage" xfId="23"/>
    <cellStyle name="optionalPercentageL" xfId="24"/>
    <cellStyle name="optionalPercentageS" xfId="25"/>
    <cellStyle name="optionalSelection" xfId="26"/>
    <cellStyle name="optionalText" xfId="27"/>
    <cellStyle name="Output" xfId="64" builtinId="21" hidden="1"/>
    <cellStyle name="Output" xfId="77" builtinId="21" hidden="1"/>
    <cellStyle name="reviseExposure" xfId="28"/>
    <cellStyle name="showCheck" xfId="29"/>
    <cellStyle name="showExposure" xfId="30"/>
    <cellStyle name="showParameterE" xfId="31"/>
    <cellStyle name="showParameterS" xfId="32"/>
    <cellStyle name="showPD" xfId="33"/>
    <cellStyle name="showPercentage" xfId="34"/>
    <cellStyle name="showSelection" xfId="35"/>
    <cellStyle name="sup2Date" xfId="36"/>
    <cellStyle name="sup2Int" xfId="37"/>
    <cellStyle name="sup2ParameterE" xfId="38"/>
    <cellStyle name="sup2Percentage" xfId="39"/>
    <cellStyle name="sup2PercentageL" xfId="40"/>
    <cellStyle name="sup2PercentageM" xfId="41"/>
    <cellStyle name="sup2Selection" xfId="42"/>
    <cellStyle name="sup2Text" xfId="43"/>
    <cellStyle name="sup3ParameterE" xfId="44"/>
    <cellStyle name="sup3Percentage" xfId="45"/>
    <cellStyle name="supDate" xfId="46"/>
    <cellStyle name="supDate 2" xfId="135"/>
    <cellStyle name="supFloat" xfId="47"/>
    <cellStyle name="supInt" xfId="48"/>
    <cellStyle name="supInt 2" xfId="132"/>
    <cellStyle name="supParameterE" xfId="49"/>
    <cellStyle name="supParameterE 2" xfId="134"/>
    <cellStyle name="supParameterS" xfId="50"/>
    <cellStyle name="supPD" xfId="51"/>
    <cellStyle name="supPercentage" xfId="52"/>
    <cellStyle name="supPercentageL" xfId="53"/>
    <cellStyle name="supPercentageM" xfId="54"/>
    <cellStyle name="supSelection" xfId="55"/>
    <cellStyle name="supSelection 2" xfId="133"/>
    <cellStyle name="supText" xfId="56"/>
    <cellStyle name="supText 2" xfId="131"/>
    <cellStyle name="Title" xfId="57" builtinId="15" hidden="1"/>
    <cellStyle name="Title" xfId="70" builtinId="15" hidden="1"/>
    <cellStyle name="Total" xfId="69" builtinId="25" hidden="1"/>
    <cellStyle name="Total" xfId="82" builtinId="25" hidden="1"/>
    <cellStyle name="Warning Text" xfId="83" builtinId="11" customBuiltin="1"/>
  </cellStyles>
  <dxfs count="1380">
    <dxf>
      <font>
        <b/>
        <i val="0"/>
        <color rgb="FFAA322F"/>
      </font>
      <fill>
        <patternFill patternType="solid">
          <bgColor theme="0"/>
        </patternFill>
      </fill>
    </dxf>
    <dxf>
      <font>
        <condense val="0"/>
        <extend val="0"/>
        <color indexed="17"/>
      </font>
      <fill>
        <patternFill>
          <bgColor theme="0"/>
        </patternFill>
      </fill>
    </dxf>
    <dxf>
      <font>
        <b/>
        <i val="0"/>
        <color rgb="FFAA322F"/>
      </font>
      <fill>
        <patternFill patternType="solid">
          <bgColor theme="0"/>
        </patternFill>
      </fill>
    </dxf>
    <dxf>
      <font>
        <condense val="0"/>
        <extend val="0"/>
        <color indexed="17"/>
      </font>
      <fill>
        <patternFill>
          <bgColor theme="0"/>
        </patternFill>
      </fill>
    </dxf>
    <dxf>
      <font>
        <b/>
        <i val="0"/>
        <color rgb="FFAA322F"/>
      </font>
      <fill>
        <patternFill patternType="solid">
          <bgColor theme="0"/>
        </patternFill>
      </fill>
    </dxf>
    <dxf>
      <font>
        <condense val="0"/>
        <extend val="0"/>
        <color indexed="17"/>
      </font>
      <fill>
        <patternFill>
          <bgColor theme="0"/>
        </patternFill>
      </fill>
    </dxf>
    <dxf>
      <font>
        <b/>
        <i val="0"/>
        <color rgb="FFAA322F"/>
      </font>
      <fill>
        <patternFill patternType="solid">
          <bgColor theme="0"/>
        </patternFill>
      </fill>
    </dxf>
    <dxf>
      <font>
        <condense val="0"/>
        <extend val="0"/>
        <color indexed="17"/>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b/>
        <i val="0"/>
        <color rgb="FFAA322F"/>
      </font>
      <fill>
        <patternFill patternType="solid">
          <bgColor theme="0"/>
        </patternFill>
      </fill>
    </dxf>
    <dxf>
      <font>
        <condense val="0"/>
        <extend val="0"/>
        <color indexed="17"/>
      </font>
      <fill>
        <patternFill>
          <bgColor theme="0"/>
        </patternFill>
      </fill>
    </dxf>
    <dxf>
      <font>
        <b/>
        <i val="0"/>
        <color rgb="FFAA322F"/>
      </font>
      <fill>
        <patternFill patternType="solid">
          <bgColor theme="0"/>
        </patternFill>
      </fill>
    </dxf>
    <dxf>
      <font>
        <condense val="0"/>
        <extend val="0"/>
        <color indexed="17"/>
      </font>
      <fill>
        <patternFill>
          <bgColor theme="0"/>
        </patternFill>
      </fill>
    </dxf>
    <dxf>
      <font>
        <b/>
        <i val="0"/>
        <color rgb="FFAA322F"/>
      </font>
      <fill>
        <patternFill patternType="solid">
          <bgColor theme="0"/>
        </patternFill>
      </fill>
    </dxf>
    <dxf>
      <font>
        <condense val="0"/>
        <extend val="0"/>
        <color indexed="17"/>
      </font>
      <fill>
        <patternFill>
          <bgColor theme="0"/>
        </patternFill>
      </fill>
    </dxf>
    <dxf>
      <font>
        <b/>
        <i val="0"/>
        <color rgb="FFAA322F"/>
      </font>
      <fill>
        <patternFill patternType="solid">
          <bgColor theme="0"/>
        </patternFill>
      </fill>
    </dxf>
    <dxf>
      <font>
        <condense val="0"/>
        <extend val="0"/>
        <color indexed="17"/>
      </font>
      <fill>
        <patternFill>
          <bgColor theme="0"/>
        </patternFill>
      </fill>
    </dxf>
    <dxf>
      <font>
        <b/>
        <i val="0"/>
        <color rgb="FFAA322F"/>
      </font>
      <fill>
        <patternFill patternType="solid">
          <bgColor theme="0"/>
        </patternFill>
      </fill>
    </dxf>
    <dxf>
      <font>
        <condense val="0"/>
        <extend val="0"/>
        <color indexed="17"/>
      </font>
      <fill>
        <patternFill>
          <bgColor theme="0"/>
        </patternFill>
      </fill>
    </dxf>
    <dxf>
      <font>
        <b/>
        <i val="0"/>
        <color rgb="FFAA322F"/>
      </font>
      <fill>
        <patternFill patternType="solid">
          <bgColor theme="0"/>
        </patternFill>
      </fill>
    </dxf>
    <dxf>
      <font>
        <condense val="0"/>
        <extend val="0"/>
        <color indexed="17"/>
      </font>
      <fill>
        <patternFill>
          <bgColor theme="0"/>
        </patternFill>
      </fill>
    </dxf>
    <dxf>
      <font>
        <condense val="0"/>
        <extend val="0"/>
        <color indexed="17"/>
      </font>
      <fill>
        <patternFill>
          <bgColor theme="0"/>
        </patternFill>
      </fill>
    </dxf>
    <dxf>
      <font>
        <b/>
        <i val="0"/>
        <color rgb="FFAA322F"/>
      </font>
      <fill>
        <patternFill>
          <bgColor theme="0"/>
        </patternFill>
      </fill>
    </dxf>
    <dxf>
      <font>
        <b/>
        <i val="0"/>
        <color rgb="FFAA322F"/>
      </font>
      <fill>
        <patternFill patternType="solid">
          <bgColor theme="0"/>
        </patternFill>
      </fill>
    </dxf>
    <dxf>
      <font>
        <condense val="0"/>
        <extend val="0"/>
        <color indexed="17"/>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ill>
        <patternFill>
          <bgColor rgb="FFFF000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ill>
        <patternFill>
          <bgColor rgb="FFFF000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ill>
        <patternFill>
          <bgColor rgb="FFFF000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ill>
        <patternFill>
          <bgColor rgb="FFFF000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AA322F"/>
      </font>
      <fill>
        <patternFill>
          <bgColor theme="0"/>
        </patternFill>
      </fill>
    </dxf>
    <dxf>
      <font>
        <condense val="0"/>
        <extend val="0"/>
        <color indexed="17"/>
      </font>
      <fill>
        <patternFill>
          <bgColor theme="0"/>
        </patternFill>
      </fill>
    </dxf>
    <dxf>
      <font>
        <b/>
        <i val="0"/>
        <color rgb="FF9C0006"/>
      </font>
      <fill>
        <patternFill>
          <bgColor theme="0"/>
        </patternFill>
      </fill>
    </dxf>
    <dxf>
      <font>
        <condense val="0"/>
        <extend val="0"/>
        <color indexed="17"/>
      </font>
      <fill>
        <patternFill>
          <bgColor theme="0"/>
        </patternFill>
      </fill>
    </dxf>
    <dxf>
      <font>
        <b/>
        <i val="0"/>
        <strike val="0"/>
        <color rgb="FFAA322F"/>
      </font>
      <fill>
        <patternFill>
          <bgColor theme="0"/>
        </patternFill>
      </fill>
    </dxf>
    <dxf>
      <fill>
        <patternFill>
          <bgColor rgb="FFFF0000"/>
        </patternFill>
      </fill>
    </dxf>
    <dxf>
      <fill>
        <patternFill>
          <bgColor rgb="FFFF0000"/>
        </patternFill>
      </fill>
    </dxf>
    <dxf>
      <font>
        <condense val="0"/>
        <extend val="0"/>
        <color indexed="17"/>
      </font>
      <fill>
        <patternFill>
          <bgColor theme="0"/>
        </patternFill>
      </fill>
    </dxf>
    <dxf>
      <font>
        <b/>
        <i val="0"/>
        <strike val="0"/>
        <color rgb="FFAA322F"/>
      </font>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ont>
        <condense val="0"/>
        <extend val="0"/>
        <color indexed="17"/>
      </font>
      <fill>
        <patternFill>
          <bgColor theme="0"/>
        </patternFill>
      </fill>
    </dxf>
    <dxf>
      <font>
        <b/>
        <i val="0"/>
        <color rgb="FFAA322F"/>
      </font>
      <fill>
        <patternFill patternType="solid">
          <bgColor theme="0"/>
        </patternFill>
      </fill>
    </dxf>
    <dxf>
      <font>
        <condense val="0"/>
        <extend val="0"/>
        <color indexed="17"/>
      </font>
      <fill>
        <patternFill>
          <bgColor theme="0"/>
        </patternFill>
      </fill>
    </dxf>
    <dxf>
      <font>
        <b/>
        <i val="0"/>
        <color rgb="FFAA322F"/>
      </font>
      <fill>
        <patternFill patternType="solid">
          <bgColor theme="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ill>
        <patternFill>
          <bgColor rgb="FFFF000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ndense val="0"/>
        <extend val="0"/>
        <color indexed="17"/>
      </font>
      <fill>
        <patternFill>
          <bgColor theme="0"/>
        </patternFill>
      </fill>
    </dxf>
    <dxf>
      <font>
        <b/>
        <i val="0"/>
        <color rgb="FFAA322F"/>
      </font>
      <fill>
        <patternFill patternType="solid">
          <bgColor theme="0"/>
        </patternFill>
      </fill>
    </dxf>
    <dxf>
      <fill>
        <patternFill>
          <bgColor rgb="FFFF0000"/>
        </patternFill>
      </fill>
    </dxf>
    <dxf>
      <fill>
        <patternFill>
          <bgColor rgb="FFFF0000"/>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FF6600"/>
      <rgbColor rgb="00008080"/>
      <rgbColor rgb="00C0C0C0"/>
      <rgbColor rgb="00808080"/>
      <rgbColor rgb="00000099"/>
      <rgbColor rgb="00000000"/>
      <rgbColor rgb="00FFFFFF"/>
      <rgbColor rgb="00CCFFFF"/>
      <rgbColor rgb="00660066"/>
      <rgbColor rgb="00FF8080"/>
      <rgbColor rgb="000066CC"/>
      <rgbColor rgb="00CCCCFF"/>
      <rgbColor rgb="00FF9966"/>
      <rgbColor rgb="00FFFFFF"/>
      <rgbColor rgb="00FFFF00"/>
      <rgbColor rgb="0099CCFF"/>
      <rgbColor rgb="0000FF00"/>
      <rgbColor rgb="00800000"/>
      <rgbColor rgb="00008080"/>
      <rgbColor rgb="000000FF"/>
      <rgbColor rgb="0000CCFF"/>
      <rgbColor rgb="00CCFFFF"/>
      <rgbColor rgb="00CCFFCC"/>
      <rgbColor rgb="00FFFF99"/>
      <rgbColor rgb="0099CCFF"/>
      <rgbColor rgb="00FF99CC"/>
      <rgbColor rgb="00E1E1E1"/>
      <rgbColor rgb="00FF6600"/>
      <rgbColor rgb="003366FF"/>
      <rgbColor rgb="0033CCCC"/>
      <rgbColor rgb="0099CC00"/>
      <rgbColor rgb="00FFCC00"/>
      <rgbColor rgb="00FF9900"/>
      <rgbColor rgb="00FF6600"/>
      <rgbColor rgb="0099CCFF"/>
      <rgbColor rgb="00969696"/>
      <rgbColor rgb="00003366"/>
      <rgbColor rgb="00339966"/>
      <rgbColor rgb="00003300"/>
      <rgbColor rgb="00333300"/>
      <rgbColor rgb="00993300"/>
      <rgbColor rgb="00FF9966"/>
      <rgbColor rgb="00000099"/>
      <rgbColor rgb="00666666"/>
    </indexedColors>
    <mruColors>
      <color rgb="FF99CCFF"/>
      <color rgb="FFCCFF99"/>
      <color rgb="FFFFCC99"/>
      <color rgb="FFFFFF99"/>
      <color rgb="FFEBEC72"/>
      <color rgb="FFBCBDBC"/>
      <color rgb="FFAA322F"/>
      <color rgb="FFD8E4BC"/>
      <color rgb="FF6CADE1"/>
      <color rgb="FFD5D6D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83</xdr:row>
      <xdr:rowOff>0</xdr:rowOff>
    </xdr:from>
    <xdr:to>
      <xdr:col>0</xdr:col>
      <xdr:colOff>104775</xdr:colOff>
      <xdr:row>84</xdr:row>
      <xdr:rowOff>9525</xdr:rowOff>
    </xdr:to>
    <xdr:sp macro="" textlink="">
      <xdr:nvSpPr>
        <xdr:cNvPr id="73712" name="Text Box 3261"/>
        <xdr:cNvSpPr txBox="1">
          <a:spLocks noChangeArrowheads="1"/>
        </xdr:cNvSpPr>
      </xdr:nvSpPr>
      <xdr:spPr bwMode="auto">
        <a:xfrm>
          <a:off x="0" y="205740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83</xdr:row>
      <xdr:rowOff>0</xdr:rowOff>
    </xdr:from>
    <xdr:to>
      <xdr:col>0</xdr:col>
      <xdr:colOff>104775</xdr:colOff>
      <xdr:row>84</xdr:row>
      <xdr:rowOff>9525</xdr:rowOff>
    </xdr:to>
    <xdr:sp macro="" textlink="">
      <xdr:nvSpPr>
        <xdr:cNvPr id="73713" name="Text Box 3262"/>
        <xdr:cNvSpPr txBox="1">
          <a:spLocks noChangeArrowheads="1"/>
        </xdr:cNvSpPr>
      </xdr:nvSpPr>
      <xdr:spPr bwMode="auto">
        <a:xfrm>
          <a:off x="0" y="205740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83</xdr:row>
      <xdr:rowOff>0</xdr:rowOff>
    </xdr:from>
    <xdr:to>
      <xdr:col>0</xdr:col>
      <xdr:colOff>104775</xdr:colOff>
      <xdr:row>84</xdr:row>
      <xdr:rowOff>9525</xdr:rowOff>
    </xdr:to>
    <xdr:sp macro="" textlink="">
      <xdr:nvSpPr>
        <xdr:cNvPr id="73714" name="Text Box 3263"/>
        <xdr:cNvSpPr txBox="1">
          <a:spLocks noChangeArrowheads="1"/>
        </xdr:cNvSpPr>
      </xdr:nvSpPr>
      <xdr:spPr bwMode="auto">
        <a:xfrm>
          <a:off x="0" y="205740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83</xdr:row>
      <xdr:rowOff>0</xdr:rowOff>
    </xdr:from>
    <xdr:to>
      <xdr:col>0</xdr:col>
      <xdr:colOff>104775</xdr:colOff>
      <xdr:row>84</xdr:row>
      <xdr:rowOff>9525</xdr:rowOff>
    </xdr:to>
    <xdr:sp macro="" textlink="">
      <xdr:nvSpPr>
        <xdr:cNvPr id="73715" name="Text Box 3264"/>
        <xdr:cNvSpPr txBox="1">
          <a:spLocks noChangeArrowheads="1"/>
        </xdr:cNvSpPr>
      </xdr:nvSpPr>
      <xdr:spPr bwMode="auto">
        <a:xfrm>
          <a:off x="0" y="205740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83</xdr:row>
      <xdr:rowOff>0</xdr:rowOff>
    </xdr:from>
    <xdr:to>
      <xdr:col>0</xdr:col>
      <xdr:colOff>104775</xdr:colOff>
      <xdr:row>84</xdr:row>
      <xdr:rowOff>9525</xdr:rowOff>
    </xdr:to>
    <xdr:sp macro="" textlink="">
      <xdr:nvSpPr>
        <xdr:cNvPr id="73716" name="Text Box 3265"/>
        <xdr:cNvSpPr txBox="1">
          <a:spLocks noChangeArrowheads="1"/>
        </xdr:cNvSpPr>
      </xdr:nvSpPr>
      <xdr:spPr bwMode="auto">
        <a:xfrm>
          <a:off x="0" y="205740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83</xdr:row>
      <xdr:rowOff>0</xdr:rowOff>
    </xdr:from>
    <xdr:to>
      <xdr:col>0</xdr:col>
      <xdr:colOff>104775</xdr:colOff>
      <xdr:row>84</xdr:row>
      <xdr:rowOff>9525</xdr:rowOff>
    </xdr:to>
    <xdr:sp macro="" textlink="">
      <xdr:nvSpPr>
        <xdr:cNvPr id="73717" name="Text Box 3266"/>
        <xdr:cNvSpPr txBox="1">
          <a:spLocks noChangeArrowheads="1"/>
        </xdr:cNvSpPr>
      </xdr:nvSpPr>
      <xdr:spPr bwMode="auto">
        <a:xfrm>
          <a:off x="0" y="205740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83</xdr:row>
      <xdr:rowOff>0</xdr:rowOff>
    </xdr:from>
    <xdr:to>
      <xdr:col>0</xdr:col>
      <xdr:colOff>104775</xdr:colOff>
      <xdr:row>84</xdr:row>
      <xdr:rowOff>9525</xdr:rowOff>
    </xdr:to>
    <xdr:sp macro="" textlink="">
      <xdr:nvSpPr>
        <xdr:cNvPr id="73718" name="Text Box 3267"/>
        <xdr:cNvSpPr txBox="1">
          <a:spLocks noChangeArrowheads="1"/>
        </xdr:cNvSpPr>
      </xdr:nvSpPr>
      <xdr:spPr bwMode="auto">
        <a:xfrm>
          <a:off x="0" y="205740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83</xdr:row>
      <xdr:rowOff>0</xdr:rowOff>
    </xdr:from>
    <xdr:to>
      <xdr:col>0</xdr:col>
      <xdr:colOff>104775</xdr:colOff>
      <xdr:row>84</xdr:row>
      <xdr:rowOff>9525</xdr:rowOff>
    </xdr:to>
    <xdr:sp macro="" textlink="">
      <xdr:nvSpPr>
        <xdr:cNvPr id="73719" name="Text Box 3268"/>
        <xdr:cNvSpPr txBox="1">
          <a:spLocks noChangeArrowheads="1"/>
        </xdr:cNvSpPr>
      </xdr:nvSpPr>
      <xdr:spPr bwMode="auto">
        <a:xfrm>
          <a:off x="0" y="205740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83</xdr:row>
      <xdr:rowOff>0</xdr:rowOff>
    </xdr:from>
    <xdr:to>
      <xdr:col>0</xdr:col>
      <xdr:colOff>104775</xdr:colOff>
      <xdr:row>84</xdr:row>
      <xdr:rowOff>9525</xdr:rowOff>
    </xdr:to>
    <xdr:sp macro="" textlink="">
      <xdr:nvSpPr>
        <xdr:cNvPr id="73720" name="Text Box 3261"/>
        <xdr:cNvSpPr txBox="1">
          <a:spLocks noChangeArrowheads="1"/>
        </xdr:cNvSpPr>
      </xdr:nvSpPr>
      <xdr:spPr bwMode="auto">
        <a:xfrm>
          <a:off x="0" y="205740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83</xdr:row>
      <xdr:rowOff>0</xdr:rowOff>
    </xdr:from>
    <xdr:to>
      <xdr:col>0</xdr:col>
      <xdr:colOff>104775</xdr:colOff>
      <xdr:row>84</xdr:row>
      <xdr:rowOff>9525</xdr:rowOff>
    </xdr:to>
    <xdr:sp macro="" textlink="">
      <xdr:nvSpPr>
        <xdr:cNvPr id="73721" name="Text Box 3262"/>
        <xdr:cNvSpPr txBox="1">
          <a:spLocks noChangeArrowheads="1"/>
        </xdr:cNvSpPr>
      </xdr:nvSpPr>
      <xdr:spPr bwMode="auto">
        <a:xfrm>
          <a:off x="0" y="205740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83</xdr:row>
      <xdr:rowOff>0</xdr:rowOff>
    </xdr:from>
    <xdr:to>
      <xdr:col>0</xdr:col>
      <xdr:colOff>104775</xdr:colOff>
      <xdr:row>84</xdr:row>
      <xdr:rowOff>9525</xdr:rowOff>
    </xdr:to>
    <xdr:sp macro="" textlink="">
      <xdr:nvSpPr>
        <xdr:cNvPr id="73722" name="Text Box 3263"/>
        <xdr:cNvSpPr txBox="1">
          <a:spLocks noChangeArrowheads="1"/>
        </xdr:cNvSpPr>
      </xdr:nvSpPr>
      <xdr:spPr bwMode="auto">
        <a:xfrm>
          <a:off x="0" y="205740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83</xdr:row>
      <xdr:rowOff>0</xdr:rowOff>
    </xdr:from>
    <xdr:to>
      <xdr:col>0</xdr:col>
      <xdr:colOff>104775</xdr:colOff>
      <xdr:row>84</xdr:row>
      <xdr:rowOff>9525</xdr:rowOff>
    </xdr:to>
    <xdr:sp macro="" textlink="">
      <xdr:nvSpPr>
        <xdr:cNvPr id="73723" name="Text Box 3264"/>
        <xdr:cNvSpPr txBox="1">
          <a:spLocks noChangeArrowheads="1"/>
        </xdr:cNvSpPr>
      </xdr:nvSpPr>
      <xdr:spPr bwMode="auto">
        <a:xfrm>
          <a:off x="0" y="205740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83</xdr:row>
      <xdr:rowOff>0</xdr:rowOff>
    </xdr:from>
    <xdr:to>
      <xdr:col>0</xdr:col>
      <xdr:colOff>104775</xdr:colOff>
      <xdr:row>84</xdr:row>
      <xdr:rowOff>9525</xdr:rowOff>
    </xdr:to>
    <xdr:sp macro="" textlink="">
      <xdr:nvSpPr>
        <xdr:cNvPr id="73724" name="Text Box 3265"/>
        <xdr:cNvSpPr txBox="1">
          <a:spLocks noChangeArrowheads="1"/>
        </xdr:cNvSpPr>
      </xdr:nvSpPr>
      <xdr:spPr bwMode="auto">
        <a:xfrm>
          <a:off x="0" y="205740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83</xdr:row>
      <xdr:rowOff>0</xdr:rowOff>
    </xdr:from>
    <xdr:to>
      <xdr:col>0</xdr:col>
      <xdr:colOff>104775</xdr:colOff>
      <xdr:row>84</xdr:row>
      <xdr:rowOff>9525</xdr:rowOff>
    </xdr:to>
    <xdr:sp macro="" textlink="">
      <xdr:nvSpPr>
        <xdr:cNvPr id="73725" name="Text Box 3266"/>
        <xdr:cNvSpPr txBox="1">
          <a:spLocks noChangeArrowheads="1"/>
        </xdr:cNvSpPr>
      </xdr:nvSpPr>
      <xdr:spPr bwMode="auto">
        <a:xfrm>
          <a:off x="0" y="205740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83</xdr:row>
      <xdr:rowOff>0</xdr:rowOff>
    </xdr:from>
    <xdr:to>
      <xdr:col>0</xdr:col>
      <xdr:colOff>104775</xdr:colOff>
      <xdr:row>84</xdr:row>
      <xdr:rowOff>9525</xdr:rowOff>
    </xdr:to>
    <xdr:sp macro="" textlink="">
      <xdr:nvSpPr>
        <xdr:cNvPr id="73726" name="Text Box 3267"/>
        <xdr:cNvSpPr txBox="1">
          <a:spLocks noChangeArrowheads="1"/>
        </xdr:cNvSpPr>
      </xdr:nvSpPr>
      <xdr:spPr bwMode="auto">
        <a:xfrm>
          <a:off x="0" y="205740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83</xdr:row>
      <xdr:rowOff>0</xdr:rowOff>
    </xdr:from>
    <xdr:to>
      <xdr:col>0</xdr:col>
      <xdr:colOff>104775</xdr:colOff>
      <xdr:row>84</xdr:row>
      <xdr:rowOff>9525</xdr:rowOff>
    </xdr:to>
    <xdr:sp macro="" textlink="">
      <xdr:nvSpPr>
        <xdr:cNvPr id="73727" name="Text Box 3268"/>
        <xdr:cNvSpPr txBox="1">
          <a:spLocks noChangeArrowheads="1"/>
        </xdr:cNvSpPr>
      </xdr:nvSpPr>
      <xdr:spPr bwMode="auto">
        <a:xfrm>
          <a:off x="0" y="20574000"/>
          <a:ext cx="10477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rgb="FFFFFF99"/>
  </sheetPr>
  <dimension ref="A1:K95"/>
  <sheetViews>
    <sheetView tabSelected="1" zoomScale="75" zoomScaleNormal="75" workbookViewId="0"/>
  </sheetViews>
  <sheetFormatPr defaultColWidth="8.85546875" defaultRowHeight="15" customHeight="1" x14ac:dyDescent="0.2"/>
  <cols>
    <col min="1" max="1" width="1.7109375" style="8" customWidth="1"/>
    <col min="2" max="2" width="100.7109375" style="8" customWidth="1"/>
    <col min="3" max="3" width="16.7109375" style="8" customWidth="1"/>
    <col min="4" max="10" width="16.7109375" customWidth="1"/>
    <col min="11" max="11" width="1.7109375" customWidth="1"/>
  </cols>
  <sheetData>
    <row r="1" spans="1:11" ht="30" customHeight="1" x14ac:dyDescent="0.4">
      <c r="A1" s="1055" t="s">
        <v>1094</v>
      </c>
      <c r="B1" s="35"/>
      <c r="C1" s="40" t="str">
        <f>CONCATENATE("v",Parameters!C4,".",Parameters!D4,".",Parameters!E4)</f>
        <v>v2.8.S1</v>
      </c>
      <c r="D1" s="203"/>
      <c r="E1" s="203"/>
      <c r="F1" s="203"/>
      <c r="G1" s="203"/>
      <c r="H1" s="203"/>
      <c r="I1" s="203"/>
      <c r="J1" s="203"/>
      <c r="K1" s="32"/>
    </row>
    <row r="2" spans="1:11" ht="30" customHeight="1" x14ac:dyDescent="0.25">
      <c r="A2" s="23" t="s">
        <v>532</v>
      </c>
      <c r="B2" s="18"/>
      <c r="C2" s="19"/>
      <c r="D2" s="203"/>
      <c r="E2" s="203"/>
      <c r="F2" s="203"/>
      <c r="G2" s="203"/>
      <c r="H2" s="203"/>
      <c r="I2" s="203"/>
      <c r="J2" s="203"/>
      <c r="K2" s="32"/>
    </row>
    <row r="3" spans="1:11" ht="30" customHeight="1" x14ac:dyDescent="0.25">
      <c r="A3" s="20" t="s">
        <v>484</v>
      </c>
      <c r="B3" s="13"/>
      <c r="C3" s="14"/>
      <c r="D3" s="33"/>
      <c r="E3" s="33"/>
      <c r="F3" s="33"/>
      <c r="G3" s="33"/>
      <c r="H3" s="33"/>
      <c r="I3" s="33"/>
      <c r="J3" s="33"/>
      <c r="K3" s="41"/>
    </row>
    <row r="4" spans="1:11" s="2" customFormat="1" ht="15" customHeight="1" x14ac:dyDescent="0.2">
      <c r="A4" s="63"/>
      <c r="B4" s="64"/>
      <c r="C4" s="1169"/>
      <c r="D4" s="1170"/>
      <c r="E4" s="1170"/>
      <c r="F4" s="1170"/>
      <c r="G4" s="1170"/>
      <c r="H4" s="1170"/>
      <c r="I4" s="1170"/>
      <c r="J4" s="1170"/>
      <c r="K4" s="1143"/>
    </row>
    <row r="5" spans="1:11" s="2" customFormat="1" ht="15" customHeight="1" x14ac:dyDescent="0.2">
      <c r="A5" s="65"/>
      <c r="B5" s="234" t="s">
        <v>173</v>
      </c>
      <c r="C5" s="235"/>
      <c r="D5" s="1350"/>
      <c r="F5" s="1622" t="s">
        <v>1522</v>
      </c>
      <c r="G5" s="1622"/>
      <c r="H5" s="1622"/>
      <c r="I5" s="1622"/>
      <c r="J5" s="1170"/>
      <c r="K5" s="1143"/>
    </row>
    <row r="6" spans="1:11" s="2" customFormat="1" ht="15" customHeight="1" x14ac:dyDescent="0.2">
      <c r="A6" s="65"/>
      <c r="B6" s="236" t="s">
        <v>172</v>
      </c>
      <c r="C6" s="237"/>
      <c r="D6" s="1351"/>
      <c r="F6" s="1622"/>
      <c r="G6" s="1622"/>
      <c r="H6" s="1622"/>
      <c r="I6" s="1622"/>
      <c r="J6" s="1170"/>
      <c r="K6" s="1143"/>
    </row>
    <row r="7" spans="1:11" s="2" customFormat="1" ht="15" customHeight="1" x14ac:dyDescent="0.2">
      <c r="A7" s="65"/>
      <c r="B7" s="236" t="s">
        <v>174</v>
      </c>
      <c r="C7" s="237"/>
      <c r="D7" s="1351"/>
      <c r="F7" s="1622"/>
      <c r="G7" s="1622"/>
      <c r="H7" s="1622"/>
      <c r="I7" s="1622"/>
      <c r="J7" s="1170"/>
      <c r="K7" s="1143"/>
    </row>
    <row r="8" spans="1:11" s="2" customFormat="1" ht="15" customHeight="1" x14ac:dyDescent="0.2">
      <c r="A8" s="65"/>
      <c r="B8" s="236" t="s">
        <v>533</v>
      </c>
      <c r="C8" s="238" t="s">
        <v>169</v>
      </c>
      <c r="D8" s="1351"/>
      <c r="F8" s="1622"/>
      <c r="G8" s="1622"/>
      <c r="H8" s="1622"/>
      <c r="I8" s="1622"/>
      <c r="J8" s="1170"/>
      <c r="K8" s="1143"/>
    </row>
    <row r="9" spans="1:11" s="1168" customFormat="1" ht="15" customHeight="1" x14ac:dyDescent="0.2">
      <c r="A9" s="65"/>
      <c r="B9" s="240" t="s">
        <v>1518</v>
      </c>
      <c r="C9" s="1598" t="s">
        <v>169</v>
      </c>
      <c r="D9" s="1351"/>
      <c r="F9" s="1622"/>
      <c r="G9" s="1622"/>
      <c r="H9" s="1622"/>
      <c r="I9" s="1622"/>
      <c r="J9" s="1170"/>
      <c r="K9" s="1143"/>
    </row>
    <row r="10" spans="1:11" s="2" customFormat="1" ht="15" customHeight="1" x14ac:dyDescent="0.2">
      <c r="A10" s="65"/>
      <c r="B10" s="236" t="s">
        <v>520</v>
      </c>
      <c r="C10" s="238" t="s">
        <v>169</v>
      </c>
      <c r="D10" s="1351"/>
      <c r="F10" s="1622"/>
      <c r="G10" s="1622"/>
      <c r="H10" s="1622"/>
      <c r="I10" s="1622"/>
      <c r="J10" s="1170"/>
      <c r="K10" s="1143"/>
    </row>
    <row r="11" spans="1:11" s="2" customFormat="1" ht="15" customHeight="1" x14ac:dyDescent="0.2">
      <c r="A11" s="65"/>
      <c r="B11" s="236" t="s">
        <v>525</v>
      </c>
      <c r="C11" s="238" t="s">
        <v>169</v>
      </c>
      <c r="D11" s="1351"/>
      <c r="F11" s="1622"/>
      <c r="G11" s="1622"/>
      <c r="H11" s="1622"/>
      <c r="I11" s="1622"/>
      <c r="J11" s="1170"/>
      <c r="K11" s="1143"/>
    </row>
    <row r="12" spans="1:11" s="2" customFormat="1" ht="15" customHeight="1" x14ac:dyDescent="0.2">
      <c r="A12" s="65"/>
      <c r="B12" s="236" t="s">
        <v>526</v>
      </c>
      <c r="C12" s="238" t="s">
        <v>169</v>
      </c>
      <c r="D12" s="1351"/>
      <c r="F12" s="1622"/>
      <c r="G12" s="1622"/>
      <c r="H12" s="1622"/>
      <c r="I12" s="1622"/>
      <c r="J12" s="1170"/>
      <c r="K12" s="1143"/>
    </row>
    <row r="13" spans="1:11" s="2" customFormat="1" ht="30" customHeight="1" x14ac:dyDescent="0.2">
      <c r="A13" s="65"/>
      <c r="B13" s="236" t="s">
        <v>166</v>
      </c>
      <c r="C13" s="238" t="s">
        <v>617</v>
      </c>
      <c r="D13" s="1351"/>
      <c r="F13" s="1622"/>
      <c r="G13" s="1622"/>
      <c r="H13" s="1622"/>
      <c r="I13" s="1622"/>
      <c r="J13" s="1170"/>
      <c r="K13" s="1143"/>
    </row>
    <row r="14" spans="1:11" s="2" customFormat="1" ht="15" customHeight="1" x14ac:dyDescent="0.2">
      <c r="A14" s="65"/>
      <c r="B14" s="236" t="s">
        <v>476</v>
      </c>
      <c r="C14" s="238"/>
      <c r="D14" s="1351"/>
      <c r="F14" s="1622"/>
      <c r="G14" s="1622"/>
      <c r="H14" s="1622"/>
      <c r="I14" s="1622"/>
      <c r="J14" s="1170"/>
      <c r="K14" s="1143"/>
    </row>
    <row r="15" spans="1:11" s="2" customFormat="1" ht="15" customHeight="1" x14ac:dyDescent="0.2">
      <c r="A15" s="65"/>
      <c r="B15" s="236" t="s">
        <v>95</v>
      </c>
      <c r="C15" s="239"/>
      <c r="D15" s="1351"/>
      <c r="F15" s="1622"/>
      <c r="G15" s="1622"/>
      <c r="H15" s="1622"/>
      <c r="I15" s="1622"/>
      <c r="J15" s="1170"/>
      <c r="K15" s="1143"/>
    </row>
    <row r="16" spans="1:11" s="2" customFormat="1" ht="15" customHeight="1" x14ac:dyDescent="0.2">
      <c r="A16" s="65"/>
      <c r="B16" s="240" t="s">
        <v>846</v>
      </c>
      <c r="C16" s="241">
        <v>0</v>
      </c>
      <c r="D16" s="1351"/>
      <c r="F16" s="1622"/>
      <c r="G16" s="1622"/>
      <c r="H16" s="1622"/>
      <c r="I16" s="1622"/>
      <c r="J16" s="1170"/>
      <c r="K16" s="1143"/>
    </row>
    <row r="17" spans="1:11" s="2" customFormat="1" ht="15" customHeight="1" x14ac:dyDescent="0.2">
      <c r="A17" s="65"/>
      <c r="B17" s="240" t="s">
        <v>866</v>
      </c>
      <c r="C17" s="241"/>
      <c r="D17" s="1351"/>
      <c r="F17" s="1622"/>
      <c r="G17" s="1622"/>
      <c r="H17" s="1622"/>
      <c r="I17" s="1622"/>
      <c r="J17" s="1170"/>
      <c r="K17" s="1143"/>
    </row>
    <row r="18" spans="1:11" s="2" customFormat="1" ht="15" customHeight="1" x14ac:dyDescent="0.2">
      <c r="A18" s="65"/>
      <c r="B18" s="240" t="s">
        <v>865</v>
      </c>
      <c r="C18" s="241"/>
      <c r="D18" s="1351"/>
      <c r="F18" s="1622"/>
      <c r="G18" s="1622"/>
      <c r="H18" s="1622"/>
      <c r="I18" s="1622"/>
      <c r="J18" s="1170"/>
      <c r="K18" s="1143"/>
    </row>
    <row r="19" spans="1:11" s="2" customFormat="1" ht="15" customHeight="1" x14ac:dyDescent="0.2">
      <c r="A19" s="65"/>
      <c r="B19" s="240" t="s">
        <v>864</v>
      </c>
      <c r="C19" s="241"/>
      <c r="D19" s="1351"/>
      <c r="F19" s="1622"/>
      <c r="G19" s="1622"/>
      <c r="H19" s="1622"/>
      <c r="I19" s="1622"/>
      <c r="J19" s="1170"/>
      <c r="K19" s="1143"/>
    </row>
    <row r="20" spans="1:11" s="2" customFormat="1" ht="15" customHeight="1" x14ac:dyDescent="0.2">
      <c r="A20" s="65"/>
      <c r="B20" s="242" t="s">
        <v>130</v>
      </c>
      <c r="C20" s="243">
        <v>1</v>
      </c>
      <c r="D20" s="1354">
        <f>C20*C44</f>
        <v>1</v>
      </c>
      <c r="F20" s="1622"/>
      <c r="G20" s="1622"/>
      <c r="H20" s="1622"/>
      <c r="I20" s="1622"/>
      <c r="J20" s="1170"/>
      <c r="K20" s="1143"/>
    </row>
    <row r="21" spans="1:11" s="2" customFormat="1" ht="15" customHeight="1" x14ac:dyDescent="0.2">
      <c r="A21" s="65"/>
      <c r="B21" s="242" t="s">
        <v>312</v>
      </c>
      <c r="C21" s="244"/>
      <c r="D21" s="1351"/>
      <c r="F21" s="1622"/>
      <c r="G21" s="1622"/>
      <c r="H21" s="1622"/>
      <c r="I21" s="1622"/>
      <c r="J21" s="1170"/>
      <c r="K21" s="1143"/>
    </row>
    <row r="22" spans="1:11" s="2" customFormat="1" ht="15" customHeight="1" x14ac:dyDescent="0.2">
      <c r="A22" s="65"/>
      <c r="B22" s="242" t="s">
        <v>190</v>
      </c>
      <c r="C22" s="238" t="s">
        <v>168</v>
      </c>
      <c r="D22" s="1351"/>
      <c r="F22" s="1622"/>
      <c r="G22" s="1622"/>
      <c r="H22" s="1622"/>
      <c r="I22" s="1622"/>
      <c r="J22" s="1170"/>
      <c r="K22" s="1143"/>
    </row>
    <row r="23" spans="1:11" s="2" customFormat="1" ht="15" customHeight="1" x14ac:dyDescent="0.2">
      <c r="A23" s="65"/>
      <c r="B23" s="245" t="s">
        <v>290</v>
      </c>
      <c r="C23" s="238" t="s">
        <v>168</v>
      </c>
      <c r="D23" s="1351"/>
      <c r="F23" s="1622"/>
      <c r="G23" s="1622"/>
      <c r="H23" s="1622"/>
      <c r="I23" s="1622"/>
      <c r="J23" s="1170"/>
      <c r="K23" s="1143"/>
    </row>
    <row r="24" spans="1:11" s="2" customFormat="1" ht="15" customHeight="1" x14ac:dyDescent="0.2">
      <c r="A24" s="65"/>
      <c r="B24" s="242" t="s">
        <v>191</v>
      </c>
      <c r="C24" s="238" t="s">
        <v>168</v>
      </c>
      <c r="D24" s="1351"/>
      <c r="F24" s="1622"/>
      <c r="G24" s="1622"/>
      <c r="H24" s="1622"/>
      <c r="I24" s="1622"/>
      <c r="J24" s="1170"/>
      <c r="K24" s="1143"/>
    </row>
    <row r="25" spans="1:11" s="2" customFormat="1" ht="15" customHeight="1" x14ac:dyDescent="0.2">
      <c r="A25" s="65"/>
      <c r="B25" s="245" t="s">
        <v>290</v>
      </c>
      <c r="C25" s="238" t="s">
        <v>168</v>
      </c>
      <c r="D25" s="1351"/>
      <c r="F25" s="1622"/>
      <c r="G25" s="1622"/>
      <c r="H25" s="1622"/>
      <c r="I25" s="1622"/>
      <c r="J25" s="1170"/>
      <c r="K25" s="1143"/>
    </row>
    <row r="26" spans="1:11" s="2" customFormat="1" ht="15" customHeight="1" x14ac:dyDescent="0.2">
      <c r="A26" s="65"/>
      <c r="B26" s="246" t="s">
        <v>867</v>
      </c>
      <c r="C26" s="238" t="s">
        <v>168</v>
      </c>
      <c r="D26" s="1351"/>
      <c r="F26" s="1622"/>
      <c r="G26" s="1622"/>
      <c r="H26" s="1622"/>
      <c r="I26" s="1622"/>
      <c r="J26" s="1170"/>
      <c r="K26" s="1143"/>
    </row>
    <row r="27" spans="1:11" s="2" customFormat="1" ht="15" customHeight="1" x14ac:dyDescent="0.2">
      <c r="A27" s="65"/>
      <c r="B27" s="245" t="s">
        <v>290</v>
      </c>
      <c r="C27" s="238" t="s">
        <v>168</v>
      </c>
      <c r="D27" s="1351"/>
      <c r="E27" s="1170"/>
      <c r="F27" s="1170"/>
      <c r="G27" s="1170"/>
      <c r="H27" s="1170"/>
      <c r="I27" s="1170"/>
      <c r="J27" s="1170"/>
      <c r="K27" s="1143"/>
    </row>
    <row r="28" spans="1:11" s="2" customFormat="1" ht="15" customHeight="1" x14ac:dyDescent="0.2">
      <c r="A28" s="65"/>
      <c r="B28" s="246" t="s">
        <v>868</v>
      </c>
      <c r="C28" s="238" t="s">
        <v>168</v>
      </c>
      <c r="D28" s="1351"/>
      <c r="E28" s="1170"/>
      <c r="F28" s="1170"/>
      <c r="G28" s="1170"/>
      <c r="H28" s="1170"/>
      <c r="I28" s="1170"/>
      <c r="J28" s="1170"/>
      <c r="K28" s="1143"/>
    </row>
    <row r="29" spans="1:11" s="2" customFormat="1" ht="15" customHeight="1" x14ac:dyDescent="0.2">
      <c r="A29" s="65"/>
      <c r="B29" s="245" t="s">
        <v>290</v>
      </c>
      <c r="C29" s="238" t="s">
        <v>168</v>
      </c>
      <c r="D29" s="1351"/>
      <c r="E29" s="1170"/>
      <c r="F29" s="1170"/>
      <c r="G29" s="1170"/>
      <c r="H29" s="1170"/>
      <c r="I29" s="1170"/>
      <c r="J29" s="1170"/>
      <c r="K29" s="1143"/>
    </row>
    <row r="30" spans="1:11" s="2" customFormat="1" ht="15" customHeight="1" x14ac:dyDescent="0.2">
      <c r="A30" s="65"/>
      <c r="B30" s="246" t="s">
        <v>1182</v>
      </c>
      <c r="C30" s="238" t="s">
        <v>168</v>
      </c>
      <c r="D30" s="1351"/>
      <c r="E30" s="1170"/>
      <c r="F30" s="1170"/>
      <c r="G30" s="1170"/>
      <c r="H30" s="1170"/>
      <c r="I30" s="1170"/>
      <c r="J30" s="1170"/>
      <c r="K30" s="1143"/>
    </row>
    <row r="31" spans="1:11" s="2" customFormat="1" ht="15" customHeight="1" x14ac:dyDescent="0.2">
      <c r="A31" s="65"/>
      <c r="B31" s="245" t="s">
        <v>290</v>
      </c>
      <c r="C31" s="247"/>
      <c r="D31" s="1351"/>
      <c r="E31" s="1170"/>
      <c r="F31" s="1170"/>
      <c r="G31" s="1170"/>
      <c r="H31" s="1170"/>
      <c r="I31" s="1170"/>
      <c r="J31" s="1170"/>
      <c r="K31" s="1143"/>
    </row>
    <row r="32" spans="1:11" s="1168" customFormat="1" ht="15" customHeight="1" x14ac:dyDescent="0.2">
      <c r="A32" s="65"/>
      <c r="B32" s="246" t="s">
        <v>1212</v>
      </c>
      <c r="C32" s="238" t="s">
        <v>168</v>
      </c>
      <c r="D32" s="1351"/>
      <c r="E32" s="1170"/>
      <c r="F32" s="1170"/>
      <c r="G32" s="1170"/>
      <c r="H32" s="1170"/>
      <c r="I32" s="1170"/>
      <c r="J32" s="1170"/>
      <c r="K32" s="1143"/>
    </row>
    <row r="33" spans="1:11" s="1168" customFormat="1" ht="15" customHeight="1" x14ac:dyDescent="0.2">
      <c r="A33" s="65"/>
      <c r="B33" s="245" t="s">
        <v>290</v>
      </c>
      <c r="C33" s="247"/>
      <c r="D33" s="1351"/>
      <c r="E33" s="1170"/>
      <c r="F33" s="1170"/>
      <c r="G33" s="1170"/>
      <c r="H33" s="1170"/>
      <c r="I33" s="1170"/>
      <c r="J33" s="1170"/>
      <c r="K33" s="1143"/>
    </row>
    <row r="34" spans="1:11" s="1168" customFormat="1" ht="15" customHeight="1" x14ac:dyDescent="0.2">
      <c r="A34" s="65"/>
      <c r="B34" s="246" t="s">
        <v>1496</v>
      </c>
      <c r="C34" s="238" t="s">
        <v>168</v>
      </c>
      <c r="D34" s="1351"/>
      <c r="E34" s="1170"/>
      <c r="F34" s="1170"/>
      <c r="G34" s="1170"/>
      <c r="H34" s="1170"/>
      <c r="I34" s="1170"/>
      <c r="J34" s="1170"/>
      <c r="K34" s="1143"/>
    </row>
    <row r="35" spans="1:11" s="1168" customFormat="1" ht="15" customHeight="1" x14ac:dyDescent="0.2">
      <c r="A35" s="65"/>
      <c r="B35" s="245" t="s">
        <v>290</v>
      </c>
      <c r="C35" s="247"/>
      <c r="D35" s="1351"/>
      <c r="E35" s="1170"/>
      <c r="F35" s="1170"/>
      <c r="G35" s="1170"/>
      <c r="H35" s="1170"/>
      <c r="I35" s="1170"/>
      <c r="J35" s="1170"/>
      <c r="K35" s="1143"/>
    </row>
    <row r="36" spans="1:11" s="208" customFormat="1" ht="15" customHeight="1" x14ac:dyDescent="0.2">
      <c r="A36" s="65"/>
      <c r="B36" s="246" t="s">
        <v>1497</v>
      </c>
      <c r="C36" s="238" t="s">
        <v>168</v>
      </c>
      <c r="D36" s="1351"/>
      <c r="E36" s="1170"/>
      <c r="F36" s="1170"/>
      <c r="G36" s="1170"/>
      <c r="H36" s="1170"/>
      <c r="I36" s="1170"/>
      <c r="J36" s="1170"/>
      <c r="K36" s="1143"/>
    </row>
    <row r="37" spans="1:11" s="208" customFormat="1" ht="15" customHeight="1" x14ac:dyDescent="0.2">
      <c r="A37" s="65"/>
      <c r="B37" s="245" t="s">
        <v>290</v>
      </c>
      <c r="C37" s="247"/>
      <c r="D37" s="1351"/>
      <c r="E37" s="1170"/>
      <c r="F37" s="1170"/>
      <c r="G37" s="1170"/>
      <c r="H37" s="1170"/>
      <c r="I37" s="1170"/>
      <c r="J37" s="1170"/>
      <c r="K37" s="1143"/>
    </row>
    <row r="38" spans="1:11" s="1168" customFormat="1" ht="15" customHeight="1" x14ac:dyDescent="0.2">
      <c r="A38" s="65"/>
      <c r="B38" s="246" t="s">
        <v>1498</v>
      </c>
      <c r="C38" s="238" t="s">
        <v>168</v>
      </c>
      <c r="D38" s="1351"/>
      <c r="E38" s="1170"/>
      <c r="F38" s="1170"/>
      <c r="G38" s="1170"/>
      <c r="H38" s="1170"/>
      <c r="I38" s="1170"/>
      <c r="J38" s="1170"/>
      <c r="K38" s="1143"/>
    </row>
    <row r="39" spans="1:11" s="1168" customFormat="1" ht="15" customHeight="1" x14ac:dyDescent="0.2">
      <c r="A39" s="65"/>
      <c r="B39" s="245" t="s">
        <v>290</v>
      </c>
      <c r="C39" s="247"/>
      <c r="D39" s="1351"/>
      <c r="E39" s="1170"/>
      <c r="F39" s="1170"/>
      <c r="G39" s="1170"/>
      <c r="H39" s="1170"/>
      <c r="I39" s="1170"/>
      <c r="J39" s="1170"/>
      <c r="K39" s="1143"/>
    </row>
    <row r="40" spans="1:11" s="1168" customFormat="1" ht="15" customHeight="1" x14ac:dyDescent="0.2">
      <c r="A40" s="65"/>
      <c r="B40" s="246" t="s">
        <v>1404</v>
      </c>
      <c r="C40" s="238" t="s">
        <v>168</v>
      </c>
      <c r="D40" s="1351"/>
      <c r="E40" s="1170"/>
      <c r="F40" s="1170"/>
      <c r="G40" s="1170"/>
      <c r="H40" s="1170"/>
      <c r="I40" s="1170"/>
      <c r="J40" s="1170"/>
      <c r="K40" s="1143"/>
    </row>
    <row r="41" spans="1:11" s="1168" customFormat="1" ht="15" customHeight="1" x14ac:dyDescent="0.2">
      <c r="A41" s="65"/>
      <c r="B41" s="245" t="s">
        <v>290</v>
      </c>
      <c r="C41" s="247"/>
      <c r="D41" s="1351"/>
      <c r="E41" s="1170"/>
      <c r="F41" s="1170"/>
      <c r="G41" s="1170"/>
      <c r="H41" s="1170"/>
      <c r="I41" s="1170"/>
      <c r="J41" s="1170"/>
      <c r="K41" s="1143"/>
    </row>
    <row r="42" spans="1:11" s="2" customFormat="1" ht="15" customHeight="1" x14ac:dyDescent="0.2">
      <c r="A42" s="65"/>
      <c r="B42" s="242" t="s">
        <v>164</v>
      </c>
      <c r="C42" s="248"/>
      <c r="D42" s="1351"/>
      <c r="E42" s="1170"/>
      <c r="F42" s="1170"/>
      <c r="G42" s="1170"/>
      <c r="H42" s="1170"/>
      <c r="I42" s="1170"/>
      <c r="J42" s="1170"/>
      <c r="K42" s="1143"/>
    </row>
    <row r="43" spans="1:11" s="2" customFormat="1" ht="15" customHeight="1" x14ac:dyDescent="0.2">
      <c r="A43" s="65"/>
      <c r="B43" s="242" t="s">
        <v>528</v>
      </c>
      <c r="C43" s="249"/>
      <c r="D43" s="1352"/>
      <c r="E43" s="1170"/>
      <c r="F43" s="1170"/>
      <c r="G43" s="1170"/>
      <c r="H43" s="1170"/>
      <c r="I43" s="1170"/>
      <c r="J43" s="1170"/>
      <c r="K43" s="1143"/>
    </row>
    <row r="44" spans="1:11" s="2" customFormat="1" ht="15" customHeight="1" x14ac:dyDescent="0.2">
      <c r="A44" s="65"/>
      <c r="B44" s="242" t="s">
        <v>477</v>
      </c>
      <c r="C44" s="1513">
        <v>1</v>
      </c>
      <c r="D44" s="1349" t="str">
        <f>VLOOKUP(C44,UnitT,2)</f>
        <v>One</v>
      </c>
      <c r="E44" s="1170"/>
      <c r="F44" s="1170"/>
      <c r="G44" s="1170"/>
      <c r="H44" s="1170"/>
      <c r="I44" s="1170"/>
      <c r="J44" s="1170"/>
      <c r="K44" s="1143"/>
    </row>
    <row r="45" spans="1:11" s="2" customFormat="1" ht="15" customHeight="1" x14ac:dyDescent="0.2">
      <c r="A45" s="65"/>
      <c r="B45" s="250" t="s">
        <v>180</v>
      </c>
      <c r="C45" s="251"/>
      <c r="D45" s="1353"/>
      <c r="E45" s="1170"/>
      <c r="F45" s="1170"/>
      <c r="G45" s="1170"/>
      <c r="H45" s="1170"/>
      <c r="I45" s="1170"/>
      <c r="J45" s="1170"/>
      <c r="K45" s="1143"/>
    </row>
    <row r="46" spans="1:11" ht="45" customHeight="1" x14ac:dyDescent="0.25">
      <c r="A46" s="20" t="s">
        <v>485</v>
      </c>
      <c r="B46" s="13"/>
      <c r="C46" s="14"/>
      <c r="D46" s="204"/>
      <c r="E46" s="204"/>
      <c r="F46" s="204"/>
      <c r="G46" s="204"/>
      <c r="H46" s="204"/>
      <c r="I46" s="204"/>
      <c r="J46" s="204"/>
      <c r="K46" s="1171"/>
    </row>
    <row r="47" spans="1:11" s="2" customFormat="1" ht="15" customHeight="1" x14ac:dyDescent="0.2">
      <c r="A47" s="63"/>
      <c r="B47" s="64"/>
      <c r="C47" s="1169"/>
      <c r="D47" s="1170"/>
      <c r="E47" s="1170"/>
      <c r="F47" s="1170"/>
      <c r="G47" s="1170"/>
      <c r="H47" s="1170"/>
      <c r="I47" s="1170"/>
      <c r="J47" s="1170"/>
      <c r="K47" s="1143"/>
    </row>
    <row r="48" spans="1:11" s="2" customFormat="1" ht="15" customHeight="1" x14ac:dyDescent="0.2">
      <c r="A48" s="63"/>
      <c r="B48" s="252" t="s">
        <v>170</v>
      </c>
      <c r="C48" s="253" t="s">
        <v>169</v>
      </c>
      <c r="D48" s="1170"/>
      <c r="E48" s="1170"/>
      <c r="F48" s="1170"/>
      <c r="G48" s="1170"/>
      <c r="H48" s="1170"/>
      <c r="I48" s="1170"/>
      <c r="J48" s="1170"/>
      <c r="K48" s="1143"/>
    </row>
    <row r="49" spans="1:11" s="2" customFormat="1" ht="15" customHeight="1" x14ac:dyDescent="0.2">
      <c r="A49" s="63"/>
      <c r="B49" s="242" t="s">
        <v>556</v>
      </c>
      <c r="C49" s="254" t="s">
        <v>169</v>
      </c>
      <c r="D49" s="1170"/>
      <c r="E49" s="1170"/>
      <c r="F49" s="1170"/>
      <c r="G49" s="1170"/>
      <c r="H49" s="1170"/>
      <c r="I49" s="1170"/>
      <c r="J49" s="1170"/>
      <c r="K49" s="1143"/>
    </row>
    <row r="50" spans="1:11" s="2" customFormat="1" ht="15" customHeight="1" x14ac:dyDescent="0.2">
      <c r="A50" s="65"/>
      <c r="B50" s="242" t="s">
        <v>559</v>
      </c>
      <c r="C50" s="254" t="s">
        <v>169</v>
      </c>
      <c r="D50" s="1170"/>
      <c r="E50" s="1170"/>
      <c r="F50" s="1170"/>
      <c r="G50" s="1170"/>
      <c r="H50" s="1170"/>
      <c r="I50" s="1170"/>
      <c r="J50" s="1170"/>
      <c r="K50" s="1143"/>
    </row>
    <row r="51" spans="1:11" s="2" customFormat="1" ht="15" customHeight="1" x14ac:dyDescent="0.2">
      <c r="A51" s="65"/>
      <c r="B51" s="255" t="s">
        <v>560</v>
      </c>
      <c r="C51" s="251" t="s">
        <v>169</v>
      </c>
      <c r="D51" s="1170"/>
      <c r="E51" s="1170"/>
      <c r="F51" s="1170"/>
      <c r="G51" s="1170"/>
      <c r="H51" s="1170"/>
      <c r="I51" s="1170"/>
      <c r="J51" s="1170"/>
      <c r="K51" s="1143"/>
    </row>
    <row r="52" spans="1:11" s="207" customFormat="1" ht="45" customHeight="1" x14ac:dyDescent="0.25">
      <c r="A52" s="20" t="s">
        <v>893</v>
      </c>
      <c r="B52" s="13"/>
      <c r="C52" s="14"/>
      <c r="D52" s="204"/>
      <c r="E52" s="204"/>
      <c r="F52" s="204"/>
      <c r="G52" s="204"/>
      <c r="H52" s="204"/>
      <c r="I52" s="204"/>
      <c r="J52" s="204"/>
      <c r="K52" s="1171"/>
    </row>
    <row r="53" spans="1:11" s="208" customFormat="1" ht="15" customHeight="1" x14ac:dyDescent="0.2">
      <c r="A53" s="63"/>
      <c r="B53" s="64"/>
      <c r="C53" s="1169"/>
      <c r="D53" s="1170"/>
      <c r="E53" s="1170"/>
      <c r="F53" s="1170"/>
      <c r="G53" s="1170"/>
      <c r="H53" s="1170"/>
      <c r="I53" s="1170"/>
      <c r="J53" s="1170"/>
      <c r="K53" s="1143"/>
    </row>
    <row r="54" spans="1:11" s="208" customFormat="1" ht="15" customHeight="1" x14ac:dyDescent="0.2">
      <c r="A54" s="63"/>
      <c r="B54" s="256" t="s">
        <v>407</v>
      </c>
      <c r="C54" s="257"/>
      <c r="D54" s="1170"/>
      <c r="E54" s="1170"/>
      <c r="F54" s="1170"/>
      <c r="G54" s="1170"/>
      <c r="H54" s="1170"/>
      <c r="I54" s="1170"/>
      <c r="J54" s="1170"/>
      <c r="K54" s="1143"/>
    </row>
    <row r="55" spans="1:11" s="208" customFormat="1" ht="15" customHeight="1" x14ac:dyDescent="0.2">
      <c r="A55" s="66"/>
      <c r="B55" s="1169"/>
      <c r="C55" s="1169"/>
      <c r="D55" s="67"/>
      <c r="E55" s="67"/>
      <c r="F55" s="67"/>
      <c r="G55" s="67"/>
      <c r="H55" s="67"/>
      <c r="I55" s="67"/>
      <c r="J55" s="67"/>
      <c r="K55" s="93"/>
    </row>
    <row r="56" spans="1:11" ht="30" customHeight="1" x14ac:dyDescent="0.25">
      <c r="A56" s="23" t="s">
        <v>644</v>
      </c>
      <c r="B56" s="18"/>
      <c r="C56" s="19"/>
      <c r="D56" s="203"/>
      <c r="E56" s="203"/>
      <c r="F56" s="203"/>
      <c r="G56" s="203"/>
      <c r="H56" s="203"/>
      <c r="I56" s="203"/>
      <c r="J56" s="203"/>
      <c r="K56" s="32"/>
    </row>
    <row r="57" spans="1:11" s="207" customFormat="1" ht="15" customHeight="1" x14ac:dyDescent="0.25">
      <c r="A57" s="1053"/>
      <c r="B57" s="13"/>
      <c r="C57" s="1571"/>
      <c r="D57" s="1575"/>
      <c r="E57" s="1575"/>
      <c r="F57" s="1575"/>
      <c r="G57" s="1575"/>
      <c r="H57" s="1575"/>
      <c r="I57" s="1575"/>
      <c r="J57" s="1575"/>
      <c r="K57" s="1576"/>
    </row>
    <row r="58" spans="1:11" s="189" customFormat="1" ht="15" customHeight="1" x14ac:dyDescent="0.2">
      <c r="A58" s="11"/>
      <c r="B58" s="185" t="str">
        <f>CONCATENATE("Data in cells C ", ROW(C62), " to C", ROW(C75), " must be in line with regulatory reporting.")</f>
        <v>Data in cells C 62 to C75 must be in line with regulatory reporting.</v>
      </c>
      <c r="C58" s="186"/>
      <c r="D58" s="187"/>
      <c r="E58" s="187"/>
      <c r="F58" s="187"/>
      <c r="G58" s="187"/>
      <c r="H58" s="187"/>
      <c r="I58" s="187"/>
      <c r="J58" s="187"/>
      <c r="K58" s="188"/>
    </row>
    <row r="59" spans="1:11" s="2" customFormat="1" ht="15" customHeight="1" x14ac:dyDescent="0.2">
      <c r="A59" s="65"/>
      <c r="B59" s="1169"/>
      <c r="C59" s="1169"/>
      <c r="D59" s="1169"/>
      <c r="E59" s="1170"/>
      <c r="F59" s="1170"/>
      <c r="G59" s="1170"/>
      <c r="H59" s="1170"/>
      <c r="I59" s="1170"/>
      <c r="J59" s="1170"/>
      <c r="K59" s="1143"/>
    </row>
    <row r="60" spans="1:11" s="2" customFormat="1" ht="60" customHeight="1" x14ac:dyDescent="0.2">
      <c r="A60" s="65"/>
      <c r="B60" s="1620"/>
      <c r="C60" s="1327" t="s">
        <v>1041</v>
      </c>
      <c r="D60" s="1328" t="s">
        <v>645</v>
      </c>
      <c r="E60" s="1170"/>
      <c r="F60" s="1170"/>
      <c r="G60" s="1170"/>
      <c r="H60" s="1170"/>
      <c r="I60" s="1170"/>
      <c r="J60" s="1170"/>
      <c r="K60" s="69"/>
    </row>
    <row r="61" spans="1:11" s="2" customFormat="1" ht="15" customHeight="1" x14ac:dyDescent="0.2">
      <c r="A61" s="63"/>
      <c r="B61" s="1621"/>
      <c r="C61" s="270" t="s">
        <v>536</v>
      </c>
      <c r="D61" s="271" t="s">
        <v>536</v>
      </c>
      <c r="E61" s="1170"/>
      <c r="F61" s="1170"/>
      <c r="G61" s="1170"/>
      <c r="H61" s="1170"/>
      <c r="I61" s="1170"/>
      <c r="J61" s="1170"/>
      <c r="K61" s="69"/>
    </row>
    <row r="62" spans="1:11" s="2" customFormat="1" ht="15" customHeight="1" x14ac:dyDescent="0.2">
      <c r="A62" s="63"/>
      <c r="B62" s="258" t="s">
        <v>382</v>
      </c>
      <c r="C62" s="259" t="str">
        <f>IF(AND(ISNUMBER(C63),ISNUMBER(C66),ISNUMBER(C71),ISNUMBER(C75)),C63+C66+C71+C75,"")</f>
        <v/>
      </c>
      <c r="D62" s="260" t="str">
        <f>IF(AND(ISNUMBER(D63),ISNUMBER(D66),ISNUMBER(D71)),D63+D66+D71,"")</f>
        <v/>
      </c>
      <c r="E62" s="1170"/>
      <c r="F62" s="1170"/>
      <c r="G62" s="1170"/>
      <c r="H62" s="1170"/>
      <c r="I62" s="1170"/>
      <c r="J62" s="1170"/>
      <c r="K62" s="69"/>
    </row>
    <row r="63" spans="1:11" s="2" customFormat="1" ht="15" customHeight="1" x14ac:dyDescent="0.2">
      <c r="A63" s="63"/>
      <c r="B63" s="1198" t="s">
        <v>116</v>
      </c>
      <c r="C63" s="262" t="str">
        <f>IF(AND(ISNUMBER(C64),ISNUMBER(C65)),C64-C65,"")</f>
        <v/>
      </c>
      <c r="D63" s="263" t="str">
        <f>IF(ISNUMBER(DefCapB3!D63),DefCapB3!D63,"")</f>
        <v/>
      </c>
      <c r="E63" s="1170"/>
      <c r="F63" s="1170"/>
      <c r="G63" s="1170"/>
      <c r="H63" s="1170"/>
      <c r="I63" s="1170"/>
      <c r="J63" s="1170"/>
      <c r="K63" s="69"/>
    </row>
    <row r="64" spans="1:11" s="2" customFormat="1" ht="15" customHeight="1" x14ac:dyDescent="0.2">
      <c r="A64" s="63"/>
      <c r="B64" s="264" t="s">
        <v>631</v>
      </c>
      <c r="C64" s="265"/>
      <c r="D64" s="263" t="str">
        <f>IF(ISNUMBER(DefCapB3!D42),DefCapB3!D42,"")</f>
        <v/>
      </c>
      <c r="E64" s="1170"/>
      <c r="F64" s="1170"/>
      <c r="G64" s="1170"/>
      <c r="H64" s="1170"/>
      <c r="I64" s="1170"/>
      <c r="J64" s="1170"/>
      <c r="K64" s="69"/>
    </row>
    <row r="65" spans="1:11" s="2" customFormat="1" ht="15" customHeight="1" x14ac:dyDescent="0.2">
      <c r="A65" s="63"/>
      <c r="B65" s="264" t="s">
        <v>329</v>
      </c>
      <c r="C65" s="265"/>
      <c r="D65" s="263" t="str">
        <f>IF(AND(ISNUMBER(D64),ISNUMBER(D63)),D64-D63,"")</f>
        <v/>
      </c>
      <c r="E65" s="1170"/>
      <c r="F65" s="1170"/>
      <c r="G65" s="1170"/>
      <c r="H65" s="1170"/>
      <c r="I65" s="1170"/>
      <c r="J65" s="1170"/>
      <c r="K65" s="69"/>
    </row>
    <row r="66" spans="1:11" s="2" customFormat="1" ht="15" customHeight="1" x14ac:dyDescent="0.2">
      <c r="A66" s="63"/>
      <c r="B66" s="1198" t="s">
        <v>117</v>
      </c>
      <c r="C66" s="262" t="str">
        <f>IF(AND(ISNUMBER(C67),ISNUMBER(C68)),C67-C68,"")</f>
        <v/>
      </c>
      <c r="D66" s="263" t="str">
        <f>IF(AND(ISNUMBER(DefCapB3!D75),ISNUMBER(DefCapB3!D63)),DefCapB3!D75-DefCapB3!D63,"")</f>
        <v/>
      </c>
      <c r="E66" s="1170"/>
      <c r="F66" s="1170"/>
      <c r="G66" s="1170"/>
      <c r="H66" s="1170"/>
      <c r="I66" s="1170"/>
      <c r="J66" s="1170"/>
      <c r="K66" s="69"/>
    </row>
    <row r="67" spans="1:11" s="2" customFormat="1" ht="15" customHeight="1" x14ac:dyDescent="0.2">
      <c r="A67" s="63"/>
      <c r="B67" s="264" t="s">
        <v>631</v>
      </c>
      <c r="C67" s="265"/>
      <c r="D67" s="263" t="str">
        <f>IF(AND(ISNUMBER(DefCapB3!D68),ISNUMBER(DefCapB3!D69)),SUM(DefCapB3!D68:D69),"")</f>
        <v/>
      </c>
      <c r="E67" s="1170"/>
      <c r="F67" s="1170"/>
      <c r="G67" s="1170"/>
      <c r="H67" s="1170"/>
      <c r="I67" s="1170"/>
      <c r="J67" s="1170"/>
      <c r="K67" s="69"/>
    </row>
    <row r="68" spans="1:11" s="2" customFormat="1" ht="15" customHeight="1" x14ac:dyDescent="0.2">
      <c r="A68" s="63"/>
      <c r="B68" s="264" t="s">
        <v>329</v>
      </c>
      <c r="C68" s="265"/>
      <c r="D68" s="263" t="str">
        <f>IF(AND(ISNUMBER(D67),ISNUMBER(D66)),D67-D66,"")</f>
        <v/>
      </c>
      <c r="E68" s="1170"/>
      <c r="F68" s="1170"/>
      <c r="G68" s="1170"/>
      <c r="H68" s="1170"/>
      <c r="I68" s="1170"/>
      <c r="J68" s="1170"/>
      <c r="K68" s="69"/>
    </row>
    <row r="69" spans="1:11" s="2" customFormat="1" ht="15" customHeight="1" x14ac:dyDescent="0.2">
      <c r="A69" s="63"/>
      <c r="B69" s="1269" t="s">
        <v>1037</v>
      </c>
      <c r="C69" s="532" t="str">
        <f>IF(C67&gt;=C68,"Yes","No")</f>
        <v>Yes</v>
      </c>
      <c r="D69" s="247"/>
      <c r="E69" s="1170"/>
      <c r="F69" s="1170"/>
      <c r="G69" s="1170"/>
      <c r="H69" s="1170"/>
      <c r="I69" s="1170"/>
      <c r="J69" s="1170"/>
      <c r="K69" s="69"/>
    </row>
    <row r="70" spans="1:11" s="2" customFormat="1" ht="15" customHeight="1" x14ac:dyDescent="0.2">
      <c r="A70" s="63"/>
      <c r="B70" s="1198" t="s">
        <v>120</v>
      </c>
      <c r="C70" s="262" t="str">
        <f>IF(AND(ISNUMBER(C63),ISNUMBER(C66)),C63+C66,"")</f>
        <v/>
      </c>
      <c r="D70" s="263" t="str">
        <f>IF(AND(ISNUMBER(D63),ISNUMBER(D66)),D63+D66,"")</f>
        <v/>
      </c>
      <c r="E70" s="1170"/>
      <c r="F70" s="1170"/>
      <c r="G70" s="1170"/>
      <c r="H70" s="1170"/>
      <c r="I70" s="1170"/>
      <c r="J70" s="1170"/>
      <c r="K70" s="69"/>
    </row>
    <row r="71" spans="1:11" s="2" customFormat="1" ht="15" customHeight="1" x14ac:dyDescent="0.2">
      <c r="A71" s="63"/>
      <c r="B71" s="1198" t="s">
        <v>118</v>
      </c>
      <c r="C71" s="262" t="str">
        <f>IF(AND(ISNUMBER(C72),ISNUMBER(C73)),C72-C73,"")</f>
        <v/>
      </c>
      <c r="D71" s="263" t="str">
        <f>IF(AND(ISNUMBER(DefCapB3!D86),ISNUMBER(DefCapB3!D79)),DefCapB3!D86-DefCapB3!D79,"")</f>
        <v/>
      </c>
      <c r="E71" s="1170"/>
      <c r="F71" s="1170"/>
      <c r="G71" s="1170"/>
      <c r="H71" s="1170"/>
      <c r="I71" s="1170"/>
      <c r="J71" s="1170"/>
      <c r="K71" s="69"/>
    </row>
    <row r="72" spans="1:11" s="2" customFormat="1" ht="15" customHeight="1" x14ac:dyDescent="0.2">
      <c r="A72" s="63"/>
      <c r="B72" s="264" t="s">
        <v>328</v>
      </c>
      <c r="C72" s="265"/>
      <c r="D72" s="263" t="str">
        <f>IF(AND(ISNUMBER(DefCapB3!D80),ISNUMBER(DefCapB3!D81),ISNUMBER(DefCapB3!D82)),SUM(DefCapB3!D80:D82),"")</f>
        <v/>
      </c>
      <c r="E72" s="1170"/>
      <c r="F72" s="1170"/>
      <c r="G72" s="1170"/>
      <c r="H72" s="1170"/>
      <c r="I72" s="1170"/>
      <c r="J72" s="1170"/>
      <c r="K72" s="69"/>
    </row>
    <row r="73" spans="1:11" s="2" customFormat="1" ht="15" customHeight="1" x14ac:dyDescent="0.2">
      <c r="A73" s="63"/>
      <c r="B73" s="264" t="s">
        <v>329</v>
      </c>
      <c r="C73" s="265"/>
      <c r="D73" s="263" t="str">
        <f>IF(AND(ISNUMBER(D72),ISNUMBER(D71)),D72-D71,"")</f>
        <v/>
      </c>
      <c r="E73" s="1170"/>
      <c r="F73" s="1170"/>
      <c r="G73" s="1170"/>
      <c r="H73" s="1170"/>
      <c r="I73" s="1170"/>
      <c r="J73" s="1170"/>
      <c r="K73" s="69"/>
    </row>
    <row r="74" spans="1:11" s="2" customFormat="1" ht="15" customHeight="1" x14ac:dyDescent="0.2">
      <c r="A74" s="63"/>
      <c r="B74" s="1269" t="s">
        <v>1036</v>
      </c>
      <c r="C74" s="266" t="str">
        <f>IF(C72&gt;=C73,"Yes","No")</f>
        <v>Yes</v>
      </c>
      <c r="D74" s="247"/>
      <c r="E74" s="1170"/>
      <c r="F74" s="1170"/>
      <c r="G74" s="1170"/>
      <c r="H74" s="1170"/>
      <c r="I74" s="1170"/>
      <c r="J74" s="1170"/>
      <c r="K74" s="69"/>
    </row>
    <row r="75" spans="1:11" s="2" customFormat="1" ht="15" customHeight="1" x14ac:dyDescent="0.2">
      <c r="A75" s="63"/>
      <c r="B75" s="1198" t="s">
        <v>119</v>
      </c>
      <c r="C75" s="265"/>
      <c r="D75" s="247"/>
      <c r="E75" s="1170"/>
      <c r="F75" s="1170"/>
      <c r="G75" s="1170"/>
      <c r="H75" s="1170"/>
      <c r="I75" s="1170"/>
      <c r="J75" s="1170"/>
      <c r="K75" s="69"/>
    </row>
    <row r="76" spans="1:11" s="2" customFormat="1" ht="15" customHeight="1" x14ac:dyDescent="0.2">
      <c r="A76" s="63"/>
      <c r="B76" s="267" t="s">
        <v>252</v>
      </c>
      <c r="C76" s="268"/>
      <c r="D76" s="269" t="str">
        <f>IF(ISNUMBER(DefCapB3!D24),DefCapB3!D24,"")</f>
        <v/>
      </c>
      <c r="E76" s="1170"/>
      <c r="F76" s="1170"/>
      <c r="G76" s="1170"/>
      <c r="H76" s="1170"/>
      <c r="I76" s="1170"/>
      <c r="J76" s="1170"/>
      <c r="K76" s="69"/>
    </row>
    <row r="77" spans="1:11" s="2" customFormat="1" ht="15" customHeight="1" x14ac:dyDescent="0.2">
      <c r="A77" s="70"/>
      <c r="B77" s="71"/>
      <c r="C77" s="71"/>
      <c r="D77" s="71"/>
      <c r="E77" s="71"/>
      <c r="F77" s="71"/>
      <c r="G77" s="71"/>
      <c r="H77" s="71"/>
      <c r="I77" s="71"/>
      <c r="J77" s="71"/>
      <c r="K77" s="72"/>
    </row>
    <row r="78" spans="1:11" ht="30" customHeight="1" x14ac:dyDescent="0.25">
      <c r="A78" s="23" t="s">
        <v>334</v>
      </c>
      <c r="B78" s="18"/>
      <c r="C78" s="19"/>
      <c r="D78" s="203"/>
      <c r="E78" s="203"/>
      <c r="F78" s="203"/>
      <c r="G78" s="203"/>
      <c r="H78" s="203"/>
      <c r="I78" s="203"/>
      <c r="J78" s="203"/>
      <c r="K78" s="32"/>
    </row>
    <row r="79" spans="1:11" s="2" customFormat="1" ht="15" customHeight="1" x14ac:dyDescent="0.2">
      <c r="A79" s="65"/>
      <c r="B79" s="1169"/>
      <c r="C79" s="1169"/>
      <c r="D79" s="73"/>
      <c r="E79" s="73"/>
      <c r="F79" s="73"/>
      <c r="G79" s="73"/>
      <c r="H79" s="73"/>
      <c r="I79" s="73"/>
      <c r="J79" s="73"/>
      <c r="K79" s="165"/>
    </row>
    <row r="80" spans="1:11" s="2" customFormat="1" ht="15" customHeight="1" x14ac:dyDescent="0.2">
      <c r="A80" s="63"/>
      <c r="B80" s="278"/>
      <c r="C80" s="271" t="s">
        <v>536</v>
      </c>
      <c r="D80" s="1170"/>
      <c r="E80" s="1170"/>
      <c r="F80" s="1170"/>
      <c r="G80" s="1170"/>
      <c r="H80" s="1170"/>
      <c r="I80" s="1170"/>
      <c r="J80" s="1170"/>
      <c r="K80" s="1143"/>
    </row>
    <row r="81" spans="1:11" s="2" customFormat="1" ht="15" customHeight="1" x14ac:dyDescent="0.2">
      <c r="A81" s="63"/>
      <c r="B81" s="276" t="s">
        <v>319</v>
      </c>
      <c r="C81" s="277"/>
      <c r="D81" s="1170"/>
      <c r="E81" s="1170"/>
      <c r="F81" s="1170"/>
      <c r="G81" s="1170"/>
      <c r="H81" s="1170"/>
      <c r="I81" s="1170"/>
      <c r="J81" s="1170"/>
      <c r="K81" s="1143"/>
    </row>
    <row r="82" spans="1:11" s="2" customFormat="1" ht="15" customHeight="1" x14ac:dyDescent="0.2">
      <c r="A82" s="63"/>
      <c r="B82" s="245" t="s">
        <v>320</v>
      </c>
      <c r="C82" s="273"/>
      <c r="D82" s="1170"/>
      <c r="E82" s="1170"/>
      <c r="F82" s="1170"/>
      <c r="G82" s="1170"/>
      <c r="H82" s="1170"/>
      <c r="I82" s="1170"/>
      <c r="J82" s="1170"/>
      <c r="K82" s="1143"/>
    </row>
    <row r="83" spans="1:11" s="2" customFormat="1" ht="15" customHeight="1" x14ac:dyDescent="0.2">
      <c r="A83" s="63"/>
      <c r="B83" s="245" t="s">
        <v>321</v>
      </c>
      <c r="C83" s="273"/>
      <c r="D83" s="1170"/>
      <c r="E83" s="1170"/>
      <c r="F83" s="1170"/>
      <c r="G83" s="1170"/>
      <c r="H83" s="1170"/>
      <c r="I83" s="1170"/>
      <c r="J83" s="1170"/>
      <c r="K83" s="1143"/>
    </row>
    <row r="84" spans="1:11" s="2" customFormat="1" ht="15" customHeight="1" x14ac:dyDescent="0.2">
      <c r="A84" s="63"/>
      <c r="B84" s="272" t="s">
        <v>322</v>
      </c>
      <c r="C84" s="247"/>
      <c r="D84" s="1170"/>
      <c r="E84" s="1170"/>
      <c r="F84" s="1170"/>
      <c r="G84" s="1170"/>
      <c r="H84" s="1170"/>
      <c r="I84" s="1170"/>
      <c r="J84" s="1170"/>
      <c r="K84" s="1143"/>
    </row>
    <row r="85" spans="1:11" s="2" customFormat="1" ht="15" customHeight="1" x14ac:dyDescent="0.2">
      <c r="A85" s="63"/>
      <c r="B85" s="245" t="s">
        <v>98</v>
      </c>
      <c r="C85" s="273"/>
      <c r="D85" s="1170"/>
      <c r="E85" s="1170"/>
      <c r="F85" s="1170"/>
      <c r="G85" s="1170"/>
      <c r="H85" s="1170"/>
      <c r="I85" s="1170"/>
      <c r="J85" s="1170"/>
      <c r="K85" s="1143"/>
    </row>
    <row r="86" spans="1:11" s="2" customFormat="1" ht="15" customHeight="1" x14ac:dyDescent="0.2">
      <c r="A86" s="63"/>
      <c r="B86" s="245" t="s">
        <v>323</v>
      </c>
      <c r="C86" s="273"/>
      <c r="D86" s="1170"/>
      <c r="E86" s="1170"/>
      <c r="F86" s="1170"/>
      <c r="G86" s="1170"/>
      <c r="H86" s="1170"/>
      <c r="I86" s="1170"/>
      <c r="J86" s="1170"/>
      <c r="K86" s="1143"/>
    </row>
    <row r="87" spans="1:11" s="2" customFormat="1" ht="15" customHeight="1" x14ac:dyDescent="0.2">
      <c r="A87" s="63"/>
      <c r="B87" s="245" t="s">
        <v>324</v>
      </c>
      <c r="C87" s="273"/>
      <c r="D87" s="1170"/>
      <c r="E87" s="1170"/>
      <c r="F87" s="1170"/>
      <c r="G87" s="1170"/>
      <c r="H87" s="1170"/>
      <c r="I87" s="1170"/>
      <c r="J87" s="1170"/>
      <c r="K87" s="1143"/>
    </row>
    <row r="88" spans="1:11" s="2" customFormat="1" ht="15" customHeight="1" x14ac:dyDescent="0.2">
      <c r="A88" s="63"/>
      <c r="B88" s="245" t="s">
        <v>179</v>
      </c>
      <c r="C88" s="273"/>
      <c r="D88" s="1170"/>
      <c r="E88" s="1170"/>
      <c r="F88" s="1170"/>
      <c r="G88" s="1170"/>
      <c r="H88" s="1170"/>
      <c r="I88" s="1170"/>
      <c r="J88" s="1170"/>
      <c r="K88" s="1143"/>
    </row>
    <row r="89" spans="1:11" s="2" customFormat="1" ht="15" customHeight="1" x14ac:dyDescent="0.2">
      <c r="A89" s="63"/>
      <c r="B89" s="245" t="s">
        <v>182</v>
      </c>
      <c r="C89" s="273"/>
      <c r="D89" s="1170"/>
      <c r="E89" s="1170"/>
      <c r="F89" s="1170"/>
      <c r="G89" s="1170"/>
      <c r="H89" s="1170"/>
      <c r="I89" s="1170"/>
      <c r="J89" s="1170"/>
      <c r="K89" s="1143"/>
    </row>
    <row r="90" spans="1:11" s="2" customFormat="1" ht="15" customHeight="1" x14ac:dyDescent="0.2">
      <c r="A90" s="63"/>
      <c r="B90" s="245" t="s">
        <v>145</v>
      </c>
      <c r="C90" s="273"/>
      <c r="D90" s="1170"/>
      <c r="E90" s="1170"/>
      <c r="F90" s="1170"/>
      <c r="G90" s="1170"/>
      <c r="H90" s="1170"/>
      <c r="I90" s="1170"/>
      <c r="J90" s="1170"/>
      <c r="K90" s="1143"/>
    </row>
    <row r="91" spans="1:11" s="2" customFormat="1" ht="15" customHeight="1" x14ac:dyDescent="0.2">
      <c r="A91" s="63"/>
      <c r="B91" s="272" t="s">
        <v>249</v>
      </c>
      <c r="C91" s="247"/>
      <c r="D91" s="1170"/>
      <c r="E91" s="1170"/>
      <c r="F91" s="1170"/>
      <c r="G91" s="1170"/>
      <c r="H91" s="1170"/>
      <c r="I91" s="1170"/>
      <c r="J91" s="1170"/>
      <c r="K91" s="1143"/>
    </row>
    <row r="92" spans="1:11" s="2" customFormat="1" ht="15" customHeight="1" x14ac:dyDescent="0.2">
      <c r="A92" s="63"/>
      <c r="B92" s="245" t="s">
        <v>89</v>
      </c>
      <c r="C92" s="273"/>
      <c r="D92" s="1170"/>
      <c r="E92" s="1170"/>
      <c r="F92" s="1170"/>
      <c r="G92" s="1170"/>
      <c r="H92" s="1170"/>
      <c r="I92" s="1170"/>
      <c r="J92" s="1170"/>
      <c r="K92" s="1143"/>
    </row>
    <row r="93" spans="1:11" s="2" customFormat="1" ht="15" customHeight="1" x14ac:dyDescent="0.2">
      <c r="A93" s="63"/>
      <c r="B93" s="245" t="s">
        <v>26</v>
      </c>
      <c r="C93" s="273"/>
      <c r="D93" s="1170"/>
      <c r="E93" s="1170"/>
      <c r="F93" s="1170"/>
      <c r="G93" s="1170"/>
      <c r="H93" s="1170"/>
      <c r="I93" s="1170"/>
      <c r="J93" s="1170"/>
      <c r="K93" s="1143"/>
    </row>
    <row r="94" spans="1:11" s="2" customFormat="1" ht="15" customHeight="1" x14ac:dyDescent="0.2">
      <c r="A94" s="63"/>
      <c r="B94" s="274" t="s">
        <v>90</v>
      </c>
      <c r="C94" s="275"/>
      <c r="D94" s="1170"/>
      <c r="E94" s="1170"/>
      <c r="F94" s="1170"/>
      <c r="G94" s="1170"/>
      <c r="H94" s="1170"/>
      <c r="I94" s="1170"/>
      <c r="J94" s="1170"/>
      <c r="K94" s="1143"/>
    </row>
    <row r="95" spans="1:11" s="2" customFormat="1" ht="15" customHeight="1" x14ac:dyDescent="0.2">
      <c r="A95" s="1335"/>
      <c r="B95" s="71"/>
      <c r="C95" s="71"/>
      <c r="D95" s="67"/>
      <c r="E95" s="67"/>
      <c r="F95" s="67"/>
      <c r="G95" s="67"/>
      <c r="H95" s="67"/>
      <c r="I95" s="67"/>
      <c r="J95" s="67"/>
      <c r="K95" s="93"/>
    </row>
  </sheetData>
  <customSheetViews>
    <customSheetView guid="{15489521-78C1-4B59-8BC9-AACD7EBC6362}" scale="75" showPageBreaks="1" printArea="1" showRuler="0">
      <selection activeCell="F11" sqref="F11"/>
      <rowBreaks count="3" manualBreakCount="3">
        <brk id="26" max="9" man="1"/>
        <brk id="67" max="9" man="1"/>
        <brk id="67" min="10" max="15" man="1"/>
      </rowBreaks>
      <pageMargins left="0.59055118110236227" right="0.59055118110236227" top="0.98425196850393704" bottom="0.98425196850393704" header="0.51181102362204722" footer="0.51181102362204722"/>
      <pageSetup paperSize="9" scale="50" fitToHeight="4" pageOrder="overThenDown" orientation="landscape"/>
      <headerFooter alignWithMargins="0">
        <oddHeader>&amp;L&amp;"Arial,Bold"&amp;14Basel Committee on Banking Supervision
Basel III monitoring template&amp;C&amp;14&amp;F
&amp;A&amp;R&amp;"Arial,Bold"&amp;14Confidential</oddHeader>
        <oddFooter>&amp;L&amp;14&amp;D  &amp;T&amp;R&amp;14Page &amp;P of &amp;N</oddFooter>
      </headerFooter>
    </customSheetView>
    <customSheetView guid="{53E8D147-A870-4F3F-BF63-24587CEF7636}" scale="75" showPageBreaks="1" printArea="1" showRuler="0" topLeftCell="A13">
      <selection activeCell="C34" sqref="C34"/>
      <rowBreaks count="3" manualBreakCount="3">
        <brk id="26" max="9" man="1"/>
        <brk id="67" max="9" man="1"/>
        <brk id="67" min="10" max="15" man="1"/>
      </rowBreaks>
      <pageMargins left="0.59055118110236227" right="0.59055118110236227" top="0.98425196850393704" bottom="0.98425196850393704" header="0.51181102362204722" footer="0.51181102362204722"/>
      <pageSetup paperSize="9" scale="50" fitToHeight="4" pageOrder="overThenDown" orientation="landscape"/>
      <headerFooter alignWithMargins="0">
        <oddHeader>&amp;L&amp;"Arial,Bold"&amp;14Basel Committee on Banking Supervision
Basel III monitoring template&amp;C&amp;14&amp;F
&amp;A&amp;R&amp;"Arial,Bold"&amp;14Confidential</oddHeader>
        <oddFooter>&amp;L&amp;14&amp;D  &amp;T&amp;R&amp;14Page &amp;P of &amp;N</oddFooter>
      </headerFooter>
    </customSheetView>
    <customSheetView guid="{7608A575-AD39-4DFE-B654-965E0A886A86}" scale="75" showPageBreaks="1" printArea="1" showRuler="0" topLeftCell="A10">
      <rowBreaks count="3" manualBreakCount="3">
        <brk id="26" max="9" man="1"/>
        <brk id="68" max="9" man="1"/>
        <brk id="68" min="10" max="15" man="1"/>
      </rowBreaks>
      <pageMargins left="0.59055118110236227" right="0.59055118110236227" top="0.98425196850393704" bottom="0.98425196850393704" header="0.51181102362204722" footer="0.51181102362204722"/>
      <pageSetup paperSize="9" scale="50" fitToHeight="4" pageOrder="overThenDown" orientation="landscape"/>
      <headerFooter alignWithMargins="0">
        <oddHeader>&amp;L&amp;"Arial,Bold"&amp;14Basel Committee on Banking Supervision
Basel III monitoring template&amp;C&amp;14&amp;F
&amp;A&amp;R&amp;"Arial,Bold"&amp;14Confidential</oddHeader>
        <oddFooter>&amp;L&amp;14&amp;D  &amp;T&amp;R&amp;14Page &amp;P of &amp;N</oddFooter>
      </headerFooter>
    </customSheetView>
  </customSheetViews>
  <mergeCells count="2">
    <mergeCell ref="B60:B61"/>
    <mergeCell ref="F5:I26"/>
  </mergeCells>
  <phoneticPr fontId="8" type="noConversion"/>
  <conditionalFormatting sqref="C64 C67 C75 C92:C94 C85:C90 C72">
    <cfRule type="cellIs" dxfId="1379" priority="91" stopIfTrue="1" operator="lessThan">
      <formula>0</formula>
    </cfRule>
  </conditionalFormatting>
  <conditionalFormatting sqref="D64 D67 D72">
    <cfRule type="cellIs" dxfId="1378" priority="85" stopIfTrue="1" operator="lessThan">
      <formula>0</formula>
    </cfRule>
  </conditionalFormatting>
  <conditionalFormatting sqref="C69 C74">
    <cfRule type="cellIs" dxfId="1377" priority="1" stopIfTrue="1" operator="equal">
      <formula>"No"</formula>
    </cfRule>
    <cfRule type="cellIs" dxfId="1376" priority="2" stopIfTrue="1" operator="equal">
      <formula>"Yes"</formula>
    </cfRule>
  </conditionalFormatting>
  <dataValidations count="6">
    <dataValidation type="list" showInputMessage="1" showErrorMessage="1" sqref="C48:C51 C8:C12 C32 C36 C40 C34 C38 C22:C30">
      <formula1>YesNo</formula1>
    </dataValidation>
    <dataValidation type="list" showInputMessage="1" showErrorMessage="1" sqref="C45">
      <formula1>Accounting</formula1>
    </dataValidation>
    <dataValidation type="list" allowBlank="1" showInputMessage="1" showErrorMessage="1" sqref="C14">
      <formula1>Group</formula1>
    </dataValidation>
    <dataValidation type="list" showInputMessage="1" showErrorMessage="1" sqref="C13">
      <formula1>BankType</formula1>
    </dataValidation>
    <dataValidation type="list" allowBlank="1" showInputMessage="1" showErrorMessage="1" sqref="C15">
      <formula1>BankTypeNumeric</formula1>
    </dataValidation>
    <dataValidation type="list" allowBlank="1" showInputMessage="1" showErrorMessage="1" sqref="C44">
      <formula1>UnitW</formula1>
    </dataValidation>
  </dataValidations>
  <printOptions headings="1"/>
  <pageMargins left="0.59055118110236227" right="0.59055118110236227" top="0.98425196850393704" bottom="0.98425196850393704" header="0.51181102362204722" footer="0.51181102362204722"/>
  <pageSetup paperSize="9" scale="50" fitToHeight="4" pageOrder="overThenDown" orientation="landscape" r:id="rId1"/>
  <headerFooter alignWithMargins="0">
    <oddHeader>&amp;L&amp;"Arial,Bold"&amp;14Basel Committee on Banking Supervision
Basel III monitoring template&amp;C&amp;14&amp;F
&amp;A&amp;R&amp;"Arial,Bold"&amp;14Confidential when completed</oddHeader>
    <oddFooter>&amp;L&amp;14&amp;D  &amp;T&amp;R&amp;14Page &amp;P of &amp;N</oddFooter>
  </headerFooter>
  <rowBreaks count="1" manualBreakCount="1">
    <brk id="45" max="10" man="1"/>
  </rowBreaks>
  <ignoredErrors>
    <ignoredError sqref="C62:D66 C69:D74 D67 D68" emptyCellReferenc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BK313"/>
  <sheetViews>
    <sheetView zoomScale="75" zoomScaleNormal="75" zoomScaleSheetLayoutView="75" workbookViewId="0">
      <pane xSplit="5" ySplit="1" topLeftCell="F2" activePane="bottomRight" state="frozen"/>
      <selection pane="topRight"/>
      <selection pane="bottomLeft"/>
      <selection pane="bottomRight"/>
    </sheetView>
  </sheetViews>
  <sheetFormatPr defaultColWidth="9.140625" defaultRowHeight="15" customHeight="1" x14ac:dyDescent="0.2"/>
  <cols>
    <col min="1" max="1" width="1.7109375" style="207" customWidth="1"/>
    <col min="2" max="2" width="8.7109375" style="207" customWidth="1"/>
    <col min="3" max="4" width="12.7109375" style="1074" customWidth="1"/>
    <col min="5" max="5" width="24.7109375" style="1074" customWidth="1"/>
    <col min="6" max="6" width="16.7109375" style="1074" customWidth="1"/>
    <col min="7" max="10" width="16.7109375" style="207" customWidth="1"/>
    <col min="11" max="62" width="16.7109375" style="1074" customWidth="1"/>
    <col min="63" max="63" width="1.7109375" style="1074" customWidth="1"/>
    <col min="64" max="16384" width="9.140625" style="1074"/>
  </cols>
  <sheetData>
    <row r="1" spans="1:63" s="1052" customFormat="1" ht="30" customHeight="1" x14ac:dyDescent="0.4">
      <c r="A1" s="1440" t="s">
        <v>1340</v>
      </c>
      <c r="B1" s="1441"/>
      <c r="C1" s="1441"/>
      <c r="D1" s="1441"/>
      <c r="E1" s="1441"/>
      <c r="F1" s="1441"/>
      <c r="G1" s="1441"/>
      <c r="H1" s="1441"/>
      <c r="I1" s="1441"/>
      <c r="J1" s="1441"/>
      <c r="K1" s="1453"/>
      <c r="L1" s="1453"/>
      <c r="M1" s="1453"/>
      <c r="N1" s="1453"/>
      <c r="O1" s="1453"/>
      <c r="P1" s="1453"/>
      <c r="Q1" s="1453"/>
      <c r="R1" s="1453"/>
      <c r="S1" s="1453"/>
      <c r="T1" s="1453"/>
      <c r="U1" s="1453"/>
      <c r="V1" s="1453"/>
      <c r="W1" s="1453"/>
      <c r="X1" s="1453"/>
      <c r="Y1" s="1453"/>
      <c r="Z1" s="1453"/>
      <c r="AA1" s="1453"/>
      <c r="AB1" s="1453"/>
      <c r="AC1" s="1453"/>
      <c r="AD1" s="1453"/>
      <c r="AE1" s="1453"/>
      <c r="AF1" s="1453"/>
      <c r="AG1" s="1453"/>
      <c r="AH1" s="1453"/>
      <c r="AI1" s="1453"/>
      <c r="AJ1" s="1453"/>
      <c r="AK1" s="1453"/>
      <c r="AL1" s="1453"/>
      <c r="AM1" s="1453"/>
      <c r="AN1" s="1453"/>
      <c r="AO1" s="1453"/>
      <c r="AP1" s="1453"/>
      <c r="AQ1" s="1453"/>
      <c r="AR1" s="1453"/>
      <c r="AS1" s="1453"/>
      <c r="AT1" s="1453"/>
      <c r="AU1" s="1453"/>
      <c r="AV1" s="1453"/>
      <c r="AW1" s="1453"/>
      <c r="AX1" s="1453"/>
      <c r="AY1" s="1453"/>
      <c r="AZ1" s="1453"/>
      <c r="BA1" s="1453"/>
      <c r="BB1" s="1453"/>
      <c r="BC1" s="1453"/>
      <c r="BD1" s="1453"/>
      <c r="BE1" s="1453"/>
      <c r="BF1" s="1453"/>
      <c r="BG1" s="1453"/>
      <c r="BH1" s="1453"/>
      <c r="BI1" s="1453"/>
      <c r="BJ1" s="1453"/>
      <c r="BK1" s="1454"/>
    </row>
    <row r="2" spans="1:63" s="207" customFormat="1" ht="30" customHeight="1" x14ac:dyDescent="0.25">
      <c r="A2" s="1377" t="s">
        <v>1213</v>
      </c>
      <c r="B2" s="18"/>
      <c r="C2" s="16"/>
      <c r="D2" s="16"/>
      <c r="E2" s="16"/>
      <c r="F2" s="16"/>
      <c r="G2" s="203"/>
      <c r="H2" s="203"/>
      <c r="I2" s="203"/>
      <c r="J2" s="203"/>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0"/>
      <c r="AT2" s="180"/>
      <c r="AU2" s="180"/>
      <c r="AV2" s="180"/>
      <c r="AW2" s="180"/>
      <c r="AX2" s="180"/>
      <c r="AY2" s="180"/>
      <c r="AZ2" s="180"/>
      <c r="BA2" s="180"/>
      <c r="BB2" s="180"/>
      <c r="BC2" s="180"/>
      <c r="BD2" s="180"/>
      <c r="BE2" s="180"/>
      <c r="BF2" s="180"/>
      <c r="BG2" s="180"/>
      <c r="BH2" s="180"/>
      <c r="BI2" s="180"/>
      <c r="BJ2" s="180"/>
      <c r="BK2" s="181"/>
    </row>
    <row r="3" spans="1:63" s="1073" customFormat="1" ht="15" customHeight="1" x14ac:dyDescent="0.25">
      <c r="A3" s="1053"/>
      <c r="B3" s="46"/>
      <c r="C3" s="46"/>
      <c r="D3" s="46"/>
      <c r="E3" s="46"/>
      <c r="F3" s="46"/>
      <c r="G3" s="46"/>
      <c r="H3" s="46"/>
      <c r="I3" s="46"/>
      <c r="J3" s="46"/>
      <c r="BK3" s="1072"/>
    </row>
    <row r="4" spans="1:63" s="1168" customFormat="1" ht="15" customHeight="1" x14ac:dyDescent="0.2">
      <c r="A4" s="74"/>
      <c r="B4" s="1788" t="s">
        <v>1214</v>
      </c>
      <c r="C4" s="1788"/>
      <c r="D4" s="1788"/>
      <c r="E4" s="1789"/>
      <c r="F4" s="1628" t="s">
        <v>1215</v>
      </c>
      <c r="G4" s="1743" t="s">
        <v>1216</v>
      </c>
      <c r="H4" s="1727" t="s">
        <v>1417</v>
      </c>
      <c r="I4" s="1722"/>
      <c r="J4" s="1722"/>
      <c r="K4" s="1722"/>
      <c r="L4" s="1722"/>
      <c r="M4" s="1722"/>
      <c r="N4" s="1722"/>
      <c r="O4" s="1722"/>
      <c r="P4" s="1722"/>
      <c r="Q4" s="1722"/>
      <c r="R4" s="1728"/>
      <c r="S4" s="1727" t="s">
        <v>1418</v>
      </c>
      <c r="T4" s="1722"/>
      <c r="U4" s="1722"/>
      <c r="V4" s="1722"/>
      <c r="W4" s="1722"/>
      <c r="X4" s="1722"/>
      <c r="Y4" s="1722"/>
      <c r="Z4" s="1722"/>
      <c r="AA4" s="1722"/>
      <c r="AB4" s="1722"/>
      <c r="AC4" s="1728"/>
      <c r="AD4" s="1722" t="s">
        <v>1419</v>
      </c>
      <c r="AE4" s="1722"/>
      <c r="AF4" s="1722"/>
      <c r="AG4" s="1722"/>
      <c r="AH4" s="1722"/>
      <c r="AI4" s="1722"/>
      <c r="AJ4" s="1722"/>
      <c r="AK4" s="1722"/>
      <c r="AL4" s="1722"/>
      <c r="AM4" s="1722"/>
      <c r="AN4" s="1728"/>
      <c r="AO4" s="1727" t="s">
        <v>1420</v>
      </c>
      <c r="AP4" s="1722"/>
      <c r="AQ4" s="1722"/>
      <c r="AR4" s="1722"/>
      <c r="AS4" s="1722"/>
      <c r="AT4" s="1722"/>
      <c r="AU4" s="1722"/>
      <c r="AV4" s="1722"/>
      <c r="AW4" s="1722"/>
      <c r="AX4" s="1722"/>
      <c r="AY4" s="1728"/>
      <c r="AZ4" s="1727" t="s">
        <v>1421</v>
      </c>
      <c r="BA4" s="1722"/>
      <c r="BB4" s="1722"/>
      <c r="BC4" s="1722"/>
      <c r="BD4" s="1722"/>
      <c r="BE4" s="1722"/>
      <c r="BF4" s="1722"/>
      <c r="BG4" s="1722"/>
      <c r="BH4" s="1722"/>
      <c r="BI4" s="1722"/>
      <c r="BJ4" s="1722"/>
      <c r="BK4" s="1143"/>
    </row>
    <row r="5" spans="1:63" s="1168" customFormat="1" ht="15" customHeight="1" x14ac:dyDescent="0.2">
      <c r="A5" s="63"/>
      <c r="B5" s="1790"/>
      <c r="C5" s="1790"/>
      <c r="D5" s="1790"/>
      <c r="E5" s="1791"/>
      <c r="F5" s="1629"/>
      <c r="G5" s="1744"/>
      <c r="H5" s="1603" t="s">
        <v>1405</v>
      </c>
      <c r="I5" s="1601" t="s">
        <v>1406</v>
      </c>
      <c r="J5" s="1601" t="s">
        <v>1407</v>
      </c>
      <c r="K5" s="1601" t="s">
        <v>1408</v>
      </c>
      <c r="L5" s="1601" t="s">
        <v>1409</v>
      </c>
      <c r="M5" s="1601" t="s">
        <v>1410</v>
      </c>
      <c r="N5" s="1601" t="s">
        <v>1411</v>
      </c>
      <c r="O5" s="1601" t="s">
        <v>1412</v>
      </c>
      <c r="P5" s="1601" t="s">
        <v>1413</v>
      </c>
      <c r="Q5" s="1604" t="s">
        <v>1414</v>
      </c>
      <c r="R5" s="1602" t="s">
        <v>1492</v>
      </c>
      <c r="S5" s="1603" t="s">
        <v>1405</v>
      </c>
      <c r="T5" s="1601" t="s">
        <v>1406</v>
      </c>
      <c r="U5" s="1601" t="s">
        <v>1407</v>
      </c>
      <c r="V5" s="1601" t="s">
        <v>1408</v>
      </c>
      <c r="W5" s="1601" t="s">
        <v>1409</v>
      </c>
      <c r="X5" s="1601" t="s">
        <v>1410</v>
      </c>
      <c r="Y5" s="1601" t="s">
        <v>1411</v>
      </c>
      <c r="Z5" s="1601" t="s">
        <v>1412</v>
      </c>
      <c r="AA5" s="1601" t="s">
        <v>1413</v>
      </c>
      <c r="AB5" s="1604" t="s">
        <v>1414</v>
      </c>
      <c r="AC5" s="1602" t="s">
        <v>1492</v>
      </c>
      <c r="AD5" s="1603" t="s">
        <v>1405</v>
      </c>
      <c r="AE5" s="1601" t="s">
        <v>1406</v>
      </c>
      <c r="AF5" s="1601" t="s">
        <v>1407</v>
      </c>
      <c r="AG5" s="1601" t="s">
        <v>1408</v>
      </c>
      <c r="AH5" s="1601" t="s">
        <v>1409</v>
      </c>
      <c r="AI5" s="1601" t="s">
        <v>1410</v>
      </c>
      <c r="AJ5" s="1601" t="s">
        <v>1411</v>
      </c>
      <c r="AK5" s="1601" t="s">
        <v>1412</v>
      </c>
      <c r="AL5" s="1601" t="s">
        <v>1413</v>
      </c>
      <c r="AM5" s="1604" t="s">
        <v>1414</v>
      </c>
      <c r="AN5" s="1602" t="s">
        <v>1492</v>
      </c>
      <c r="AO5" s="1603" t="s">
        <v>1405</v>
      </c>
      <c r="AP5" s="1601" t="s">
        <v>1406</v>
      </c>
      <c r="AQ5" s="1601" t="s">
        <v>1407</v>
      </c>
      <c r="AR5" s="1601" t="s">
        <v>1408</v>
      </c>
      <c r="AS5" s="1601" t="s">
        <v>1409</v>
      </c>
      <c r="AT5" s="1601" t="s">
        <v>1410</v>
      </c>
      <c r="AU5" s="1601" t="s">
        <v>1411</v>
      </c>
      <c r="AV5" s="1601" t="s">
        <v>1412</v>
      </c>
      <c r="AW5" s="1601" t="s">
        <v>1413</v>
      </c>
      <c r="AX5" s="1604" t="s">
        <v>1414</v>
      </c>
      <c r="AY5" s="1602" t="s">
        <v>1492</v>
      </c>
      <c r="AZ5" s="1603" t="s">
        <v>1405</v>
      </c>
      <c r="BA5" s="1601" t="s">
        <v>1406</v>
      </c>
      <c r="BB5" s="1601" t="s">
        <v>1407</v>
      </c>
      <c r="BC5" s="1601" t="s">
        <v>1408</v>
      </c>
      <c r="BD5" s="1601" t="s">
        <v>1409</v>
      </c>
      <c r="BE5" s="1601" t="s">
        <v>1410</v>
      </c>
      <c r="BF5" s="1601" t="s">
        <v>1411</v>
      </c>
      <c r="BG5" s="1601" t="s">
        <v>1412</v>
      </c>
      <c r="BH5" s="1601" t="s">
        <v>1413</v>
      </c>
      <c r="BI5" s="1604" t="s">
        <v>1414</v>
      </c>
      <c r="BJ5" s="1604" t="s">
        <v>1492</v>
      </c>
      <c r="BK5" s="1143"/>
    </row>
    <row r="6" spans="1:63" s="1168" customFormat="1" ht="15" customHeight="1" x14ac:dyDescent="0.2">
      <c r="A6" s="63"/>
      <c r="B6" s="1458" t="s">
        <v>886</v>
      </c>
      <c r="C6" s="1458"/>
      <c r="D6" s="1458"/>
      <c r="E6" s="1458"/>
      <c r="F6" s="314"/>
      <c r="G6" s="314"/>
      <c r="H6" s="1426"/>
      <c r="I6" s="314"/>
      <c r="J6" s="314"/>
      <c r="K6" s="314"/>
      <c r="L6" s="314"/>
      <c r="M6" s="314"/>
      <c r="N6" s="314"/>
      <c r="O6" s="314"/>
      <c r="P6" s="314"/>
      <c r="Q6" s="1424"/>
      <c r="R6" s="1427"/>
      <c r="S6" s="1426"/>
      <c r="T6" s="314"/>
      <c r="U6" s="314"/>
      <c r="V6" s="314"/>
      <c r="W6" s="314"/>
      <c r="X6" s="314"/>
      <c r="Y6" s="314"/>
      <c r="Z6" s="314"/>
      <c r="AA6" s="314"/>
      <c r="AB6" s="1424"/>
      <c r="AC6" s="1427"/>
      <c r="AD6" s="1426"/>
      <c r="AE6" s="314"/>
      <c r="AF6" s="314"/>
      <c r="AG6" s="314"/>
      <c r="AH6" s="314"/>
      <c r="AI6" s="314"/>
      <c r="AJ6" s="314"/>
      <c r="AK6" s="314"/>
      <c r="AL6" s="314"/>
      <c r="AM6" s="1424"/>
      <c r="AN6" s="1427"/>
      <c r="AO6" s="1426"/>
      <c r="AP6" s="314"/>
      <c r="AQ6" s="314"/>
      <c r="AR6" s="314"/>
      <c r="AS6" s="314"/>
      <c r="AT6" s="314"/>
      <c r="AU6" s="314"/>
      <c r="AV6" s="314"/>
      <c r="AW6" s="314"/>
      <c r="AX6" s="1424"/>
      <c r="AY6" s="1427"/>
      <c r="AZ6" s="1426"/>
      <c r="BA6" s="314"/>
      <c r="BB6" s="314"/>
      <c r="BC6" s="314"/>
      <c r="BD6" s="314"/>
      <c r="BE6" s="314"/>
      <c r="BF6" s="314"/>
      <c r="BG6" s="314"/>
      <c r="BH6" s="314"/>
      <c r="BI6" s="1424"/>
      <c r="BJ6" s="1424"/>
      <c r="BK6" s="1143"/>
    </row>
    <row r="7" spans="1:63" s="1168" customFormat="1" ht="15" customHeight="1" x14ac:dyDescent="0.2">
      <c r="A7" s="63"/>
      <c r="B7" s="1456" t="s">
        <v>887</v>
      </c>
      <c r="C7" s="1456"/>
      <c r="D7" s="1456"/>
      <c r="E7" s="1456"/>
      <c r="F7" s="265"/>
      <c r="G7" s="265"/>
      <c r="H7" s="1428"/>
      <c r="I7" s="265"/>
      <c r="J7" s="265"/>
      <c r="K7" s="265"/>
      <c r="L7" s="265"/>
      <c r="M7" s="265"/>
      <c r="N7" s="265"/>
      <c r="O7" s="265"/>
      <c r="P7" s="265"/>
      <c r="Q7" s="273"/>
      <c r="R7" s="1429"/>
      <c r="S7" s="1428"/>
      <c r="T7" s="265"/>
      <c r="U7" s="265"/>
      <c r="V7" s="265"/>
      <c r="W7" s="265"/>
      <c r="X7" s="265"/>
      <c r="Y7" s="265"/>
      <c r="Z7" s="265"/>
      <c r="AA7" s="265"/>
      <c r="AB7" s="273"/>
      <c r="AC7" s="1429"/>
      <c r="AD7" s="1428"/>
      <c r="AE7" s="265"/>
      <c r="AF7" s="265"/>
      <c r="AG7" s="265"/>
      <c r="AH7" s="265"/>
      <c r="AI7" s="265"/>
      <c r="AJ7" s="265"/>
      <c r="AK7" s="265"/>
      <c r="AL7" s="265"/>
      <c r="AM7" s="273"/>
      <c r="AN7" s="1429"/>
      <c r="AO7" s="1428"/>
      <c r="AP7" s="265"/>
      <c r="AQ7" s="265"/>
      <c r="AR7" s="265"/>
      <c r="AS7" s="265"/>
      <c r="AT7" s="265"/>
      <c r="AU7" s="265"/>
      <c r="AV7" s="265"/>
      <c r="AW7" s="265"/>
      <c r="AX7" s="273"/>
      <c r="AY7" s="1429"/>
      <c r="AZ7" s="1428"/>
      <c r="BA7" s="265"/>
      <c r="BB7" s="265"/>
      <c r="BC7" s="265"/>
      <c r="BD7" s="265"/>
      <c r="BE7" s="265"/>
      <c r="BF7" s="265"/>
      <c r="BG7" s="265"/>
      <c r="BH7" s="265"/>
      <c r="BI7" s="273"/>
      <c r="BJ7" s="273"/>
      <c r="BK7" s="1143"/>
    </row>
    <row r="8" spans="1:63" s="1168" customFormat="1" ht="15" customHeight="1" x14ac:dyDescent="0.2">
      <c r="A8" s="63"/>
      <c r="B8" s="1456" t="s">
        <v>1220</v>
      </c>
      <c r="C8" s="1456"/>
      <c r="D8" s="1456"/>
      <c r="E8" s="1456"/>
      <c r="F8" s="265"/>
      <c r="G8" s="265"/>
      <c r="H8" s="1428"/>
      <c r="I8" s="265"/>
      <c r="J8" s="265"/>
      <c r="K8" s="265"/>
      <c r="L8" s="265"/>
      <c r="M8" s="265"/>
      <c r="N8" s="265"/>
      <c r="O8" s="265"/>
      <c r="P8" s="265"/>
      <c r="Q8" s="273"/>
      <c r="R8" s="1429"/>
      <c r="S8" s="1428"/>
      <c r="T8" s="265"/>
      <c r="U8" s="265"/>
      <c r="V8" s="265"/>
      <c r="W8" s="265"/>
      <c r="X8" s="265"/>
      <c r="Y8" s="265"/>
      <c r="Z8" s="265"/>
      <c r="AA8" s="265"/>
      <c r="AB8" s="273"/>
      <c r="AC8" s="1429"/>
      <c r="AD8" s="1428"/>
      <c r="AE8" s="265"/>
      <c r="AF8" s="265"/>
      <c r="AG8" s="265"/>
      <c r="AH8" s="265"/>
      <c r="AI8" s="265"/>
      <c r="AJ8" s="265"/>
      <c r="AK8" s="265"/>
      <c r="AL8" s="265"/>
      <c r="AM8" s="273"/>
      <c r="AN8" s="1429"/>
      <c r="AO8" s="1428"/>
      <c r="AP8" s="265"/>
      <c r="AQ8" s="265"/>
      <c r="AR8" s="265"/>
      <c r="AS8" s="265"/>
      <c r="AT8" s="265"/>
      <c r="AU8" s="265"/>
      <c r="AV8" s="265"/>
      <c r="AW8" s="265"/>
      <c r="AX8" s="273"/>
      <c r="AY8" s="1429"/>
      <c r="AZ8" s="1428"/>
      <c r="BA8" s="265"/>
      <c r="BB8" s="265"/>
      <c r="BC8" s="265"/>
      <c r="BD8" s="265"/>
      <c r="BE8" s="265"/>
      <c r="BF8" s="265"/>
      <c r="BG8" s="265"/>
      <c r="BH8" s="265"/>
      <c r="BI8" s="273"/>
      <c r="BJ8" s="273"/>
      <c r="BK8" s="1143"/>
    </row>
    <row r="9" spans="1:63" s="1168" customFormat="1" ht="15" customHeight="1" x14ac:dyDescent="0.2">
      <c r="A9" s="63"/>
      <c r="B9" s="1456" t="s">
        <v>888</v>
      </c>
      <c r="C9" s="1456"/>
      <c r="D9" s="1456"/>
      <c r="E9" s="1456"/>
      <c r="F9" s="265"/>
      <c r="G9" s="265"/>
      <c r="H9" s="1428"/>
      <c r="I9" s="265"/>
      <c r="J9" s="265"/>
      <c r="K9" s="265"/>
      <c r="L9" s="265"/>
      <c r="M9" s="265"/>
      <c r="N9" s="265"/>
      <c r="O9" s="265"/>
      <c r="P9" s="265"/>
      <c r="Q9" s="273"/>
      <c r="R9" s="1429"/>
      <c r="S9" s="1428"/>
      <c r="T9" s="265"/>
      <c r="U9" s="265"/>
      <c r="V9" s="265"/>
      <c r="W9" s="265"/>
      <c r="X9" s="265"/>
      <c r="Y9" s="265"/>
      <c r="Z9" s="265"/>
      <c r="AA9" s="265"/>
      <c r="AB9" s="273"/>
      <c r="AC9" s="1429"/>
      <c r="AD9" s="1428"/>
      <c r="AE9" s="265"/>
      <c r="AF9" s="265"/>
      <c r="AG9" s="265"/>
      <c r="AH9" s="265"/>
      <c r="AI9" s="265"/>
      <c r="AJ9" s="265"/>
      <c r="AK9" s="265"/>
      <c r="AL9" s="265"/>
      <c r="AM9" s="273"/>
      <c r="AN9" s="1429"/>
      <c r="AO9" s="1428"/>
      <c r="AP9" s="265"/>
      <c r="AQ9" s="265"/>
      <c r="AR9" s="265"/>
      <c r="AS9" s="265"/>
      <c r="AT9" s="265"/>
      <c r="AU9" s="265"/>
      <c r="AV9" s="265"/>
      <c r="AW9" s="265"/>
      <c r="AX9" s="273"/>
      <c r="AY9" s="1429"/>
      <c r="AZ9" s="1428"/>
      <c r="BA9" s="265"/>
      <c r="BB9" s="265"/>
      <c r="BC9" s="265"/>
      <c r="BD9" s="265"/>
      <c r="BE9" s="265"/>
      <c r="BF9" s="265"/>
      <c r="BG9" s="265"/>
      <c r="BH9" s="265"/>
      <c r="BI9" s="273"/>
      <c r="BJ9" s="273"/>
      <c r="BK9" s="1143"/>
    </row>
    <row r="10" spans="1:63" s="1168" customFormat="1" ht="15" customHeight="1" x14ac:dyDescent="0.2">
      <c r="A10" s="63"/>
      <c r="B10" s="1456" t="s">
        <v>1221</v>
      </c>
      <c r="C10" s="1456"/>
      <c r="D10" s="1456"/>
      <c r="E10" s="1456"/>
      <c r="F10" s="265"/>
      <c r="G10" s="265"/>
      <c r="H10" s="1428"/>
      <c r="I10" s="265"/>
      <c r="J10" s="265"/>
      <c r="K10" s="265"/>
      <c r="L10" s="265"/>
      <c r="M10" s="265"/>
      <c r="N10" s="265"/>
      <c r="O10" s="265"/>
      <c r="P10" s="265"/>
      <c r="Q10" s="273"/>
      <c r="R10" s="1429"/>
      <c r="S10" s="1428"/>
      <c r="T10" s="265"/>
      <c r="U10" s="265"/>
      <c r="V10" s="265"/>
      <c r="W10" s="265"/>
      <c r="X10" s="265"/>
      <c r="Y10" s="265"/>
      <c r="Z10" s="265"/>
      <c r="AA10" s="265"/>
      <c r="AB10" s="273"/>
      <c r="AC10" s="1429"/>
      <c r="AD10" s="1428"/>
      <c r="AE10" s="265"/>
      <c r="AF10" s="265"/>
      <c r="AG10" s="265"/>
      <c r="AH10" s="265"/>
      <c r="AI10" s="265"/>
      <c r="AJ10" s="265"/>
      <c r="AK10" s="265"/>
      <c r="AL10" s="265"/>
      <c r="AM10" s="273"/>
      <c r="AN10" s="1429"/>
      <c r="AO10" s="1428"/>
      <c r="AP10" s="265"/>
      <c r="AQ10" s="265"/>
      <c r="AR10" s="265"/>
      <c r="AS10" s="265"/>
      <c r="AT10" s="265"/>
      <c r="AU10" s="265"/>
      <c r="AV10" s="265"/>
      <c r="AW10" s="265"/>
      <c r="AX10" s="273"/>
      <c r="AY10" s="1429"/>
      <c r="AZ10" s="1428"/>
      <c r="BA10" s="265"/>
      <c r="BB10" s="265"/>
      <c r="BC10" s="265"/>
      <c r="BD10" s="265"/>
      <c r="BE10" s="265"/>
      <c r="BF10" s="265"/>
      <c r="BG10" s="265"/>
      <c r="BH10" s="265"/>
      <c r="BI10" s="273"/>
      <c r="BJ10" s="273"/>
      <c r="BK10" s="1143"/>
    </row>
    <row r="11" spans="1:63" s="1168" customFormat="1" ht="15" customHeight="1" x14ac:dyDescent="0.2">
      <c r="A11" s="63"/>
      <c r="B11" s="1456" t="s">
        <v>1222</v>
      </c>
      <c r="C11" s="1456"/>
      <c r="D11" s="1456"/>
      <c r="E11" s="1456"/>
      <c r="F11" s="265"/>
      <c r="G11" s="265"/>
      <c r="H11" s="1428"/>
      <c r="I11" s="265"/>
      <c r="J11" s="265"/>
      <c r="K11" s="265"/>
      <c r="L11" s="265"/>
      <c r="M11" s="265"/>
      <c r="N11" s="265"/>
      <c r="O11" s="265"/>
      <c r="P11" s="265"/>
      <c r="Q11" s="273"/>
      <c r="R11" s="1429"/>
      <c r="S11" s="1428"/>
      <c r="T11" s="265"/>
      <c r="U11" s="265"/>
      <c r="V11" s="265"/>
      <c r="W11" s="265"/>
      <c r="X11" s="265"/>
      <c r="Y11" s="265"/>
      <c r="Z11" s="265"/>
      <c r="AA11" s="265"/>
      <c r="AB11" s="273"/>
      <c r="AC11" s="1429"/>
      <c r="AD11" s="1428"/>
      <c r="AE11" s="265"/>
      <c r="AF11" s="265"/>
      <c r="AG11" s="265"/>
      <c r="AH11" s="265"/>
      <c r="AI11" s="265"/>
      <c r="AJ11" s="265"/>
      <c r="AK11" s="265"/>
      <c r="AL11" s="265"/>
      <c r="AM11" s="273"/>
      <c r="AN11" s="1429"/>
      <c r="AO11" s="1428"/>
      <c r="AP11" s="265"/>
      <c r="AQ11" s="265"/>
      <c r="AR11" s="265"/>
      <c r="AS11" s="265"/>
      <c r="AT11" s="265"/>
      <c r="AU11" s="265"/>
      <c r="AV11" s="265"/>
      <c r="AW11" s="265"/>
      <c r="AX11" s="273"/>
      <c r="AY11" s="1429"/>
      <c r="AZ11" s="1428"/>
      <c r="BA11" s="265"/>
      <c r="BB11" s="265"/>
      <c r="BC11" s="265"/>
      <c r="BD11" s="265"/>
      <c r="BE11" s="265"/>
      <c r="BF11" s="265"/>
      <c r="BG11" s="265"/>
      <c r="BH11" s="265"/>
      <c r="BI11" s="273"/>
      <c r="BJ11" s="273"/>
      <c r="BK11" s="1143"/>
    </row>
    <row r="12" spans="1:63" s="1168" customFormat="1" ht="15" customHeight="1" x14ac:dyDescent="0.2">
      <c r="A12" s="63"/>
      <c r="B12" s="1456" t="s">
        <v>1223</v>
      </c>
      <c r="C12" s="1456"/>
      <c r="D12" s="1456"/>
      <c r="E12" s="1456"/>
      <c r="F12" s="265"/>
      <c r="G12" s="265"/>
      <c r="H12" s="1428"/>
      <c r="I12" s="265"/>
      <c r="J12" s="265"/>
      <c r="K12" s="265"/>
      <c r="L12" s="265"/>
      <c r="M12" s="265"/>
      <c r="N12" s="265"/>
      <c r="O12" s="265"/>
      <c r="P12" s="265"/>
      <c r="Q12" s="273"/>
      <c r="R12" s="1429"/>
      <c r="S12" s="1428"/>
      <c r="T12" s="265"/>
      <c r="U12" s="265"/>
      <c r="V12" s="265"/>
      <c r="W12" s="265"/>
      <c r="X12" s="265"/>
      <c r="Y12" s="265"/>
      <c r="Z12" s="265"/>
      <c r="AA12" s="265"/>
      <c r="AB12" s="273"/>
      <c r="AC12" s="1429"/>
      <c r="AD12" s="1428"/>
      <c r="AE12" s="265"/>
      <c r="AF12" s="265"/>
      <c r="AG12" s="265"/>
      <c r="AH12" s="265"/>
      <c r="AI12" s="265"/>
      <c r="AJ12" s="265"/>
      <c r="AK12" s="265"/>
      <c r="AL12" s="265"/>
      <c r="AM12" s="273"/>
      <c r="AN12" s="1429"/>
      <c r="AO12" s="1428"/>
      <c r="AP12" s="265"/>
      <c r="AQ12" s="265"/>
      <c r="AR12" s="265"/>
      <c r="AS12" s="265"/>
      <c r="AT12" s="265"/>
      <c r="AU12" s="265"/>
      <c r="AV12" s="265"/>
      <c r="AW12" s="265"/>
      <c r="AX12" s="273"/>
      <c r="AY12" s="1429"/>
      <c r="AZ12" s="1428"/>
      <c r="BA12" s="265"/>
      <c r="BB12" s="265"/>
      <c r="BC12" s="265"/>
      <c r="BD12" s="265"/>
      <c r="BE12" s="265"/>
      <c r="BF12" s="265"/>
      <c r="BG12" s="265"/>
      <c r="BH12" s="265"/>
      <c r="BI12" s="273"/>
      <c r="BJ12" s="273"/>
      <c r="BK12" s="1143"/>
    </row>
    <row r="13" spans="1:63" s="1168" customFormat="1" ht="15" customHeight="1" x14ac:dyDescent="0.2">
      <c r="A13" s="63"/>
      <c r="B13" s="1456" t="s">
        <v>1224</v>
      </c>
      <c r="C13" s="1456"/>
      <c r="D13" s="1456"/>
      <c r="E13" s="1456"/>
      <c r="F13" s="265"/>
      <c r="G13" s="265"/>
      <c r="H13" s="1428"/>
      <c r="I13" s="265"/>
      <c r="J13" s="265"/>
      <c r="K13" s="265"/>
      <c r="L13" s="265"/>
      <c r="M13" s="265"/>
      <c r="N13" s="265"/>
      <c r="O13" s="265"/>
      <c r="P13" s="265"/>
      <c r="Q13" s="273"/>
      <c r="R13" s="1429"/>
      <c r="S13" s="1428"/>
      <c r="T13" s="265"/>
      <c r="U13" s="265"/>
      <c r="V13" s="265"/>
      <c r="W13" s="265"/>
      <c r="X13" s="265"/>
      <c r="Y13" s="265"/>
      <c r="Z13" s="265"/>
      <c r="AA13" s="265"/>
      <c r="AB13" s="273"/>
      <c r="AC13" s="1429"/>
      <c r="AD13" s="1428"/>
      <c r="AE13" s="265"/>
      <c r="AF13" s="265"/>
      <c r="AG13" s="265"/>
      <c r="AH13" s="265"/>
      <c r="AI13" s="265"/>
      <c r="AJ13" s="265"/>
      <c r="AK13" s="265"/>
      <c r="AL13" s="265"/>
      <c r="AM13" s="273"/>
      <c r="AN13" s="1429"/>
      <c r="AO13" s="1428"/>
      <c r="AP13" s="265"/>
      <c r="AQ13" s="265"/>
      <c r="AR13" s="265"/>
      <c r="AS13" s="265"/>
      <c r="AT13" s="265"/>
      <c r="AU13" s="265"/>
      <c r="AV13" s="265"/>
      <c r="AW13" s="265"/>
      <c r="AX13" s="273"/>
      <c r="AY13" s="1429"/>
      <c r="AZ13" s="1428"/>
      <c r="BA13" s="265"/>
      <c r="BB13" s="265"/>
      <c r="BC13" s="265"/>
      <c r="BD13" s="265"/>
      <c r="BE13" s="265"/>
      <c r="BF13" s="265"/>
      <c r="BG13" s="265"/>
      <c r="BH13" s="265"/>
      <c r="BI13" s="273"/>
      <c r="BJ13" s="273"/>
      <c r="BK13" s="1143"/>
    </row>
    <row r="14" spans="1:63" s="1168" customFormat="1" ht="15" customHeight="1" x14ac:dyDescent="0.2">
      <c r="A14" s="63"/>
      <c r="B14" s="1456" t="s">
        <v>1225</v>
      </c>
      <c r="C14" s="1456"/>
      <c r="D14" s="1456"/>
      <c r="E14" s="1456"/>
      <c r="F14" s="265"/>
      <c r="G14" s="265"/>
      <c r="H14" s="1428"/>
      <c r="I14" s="265"/>
      <c r="J14" s="265"/>
      <c r="K14" s="265"/>
      <c r="L14" s="265"/>
      <c r="M14" s="265"/>
      <c r="N14" s="265"/>
      <c r="O14" s="265"/>
      <c r="P14" s="265"/>
      <c r="Q14" s="273"/>
      <c r="R14" s="1429"/>
      <c r="S14" s="1428"/>
      <c r="T14" s="265"/>
      <c r="U14" s="265"/>
      <c r="V14" s="265"/>
      <c r="W14" s="265"/>
      <c r="X14" s="265"/>
      <c r="Y14" s="265"/>
      <c r="Z14" s="265"/>
      <c r="AA14" s="265"/>
      <c r="AB14" s="273"/>
      <c r="AC14" s="1429"/>
      <c r="AD14" s="1428"/>
      <c r="AE14" s="265"/>
      <c r="AF14" s="265"/>
      <c r="AG14" s="265"/>
      <c r="AH14" s="265"/>
      <c r="AI14" s="265"/>
      <c r="AJ14" s="265"/>
      <c r="AK14" s="265"/>
      <c r="AL14" s="265"/>
      <c r="AM14" s="273"/>
      <c r="AN14" s="1429"/>
      <c r="AO14" s="1428"/>
      <c r="AP14" s="265"/>
      <c r="AQ14" s="265"/>
      <c r="AR14" s="265"/>
      <c r="AS14" s="265"/>
      <c r="AT14" s="265"/>
      <c r="AU14" s="265"/>
      <c r="AV14" s="265"/>
      <c r="AW14" s="265"/>
      <c r="AX14" s="273"/>
      <c r="AY14" s="1429"/>
      <c r="AZ14" s="1428"/>
      <c r="BA14" s="265"/>
      <c r="BB14" s="265"/>
      <c r="BC14" s="265"/>
      <c r="BD14" s="265"/>
      <c r="BE14" s="265"/>
      <c r="BF14" s="265"/>
      <c r="BG14" s="265"/>
      <c r="BH14" s="265"/>
      <c r="BI14" s="273"/>
      <c r="BJ14" s="273"/>
      <c r="BK14" s="1143"/>
    </row>
    <row r="15" spans="1:63" s="1168" customFormat="1" ht="15" customHeight="1" x14ac:dyDescent="0.2">
      <c r="A15" s="63"/>
      <c r="B15" s="1456" t="s">
        <v>1226</v>
      </c>
      <c r="C15" s="1456"/>
      <c r="D15" s="1456"/>
      <c r="E15" s="1456"/>
      <c r="F15" s="265"/>
      <c r="G15" s="265"/>
      <c r="H15" s="1428"/>
      <c r="I15" s="265"/>
      <c r="J15" s="265"/>
      <c r="K15" s="265"/>
      <c r="L15" s="265"/>
      <c r="M15" s="265"/>
      <c r="N15" s="265"/>
      <c r="O15" s="265"/>
      <c r="P15" s="265"/>
      <c r="Q15" s="273"/>
      <c r="R15" s="1429"/>
      <c r="S15" s="1428"/>
      <c r="T15" s="265"/>
      <c r="U15" s="265"/>
      <c r="V15" s="265"/>
      <c r="W15" s="265"/>
      <c r="X15" s="265"/>
      <c r="Y15" s="265"/>
      <c r="Z15" s="265"/>
      <c r="AA15" s="265"/>
      <c r="AB15" s="273"/>
      <c r="AC15" s="1429"/>
      <c r="AD15" s="1428"/>
      <c r="AE15" s="265"/>
      <c r="AF15" s="265"/>
      <c r="AG15" s="265"/>
      <c r="AH15" s="265"/>
      <c r="AI15" s="265"/>
      <c r="AJ15" s="265"/>
      <c r="AK15" s="265"/>
      <c r="AL15" s="265"/>
      <c r="AM15" s="273"/>
      <c r="AN15" s="1429"/>
      <c r="AO15" s="1428"/>
      <c r="AP15" s="265"/>
      <c r="AQ15" s="265"/>
      <c r="AR15" s="265"/>
      <c r="AS15" s="265"/>
      <c r="AT15" s="265"/>
      <c r="AU15" s="265"/>
      <c r="AV15" s="265"/>
      <c r="AW15" s="265"/>
      <c r="AX15" s="273"/>
      <c r="AY15" s="1429"/>
      <c r="AZ15" s="1428"/>
      <c r="BA15" s="265"/>
      <c r="BB15" s="265"/>
      <c r="BC15" s="265"/>
      <c r="BD15" s="265"/>
      <c r="BE15" s="265"/>
      <c r="BF15" s="265"/>
      <c r="BG15" s="265"/>
      <c r="BH15" s="265"/>
      <c r="BI15" s="273"/>
      <c r="BJ15" s="273"/>
      <c r="BK15" s="1143"/>
    </row>
    <row r="16" spans="1:63" s="1168" customFormat="1" ht="15" customHeight="1" x14ac:dyDescent="0.2">
      <c r="A16" s="63"/>
      <c r="B16" s="1456" t="s">
        <v>1227</v>
      </c>
      <c r="C16" s="1456"/>
      <c r="D16" s="1456"/>
      <c r="E16" s="1456"/>
      <c r="F16" s="265"/>
      <c r="G16" s="265"/>
      <c r="H16" s="1428"/>
      <c r="I16" s="265"/>
      <c r="J16" s="265"/>
      <c r="K16" s="265"/>
      <c r="L16" s="265"/>
      <c r="M16" s="265"/>
      <c r="N16" s="265"/>
      <c r="O16" s="265"/>
      <c r="P16" s="265"/>
      <c r="Q16" s="273"/>
      <c r="R16" s="1429"/>
      <c r="S16" s="1428"/>
      <c r="T16" s="265"/>
      <c r="U16" s="265"/>
      <c r="V16" s="265"/>
      <c r="W16" s="265"/>
      <c r="X16" s="265"/>
      <c r="Y16" s="265"/>
      <c r="Z16" s="265"/>
      <c r="AA16" s="265"/>
      <c r="AB16" s="273"/>
      <c r="AC16" s="1429"/>
      <c r="AD16" s="1428"/>
      <c r="AE16" s="265"/>
      <c r="AF16" s="265"/>
      <c r="AG16" s="265"/>
      <c r="AH16" s="265"/>
      <c r="AI16" s="265"/>
      <c r="AJ16" s="265"/>
      <c r="AK16" s="265"/>
      <c r="AL16" s="265"/>
      <c r="AM16" s="273"/>
      <c r="AN16" s="1429"/>
      <c r="AO16" s="1428"/>
      <c r="AP16" s="265"/>
      <c r="AQ16" s="265"/>
      <c r="AR16" s="265"/>
      <c r="AS16" s="265"/>
      <c r="AT16" s="265"/>
      <c r="AU16" s="265"/>
      <c r="AV16" s="265"/>
      <c r="AW16" s="265"/>
      <c r="AX16" s="273"/>
      <c r="AY16" s="1429"/>
      <c r="AZ16" s="1428"/>
      <c r="BA16" s="265"/>
      <c r="BB16" s="265"/>
      <c r="BC16" s="265"/>
      <c r="BD16" s="265"/>
      <c r="BE16" s="265"/>
      <c r="BF16" s="265"/>
      <c r="BG16" s="265"/>
      <c r="BH16" s="265"/>
      <c r="BI16" s="273"/>
      <c r="BJ16" s="273"/>
      <c r="BK16" s="1143"/>
    </row>
    <row r="17" spans="1:63" s="1168" customFormat="1" ht="15.75" customHeight="1" x14ac:dyDescent="0.2">
      <c r="A17" s="63"/>
      <c r="B17" s="1456" t="s">
        <v>1228</v>
      </c>
      <c r="C17" s="1456"/>
      <c r="D17" s="1456"/>
      <c r="E17" s="1456"/>
      <c r="F17" s="265"/>
      <c r="G17" s="265"/>
      <c r="H17" s="1428"/>
      <c r="I17" s="265"/>
      <c r="J17" s="265"/>
      <c r="K17" s="265"/>
      <c r="L17" s="265"/>
      <c r="M17" s="265"/>
      <c r="N17" s="265"/>
      <c r="O17" s="265"/>
      <c r="P17" s="265"/>
      <c r="Q17" s="273"/>
      <c r="R17" s="1429"/>
      <c r="S17" s="1428"/>
      <c r="T17" s="265"/>
      <c r="U17" s="265"/>
      <c r="V17" s="265"/>
      <c r="W17" s="265"/>
      <c r="X17" s="265"/>
      <c r="Y17" s="265"/>
      <c r="Z17" s="265"/>
      <c r="AA17" s="265"/>
      <c r="AB17" s="273"/>
      <c r="AC17" s="1429"/>
      <c r="AD17" s="1428"/>
      <c r="AE17" s="265"/>
      <c r="AF17" s="265"/>
      <c r="AG17" s="265"/>
      <c r="AH17" s="265"/>
      <c r="AI17" s="265"/>
      <c r="AJ17" s="265"/>
      <c r="AK17" s="265"/>
      <c r="AL17" s="265"/>
      <c r="AM17" s="273"/>
      <c r="AN17" s="1429"/>
      <c r="AO17" s="1428"/>
      <c r="AP17" s="265"/>
      <c r="AQ17" s="265"/>
      <c r="AR17" s="265"/>
      <c r="AS17" s="265"/>
      <c r="AT17" s="265"/>
      <c r="AU17" s="265"/>
      <c r="AV17" s="265"/>
      <c r="AW17" s="265"/>
      <c r="AX17" s="273"/>
      <c r="AY17" s="1429"/>
      <c r="AZ17" s="1428"/>
      <c r="BA17" s="265"/>
      <c r="BB17" s="265"/>
      <c r="BC17" s="265"/>
      <c r="BD17" s="265"/>
      <c r="BE17" s="265"/>
      <c r="BF17" s="265"/>
      <c r="BG17" s="265"/>
      <c r="BH17" s="265"/>
      <c r="BI17" s="273"/>
      <c r="BJ17" s="273"/>
      <c r="BK17" s="1143"/>
    </row>
    <row r="18" spans="1:63" s="1168" customFormat="1" ht="15" customHeight="1" x14ac:dyDescent="0.2">
      <c r="A18" s="63"/>
      <c r="B18" s="1456" t="s">
        <v>1229</v>
      </c>
      <c r="C18" s="1456"/>
      <c r="D18" s="1456"/>
      <c r="E18" s="1456"/>
      <c r="F18" s="265"/>
      <c r="G18" s="265"/>
      <c r="H18" s="1428"/>
      <c r="I18" s="265"/>
      <c r="J18" s="265"/>
      <c r="K18" s="265"/>
      <c r="L18" s="265"/>
      <c r="M18" s="265"/>
      <c r="N18" s="265"/>
      <c r="O18" s="265"/>
      <c r="P18" s="265"/>
      <c r="Q18" s="273"/>
      <c r="R18" s="1429"/>
      <c r="S18" s="1428"/>
      <c r="T18" s="265"/>
      <c r="U18" s="265"/>
      <c r="V18" s="265"/>
      <c r="W18" s="265"/>
      <c r="X18" s="265"/>
      <c r="Y18" s="265"/>
      <c r="Z18" s="265"/>
      <c r="AA18" s="265"/>
      <c r="AB18" s="273"/>
      <c r="AC18" s="1429"/>
      <c r="AD18" s="1428"/>
      <c r="AE18" s="265"/>
      <c r="AF18" s="265"/>
      <c r="AG18" s="265"/>
      <c r="AH18" s="265"/>
      <c r="AI18" s="265"/>
      <c r="AJ18" s="265"/>
      <c r="AK18" s="265"/>
      <c r="AL18" s="265"/>
      <c r="AM18" s="273"/>
      <c r="AN18" s="1429"/>
      <c r="AO18" s="1428"/>
      <c r="AP18" s="265"/>
      <c r="AQ18" s="265"/>
      <c r="AR18" s="265"/>
      <c r="AS18" s="265"/>
      <c r="AT18" s="265"/>
      <c r="AU18" s="265"/>
      <c r="AV18" s="265"/>
      <c r="AW18" s="265"/>
      <c r="AX18" s="273"/>
      <c r="AY18" s="1429"/>
      <c r="AZ18" s="1428"/>
      <c r="BA18" s="265"/>
      <c r="BB18" s="265"/>
      <c r="BC18" s="265"/>
      <c r="BD18" s="265"/>
      <c r="BE18" s="265"/>
      <c r="BF18" s="265"/>
      <c r="BG18" s="265"/>
      <c r="BH18" s="265"/>
      <c r="BI18" s="273"/>
      <c r="BJ18" s="273"/>
      <c r="BK18" s="1143"/>
    </row>
    <row r="19" spans="1:63" s="1168" customFormat="1" ht="15" customHeight="1" x14ac:dyDescent="0.2">
      <c r="A19" s="63"/>
      <c r="B19" s="1456" t="s">
        <v>1230</v>
      </c>
      <c r="C19" s="1456"/>
      <c r="D19" s="1456"/>
      <c r="E19" s="1456"/>
      <c r="F19" s="265"/>
      <c r="G19" s="265"/>
      <c r="H19" s="1428"/>
      <c r="I19" s="265"/>
      <c r="J19" s="265"/>
      <c r="K19" s="265"/>
      <c r="L19" s="265"/>
      <c r="M19" s="265"/>
      <c r="N19" s="265"/>
      <c r="O19" s="265"/>
      <c r="P19" s="265"/>
      <c r="Q19" s="273"/>
      <c r="R19" s="1429"/>
      <c r="S19" s="1428"/>
      <c r="T19" s="265"/>
      <c r="U19" s="265"/>
      <c r="V19" s="265"/>
      <c r="W19" s="265"/>
      <c r="X19" s="265"/>
      <c r="Y19" s="265"/>
      <c r="Z19" s="265"/>
      <c r="AA19" s="265"/>
      <c r="AB19" s="273"/>
      <c r="AC19" s="1429"/>
      <c r="AD19" s="1428"/>
      <c r="AE19" s="265"/>
      <c r="AF19" s="265"/>
      <c r="AG19" s="265"/>
      <c r="AH19" s="265"/>
      <c r="AI19" s="265"/>
      <c r="AJ19" s="265"/>
      <c r="AK19" s="265"/>
      <c r="AL19" s="265"/>
      <c r="AM19" s="273"/>
      <c r="AN19" s="1429"/>
      <c r="AO19" s="1428"/>
      <c r="AP19" s="265"/>
      <c r="AQ19" s="265"/>
      <c r="AR19" s="265"/>
      <c r="AS19" s="265"/>
      <c r="AT19" s="265"/>
      <c r="AU19" s="265"/>
      <c r="AV19" s="265"/>
      <c r="AW19" s="265"/>
      <c r="AX19" s="273"/>
      <c r="AY19" s="1429"/>
      <c r="AZ19" s="1428"/>
      <c r="BA19" s="265"/>
      <c r="BB19" s="265"/>
      <c r="BC19" s="265"/>
      <c r="BD19" s="265"/>
      <c r="BE19" s="265"/>
      <c r="BF19" s="265"/>
      <c r="BG19" s="265"/>
      <c r="BH19" s="265"/>
      <c r="BI19" s="273"/>
      <c r="BJ19" s="273"/>
      <c r="BK19" s="1143"/>
    </row>
    <row r="20" spans="1:63" s="1168" customFormat="1" ht="15" customHeight="1" x14ac:dyDescent="0.2">
      <c r="A20" s="63"/>
      <c r="B20" s="1456" t="s">
        <v>1231</v>
      </c>
      <c r="C20" s="1456"/>
      <c r="D20" s="1456"/>
      <c r="E20" s="1456"/>
      <c r="F20" s="265"/>
      <c r="G20" s="265"/>
      <c r="H20" s="1428"/>
      <c r="I20" s="265"/>
      <c r="J20" s="265"/>
      <c r="K20" s="265"/>
      <c r="L20" s="265"/>
      <c r="M20" s="265"/>
      <c r="N20" s="265"/>
      <c r="O20" s="265"/>
      <c r="P20" s="265"/>
      <c r="Q20" s="273"/>
      <c r="R20" s="1429"/>
      <c r="S20" s="1428"/>
      <c r="T20" s="265"/>
      <c r="U20" s="265"/>
      <c r="V20" s="265"/>
      <c r="W20" s="265"/>
      <c r="X20" s="265"/>
      <c r="Y20" s="265"/>
      <c r="Z20" s="265"/>
      <c r="AA20" s="265"/>
      <c r="AB20" s="273"/>
      <c r="AC20" s="1429"/>
      <c r="AD20" s="1428"/>
      <c r="AE20" s="265"/>
      <c r="AF20" s="265"/>
      <c r="AG20" s="265"/>
      <c r="AH20" s="265"/>
      <c r="AI20" s="265"/>
      <c r="AJ20" s="265"/>
      <c r="AK20" s="265"/>
      <c r="AL20" s="265"/>
      <c r="AM20" s="273"/>
      <c r="AN20" s="1429"/>
      <c r="AO20" s="1428"/>
      <c r="AP20" s="265"/>
      <c r="AQ20" s="265"/>
      <c r="AR20" s="265"/>
      <c r="AS20" s="265"/>
      <c r="AT20" s="265"/>
      <c r="AU20" s="265"/>
      <c r="AV20" s="265"/>
      <c r="AW20" s="265"/>
      <c r="AX20" s="273"/>
      <c r="AY20" s="1429"/>
      <c r="AZ20" s="1428"/>
      <c r="BA20" s="265"/>
      <c r="BB20" s="265"/>
      <c r="BC20" s="265"/>
      <c r="BD20" s="265"/>
      <c r="BE20" s="265"/>
      <c r="BF20" s="265"/>
      <c r="BG20" s="265"/>
      <c r="BH20" s="265"/>
      <c r="BI20" s="273"/>
      <c r="BJ20" s="273"/>
      <c r="BK20" s="1143"/>
    </row>
    <row r="21" spans="1:63" s="1168" customFormat="1" ht="15" customHeight="1" x14ac:dyDescent="0.2">
      <c r="A21" s="63"/>
      <c r="B21" s="1456" t="s">
        <v>1232</v>
      </c>
      <c r="C21" s="1456"/>
      <c r="D21" s="1456"/>
      <c r="E21" s="1456"/>
      <c r="F21" s="265"/>
      <c r="G21" s="265"/>
      <c r="H21" s="1428"/>
      <c r="I21" s="265"/>
      <c r="J21" s="265"/>
      <c r="K21" s="265"/>
      <c r="L21" s="265"/>
      <c r="M21" s="265"/>
      <c r="N21" s="265"/>
      <c r="O21" s="265"/>
      <c r="P21" s="265"/>
      <c r="Q21" s="273"/>
      <c r="R21" s="1429"/>
      <c r="S21" s="1428"/>
      <c r="T21" s="265"/>
      <c r="U21" s="265"/>
      <c r="V21" s="265"/>
      <c r="W21" s="265"/>
      <c r="X21" s="265"/>
      <c r="Y21" s="265"/>
      <c r="Z21" s="265"/>
      <c r="AA21" s="265"/>
      <c r="AB21" s="273"/>
      <c r="AC21" s="1429"/>
      <c r="AD21" s="1428"/>
      <c r="AE21" s="265"/>
      <c r="AF21" s="265"/>
      <c r="AG21" s="265"/>
      <c r="AH21" s="265"/>
      <c r="AI21" s="265"/>
      <c r="AJ21" s="265"/>
      <c r="AK21" s="265"/>
      <c r="AL21" s="265"/>
      <c r="AM21" s="273"/>
      <c r="AN21" s="1429"/>
      <c r="AO21" s="1428"/>
      <c r="AP21" s="265"/>
      <c r="AQ21" s="265"/>
      <c r="AR21" s="265"/>
      <c r="AS21" s="265"/>
      <c r="AT21" s="265"/>
      <c r="AU21" s="265"/>
      <c r="AV21" s="265"/>
      <c r="AW21" s="265"/>
      <c r="AX21" s="273"/>
      <c r="AY21" s="1429"/>
      <c r="AZ21" s="1428"/>
      <c r="BA21" s="265"/>
      <c r="BB21" s="265"/>
      <c r="BC21" s="265"/>
      <c r="BD21" s="265"/>
      <c r="BE21" s="265"/>
      <c r="BF21" s="265"/>
      <c r="BG21" s="265"/>
      <c r="BH21" s="265"/>
      <c r="BI21" s="273"/>
      <c r="BJ21" s="273"/>
      <c r="BK21" s="1143"/>
    </row>
    <row r="22" spans="1:63" s="1168" customFormat="1" ht="15" customHeight="1" x14ac:dyDescent="0.2">
      <c r="A22" s="63"/>
      <c r="B22" s="1456" t="s">
        <v>1233</v>
      </c>
      <c r="C22" s="1456"/>
      <c r="D22" s="1456"/>
      <c r="E22" s="1456"/>
      <c r="F22" s="265"/>
      <c r="G22" s="265"/>
      <c r="H22" s="1428"/>
      <c r="I22" s="265"/>
      <c r="J22" s="265"/>
      <c r="K22" s="265"/>
      <c r="L22" s="265"/>
      <c r="M22" s="265"/>
      <c r="N22" s="265"/>
      <c r="O22" s="265"/>
      <c r="P22" s="265"/>
      <c r="Q22" s="273"/>
      <c r="R22" s="1429"/>
      <c r="S22" s="1428"/>
      <c r="T22" s="265"/>
      <c r="U22" s="265"/>
      <c r="V22" s="265"/>
      <c r="W22" s="265"/>
      <c r="X22" s="265"/>
      <c r="Y22" s="265"/>
      <c r="Z22" s="265"/>
      <c r="AA22" s="265"/>
      <c r="AB22" s="273"/>
      <c r="AC22" s="1429"/>
      <c r="AD22" s="1428"/>
      <c r="AE22" s="265"/>
      <c r="AF22" s="265"/>
      <c r="AG22" s="265"/>
      <c r="AH22" s="265"/>
      <c r="AI22" s="265"/>
      <c r="AJ22" s="265"/>
      <c r="AK22" s="265"/>
      <c r="AL22" s="265"/>
      <c r="AM22" s="273"/>
      <c r="AN22" s="1429"/>
      <c r="AO22" s="1428"/>
      <c r="AP22" s="265"/>
      <c r="AQ22" s="265"/>
      <c r="AR22" s="265"/>
      <c r="AS22" s="265"/>
      <c r="AT22" s="265"/>
      <c r="AU22" s="265"/>
      <c r="AV22" s="265"/>
      <c r="AW22" s="265"/>
      <c r="AX22" s="273"/>
      <c r="AY22" s="1429"/>
      <c r="AZ22" s="1428"/>
      <c r="BA22" s="265"/>
      <c r="BB22" s="265"/>
      <c r="BC22" s="265"/>
      <c r="BD22" s="265"/>
      <c r="BE22" s="265"/>
      <c r="BF22" s="265"/>
      <c r="BG22" s="265"/>
      <c r="BH22" s="265"/>
      <c r="BI22" s="273"/>
      <c r="BJ22" s="273"/>
      <c r="BK22" s="1143"/>
    </row>
    <row r="23" spans="1:63" s="1168" customFormat="1" ht="15" customHeight="1" x14ac:dyDescent="0.2">
      <c r="A23" s="63"/>
      <c r="B23" s="1456" t="s">
        <v>1234</v>
      </c>
      <c r="C23" s="1456"/>
      <c r="D23" s="1456"/>
      <c r="E23" s="1456"/>
      <c r="F23" s="265"/>
      <c r="G23" s="265"/>
      <c r="H23" s="1428"/>
      <c r="I23" s="265"/>
      <c r="J23" s="265"/>
      <c r="K23" s="265"/>
      <c r="L23" s="265"/>
      <c r="M23" s="265"/>
      <c r="N23" s="265"/>
      <c r="O23" s="265"/>
      <c r="P23" s="265"/>
      <c r="Q23" s="273"/>
      <c r="R23" s="1429"/>
      <c r="S23" s="1428"/>
      <c r="T23" s="265"/>
      <c r="U23" s="265"/>
      <c r="V23" s="265"/>
      <c r="W23" s="265"/>
      <c r="X23" s="265"/>
      <c r="Y23" s="265"/>
      <c r="Z23" s="265"/>
      <c r="AA23" s="265"/>
      <c r="AB23" s="273"/>
      <c r="AC23" s="1429"/>
      <c r="AD23" s="1428"/>
      <c r="AE23" s="265"/>
      <c r="AF23" s="265"/>
      <c r="AG23" s="265"/>
      <c r="AH23" s="265"/>
      <c r="AI23" s="265"/>
      <c r="AJ23" s="265"/>
      <c r="AK23" s="265"/>
      <c r="AL23" s="265"/>
      <c r="AM23" s="273"/>
      <c r="AN23" s="1429"/>
      <c r="AO23" s="1428"/>
      <c r="AP23" s="265"/>
      <c r="AQ23" s="265"/>
      <c r="AR23" s="265"/>
      <c r="AS23" s="265"/>
      <c r="AT23" s="265"/>
      <c r="AU23" s="265"/>
      <c r="AV23" s="265"/>
      <c r="AW23" s="265"/>
      <c r="AX23" s="273"/>
      <c r="AY23" s="1429"/>
      <c r="AZ23" s="1428"/>
      <c r="BA23" s="265"/>
      <c r="BB23" s="265"/>
      <c r="BC23" s="265"/>
      <c r="BD23" s="265"/>
      <c r="BE23" s="265"/>
      <c r="BF23" s="265"/>
      <c r="BG23" s="265"/>
      <c r="BH23" s="265"/>
      <c r="BI23" s="273"/>
      <c r="BJ23" s="273"/>
      <c r="BK23" s="1143"/>
    </row>
    <row r="24" spans="1:63" s="1168" customFormat="1" ht="15" customHeight="1" x14ac:dyDescent="0.2">
      <c r="A24" s="63"/>
      <c r="B24" s="1456" t="s">
        <v>1235</v>
      </c>
      <c r="C24" s="1456"/>
      <c r="D24" s="1456"/>
      <c r="E24" s="1456"/>
      <c r="F24" s="265"/>
      <c r="G24" s="265"/>
      <c r="H24" s="1428"/>
      <c r="I24" s="265"/>
      <c r="J24" s="265"/>
      <c r="K24" s="265"/>
      <c r="L24" s="265"/>
      <c r="M24" s="265"/>
      <c r="N24" s="265"/>
      <c r="O24" s="265"/>
      <c r="P24" s="265"/>
      <c r="Q24" s="273"/>
      <c r="R24" s="1429"/>
      <c r="S24" s="1428"/>
      <c r="T24" s="265"/>
      <c r="U24" s="265"/>
      <c r="V24" s="265"/>
      <c r="W24" s="265"/>
      <c r="X24" s="265"/>
      <c r="Y24" s="265"/>
      <c r="Z24" s="265"/>
      <c r="AA24" s="265"/>
      <c r="AB24" s="273"/>
      <c r="AC24" s="1429"/>
      <c r="AD24" s="1428"/>
      <c r="AE24" s="265"/>
      <c r="AF24" s="265"/>
      <c r="AG24" s="265"/>
      <c r="AH24" s="265"/>
      <c r="AI24" s="265"/>
      <c r="AJ24" s="265"/>
      <c r="AK24" s="265"/>
      <c r="AL24" s="265"/>
      <c r="AM24" s="273"/>
      <c r="AN24" s="1429"/>
      <c r="AO24" s="1428"/>
      <c r="AP24" s="265"/>
      <c r="AQ24" s="265"/>
      <c r="AR24" s="265"/>
      <c r="AS24" s="265"/>
      <c r="AT24" s="265"/>
      <c r="AU24" s="265"/>
      <c r="AV24" s="265"/>
      <c r="AW24" s="265"/>
      <c r="AX24" s="273"/>
      <c r="AY24" s="1429"/>
      <c r="AZ24" s="1428"/>
      <c r="BA24" s="265"/>
      <c r="BB24" s="265"/>
      <c r="BC24" s="265"/>
      <c r="BD24" s="265"/>
      <c r="BE24" s="265"/>
      <c r="BF24" s="265"/>
      <c r="BG24" s="265"/>
      <c r="BH24" s="265"/>
      <c r="BI24" s="273"/>
      <c r="BJ24" s="273"/>
      <c r="BK24" s="1143"/>
    </row>
    <row r="25" spans="1:63" s="1168" customFormat="1" ht="15" customHeight="1" x14ac:dyDescent="0.2">
      <c r="A25" s="63"/>
      <c r="B25" s="1456" t="s">
        <v>1236</v>
      </c>
      <c r="C25" s="1456"/>
      <c r="D25" s="1456"/>
      <c r="E25" s="1456"/>
      <c r="F25" s="265"/>
      <c r="G25" s="265"/>
      <c r="H25" s="1428"/>
      <c r="I25" s="265"/>
      <c r="J25" s="265"/>
      <c r="K25" s="265"/>
      <c r="L25" s="265"/>
      <c r="M25" s="265"/>
      <c r="N25" s="265"/>
      <c r="O25" s="265"/>
      <c r="P25" s="265"/>
      <c r="Q25" s="273"/>
      <c r="R25" s="1429"/>
      <c r="S25" s="1428"/>
      <c r="T25" s="265"/>
      <c r="U25" s="265"/>
      <c r="V25" s="265"/>
      <c r="W25" s="265"/>
      <c r="X25" s="265"/>
      <c r="Y25" s="265"/>
      <c r="Z25" s="265"/>
      <c r="AA25" s="265"/>
      <c r="AB25" s="273"/>
      <c r="AC25" s="1429"/>
      <c r="AD25" s="1428"/>
      <c r="AE25" s="265"/>
      <c r="AF25" s="265"/>
      <c r="AG25" s="265"/>
      <c r="AH25" s="265"/>
      <c r="AI25" s="265"/>
      <c r="AJ25" s="265"/>
      <c r="AK25" s="265"/>
      <c r="AL25" s="265"/>
      <c r="AM25" s="273"/>
      <c r="AN25" s="1429"/>
      <c r="AO25" s="1428"/>
      <c r="AP25" s="265"/>
      <c r="AQ25" s="265"/>
      <c r="AR25" s="265"/>
      <c r="AS25" s="265"/>
      <c r="AT25" s="265"/>
      <c r="AU25" s="265"/>
      <c r="AV25" s="265"/>
      <c r="AW25" s="265"/>
      <c r="AX25" s="273"/>
      <c r="AY25" s="1429"/>
      <c r="AZ25" s="1428"/>
      <c r="BA25" s="265"/>
      <c r="BB25" s="265"/>
      <c r="BC25" s="265"/>
      <c r="BD25" s="265"/>
      <c r="BE25" s="265"/>
      <c r="BF25" s="265"/>
      <c r="BG25" s="265"/>
      <c r="BH25" s="265"/>
      <c r="BI25" s="273"/>
      <c r="BJ25" s="273"/>
      <c r="BK25" s="1143"/>
    </row>
    <row r="26" spans="1:63" s="1168" customFormat="1" ht="15" customHeight="1" x14ac:dyDescent="0.2">
      <c r="A26" s="63"/>
      <c r="B26" s="1456" t="s">
        <v>1237</v>
      </c>
      <c r="C26" s="1456"/>
      <c r="D26" s="1456"/>
      <c r="E26" s="1456"/>
      <c r="F26" s="265"/>
      <c r="G26" s="265"/>
      <c r="H26" s="1428"/>
      <c r="I26" s="265"/>
      <c r="J26" s="265"/>
      <c r="K26" s="265"/>
      <c r="L26" s="265"/>
      <c r="M26" s="265"/>
      <c r="N26" s="265"/>
      <c r="O26" s="265"/>
      <c r="P26" s="265"/>
      <c r="Q26" s="273"/>
      <c r="R26" s="1429"/>
      <c r="S26" s="1428"/>
      <c r="T26" s="265"/>
      <c r="U26" s="265"/>
      <c r="V26" s="265"/>
      <c r="W26" s="265"/>
      <c r="X26" s="265"/>
      <c r="Y26" s="265"/>
      <c r="Z26" s="265"/>
      <c r="AA26" s="265"/>
      <c r="AB26" s="273"/>
      <c r="AC26" s="1429"/>
      <c r="AD26" s="1428"/>
      <c r="AE26" s="265"/>
      <c r="AF26" s="265"/>
      <c r="AG26" s="265"/>
      <c r="AH26" s="265"/>
      <c r="AI26" s="265"/>
      <c r="AJ26" s="265"/>
      <c r="AK26" s="265"/>
      <c r="AL26" s="265"/>
      <c r="AM26" s="273"/>
      <c r="AN26" s="1429"/>
      <c r="AO26" s="1428"/>
      <c r="AP26" s="265"/>
      <c r="AQ26" s="265"/>
      <c r="AR26" s="265"/>
      <c r="AS26" s="265"/>
      <c r="AT26" s="265"/>
      <c r="AU26" s="265"/>
      <c r="AV26" s="265"/>
      <c r="AW26" s="265"/>
      <c r="AX26" s="273"/>
      <c r="AY26" s="1429"/>
      <c r="AZ26" s="1428"/>
      <c r="BA26" s="265"/>
      <c r="BB26" s="265"/>
      <c r="BC26" s="265"/>
      <c r="BD26" s="265"/>
      <c r="BE26" s="265"/>
      <c r="BF26" s="265"/>
      <c r="BG26" s="265"/>
      <c r="BH26" s="265"/>
      <c r="BI26" s="273"/>
      <c r="BJ26" s="273"/>
      <c r="BK26" s="1143"/>
    </row>
    <row r="27" spans="1:63" s="1168" customFormat="1" ht="15" customHeight="1" x14ac:dyDescent="0.2">
      <c r="A27" s="63"/>
      <c r="B27" s="1456" t="s">
        <v>1238</v>
      </c>
      <c r="C27" s="1456"/>
      <c r="D27" s="1456"/>
      <c r="E27" s="1456"/>
      <c r="F27" s="265"/>
      <c r="G27" s="265"/>
      <c r="H27" s="1428"/>
      <c r="I27" s="265"/>
      <c r="J27" s="265"/>
      <c r="K27" s="265"/>
      <c r="L27" s="265"/>
      <c r="M27" s="265"/>
      <c r="N27" s="265"/>
      <c r="O27" s="265"/>
      <c r="P27" s="265"/>
      <c r="Q27" s="273"/>
      <c r="R27" s="1429"/>
      <c r="S27" s="1428"/>
      <c r="T27" s="265"/>
      <c r="U27" s="265"/>
      <c r="V27" s="265"/>
      <c r="W27" s="265"/>
      <c r="X27" s="265"/>
      <c r="Y27" s="265"/>
      <c r="Z27" s="265"/>
      <c r="AA27" s="265"/>
      <c r="AB27" s="273"/>
      <c r="AC27" s="1429"/>
      <c r="AD27" s="1428"/>
      <c r="AE27" s="265"/>
      <c r="AF27" s="265"/>
      <c r="AG27" s="265"/>
      <c r="AH27" s="265"/>
      <c r="AI27" s="265"/>
      <c r="AJ27" s="265"/>
      <c r="AK27" s="265"/>
      <c r="AL27" s="265"/>
      <c r="AM27" s="273"/>
      <c r="AN27" s="1429"/>
      <c r="AO27" s="1428"/>
      <c r="AP27" s="265"/>
      <c r="AQ27" s="265"/>
      <c r="AR27" s="265"/>
      <c r="AS27" s="265"/>
      <c r="AT27" s="265"/>
      <c r="AU27" s="265"/>
      <c r="AV27" s="265"/>
      <c r="AW27" s="265"/>
      <c r="AX27" s="273"/>
      <c r="AY27" s="1429"/>
      <c r="AZ27" s="1428"/>
      <c r="BA27" s="265"/>
      <c r="BB27" s="265"/>
      <c r="BC27" s="265"/>
      <c r="BD27" s="265"/>
      <c r="BE27" s="265"/>
      <c r="BF27" s="265"/>
      <c r="BG27" s="265"/>
      <c r="BH27" s="265"/>
      <c r="BI27" s="273"/>
      <c r="BJ27" s="273"/>
      <c r="BK27" s="1143"/>
    </row>
    <row r="28" spans="1:63" s="1168" customFormat="1" ht="15" customHeight="1" x14ac:dyDescent="0.2">
      <c r="A28" s="63"/>
      <c r="B28" s="1456" t="s">
        <v>1239</v>
      </c>
      <c r="C28" s="1456"/>
      <c r="D28" s="1456"/>
      <c r="E28" s="1456"/>
      <c r="F28" s="265"/>
      <c r="G28" s="265"/>
      <c r="H28" s="1428"/>
      <c r="I28" s="265"/>
      <c r="J28" s="265"/>
      <c r="K28" s="265"/>
      <c r="L28" s="265"/>
      <c r="M28" s="265"/>
      <c r="N28" s="265"/>
      <c r="O28" s="265"/>
      <c r="P28" s="265"/>
      <c r="Q28" s="273"/>
      <c r="R28" s="1429"/>
      <c r="S28" s="1428"/>
      <c r="T28" s="265"/>
      <c r="U28" s="265"/>
      <c r="V28" s="265"/>
      <c r="W28" s="265"/>
      <c r="X28" s="265"/>
      <c r="Y28" s="265"/>
      <c r="Z28" s="265"/>
      <c r="AA28" s="265"/>
      <c r="AB28" s="273"/>
      <c r="AC28" s="1429"/>
      <c r="AD28" s="1428"/>
      <c r="AE28" s="265"/>
      <c r="AF28" s="265"/>
      <c r="AG28" s="265"/>
      <c r="AH28" s="265"/>
      <c r="AI28" s="265"/>
      <c r="AJ28" s="265"/>
      <c r="AK28" s="265"/>
      <c r="AL28" s="265"/>
      <c r="AM28" s="273"/>
      <c r="AN28" s="1429"/>
      <c r="AO28" s="1428"/>
      <c r="AP28" s="265"/>
      <c r="AQ28" s="265"/>
      <c r="AR28" s="265"/>
      <c r="AS28" s="265"/>
      <c r="AT28" s="265"/>
      <c r="AU28" s="265"/>
      <c r="AV28" s="265"/>
      <c r="AW28" s="265"/>
      <c r="AX28" s="273"/>
      <c r="AY28" s="1429"/>
      <c r="AZ28" s="1428"/>
      <c r="BA28" s="265"/>
      <c r="BB28" s="265"/>
      <c r="BC28" s="265"/>
      <c r="BD28" s="265"/>
      <c r="BE28" s="265"/>
      <c r="BF28" s="265"/>
      <c r="BG28" s="265"/>
      <c r="BH28" s="265"/>
      <c r="BI28" s="273"/>
      <c r="BJ28" s="273"/>
      <c r="BK28" s="1143"/>
    </row>
    <row r="29" spans="1:63" s="1168" customFormat="1" ht="15" customHeight="1" x14ac:dyDescent="0.2">
      <c r="A29" s="63"/>
      <c r="B29" s="1456" t="s">
        <v>1240</v>
      </c>
      <c r="C29" s="1456"/>
      <c r="D29" s="1456"/>
      <c r="E29" s="1456"/>
      <c r="F29" s="265"/>
      <c r="G29" s="265"/>
      <c r="H29" s="1428"/>
      <c r="I29" s="265"/>
      <c r="J29" s="265"/>
      <c r="K29" s="265"/>
      <c r="L29" s="265"/>
      <c r="M29" s="265"/>
      <c r="N29" s="265"/>
      <c r="O29" s="265"/>
      <c r="P29" s="265"/>
      <c r="Q29" s="273"/>
      <c r="R29" s="1429"/>
      <c r="S29" s="1428"/>
      <c r="T29" s="265"/>
      <c r="U29" s="265"/>
      <c r="V29" s="265"/>
      <c r="W29" s="265"/>
      <c r="X29" s="265"/>
      <c r="Y29" s="265"/>
      <c r="Z29" s="265"/>
      <c r="AA29" s="265"/>
      <c r="AB29" s="273"/>
      <c r="AC29" s="1429"/>
      <c r="AD29" s="1428"/>
      <c r="AE29" s="265"/>
      <c r="AF29" s="265"/>
      <c r="AG29" s="265"/>
      <c r="AH29" s="265"/>
      <c r="AI29" s="265"/>
      <c r="AJ29" s="265"/>
      <c r="AK29" s="265"/>
      <c r="AL29" s="265"/>
      <c r="AM29" s="273"/>
      <c r="AN29" s="1429"/>
      <c r="AO29" s="1428"/>
      <c r="AP29" s="265"/>
      <c r="AQ29" s="265"/>
      <c r="AR29" s="265"/>
      <c r="AS29" s="265"/>
      <c r="AT29" s="265"/>
      <c r="AU29" s="265"/>
      <c r="AV29" s="265"/>
      <c r="AW29" s="265"/>
      <c r="AX29" s="273"/>
      <c r="AY29" s="1429"/>
      <c r="AZ29" s="1428"/>
      <c r="BA29" s="265"/>
      <c r="BB29" s="265"/>
      <c r="BC29" s="265"/>
      <c r="BD29" s="265"/>
      <c r="BE29" s="265"/>
      <c r="BF29" s="265"/>
      <c r="BG29" s="265"/>
      <c r="BH29" s="265"/>
      <c r="BI29" s="273"/>
      <c r="BJ29" s="273"/>
      <c r="BK29" s="1143"/>
    </row>
    <row r="30" spans="1:63" s="1168" customFormat="1" ht="15" customHeight="1" x14ac:dyDescent="0.2">
      <c r="A30" s="63"/>
      <c r="B30" s="1456" t="s">
        <v>1241</v>
      </c>
      <c r="C30" s="1456"/>
      <c r="D30" s="1456"/>
      <c r="E30" s="1456"/>
      <c r="F30" s="265"/>
      <c r="G30" s="265"/>
      <c r="H30" s="1428"/>
      <c r="I30" s="265"/>
      <c r="J30" s="265"/>
      <c r="K30" s="265"/>
      <c r="L30" s="265"/>
      <c r="M30" s="265"/>
      <c r="N30" s="265"/>
      <c r="O30" s="265"/>
      <c r="P30" s="265"/>
      <c r="Q30" s="273"/>
      <c r="R30" s="1429"/>
      <c r="S30" s="1428"/>
      <c r="T30" s="265"/>
      <c r="U30" s="265"/>
      <c r="V30" s="265"/>
      <c r="W30" s="265"/>
      <c r="X30" s="265"/>
      <c r="Y30" s="265"/>
      <c r="Z30" s="265"/>
      <c r="AA30" s="265"/>
      <c r="AB30" s="273"/>
      <c r="AC30" s="1429"/>
      <c r="AD30" s="1428"/>
      <c r="AE30" s="265"/>
      <c r="AF30" s="265"/>
      <c r="AG30" s="265"/>
      <c r="AH30" s="265"/>
      <c r="AI30" s="265"/>
      <c r="AJ30" s="265"/>
      <c r="AK30" s="265"/>
      <c r="AL30" s="265"/>
      <c r="AM30" s="273"/>
      <c r="AN30" s="1429"/>
      <c r="AO30" s="1428"/>
      <c r="AP30" s="265"/>
      <c r="AQ30" s="265"/>
      <c r="AR30" s="265"/>
      <c r="AS30" s="265"/>
      <c r="AT30" s="265"/>
      <c r="AU30" s="265"/>
      <c r="AV30" s="265"/>
      <c r="AW30" s="265"/>
      <c r="AX30" s="273"/>
      <c r="AY30" s="1429"/>
      <c r="AZ30" s="1428"/>
      <c r="BA30" s="265"/>
      <c r="BB30" s="265"/>
      <c r="BC30" s="265"/>
      <c r="BD30" s="265"/>
      <c r="BE30" s="265"/>
      <c r="BF30" s="265"/>
      <c r="BG30" s="265"/>
      <c r="BH30" s="265"/>
      <c r="BI30" s="273"/>
      <c r="BJ30" s="273"/>
      <c r="BK30" s="1143"/>
    </row>
    <row r="31" spans="1:63" s="1168" customFormat="1" ht="15" customHeight="1" x14ac:dyDescent="0.2">
      <c r="A31" s="63"/>
      <c r="B31" s="1456" t="s">
        <v>1242</v>
      </c>
      <c r="C31" s="1456"/>
      <c r="D31" s="1456"/>
      <c r="E31" s="1456"/>
      <c r="F31" s="265"/>
      <c r="G31" s="265"/>
      <c r="H31" s="1428"/>
      <c r="I31" s="265"/>
      <c r="J31" s="265"/>
      <c r="K31" s="265"/>
      <c r="L31" s="265"/>
      <c r="M31" s="265"/>
      <c r="N31" s="265"/>
      <c r="O31" s="265"/>
      <c r="P31" s="265"/>
      <c r="Q31" s="273"/>
      <c r="R31" s="1429"/>
      <c r="S31" s="1428"/>
      <c r="T31" s="265"/>
      <c r="U31" s="265"/>
      <c r="V31" s="265"/>
      <c r="W31" s="265"/>
      <c r="X31" s="265"/>
      <c r="Y31" s="265"/>
      <c r="Z31" s="265"/>
      <c r="AA31" s="265"/>
      <c r="AB31" s="273"/>
      <c r="AC31" s="1429"/>
      <c r="AD31" s="1428"/>
      <c r="AE31" s="265"/>
      <c r="AF31" s="265"/>
      <c r="AG31" s="265"/>
      <c r="AH31" s="265"/>
      <c r="AI31" s="265"/>
      <c r="AJ31" s="265"/>
      <c r="AK31" s="265"/>
      <c r="AL31" s="265"/>
      <c r="AM31" s="273"/>
      <c r="AN31" s="1429"/>
      <c r="AO31" s="1428"/>
      <c r="AP31" s="265"/>
      <c r="AQ31" s="265"/>
      <c r="AR31" s="265"/>
      <c r="AS31" s="265"/>
      <c r="AT31" s="265"/>
      <c r="AU31" s="265"/>
      <c r="AV31" s="265"/>
      <c r="AW31" s="265"/>
      <c r="AX31" s="273"/>
      <c r="AY31" s="1429"/>
      <c r="AZ31" s="1428"/>
      <c r="BA31" s="265"/>
      <c r="BB31" s="265"/>
      <c r="BC31" s="265"/>
      <c r="BD31" s="265"/>
      <c r="BE31" s="265"/>
      <c r="BF31" s="265"/>
      <c r="BG31" s="265"/>
      <c r="BH31" s="265"/>
      <c r="BI31" s="273"/>
      <c r="BJ31" s="273"/>
      <c r="BK31" s="1143"/>
    </row>
    <row r="32" spans="1:63" s="1168" customFormat="1" ht="15" customHeight="1" x14ac:dyDescent="0.2">
      <c r="A32" s="63"/>
      <c r="B32" s="1456" t="s">
        <v>1243</v>
      </c>
      <c r="C32" s="1456"/>
      <c r="D32" s="1456"/>
      <c r="E32" s="1456"/>
      <c r="F32" s="265"/>
      <c r="G32" s="265"/>
      <c r="H32" s="1428"/>
      <c r="I32" s="265"/>
      <c r="J32" s="265"/>
      <c r="K32" s="265"/>
      <c r="L32" s="265"/>
      <c r="M32" s="265"/>
      <c r="N32" s="265"/>
      <c r="O32" s="265"/>
      <c r="P32" s="265"/>
      <c r="Q32" s="273"/>
      <c r="R32" s="1429"/>
      <c r="S32" s="1428"/>
      <c r="T32" s="265"/>
      <c r="U32" s="265"/>
      <c r="V32" s="265"/>
      <c r="W32" s="265"/>
      <c r="X32" s="265"/>
      <c r="Y32" s="265"/>
      <c r="Z32" s="265"/>
      <c r="AA32" s="265"/>
      <c r="AB32" s="273"/>
      <c r="AC32" s="1429"/>
      <c r="AD32" s="1428"/>
      <c r="AE32" s="265"/>
      <c r="AF32" s="265"/>
      <c r="AG32" s="265"/>
      <c r="AH32" s="265"/>
      <c r="AI32" s="265"/>
      <c r="AJ32" s="265"/>
      <c r="AK32" s="265"/>
      <c r="AL32" s="265"/>
      <c r="AM32" s="273"/>
      <c r="AN32" s="1429"/>
      <c r="AO32" s="1428"/>
      <c r="AP32" s="265"/>
      <c r="AQ32" s="265"/>
      <c r="AR32" s="265"/>
      <c r="AS32" s="265"/>
      <c r="AT32" s="265"/>
      <c r="AU32" s="265"/>
      <c r="AV32" s="265"/>
      <c r="AW32" s="265"/>
      <c r="AX32" s="273"/>
      <c r="AY32" s="1429"/>
      <c r="AZ32" s="1428"/>
      <c r="BA32" s="265"/>
      <c r="BB32" s="265"/>
      <c r="BC32" s="265"/>
      <c r="BD32" s="265"/>
      <c r="BE32" s="265"/>
      <c r="BF32" s="265"/>
      <c r="BG32" s="265"/>
      <c r="BH32" s="265"/>
      <c r="BI32" s="273"/>
      <c r="BJ32" s="273"/>
      <c r="BK32" s="1143"/>
    </row>
    <row r="33" spans="1:63" s="1168" customFormat="1" ht="15" customHeight="1" x14ac:dyDescent="0.2">
      <c r="A33" s="63"/>
      <c r="B33" s="1456" t="s">
        <v>1244</v>
      </c>
      <c r="C33" s="1456"/>
      <c r="D33" s="1456"/>
      <c r="E33" s="1456"/>
      <c r="F33" s="265"/>
      <c r="G33" s="265"/>
      <c r="H33" s="1428"/>
      <c r="I33" s="265"/>
      <c r="J33" s="265"/>
      <c r="K33" s="265"/>
      <c r="L33" s="265"/>
      <c r="M33" s="265"/>
      <c r="N33" s="265"/>
      <c r="O33" s="265"/>
      <c r="P33" s="265"/>
      <c r="Q33" s="273"/>
      <c r="R33" s="1429"/>
      <c r="S33" s="1428"/>
      <c r="T33" s="265"/>
      <c r="U33" s="265"/>
      <c r="V33" s="265"/>
      <c r="W33" s="265"/>
      <c r="X33" s="265"/>
      <c r="Y33" s="265"/>
      <c r="Z33" s="265"/>
      <c r="AA33" s="265"/>
      <c r="AB33" s="273"/>
      <c r="AC33" s="1429"/>
      <c r="AD33" s="1428"/>
      <c r="AE33" s="265"/>
      <c r="AF33" s="265"/>
      <c r="AG33" s="265"/>
      <c r="AH33" s="265"/>
      <c r="AI33" s="265"/>
      <c r="AJ33" s="265"/>
      <c r="AK33" s="265"/>
      <c r="AL33" s="265"/>
      <c r="AM33" s="273"/>
      <c r="AN33" s="1429"/>
      <c r="AO33" s="1428"/>
      <c r="AP33" s="265"/>
      <c r="AQ33" s="265"/>
      <c r="AR33" s="265"/>
      <c r="AS33" s="265"/>
      <c r="AT33" s="265"/>
      <c r="AU33" s="265"/>
      <c r="AV33" s="265"/>
      <c r="AW33" s="265"/>
      <c r="AX33" s="273"/>
      <c r="AY33" s="1429"/>
      <c r="AZ33" s="1428"/>
      <c r="BA33" s="265"/>
      <c r="BB33" s="265"/>
      <c r="BC33" s="265"/>
      <c r="BD33" s="265"/>
      <c r="BE33" s="265"/>
      <c r="BF33" s="265"/>
      <c r="BG33" s="265"/>
      <c r="BH33" s="265"/>
      <c r="BI33" s="273"/>
      <c r="BJ33" s="273"/>
      <c r="BK33" s="1143"/>
    </row>
    <row r="34" spans="1:63" s="1168" customFormat="1" ht="15" customHeight="1" x14ac:dyDescent="0.2">
      <c r="A34" s="63"/>
      <c r="B34" s="1456" t="s">
        <v>1245</v>
      </c>
      <c r="C34" s="1456"/>
      <c r="D34" s="1456"/>
      <c r="E34" s="1456"/>
      <c r="F34" s="265"/>
      <c r="G34" s="265"/>
      <c r="H34" s="1428"/>
      <c r="I34" s="265"/>
      <c r="J34" s="265"/>
      <c r="K34" s="265"/>
      <c r="L34" s="265"/>
      <c r="M34" s="265"/>
      <c r="N34" s="265"/>
      <c r="O34" s="265"/>
      <c r="P34" s="265"/>
      <c r="Q34" s="273"/>
      <c r="R34" s="1429"/>
      <c r="S34" s="1428"/>
      <c r="T34" s="265"/>
      <c r="U34" s="265"/>
      <c r="V34" s="265"/>
      <c r="W34" s="265"/>
      <c r="X34" s="265"/>
      <c r="Y34" s="265"/>
      <c r="Z34" s="265"/>
      <c r="AA34" s="265"/>
      <c r="AB34" s="273"/>
      <c r="AC34" s="1429"/>
      <c r="AD34" s="1428"/>
      <c r="AE34" s="265"/>
      <c r="AF34" s="265"/>
      <c r="AG34" s="265"/>
      <c r="AH34" s="265"/>
      <c r="AI34" s="265"/>
      <c r="AJ34" s="265"/>
      <c r="AK34" s="265"/>
      <c r="AL34" s="265"/>
      <c r="AM34" s="273"/>
      <c r="AN34" s="1429"/>
      <c r="AO34" s="1428"/>
      <c r="AP34" s="265"/>
      <c r="AQ34" s="265"/>
      <c r="AR34" s="265"/>
      <c r="AS34" s="265"/>
      <c r="AT34" s="265"/>
      <c r="AU34" s="265"/>
      <c r="AV34" s="265"/>
      <c r="AW34" s="265"/>
      <c r="AX34" s="273"/>
      <c r="AY34" s="1429"/>
      <c r="AZ34" s="1428"/>
      <c r="BA34" s="265"/>
      <c r="BB34" s="265"/>
      <c r="BC34" s="265"/>
      <c r="BD34" s="265"/>
      <c r="BE34" s="265"/>
      <c r="BF34" s="265"/>
      <c r="BG34" s="265"/>
      <c r="BH34" s="265"/>
      <c r="BI34" s="273"/>
      <c r="BJ34" s="273"/>
      <c r="BK34" s="1143"/>
    </row>
    <row r="35" spans="1:63" s="1168" customFormat="1" ht="15" customHeight="1" x14ac:dyDescent="0.2">
      <c r="A35" s="63"/>
      <c r="B35" s="1456" t="s">
        <v>889</v>
      </c>
      <c r="C35" s="1456"/>
      <c r="D35" s="1456"/>
      <c r="E35" s="1456"/>
      <c r="F35" s="265"/>
      <c r="G35" s="265"/>
      <c r="H35" s="1428"/>
      <c r="I35" s="265"/>
      <c r="J35" s="265"/>
      <c r="K35" s="265"/>
      <c r="L35" s="265"/>
      <c r="M35" s="265"/>
      <c r="N35" s="265"/>
      <c r="O35" s="265"/>
      <c r="P35" s="265"/>
      <c r="Q35" s="273"/>
      <c r="R35" s="1429"/>
      <c r="S35" s="1428"/>
      <c r="T35" s="265"/>
      <c r="U35" s="265"/>
      <c r="V35" s="265"/>
      <c r="W35" s="265"/>
      <c r="X35" s="265"/>
      <c r="Y35" s="265"/>
      <c r="Z35" s="265"/>
      <c r="AA35" s="265"/>
      <c r="AB35" s="273"/>
      <c r="AC35" s="1429"/>
      <c r="AD35" s="1428"/>
      <c r="AE35" s="265"/>
      <c r="AF35" s="265"/>
      <c r="AG35" s="265"/>
      <c r="AH35" s="265"/>
      <c r="AI35" s="265"/>
      <c r="AJ35" s="265"/>
      <c r="AK35" s="265"/>
      <c r="AL35" s="265"/>
      <c r="AM35" s="273"/>
      <c r="AN35" s="1429"/>
      <c r="AO35" s="1428"/>
      <c r="AP35" s="265"/>
      <c r="AQ35" s="265"/>
      <c r="AR35" s="265"/>
      <c r="AS35" s="265"/>
      <c r="AT35" s="265"/>
      <c r="AU35" s="265"/>
      <c r="AV35" s="265"/>
      <c r="AW35" s="265"/>
      <c r="AX35" s="273"/>
      <c r="AY35" s="1429"/>
      <c r="AZ35" s="1428"/>
      <c r="BA35" s="265"/>
      <c r="BB35" s="265"/>
      <c r="BC35" s="265"/>
      <c r="BD35" s="265"/>
      <c r="BE35" s="265"/>
      <c r="BF35" s="265"/>
      <c r="BG35" s="265"/>
      <c r="BH35" s="265"/>
      <c r="BI35" s="273"/>
      <c r="BJ35" s="273"/>
      <c r="BK35" s="1143"/>
    </row>
    <row r="36" spans="1:63" s="1168" customFormat="1" ht="15" customHeight="1" x14ac:dyDescent="0.2">
      <c r="A36" s="63"/>
      <c r="B36" s="1457" t="s">
        <v>1246</v>
      </c>
      <c r="C36" s="1457"/>
      <c r="D36" s="1457"/>
      <c r="E36" s="1457"/>
      <c r="F36" s="321"/>
      <c r="G36" s="321"/>
      <c r="H36" s="1430"/>
      <c r="I36" s="321"/>
      <c r="J36" s="321"/>
      <c r="K36" s="321"/>
      <c r="L36" s="321"/>
      <c r="M36" s="321"/>
      <c r="N36" s="321"/>
      <c r="O36" s="321"/>
      <c r="P36" s="321"/>
      <c r="Q36" s="275"/>
      <c r="R36" s="1431"/>
      <c r="S36" s="1430"/>
      <c r="T36" s="321"/>
      <c r="U36" s="321"/>
      <c r="V36" s="321"/>
      <c r="W36" s="321"/>
      <c r="X36" s="321"/>
      <c r="Y36" s="321"/>
      <c r="Z36" s="321"/>
      <c r="AA36" s="321"/>
      <c r="AB36" s="275"/>
      <c r="AC36" s="1431"/>
      <c r="AD36" s="1430"/>
      <c r="AE36" s="321"/>
      <c r="AF36" s="321"/>
      <c r="AG36" s="321"/>
      <c r="AH36" s="321"/>
      <c r="AI36" s="321"/>
      <c r="AJ36" s="321"/>
      <c r="AK36" s="321"/>
      <c r="AL36" s="321"/>
      <c r="AM36" s="275"/>
      <c r="AN36" s="1431"/>
      <c r="AO36" s="1430"/>
      <c r="AP36" s="321"/>
      <c r="AQ36" s="321"/>
      <c r="AR36" s="321"/>
      <c r="AS36" s="321"/>
      <c r="AT36" s="321"/>
      <c r="AU36" s="321"/>
      <c r="AV36" s="321"/>
      <c r="AW36" s="321"/>
      <c r="AX36" s="275"/>
      <c r="AY36" s="1431"/>
      <c r="AZ36" s="1430"/>
      <c r="BA36" s="321"/>
      <c r="BB36" s="321"/>
      <c r="BC36" s="321"/>
      <c r="BD36" s="321"/>
      <c r="BE36" s="321"/>
      <c r="BF36" s="321"/>
      <c r="BG36" s="321"/>
      <c r="BH36" s="321"/>
      <c r="BI36" s="275"/>
      <c r="BJ36" s="275"/>
      <c r="BK36" s="1143"/>
    </row>
    <row r="37" spans="1:63" s="1168" customFormat="1" ht="15" customHeight="1" x14ac:dyDescent="0.2">
      <c r="A37" s="74"/>
      <c r="B37" s="1169"/>
      <c r="C37" s="1169"/>
      <c r="D37" s="1169"/>
      <c r="E37" s="1169"/>
      <c r="F37" s="1169"/>
      <c r="G37" s="1170"/>
      <c r="H37" s="1575"/>
      <c r="I37" s="1575"/>
      <c r="J37" s="1575"/>
      <c r="K37" s="1575"/>
      <c r="L37" s="1170"/>
      <c r="M37" s="1575"/>
      <c r="N37" s="1575"/>
      <c r="O37" s="1575"/>
      <c r="P37" s="1575"/>
      <c r="Q37" s="1170"/>
      <c r="R37" s="1170"/>
      <c r="S37" s="1575"/>
      <c r="T37" s="1575"/>
      <c r="U37" s="1575"/>
      <c r="V37" s="1575"/>
      <c r="W37" s="1170"/>
      <c r="X37" s="1575"/>
      <c r="Y37" s="1575"/>
      <c r="Z37" s="1575"/>
      <c r="AA37" s="1575"/>
      <c r="AB37" s="1170"/>
      <c r="AC37" s="1170"/>
      <c r="AD37" s="1575"/>
      <c r="AE37" s="1575"/>
      <c r="AF37" s="1575"/>
      <c r="AG37" s="1575"/>
      <c r="AH37" s="1170"/>
      <c r="AI37" s="1575"/>
      <c r="AJ37" s="1575"/>
      <c r="AK37" s="1575"/>
      <c r="AL37" s="1575"/>
      <c r="AM37" s="1170"/>
      <c r="AN37" s="1170"/>
      <c r="AO37" s="1575"/>
      <c r="AP37" s="1575"/>
      <c r="AQ37" s="1575"/>
      <c r="AR37" s="1575"/>
      <c r="AS37" s="1170"/>
      <c r="AT37" s="1575"/>
      <c r="AU37" s="1575"/>
      <c r="AV37" s="1575"/>
      <c r="AW37" s="1575"/>
      <c r="AX37" s="1170"/>
      <c r="AY37" s="1170"/>
      <c r="AZ37" s="1575"/>
      <c r="BA37" s="1575"/>
      <c r="BB37" s="1575"/>
      <c r="BC37" s="1575"/>
      <c r="BD37" s="1170"/>
      <c r="BE37" s="1575"/>
      <c r="BF37" s="1575"/>
      <c r="BG37" s="1575"/>
      <c r="BH37" s="1575"/>
      <c r="BI37" s="1170"/>
      <c r="BJ37" s="1170"/>
      <c r="BK37" s="1143"/>
    </row>
    <row r="38" spans="1:63" s="1168" customFormat="1" ht="15" customHeight="1" x14ac:dyDescent="0.2">
      <c r="A38" s="63"/>
      <c r="B38" s="1723" t="s">
        <v>178</v>
      </c>
      <c r="C38" s="1723"/>
      <c r="D38" s="1723"/>
      <c r="E38" s="1723"/>
      <c r="F38" s="1425"/>
      <c r="G38" s="1464"/>
      <c r="H38" s="1517"/>
      <c r="I38" s="629"/>
      <c r="J38" s="629"/>
      <c r="K38" s="629"/>
      <c r="L38" s="629"/>
      <c r="M38" s="629"/>
      <c r="N38" s="629"/>
      <c r="O38" s="629"/>
      <c r="P38" s="629"/>
      <c r="Q38" s="1465"/>
      <c r="R38" s="1464"/>
      <c r="S38" s="1517"/>
      <c r="T38" s="629"/>
      <c r="U38" s="629"/>
      <c r="V38" s="629"/>
      <c r="W38" s="629"/>
      <c r="X38" s="629"/>
      <c r="Y38" s="629"/>
      <c r="Z38" s="629"/>
      <c r="AA38" s="629"/>
      <c r="AB38" s="1465"/>
      <c r="AC38" s="1464"/>
      <c r="AD38" s="1518"/>
      <c r="AE38" s="1517"/>
      <c r="AF38" s="629"/>
      <c r="AG38" s="629"/>
      <c r="AH38" s="629"/>
      <c r="AI38" s="629"/>
      <c r="AJ38" s="629"/>
      <c r="AK38" s="629"/>
      <c r="AL38" s="629"/>
      <c r="AM38" s="1465"/>
      <c r="AN38" s="1465"/>
      <c r="AO38" s="1518"/>
      <c r="AP38" s="1517"/>
      <c r="AQ38" s="629"/>
      <c r="AR38" s="629"/>
      <c r="AS38" s="629"/>
      <c r="AT38" s="629"/>
      <c r="AU38" s="629"/>
      <c r="AV38" s="629"/>
      <c r="AW38" s="629"/>
      <c r="AX38" s="1465"/>
      <c r="AY38" s="1464"/>
      <c r="AZ38" s="1517"/>
      <c r="BA38" s="629"/>
      <c r="BB38" s="629"/>
      <c r="BC38" s="629"/>
      <c r="BD38" s="629"/>
      <c r="BE38" s="629"/>
      <c r="BF38" s="629"/>
      <c r="BG38" s="629"/>
      <c r="BH38" s="629"/>
      <c r="BI38" s="1465"/>
      <c r="BJ38" s="1465"/>
      <c r="BK38" s="1143"/>
    </row>
    <row r="39" spans="1:63" ht="15" customHeight="1" x14ac:dyDescent="0.2">
      <c r="A39" s="1076"/>
      <c r="B39" s="1074"/>
      <c r="G39" s="1074"/>
      <c r="H39" s="1074"/>
      <c r="I39" s="1074"/>
      <c r="J39" s="1074"/>
      <c r="AB39" s="1320"/>
      <c r="BK39" s="1075"/>
    </row>
    <row r="40" spans="1:63" ht="15" customHeight="1" x14ac:dyDescent="0.2">
      <c r="A40" s="1076"/>
      <c r="B40" s="1516" t="s">
        <v>1319</v>
      </c>
      <c r="C40" s="1516"/>
      <c r="D40" s="1516"/>
      <c r="E40" s="1516"/>
      <c r="F40" s="1455" t="str">
        <f>IF(AND(ISNUMBER(F38), ISNUMBER(AD38),ISNUMBER(AO38)), F38+AD38+AO38, "")</f>
        <v/>
      </c>
      <c r="G40" s="183"/>
      <c r="H40" s="183"/>
      <c r="I40" s="183"/>
      <c r="J40" s="183"/>
      <c r="K40" s="183"/>
      <c r="M40" s="183"/>
      <c r="N40" s="183"/>
      <c r="BK40" s="1075"/>
    </row>
    <row r="41" spans="1:63" ht="15" customHeight="1" x14ac:dyDescent="0.2">
      <c r="A41" s="1076"/>
      <c r="B41" s="1074"/>
      <c r="G41" s="1074"/>
      <c r="H41" s="1074"/>
      <c r="I41" s="1074"/>
      <c r="J41" s="1074"/>
      <c r="BK41" s="1075"/>
    </row>
    <row r="42" spans="1:63" s="207" customFormat="1" ht="30" customHeight="1" x14ac:dyDescent="0.25">
      <c r="A42" s="1377" t="s">
        <v>1330</v>
      </c>
      <c r="B42" s="18"/>
      <c r="C42" s="16"/>
      <c r="D42" s="16"/>
      <c r="E42" s="16"/>
      <c r="F42" s="16"/>
      <c r="G42" s="203"/>
      <c r="H42" s="203"/>
      <c r="I42" s="203"/>
      <c r="J42" s="203"/>
      <c r="K42" s="180"/>
      <c r="L42" s="180"/>
      <c r="M42" s="180"/>
      <c r="N42" s="180"/>
      <c r="O42" s="180"/>
      <c r="P42" s="180"/>
      <c r="Q42" s="180"/>
      <c r="R42" s="180"/>
      <c r="S42" s="180"/>
      <c r="T42" s="180"/>
      <c r="U42" s="180"/>
      <c r="V42" s="180"/>
      <c r="W42" s="180"/>
      <c r="X42" s="180"/>
      <c r="Y42" s="180"/>
      <c r="Z42" s="180"/>
      <c r="AA42" s="180"/>
      <c r="AB42" s="180"/>
      <c r="AC42" s="180"/>
      <c r="AD42" s="180"/>
      <c r="AE42" s="180"/>
      <c r="AF42" s="180"/>
      <c r="AG42" s="180"/>
      <c r="AH42" s="180"/>
      <c r="AI42" s="180"/>
      <c r="AJ42" s="180"/>
      <c r="AK42" s="180"/>
      <c r="AL42" s="180"/>
      <c r="AM42" s="180"/>
      <c r="AN42" s="180"/>
      <c r="AO42" s="180"/>
      <c r="AP42" s="180"/>
      <c r="AQ42" s="180"/>
      <c r="AR42" s="180"/>
      <c r="AS42" s="180"/>
      <c r="AT42" s="180"/>
      <c r="AU42" s="180"/>
      <c r="AV42" s="180"/>
      <c r="AW42" s="180"/>
      <c r="AX42" s="180"/>
      <c r="AY42" s="180"/>
      <c r="AZ42" s="180"/>
      <c r="BA42" s="180"/>
      <c r="BB42" s="180"/>
      <c r="BC42" s="180"/>
      <c r="BD42" s="180"/>
      <c r="BE42" s="180"/>
      <c r="BF42" s="180"/>
      <c r="BG42" s="180"/>
      <c r="BH42" s="180"/>
      <c r="BI42" s="180"/>
      <c r="BJ42" s="180"/>
      <c r="BK42" s="181"/>
    </row>
    <row r="43" spans="1:63" s="1073" customFormat="1" ht="30" customHeight="1" x14ac:dyDescent="0.25">
      <c r="A43" s="1053" t="s">
        <v>1416</v>
      </c>
      <c r="B43" s="46"/>
      <c r="C43" s="46"/>
      <c r="D43" s="46"/>
      <c r="E43" s="46"/>
      <c r="F43" s="46"/>
      <c r="G43" s="46"/>
      <c r="H43" s="46"/>
      <c r="I43" s="46"/>
      <c r="J43" s="46"/>
      <c r="BK43" s="1072"/>
    </row>
    <row r="44" spans="1:63" ht="15" customHeight="1" x14ac:dyDescent="0.2">
      <c r="A44" s="1076"/>
      <c r="B44" s="1074"/>
      <c r="G44" s="1074"/>
      <c r="H44" s="1074"/>
      <c r="I44" s="1074"/>
      <c r="J44" s="1074"/>
      <c r="BK44" s="1075"/>
    </row>
    <row r="45" spans="1:63" ht="15" customHeight="1" x14ac:dyDescent="0.2">
      <c r="A45" s="1076"/>
      <c r="B45" s="1751" t="s">
        <v>1415</v>
      </c>
      <c r="C45" s="1769" t="s">
        <v>1250</v>
      </c>
      <c r="D45" s="1771" t="s">
        <v>1251</v>
      </c>
      <c r="E45" s="1782"/>
      <c r="F45" s="1677" t="s">
        <v>1247</v>
      </c>
      <c r="G45" s="1678"/>
      <c r="H45" s="1678"/>
      <c r="I45" s="1678"/>
      <c r="J45" s="1678"/>
      <c r="K45" s="1678"/>
      <c r="L45" s="1726"/>
      <c r="M45" s="1727" t="s">
        <v>1248</v>
      </c>
      <c r="N45" s="1728"/>
      <c r="O45" s="1727" t="s">
        <v>1249</v>
      </c>
      <c r="P45" s="1722"/>
      <c r="BK45" s="1075"/>
    </row>
    <row r="46" spans="1:63" ht="15" customHeight="1" x14ac:dyDescent="0.2">
      <c r="A46" s="1076"/>
      <c r="B46" s="1752"/>
      <c r="C46" s="1781"/>
      <c r="D46" s="1783"/>
      <c r="E46" s="1784"/>
      <c r="F46" s="1628" t="s">
        <v>1215</v>
      </c>
      <c r="G46" s="1628" t="s">
        <v>1216</v>
      </c>
      <c r="H46" s="1628" t="s">
        <v>1217</v>
      </c>
      <c r="I46" s="1677" t="s">
        <v>1331</v>
      </c>
      <c r="J46" s="1679"/>
      <c r="K46" s="1698" t="s">
        <v>1332</v>
      </c>
      <c r="L46" s="1728"/>
      <c r="M46" s="1777" t="s">
        <v>1215</v>
      </c>
      <c r="N46" s="1743" t="s">
        <v>1216</v>
      </c>
      <c r="O46" s="1777" t="s">
        <v>1215</v>
      </c>
      <c r="P46" s="1773" t="s">
        <v>1216</v>
      </c>
      <c r="BK46" s="1075"/>
    </row>
    <row r="47" spans="1:63" ht="15" customHeight="1" x14ac:dyDescent="0.2">
      <c r="A47" s="1076"/>
      <c r="B47" s="1753"/>
      <c r="C47" s="1770"/>
      <c r="D47" s="1772"/>
      <c r="E47" s="1785"/>
      <c r="F47" s="1629"/>
      <c r="G47" s="1629"/>
      <c r="H47" s="1629"/>
      <c r="I47" s="1600" t="s">
        <v>1218</v>
      </c>
      <c r="J47" s="1600" t="s">
        <v>1219</v>
      </c>
      <c r="K47" s="1600" t="s">
        <v>1218</v>
      </c>
      <c r="L47" s="1599" t="s">
        <v>1219</v>
      </c>
      <c r="M47" s="1778"/>
      <c r="N47" s="1744"/>
      <c r="O47" s="1778"/>
      <c r="P47" s="1639"/>
      <c r="BK47" s="1075"/>
    </row>
    <row r="48" spans="1:63" ht="15" customHeight="1" x14ac:dyDescent="0.2">
      <c r="A48" s="1076"/>
      <c r="B48" s="1433">
        <v>1</v>
      </c>
      <c r="C48" s="1765" t="s">
        <v>1253</v>
      </c>
      <c r="D48" s="1786" t="s">
        <v>1256</v>
      </c>
      <c r="E48" s="1787"/>
      <c r="F48" s="1435"/>
      <c r="G48" s="1436"/>
      <c r="H48" s="1436"/>
      <c r="I48" s="1436"/>
      <c r="J48" s="1437"/>
      <c r="K48" s="1436"/>
      <c r="L48" s="1439"/>
      <c r="M48" s="1438"/>
      <c r="N48" s="1439"/>
      <c r="O48" s="1438"/>
      <c r="P48" s="1437"/>
      <c r="BK48" s="1075"/>
    </row>
    <row r="49" spans="1:63" ht="30" customHeight="1" x14ac:dyDescent="0.2">
      <c r="A49" s="1076"/>
      <c r="B49" s="970">
        <v>2</v>
      </c>
      <c r="C49" s="1766"/>
      <c r="D49" s="1729" t="s">
        <v>1257</v>
      </c>
      <c r="E49" s="1730"/>
      <c r="F49" s="265"/>
      <c r="G49" s="265"/>
      <c r="H49" s="265"/>
      <c r="I49" s="265"/>
      <c r="J49" s="273"/>
      <c r="K49" s="265"/>
      <c r="L49" s="1429"/>
      <c r="M49" s="1428"/>
      <c r="N49" s="1429"/>
      <c r="O49" s="1428"/>
      <c r="P49" s="273"/>
      <c r="BK49" s="1075"/>
    </row>
    <row r="50" spans="1:63" ht="15" customHeight="1" x14ac:dyDescent="0.2">
      <c r="A50" s="1076"/>
      <c r="B50" s="970">
        <v>3</v>
      </c>
      <c r="C50" s="1766"/>
      <c r="D50" s="1729" t="s">
        <v>1258</v>
      </c>
      <c r="E50" s="1730"/>
      <c r="F50" s="265"/>
      <c r="G50" s="265"/>
      <c r="H50" s="265"/>
      <c r="I50" s="265"/>
      <c r="J50" s="273"/>
      <c r="K50" s="265"/>
      <c r="L50" s="1429"/>
      <c r="M50" s="1428"/>
      <c r="N50" s="1429"/>
      <c r="O50" s="1428"/>
      <c r="P50" s="273"/>
      <c r="BK50" s="1075"/>
    </row>
    <row r="51" spans="1:63" ht="15" customHeight="1" x14ac:dyDescent="0.2">
      <c r="A51" s="1076"/>
      <c r="B51" s="970">
        <v>4</v>
      </c>
      <c r="C51" s="1766"/>
      <c r="D51" s="1729" t="s">
        <v>1255</v>
      </c>
      <c r="E51" s="1730"/>
      <c r="F51" s="265"/>
      <c r="G51" s="265"/>
      <c r="H51" s="265"/>
      <c r="I51" s="265"/>
      <c r="J51" s="273"/>
      <c r="K51" s="265"/>
      <c r="L51" s="1429"/>
      <c r="M51" s="1428"/>
      <c r="N51" s="1429"/>
      <c r="O51" s="1428"/>
      <c r="P51" s="273"/>
      <c r="BK51" s="1075"/>
    </row>
    <row r="52" spans="1:63" ht="15" customHeight="1" x14ac:dyDescent="0.2">
      <c r="A52" s="1076"/>
      <c r="B52" s="970">
        <v>5</v>
      </c>
      <c r="C52" s="1766"/>
      <c r="D52" s="1729" t="s">
        <v>1259</v>
      </c>
      <c r="E52" s="1730"/>
      <c r="F52" s="265"/>
      <c r="G52" s="265"/>
      <c r="H52" s="265"/>
      <c r="I52" s="265"/>
      <c r="J52" s="273"/>
      <c r="K52" s="265"/>
      <c r="L52" s="1429"/>
      <c r="M52" s="1428"/>
      <c r="N52" s="1429"/>
      <c r="O52" s="1428"/>
      <c r="P52" s="273"/>
      <c r="BK52" s="1075"/>
    </row>
    <row r="53" spans="1:63" ht="45" customHeight="1" x14ac:dyDescent="0.2">
      <c r="A53" s="1076"/>
      <c r="B53" s="970">
        <v>6</v>
      </c>
      <c r="C53" s="1767"/>
      <c r="D53" s="1729" t="s">
        <v>1260</v>
      </c>
      <c r="E53" s="1730"/>
      <c r="F53" s="265"/>
      <c r="G53" s="265"/>
      <c r="H53" s="265"/>
      <c r="I53" s="265"/>
      <c r="J53" s="273"/>
      <c r="K53" s="265"/>
      <c r="L53" s="1429"/>
      <c r="M53" s="1428"/>
      <c r="N53" s="1429"/>
      <c r="O53" s="1428"/>
      <c r="P53" s="273"/>
      <c r="BK53" s="1075"/>
    </row>
    <row r="54" spans="1:63" ht="15" customHeight="1" x14ac:dyDescent="0.2">
      <c r="A54" s="1076"/>
      <c r="B54" s="1434">
        <v>7</v>
      </c>
      <c r="C54" s="1768" t="s">
        <v>1254</v>
      </c>
      <c r="D54" s="1729" t="s">
        <v>1256</v>
      </c>
      <c r="E54" s="1730"/>
      <c r="F54" s="265"/>
      <c r="G54" s="265"/>
      <c r="H54" s="265"/>
      <c r="I54" s="265"/>
      <c r="J54" s="273"/>
      <c r="K54" s="265"/>
      <c r="L54" s="1429"/>
      <c r="M54" s="1428"/>
      <c r="N54" s="1429"/>
      <c r="O54" s="1428"/>
      <c r="P54" s="273"/>
      <c r="BK54" s="1075"/>
    </row>
    <row r="55" spans="1:63" ht="30" customHeight="1" x14ac:dyDescent="0.2">
      <c r="A55" s="1076"/>
      <c r="B55" s="970">
        <v>8</v>
      </c>
      <c r="C55" s="1766"/>
      <c r="D55" s="1729" t="s">
        <v>1257</v>
      </c>
      <c r="E55" s="1730"/>
      <c r="F55" s="265"/>
      <c r="G55" s="265"/>
      <c r="H55" s="265"/>
      <c r="I55" s="265"/>
      <c r="J55" s="273"/>
      <c r="K55" s="265"/>
      <c r="L55" s="1429"/>
      <c r="M55" s="1428"/>
      <c r="N55" s="1429"/>
      <c r="O55" s="1428"/>
      <c r="P55" s="273"/>
      <c r="BK55" s="1075"/>
    </row>
    <row r="56" spans="1:63" ht="15" customHeight="1" x14ac:dyDescent="0.2">
      <c r="A56" s="1076"/>
      <c r="B56" s="970">
        <v>9</v>
      </c>
      <c r="C56" s="1766"/>
      <c r="D56" s="1729" t="s">
        <v>1258</v>
      </c>
      <c r="E56" s="1730"/>
      <c r="F56" s="265"/>
      <c r="G56" s="265"/>
      <c r="H56" s="265"/>
      <c r="I56" s="265"/>
      <c r="J56" s="273"/>
      <c r="K56" s="265"/>
      <c r="L56" s="1429"/>
      <c r="M56" s="1428"/>
      <c r="N56" s="1429"/>
      <c r="O56" s="1428"/>
      <c r="P56" s="273"/>
      <c r="BK56" s="1075"/>
    </row>
    <row r="57" spans="1:63" ht="15" customHeight="1" x14ac:dyDescent="0.2">
      <c r="A57" s="1076"/>
      <c r="B57" s="970">
        <v>10</v>
      </c>
      <c r="C57" s="1766"/>
      <c r="D57" s="1729" t="s">
        <v>1255</v>
      </c>
      <c r="E57" s="1730"/>
      <c r="F57" s="265"/>
      <c r="G57" s="265"/>
      <c r="H57" s="265"/>
      <c r="I57" s="265"/>
      <c r="J57" s="273"/>
      <c r="K57" s="265"/>
      <c r="L57" s="1429"/>
      <c r="M57" s="1428"/>
      <c r="N57" s="1429"/>
      <c r="O57" s="1428"/>
      <c r="P57" s="273"/>
      <c r="BK57" s="1075"/>
    </row>
    <row r="58" spans="1:63" ht="15" customHeight="1" x14ac:dyDescent="0.2">
      <c r="A58" s="1076"/>
      <c r="B58" s="970">
        <v>11</v>
      </c>
      <c r="C58" s="1766"/>
      <c r="D58" s="1729" t="s">
        <v>1259</v>
      </c>
      <c r="E58" s="1730"/>
      <c r="F58" s="265"/>
      <c r="G58" s="265"/>
      <c r="H58" s="265"/>
      <c r="I58" s="265"/>
      <c r="J58" s="273"/>
      <c r="K58" s="265"/>
      <c r="L58" s="1429"/>
      <c r="M58" s="1428"/>
      <c r="N58" s="1429"/>
      <c r="O58" s="1428"/>
      <c r="P58" s="273"/>
      <c r="BK58" s="1075"/>
    </row>
    <row r="59" spans="1:63" ht="45" customHeight="1" x14ac:dyDescent="0.2">
      <c r="A59" s="1076"/>
      <c r="B59" s="970">
        <v>12</v>
      </c>
      <c r="C59" s="1767"/>
      <c r="D59" s="1729" t="s">
        <v>1260</v>
      </c>
      <c r="E59" s="1730"/>
      <c r="F59" s="265"/>
      <c r="G59" s="265"/>
      <c r="H59" s="265"/>
      <c r="I59" s="265"/>
      <c r="J59" s="273"/>
      <c r="K59" s="265"/>
      <c r="L59" s="1429"/>
      <c r="M59" s="1428"/>
      <c r="N59" s="1429"/>
      <c r="O59" s="1428"/>
      <c r="P59" s="273"/>
      <c r="BK59" s="1075"/>
    </row>
    <row r="60" spans="1:63" ht="15" customHeight="1" x14ac:dyDescent="0.2">
      <c r="A60" s="1076"/>
      <c r="B60" s="971" t="s">
        <v>1252</v>
      </c>
      <c r="C60" s="1749"/>
      <c r="D60" s="1750"/>
      <c r="E60" s="1750"/>
      <c r="F60" s="321"/>
      <c r="G60" s="1222"/>
      <c r="H60" s="321"/>
      <c r="I60" s="275"/>
      <c r="J60" s="275"/>
      <c r="K60" s="1222"/>
      <c r="L60" s="1222"/>
      <c r="M60" s="1430"/>
      <c r="N60" s="1222"/>
      <c r="O60" s="1430"/>
      <c r="P60" s="1222"/>
      <c r="BK60" s="1075"/>
    </row>
    <row r="61" spans="1:63" ht="15" customHeight="1" x14ac:dyDescent="0.2">
      <c r="A61" s="1076"/>
      <c r="B61" s="1074"/>
      <c r="G61" s="1074"/>
      <c r="H61" s="1074"/>
      <c r="I61" s="1074"/>
      <c r="J61" s="1074"/>
      <c r="BK61" s="1075"/>
    </row>
    <row r="62" spans="1:63" s="1168" customFormat="1" ht="15" customHeight="1" x14ac:dyDescent="0.2">
      <c r="A62" s="63"/>
      <c r="B62" s="1723" t="s">
        <v>178</v>
      </c>
      <c r="C62" s="1723"/>
      <c r="D62" s="1723"/>
      <c r="E62" s="1723"/>
      <c r="F62" s="1425"/>
      <c r="G62" s="629"/>
      <c r="H62" s="629"/>
      <c r="I62" s="629"/>
      <c r="J62" s="629"/>
      <c r="K62" s="629"/>
      <c r="L62" s="1464"/>
      <c r="M62" s="1514"/>
      <c r="N62" s="1464"/>
      <c r="O62" s="1514"/>
      <c r="P62" s="1465"/>
      <c r="Q62" s="1170"/>
      <c r="R62" s="1170"/>
      <c r="S62" s="1170"/>
      <c r="T62" s="1170"/>
      <c r="U62" s="1170"/>
      <c r="V62" s="1170"/>
      <c r="W62" s="1170"/>
      <c r="X62" s="1170"/>
      <c r="Y62" s="1170"/>
      <c r="Z62" s="1170"/>
      <c r="AA62" s="1170"/>
      <c r="AB62" s="1170"/>
      <c r="AC62" s="1170"/>
      <c r="AD62" s="1170"/>
      <c r="AE62" s="1170"/>
      <c r="AF62" s="1170"/>
      <c r="AG62" s="1170"/>
      <c r="AH62" s="1170"/>
      <c r="AI62" s="1170"/>
      <c r="AJ62" s="1170"/>
      <c r="AK62" s="1170"/>
      <c r="AL62" s="1170"/>
      <c r="AM62" s="1170"/>
      <c r="AN62" s="1170"/>
      <c r="AO62" s="1170"/>
      <c r="AP62" s="1170"/>
      <c r="AQ62" s="1170"/>
      <c r="AR62" s="1170"/>
      <c r="AS62" s="1170"/>
      <c r="AT62" s="1170"/>
      <c r="AU62" s="1170"/>
      <c r="AV62" s="1170"/>
      <c r="AW62" s="1170"/>
      <c r="AX62" s="1170"/>
      <c r="AY62" s="1170"/>
      <c r="AZ62" s="1170"/>
      <c r="BA62" s="1170"/>
      <c r="BB62" s="1170"/>
      <c r="BC62" s="1170"/>
      <c r="BD62" s="1170"/>
      <c r="BE62" s="1170"/>
      <c r="BF62" s="1170"/>
      <c r="BG62" s="1170"/>
      <c r="BH62" s="1170"/>
      <c r="BI62" s="1170"/>
      <c r="BJ62" s="1170"/>
      <c r="BK62" s="1143"/>
    </row>
    <row r="63" spans="1:63" ht="15" customHeight="1" x14ac:dyDescent="0.2">
      <c r="A63" s="1076"/>
      <c r="B63" s="1074"/>
      <c r="G63" s="1074"/>
      <c r="H63" s="1074"/>
      <c r="I63" s="1074"/>
      <c r="J63" s="1074"/>
      <c r="BK63" s="1075"/>
    </row>
    <row r="64" spans="1:63" ht="15" customHeight="1" x14ac:dyDescent="0.2">
      <c r="A64" s="1076"/>
      <c r="B64" s="1516" t="s">
        <v>1320</v>
      </c>
      <c r="C64" s="1516"/>
      <c r="D64" s="1516"/>
      <c r="E64" s="1516"/>
      <c r="F64" s="1455" t="str">
        <f>IF(AND(ISNUMBER(F62),ISNUMBER(M62),ISNUMBER(O62)),F62+M62+O62,"")</f>
        <v/>
      </c>
      <c r="G64" s="46"/>
      <c r="H64" s="1074"/>
      <c r="I64" s="183"/>
      <c r="J64" s="183"/>
      <c r="K64" s="183"/>
      <c r="L64" s="183"/>
      <c r="M64" s="183"/>
      <c r="N64" s="183"/>
      <c r="BK64" s="1075"/>
    </row>
    <row r="65" spans="1:63" s="1073" customFormat="1" ht="45" customHeight="1" x14ac:dyDescent="0.25">
      <c r="A65" s="1053" t="s">
        <v>1339</v>
      </c>
      <c r="B65" s="1442"/>
      <c r="C65" s="1442"/>
      <c r="D65" s="1442"/>
      <c r="E65" s="1442"/>
      <c r="F65" s="1442"/>
      <c r="G65" s="46"/>
      <c r="H65" s="46"/>
      <c r="I65" s="46"/>
      <c r="J65" s="46"/>
      <c r="BK65" s="1072"/>
    </row>
    <row r="66" spans="1:63" s="1073" customFormat="1" ht="30" customHeight="1" x14ac:dyDescent="0.25">
      <c r="A66" s="1053" t="s">
        <v>1493</v>
      </c>
      <c r="B66" s="46"/>
      <c r="C66" s="46"/>
      <c r="D66" s="46"/>
      <c r="E66" s="46"/>
      <c r="F66" s="46"/>
      <c r="G66" s="46"/>
      <c r="H66" s="46"/>
      <c r="I66" s="46"/>
      <c r="J66" s="46"/>
      <c r="BK66" s="1072"/>
    </row>
    <row r="67" spans="1:63" ht="15" customHeight="1" x14ac:dyDescent="0.2">
      <c r="A67" s="1076"/>
      <c r="B67" s="1074"/>
      <c r="G67" s="1074"/>
      <c r="H67" s="1074"/>
      <c r="I67" s="1074"/>
      <c r="J67" s="1074"/>
      <c r="BK67" s="1075"/>
    </row>
    <row r="68" spans="1:63" ht="15" customHeight="1" x14ac:dyDescent="0.2">
      <c r="A68" s="1076"/>
      <c r="B68" s="1751" t="s">
        <v>1415</v>
      </c>
      <c r="C68" s="1769" t="s">
        <v>1250</v>
      </c>
      <c r="D68" s="1771" t="s">
        <v>1251</v>
      </c>
      <c r="E68" s="1782"/>
      <c r="F68" s="1677" t="s">
        <v>1247</v>
      </c>
      <c r="G68" s="1678"/>
      <c r="H68" s="1678"/>
      <c r="I68" s="1678"/>
      <c r="J68" s="1678"/>
      <c r="K68" s="1678"/>
      <c r="L68" s="1726"/>
      <c r="M68" s="1727" t="s">
        <v>1248</v>
      </c>
      <c r="N68" s="1728"/>
      <c r="O68" s="1727" t="s">
        <v>1249</v>
      </c>
      <c r="P68" s="1722"/>
      <c r="BK68" s="1075"/>
    </row>
    <row r="69" spans="1:63" ht="15" customHeight="1" x14ac:dyDescent="0.2">
      <c r="A69" s="1076"/>
      <c r="B69" s="1752"/>
      <c r="C69" s="1781"/>
      <c r="D69" s="1783"/>
      <c r="E69" s="1784"/>
      <c r="F69" s="1628" t="s">
        <v>1215</v>
      </c>
      <c r="G69" s="1628" t="s">
        <v>1216</v>
      </c>
      <c r="H69" s="1628" t="s">
        <v>1217</v>
      </c>
      <c r="I69" s="1677" t="s">
        <v>1331</v>
      </c>
      <c r="J69" s="1679"/>
      <c r="K69" s="1698" t="s">
        <v>1332</v>
      </c>
      <c r="L69" s="1728"/>
      <c r="M69" s="1777" t="s">
        <v>1215</v>
      </c>
      <c r="N69" s="1743" t="s">
        <v>1216</v>
      </c>
      <c r="O69" s="1777" t="s">
        <v>1215</v>
      </c>
      <c r="P69" s="1773" t="s">
        <v>1216</v>
      </c>
      <c r="BK69" s="1075"/>
    </row>
    <row r="70" spans="1:63" ht="15" customHeight="1" x14ac:dyDescent="0.2">
      <c r="A70" s="1076"/>
      <c r="B70" s="1753"/>
      <c r="C70" s="1770"/>
      <c r="D70" s="1772"/>
      <c r="E70" s="1785"/>
      <c r="F70" s="1629"/>
      <c r="G70" s="1629"/>
      <c r="H70" s="1629"/>
      <c r="I70" s="1600" t="s">
        <v>1218</v>
      </c>
      <c r="J70" s="1600" t="s">
        <v>1219</v>
      </c>
      <c r="K70" s="1600" t="s">
        <v>1218</v>
      </c>
      <c r="L70" s="1599" t="s">
        <v>1219</v>
      </c>
      <c r="M70" s="1778"/>
      <c r="N70" s="1744"/>
      <c r="O70" s="1778"/>
      <c r="P70" s="1639"/>
      <c r="BK70" s="1075"/>
    </row>
    <row r="71" spans="1:63" ht="15" customHeight="1" x14ac:dyDescent="0.2">
      <c r="A71" s="1076"/>
      <c r="B71" s="1433">
        <v>1</v>
      </c>
      <c r="C71" s="1765" t="s">
        <v>1253</v>
      </c>
      <c r="D71" s="1786" t="s">
        <v>1256</v>
      </c>
      <c r="E71" s="1787"/>
      <c r="F71" s="1435"/>
      <c r="G71" s="1436"/>
      <c r="H71" s="1436"/>
      <c r="I71" s="1436"/>
      <c r="J71" s="1437"/>
      <c r="K71" s="1436"/>
      <c r="L71" s="1439"/>
      <c r="M71" s="1438"/>
      <c r="N71" s="1439"/>
      <c r="O71" s="1438"/>
      <c r="P71" s="1437"/>
      <c r="BK71" s="1075"/>
    </row>
    <row r="72" spans="1:63" ht="30" customHeight="1" x14ac:dyDescent="0.2">
      <c r="A72" s="1076"/>
      <c r="B72" s="970">
        <v>2</v>
      </c>
      <c r="C72" s="1766"/>
      <c r="D72" s="1729" t="s">
        <v>1257</v>
      </c>
      <c r="E72" s="1730"/>
      <c r="F72" s="265"/>
      <c r="G72" s="265"/>
      <c r="H72" s="265"/>
      <c r="I72" s="265"/>
      <c r="J72" s="273"/>
      <c r="K72" s="265"/>
      <c r="L72" s="1429"/>
      <c r="M72" s="1428"/>
      <c r="N72" s="1429"/>
      <c r="O72" s="1428"/>
      <c r="P72" s="273"/>
      <c r="BK72" s="1075"/>
    </row>
    <row r="73" spans="1:63" ht="15" customHeight="1" x14ac:dyDescent="0.2">
      <c r="A73" s="1076"/>
      <c r="B73" s="970">
        <v>3</v>
      </c>
      <c r="C73" s="1766"/>
      <c r="D73" s="1729" t="s">
        <v>1258</v>
      </c>
      <c r="E73" s="1730"/>
      <c r="F73" s="265"/>
      <c r="G73" s="265"/>
      <c r="H73" s="265"/>
      <c r="I73" s="265"/>
      <c r="J73" s="273"/>
      <c r="K73" s="265"/>
      <c r="L73" s="1429"/>
      <c r="M73" s="1428"/>
      <c r="N73" s="1429"/>
      <c r="O73" s="1428"/>
      <c r="P73" s="273"/>
      <c r="BK73" s="1075"/>
    </row>
    <row r="74" spans="1:63" ht="15" customHeight="1" x14ac:dyDescent="0.2">
      <c r="A74" s="1076"/>
      <c r="B74" s="970">
        <v>4</v>
      </c>
      <c r="C74" s="1766"/>
      <c r="D74" s="1729" t="s">
        <v>1255</v>
      </c>
      <c r="E74" s="1730"/>
      <c r="F74" s="265"/>
      <c r="G74" s="265"/>
      <c r="H74" s="265"/>
      <c r="I74" s="265"/>
      <c r="J74" s="273"/>
      <c r="K74" s="265"/>
      <c r="L74" s="1429"/>
      <c r="M74" s="1428"/>
      <c r="N74" s="1429"/>
      <c r="O74" s="1428"/>
      <c r="P74" s="273"/>
      <c r="BK74" s="1075"/>
    </row>
    <row r="75" spans="1:63" ht="15" customHeight="1" x14ac:dyDescent="0.2">
      <c r="A75" s="1076"/>
      <c r="B75" s="970">
        <v>5</v>
      </c>
      <c r="C75" s="1766"/>
      <c r="D75" s="1729" t="s">
        <v>1259</v>
      </c>
      <c r="E75" s="1730"/>
      <c r="F75" s="265"/>
      <c r="G75" s="265"/>
      <c r="H75" s="265"/>
      <c r="I75" s="265"/>
      <c r="J75" s="273"/>
      <c r="K75" s="265"/>
      <c r="L75" s="1429"/>
      <c r="M75" s="1428"/>
      <c r="N75" s="1429"/>
      <c r="O75" s="1428"/>
      <c r="P75" s="273"/>
      <c r="BK75" s="1075"/>
    </row>
    <row r="76" spans="1:63" ht="45" customHeight="1" x14ac:dyDescent="0.2">
      <c r="A76" s="1076"/>
      <c r="B76" s="970">
        <v>6</v>
      </c>
      <c r="C76" s="1767"/>
      <c r="D76" s="1729" t="s">
        <v>1260</v>
      </c>
      <c r="E76" s="1730"/>
      <c r="F76" s="265"/>
      <c r="G76" s="265"/>
      <c r="H76" s="265"/>
      <c r="I76" s="265"/>
      <c r="J76" s="273"/>
      <c r="K76" s="265"/>
      <c r="L76" s="1429"/>
      <c r="M76" s="1428"/>
      <c r="N76" s="1429"/>
      <c r="O76" s="1428"/>
      <c r="P76" s="273"/>
      <c r="BK76" s="1075"/>
    </row>
    <row r="77" spans="1:63" ht="15" customHeight="1" x14ac:dyDescent="0.2">
      <c r="A77" s="1076"/>
      <c r="B77" s="1434">
        <v>7</v>
      </c>
      <c r="C77" s="1768" t="s">
        <v>1254</v>
      </c>
      <c r="D77" s="1729" t="s">
        <v>1256</v>
      </c>
      <c r="E77" s="1730"/>
      <c r="F77" s="265"/>
      <c r="G77" s="265"/>
      <c r="H77" s="265"/>
      <c r="I77" s="265"/>
      <c r="J77" s="273"/>
      <c r="K77" s="265"/>
      <c r="L77" s="1429"/>
      <c r="M77" s="1428"/>
      <c r="N77" s="1429"/>
      <c r="O77" s="1428"/>
      <c r="P77" s="273"/>
      <c r="BK77" s="1075"/>
    </row>
    <row r="78" spans="1:63" ht="30" customHeight="1" x14ac:dyDescent="0.2">
      <c r="A78" s="1076"/>
      <c r="B78" s="970">
        <v>8</v>
      </c>
      <c r="C78" s="1766"/>
      <c r="D78" s="1729" t="s">
        <v>1257</v>
      </c>
      <c r="E78" s="1730"/>
      <c r="F78" s="265"/>
      <c r="G78" s="265"/>
      <c r="H78" s="265"/>
      <c r="I78" s="265"/>
      <c r="J78" s="273"/>
      <c r="K78" s="265"/>
      <c r="L78" s="1429"/>
      <c r="M78" s="1428"/>
      <c r="N78" s="1429"/>
      <c r="O78" s="1428"/>
      <c r="P78" s="273"/>
      <c r="BK78" s="1075"/>
    </row>
    <row r="79" spans="1:63" ht="15" customHeight="1" x14ac:dyDescent="0.2">
      <c r="A79" s="1076"/>
      <c r="B79" s="970">
        <v>9</v>
      </c>
      <c r="C79" s="1766"/>
      <c r="D79" s="1729" t="s">
        <v>1258</v>
      </c>
      <c r="E79" s="1730"/>
      <c r="F79" s="265"/>
      <c r="G79" s="265"/>
      <c r="H79" s="265"/>
      <c r="I79" s="265"/>
      <c r="J79" s="273"/>
      <c r="K79" s="265"/>
      <c r="L79" s="1429"/>
      <c r="M79" s="1428"/>
      <c r="N79" s="1429"/>
      <c r="O79" s="1428"/>
      <c r="P79" s="273"/>
      <c r="BK79" s="1075"/>
    </row>
    <row r="80" spans="1:63" ht="15" customHeight="1" x14ac:dyDescent="0.2">
      <c r="A80" s="1076"/>
      <c r="B80" s="970">
        <v>10</v>
      </c>
      <c r="C80" s="1766"/>
      <c r="D80" s="1729" t="s">
        <v>1255</v>
      </c>
      <c r="E80" s="1730"/>
      <c r="F80" s="265"/>
      <c r="G80" s="265"/>
      <c r="H80" s="265"/>
      <c r="I80" s="265"/>
      <c r="J80" s="273"/>
      <c r="K80" s="265"/>
      <c r="L80" s="1429"/>
      <c r="M80" s="1428"/>
      <c r="N80" s="1429"/>
      <c r="O80" s="1428"/>
      <c r="P80" s="273"/>
      <c r="BK80" s="1075"/>
    </row>
    <row r="81" spans="1:63" ht="15" customHeight="1" x14ac:dyDescent="0.2">
      <c r="A81" s="1076"/>
      <c r="B81" s="970">
        <v>11</v>
      </c>
      <c r="C81" s="1766"/>
      <c r="D81" s="1729" t="s">
        <v>1259</v>
      </c>
      <c r="E81" s="1730"/>
      <c r="F81" s="265"/>
      <c r="G81" s="265"/>
      <c r="H81" s="265"/>
      <c r="I81" s="265"/>
      <c r="J81" s="273"/>
      <c r="K81" s="265"/>
      <c r="L81" s="1429"/>
      <c r="M81" s="1428"/>
      <c r="N81" s="1429"/>
      <c r="O81" s="1428"/>
      <c r="P81" s="273"/>
      <c r="BK81" s="1075"/>
    </row>
    <row r="82" spans="1:63" ht="45" customHeight="1" x14ac:dyDescent="0.2">
      <c r="A82" s="1076"/>
      <c r="B82" s="970">
        <v>12</v>
      </c>
      <c r="C82" s="1767"/>
      <c r="D82" s="1729" t="s">
        <v>1260</v>
      </c>
      <c r="E82" s="1730"/>
      <c r="F82" s="265"/>
      <c r="G82" s="265"/>
      <c r="H82" s="265"/>
      <c r="I82" s="265"/>
      <c r="J82" s="273"/>
      <c r="K82" s="265"/>
      <c r="L82" s="1429"/>
      <c r="M82" s="1428"/>
      <c r="N82" s="1429"/>
      <c r="O82" s="1428"/>
      <c r="P82" s="273"/>
      <c r="BK82" s="1075"/>
    </row>
    <row r="83" spans="1:63" ht="15" customHeight="1" x14ac:dyDescent="0.2">
      <c r="A83" s="1076"/>
      <c r="B83" s="971" t="s">
        <v>1252</v>
      </c>
      <c r="C83" s="1749"/>
      <c r="D83" s="1750"/>
      <c r="E83" s="1750"/>
      <c r="F83" s="321"/>
      <c r="G83" s="1222"/>
      <c r="H83" s="321"/>
      <c r="I83" s="275"/>
      <c r="J83" s="275"/>
      <c r="K83" s="1222"/>
      <c r="L83" s="1222"/>
      <c r="M83" s="1430"/>
      <c r="N83" s="1222"/>
      <c r="O83" s="1430"/>
      <c r="P83" s="1222"/>
      <c r="BK83" s="1075"/>
    </row>
    <row r="84" spans="1:63" ht="15" customHeight="1" x14ac:dyDescent="0.2">
      <c r="A84" s="1076"/>
      <c r="B84" s="1074"/>
      <c r="G84" s="1074"/>
      <c r="H84" s="1074"/>
      <c r="I84" s="1074"/>
      <c r="J84" s="1074"/>
      <c r="BK84" s="1075"/>
    </row>
    <row r="85" spans="1:63" s="1168" customFormat="1" ht="15" customHeight="1" x14ac:dyDescent="0.2">
      <c r="A85" s="63"/>
      <c r="B85" s="1723" t="s">
        <v>178</v>
      </c>
      <c r="C85" s="1723"/>
      <c r="D85" s="1723"/>
      <c r="E85" s="1723"/>
      <c r="F85" s="1425"/>
      <c r="G85" s="629"/>
      <c r="H85" s="629"/>
      <c r="I85" s="629"/>
      <c r="J85" s="629"/>
      <c r="K85" s="629"/>
      <c r="L85" s="1464"/>
      <c r="M85" s="1514"/>
      <c r="N85" s="1464"/>
      <c r="O85" s="1514"/>
      <c r="P85" s="1465"/>
      <c r="Q85" s="1170"/>
      <c r="R85" s="1170"/>
      <c r="S85" s="1170"/>
      <c r="T85" s="1170"/>
      <c r="U85" s="1170"/>
      <c r="V85" s="1170"/>
      <c r="W85" s="1170"/>
      <c r="X85" s="1170"/>
      <c r="Y85" s="1170"/>
      <c r="Z85" s="1170"/>
      <c r="AA85" s="1170"/>
      <c r="AB85" s="1170"/>
      <c r="AC85" s="1170"/>
      <c r="AD85" s="1170"/>
      <c r="AE85" s="1170"/>
      <c r="AF85" s="1170"/>
      <c r="AG85" s="1170"/>
      <c r="AH85" s="1170"/>
      <c r="AI85" s="1170"/>
      <c r="AJ85" s="1170"/>
      <c r="AK85" s="1170"/>
      <c r="AL85" s="1170"/>
      <c r="AM85" s="1170"/>
      <c r="AN85" s="1170"/>
      <c r="AO85" s="1170"/>
      <c r="AP85" s="1170"/>
      <c r="AQ85" s="1170"/>
      <c r="AR85" s="1170"/>
      <c r="AS85" s="1170"/>
      <c r="AT85" s="1170"/>
      <c r="AU85" s="1170"/>
      <c r="AV85" s="1170"/>
      <c r="AW85" s="1170"/>
      <c r="AX85" s="1170"/>
      <c r="AY85" s="1170"/>
      <c r="AZ85" s="1170"/>
      <c r="BA85" s="1170"/>
      <c r="BB85" s="1170"/>
      <c r="BC85" s="1170"/>
      <c r="BD85" s="1170"/>
      <c r="BE85" s="1170"/>
      <c r="BF85" s="1170"/>
      <c r="BG85" s="1170"/>
      <c r="BH85" s="1170"/>
      <c r="BI85" s="1170"/>
      <c r="BJ85" s="1170"/>
      <c r="BK85" s="1143"/>
    </row>
    <row r="86" spans="1:63" ht="15" customHeight="1" x14ac:dyDescent="0.2">
      <c r="A86" s="1076"/>
      <c r="B86" s="1074"/>
      <c r="G86" s="1074"/>
      <c r="H86" s="1074"/>
      <c r="I86" s="1074"/>
      <c r="J86" s="1074"/>
      <c r="BK86" s="1075"/>
    </row>
    <row r="87" spans="1:63" ht="15" customHeight="1" x14ac:dyDescent="0.2">
      <c r="A87" s="1076"/>
      <c r="B87" s="1516" t="s">
        <v>1320</v>
      </c>
      <c r="C87" s="1516"/>
      <c r="D87" s="1516"/>
      <c r="E87" s="1516"/>
      <c r="F87" s="1455" t="str">
        <f>IF(AND(ISNUMBER(F85),ISNUMBER(M85),ISNUMBER(O85)),F85+M85+O85,"")</f>
        <v/>
      </c>
      <c r="G87" s="46"/>
      <c r="H87" s="1074"/>
      <c r="I87" s="183"/>
      <c r="J87" s="183"/>
      <c r="K87" s="183"/>
      <c r="L87" s="183"/>
      <c r="M87" s="183"/>
      <c r="N87" s="183"/>
      <c r="BK87" s="1075"/>
    </row>
    <row r="88" spans="1:63" s="1073" customFormat="1" ht="45" customHeight="1" x14ac:dyDescent="0.25">
      <c r="A88" s="1053" t="s">
        <v>1494</v>
      </c>
      <c r="B88" s="1442"/>
      <c r="C88" s="1442"/>
      <c r="D88" s="1442"/>
      <c r="E88" s="1442"/>
      <c r="F88" s="1442"/>
      <c r="G88" s="46"/>
      <c r="H88" s="46"/>
      <c r="I88" s="46"/>
      <c r="J88" s="46"/>
      <c r="BK88" s="1072"/>
    </row>
    <row r="89" spans="1:63" ht="15" customHeight="1" x14ac:dyDescent="0.2">
      <c r="A89" s="1076"/>
      <c r="B89" s="1074"/>
      <c r="G89" s="1074"/>
      <c r="H89" s="1074"/>
      <c r="I89" s="1074"/>
      <c r="J89" s="1074"/>
      <c r="BK89" s="1075"/>
    </row>
    <row r="90" spans="1:63" ht="15" customHeight="1" x14ac:dyDescent="0.2">
      <c r="A90" s="1076"/>
      <c r="B90" s="1751" t="s">
        <v>1415</v>
      </c>
      <c r="C90" s="1769" t="s">
        <v>1250</v>
      </c>
      <c r="D90" s="1771" t="s">
        <v>1251</v>
      </c>
      <c r="E90" s="1782"/>
      <c r="F90" s="1688" t="s">
        <v>1247</v>
      </c>
      <c r="G90" s="1688"/>
      <c r="H90" s="1688"/>
      <c r="I90" s="1688"/>
      <c r="J90" s="1688"/>
      <c r="K90" s="1688"/>
      <c r="L90" s="1677"/>
      <c r="M90" s="1774" t="s">
        <v>1248</v>
      </c>
      <c r="N90" s="1775"/>
      <c r="O90" s="1776" t="s">
        <v>1249</v>
      </c>
      <c r="P90" s="1698"/>
      <c r="BK90" s="1075"/>
    </row>
    <row r="91" spans="1:63" ht="15" customHeight="1" x14ac:dyDescent="0.2">
      <c r="A91" s="1076"/>
      <c r="B91" s="1752"/>
      <c r="C91" s="1781"/>
      <c r="D91" s="1783"/>
      <c r="E91" s="1784"/>
      <c r="F91" s="1628" t="s">
        <v>1215</v>
      </c>
      <c r="G91" s="1628" t="s">
        <v>1216</v>
      </c>
      <c r="H91" s="1628" t="s">
        <v>1217</v>
      </c>
      <c r="I91" s="1688" t="s">
        <v>1333</v>
      </c>
      <c r="J91" s="1688"/>
      <c r="K91" s="1697" t="s">
        <v>1334</v>
      </c>
      <c r="L91" s="1698"/>
      <c r="M91" s="1777" t="s">
        <v>1215</v>
      </c>
      <c r="N91" s="1743" t="s">
        <v>1216</v>
      </c>
      <c r="O91" s="1779" t="s">
        <v>1215</v>
      </c>
      <c r="P91" s="1773" t="s">
        <v>1216</v>
      </c>
      <c r="BK91" s="1075"/>
    </row>
    <row r="92" spans="1:63" ht="15" customHeight="1" x14ac:dyDescent="0.2">
      <c r="A92" s="1076"/>
      <c r="B92" s="1753"/>
      <c r="C92" s="1770"/>
      <c r="D92" s="1772"/>
      <c r="E92" s="1785"/>
      <c r="F92" s="1629"/>
      <c r="G92" s="1629"/>
      <c r="H92" s="1629"/>
      <c r="I92" s="1600" t="s">
        <v>1218</v>
      </c>
      <c r="J92" s="1600" t="s">
        <v>1219</v>
      </c>
      <c r="K92" s="1600" t="s">
        <v>1218</v>
      </c>
      <c r="L92" s="1599" t="s">
        <v>1219</v>
      </c>
      <c r="M92" s="1778"/>
      <c r="N92" s="1744"/>
      <c r="O92" s="1780"/>
      <c r="P92" s="1639"/>
      <c r="BK92" s="1075"/>
    </row>
    <row r="93" spans="1:63" ht="15" customHeight="1" x14ac:dyDescent="0.2">
      <c r="A93" s="1076"/>
      <c r="B93" s="970">
        <v>1</v>
      </c>
      <c r="C93" s="1765" t="s">
        <v>1253</v>
      </c>
      <c r="D93" s="1729" t="s">
        <v>1262</v>
      </c>
      <c r="E93" s="1730"/>
      <c r="F93" s="265"/>
      <c r="G93" s="265"/>
      <c r="H93" s="265"/>
      <c r="I93" s="265"/>
      <c r="J93" s="273"/>
      <c r="K93" s="265"/>
      <c r="L93" s="1429"/>
      <c r="M93" s="1428"/>
      <c r="N93" s="1429"/>
      <c r="O93" s="1428"/>
      <c r="P93" s="273"/>
      <c r="BK93" s="1075"/>
    </row>
    <row r="94" spans="1:63" ht="15" customHeight="1" x14ac:dyDescent="0.2">
      <c r="A94" s="1076"/>
      <c r="B94" s="970">
        <v>2</v>
      </c>
      <c r="C94" s="1766"/>
      <c r="D94" s="1729" t="s">
        <v>1263</v>
      </c>
      <c r="E94" s="1730"/>
      <c r="F94" s="265"/>
      <c r="G94" s="265"/>
      <c r="H94" s="265"/>
      <c r="I94" s="265"/>
      <c r="J94" s="273"/>
      <c r="K94" s="265"/>
      <c r="L94" s="1429"/>
      <c r="M94" s="1428"/>
      <c r="N94" s="1429"/>
      <c r="O94" s="1428"/>
      <c r="P94" s="273"/>
      <c r="BK94" s="1075"/>
    </row>
    <row r="95" spans="1:63" ht="15" customHeight="1" x14ac:dyDescent="0.2">
      <c r="A95" s="1076"/>
      <c r="B95" s="970">
        <v>3</v>
      </c>
      <c r="C95" s="1767"/>
      <c r="D95" s="1729" t="s">
        <v>1264</v>
      </c>
      <c r="E95" s="1730"/>
      <c r="F95" s="265"/>
      <c r="G95" s="265"/>
      <c r="H95" s="265"/>
      <c r="I95" s="265"/>
      <c r="J95" s="273"/>
      <c r="K95" s="265"/>
      <c r="L95" s="1429"/>
      <c r="M95" s="1428"/>
      <c r="N95" s="1429"/>
      <c r="O95" s="1428"/>
      <c r="P95" s="273"/>
      <c r="BK95" s="1075"/>
    </row>
    <row r="96" spans="1:63" ht="15" customHeight="1" x14ac:dyDescent="0.2">
      <c r="A96" s="1076"/>
      <c r="B96" s="970">
        <v>4</v>
      </c>
      <c r="C96" s="1768" t="s">
        <v>1254</v>
      </c>
      <c r="D96" s="1729" t="s">
        <v>1262</v>
      </c>
      <c r="E96" s="1730"/>
      <c r="F96" s="265"/>
      <c r="G96" s="265"/>
      <c r="H96" s="265"/>
      <c r="I96" s="265"/>
      <c r="J96" s="273"/>
      <c r="K96" s="265"/>
      <c r="L96" s="1429"/>
      <c r="M96" s="1428"/>
      <c r="N96" s="1429"/>
      <c r="O96" s="1428"/>
      <c r="P96" s="273"/>
      <c r="BK96" s="1075"/>
    </row>
    <row r="97" spans="1:63" ht="15" customHeight="1" x14ac:dyDescent="0.2">
      <c r="A97" s="1076"/>
      <c r="B97" s="970">
        <v>5</v>
      </c>
      <c r="C97" s="1766"/>
      <c r="D97" s="1729" t="s">
        <v>1263</v>
      </c>
      <c r="E97" s="1730"/>
      <c r="F97" s="265"/>
      <c r="G97" s="265"/>
      <c r="H97" s="265"/>
      <c r="I97" s="265"/>
      <c r="J97" s="273"/>
      <c r="K97" s="265"/>
      <c r="L97" s="1429"/>
      <c r="M97" s="1428"/>
      <c r="N97" s="1429"/>
      <c r="O97" s="1428"/>
      <c r="P97" s="273"/>
      <c r="BK97" s="1075"/>
    </row>
    <row r="98" spans="1:63" ht="15" customHeight="1" x14ac:dyDescent="0.2">
      <c r="A98" s="1076"/>
      <c r="B98" s="1445">
        <v>6</v>
      </c>
      <c r="C98" s="1767"/>
      <c r="D98" s="1729" t="s">
        <v>1264</v>
      </c>
      <c r="E98" s="1730"/>
      <c r="F98" s="332"/>
      <c r="G98" s="332"/>
      <c r="H98" s="332"/>
      <c r="I98" s="332"/>
      <c r="J98" s="329"/>
      <c r="K98" s="332"/>
      <c r="L98" s="1463"/>
      <c r="M98" s="1462"/>
      <c r="N98" s="1463"/>
      <c r="O98" s="1462"/>
      <c r="P98" s="329"/>
      <c r="BK98" s="1075"/>
    </row>
    <row r="99" spans="1:63" ht="15" customHeight="1" x14ac:dyDescent="0.2">
      <c r="A99" s="1076"/>
      <c r="B99" s="971" t="s">
        <v>1252</v>
      </c>
      <c r="C99" s="1749"/>
      <c r="D99" s="1750"/>
      <c r="E99" s="1750"/>
      <c r="F99" s="321"/>
      <c r="G99" s="1222"/>
      <c r="H99" s="321"/>
      <c r="I99" s="275"/>
      <c r="J99" s="275"/>
      <c r="K99" s="1222"/>
      <c r="L99" s="1222"/>
      <c r="M99" s="1430"/>
      <c r="N99" s="1222"/>
      <c r="O99" s="1430"/>
      <c r="P99" s="1222"/>
      <c r="BK99" s="1075"/>
    </row>
    <row r="100" spans="1:63" ht="15" customHeight="1" x14ac:dyDescent="0.2">
      <c r="A100" s="1076"/>
      <c r="B100" s="1074"/>
      <c r="G100" s="1074"/>
      <c r="H100" s="1074"/>
      <c r="I100" s="1074"/>
      <c r="J100" s="1074"/>
      <c r="BK100" s="1075"/>
    </row>
    <row r="101" spans="1:63" s="1168" customFormat="1" ht="15" customHeight="1" x14ac:dyDescent="0.2">
      <c r="A101" s="63"/>
      <c r="B101" s="1723" t="s">
        <v>1318</v>
      </c>
      <c r="C101" s="1723"/>
      <c r="D101" s="1723"/>
      <c r="E101" s="1723"/>
      <c r="F101" s="1425"/>
      <c r="G101" s="629"/>
      <c r="H101" s="629"/>
      <c r="I101" s="629"/>
      <c r="J101" s="629"/>
      <c r="K101" s="629"/>
      <c r="L101" s="1464"/>
      <c r="M101" s="1514"/>
      <c r="N101" s="1464"/>
      <c r="O101" s="1514"/>
      <c r="P101" s="1465"/>
      <c r="Q101" s="1170"/>
      <c r="R101" s="1170"/>
      <c r="S101" s="1170"/>
      <c r="T101" s="1170"/>
      <c r="U101" s="1170"/>
      <c r="V101" s="1170"/>
      <c r="W101" s="1170"/>
      <c r="X101" s="1170"/>
      <c r="Y101" s="1170"/>
      <c r="Z101" s="1170"/>
      <c r="AA101" s="1170"/>
      <c r="AB101" s="1170"/>
      <c r="AC101" s="1170"/>
      <c r="AD101" s="1170"/>
      <c r="AE101" s="1170"/>
      <c r="AF101" s="1170"/>
      <c r="AG101" s="1170"/>
      <c r="AH101" s="1170"/>
      <c r="AI101" s="1170"/>
      <c r="AJ101" s="1170"/>
      <c r="AK101" s="1170"/>
      <c r="AL101" s="1170"/>
      <c r="AM101" s="1170"/>
      <c r="AN101" s="1170"/>
      <c r="AO101" s="1170"/>
      <c r="AP101" s="1170"/>
      <c r="AQ101" s="1170"/>
      <c r="AR101" s="1170"/>
      <c r="AS101" s="1170"/>
      <c r="AT101" s="1170"/>
      <c r="AU101" s="1170"/>
      <c r="AV101" s="1170"/>
      <c r="AW101" s="1170"/>
      <c r="AX101" s="1170"/>
      <c r="AY101" s="1170"/>
      <c r="AZ101" s="1170"/>
      <c r="BA101" s="1170"/>
      <c r="BB101" s="1170"/>
      <c r="BC101" s="1170"/>
      <c r="BD101" s="1170"/>
      <c r="BE101" s="1170"/>
      <c r="BF101" s="1170"/>
      <c r="BG101" s="1170"/>
      <c r="BH101" s="1170"/>
      <c r="BI101" s="1170"/>
      <c r="BJ101" s="1170"/>
      <c r="BK101" s="1143"/>
    </row>
    <row r="102" spans="1:63" ht="15" customHeight="1" x14ac:dyDescent="0.2">
      <c r="A102" s="1076"/>
      <c r="B102" s="1074"/>
      <c r="G102" s="1074"/>
      <c r="H102" s="1074"/>
      <c r="I102" s="1074"/>
      <c r="J102" s="1074"/>
      <c r="BK102" s="1075"/>
    </row>
    <row r="103" spans="1:63" ht="15" customHeight="1" x14ac:dyDescent="0.2">
      <c r="A103" s="1076"/>
      <c r="B103" s="1516" t="s">
        <v>1321</v>
      </c>
      <c r="C103" s="1516"/>
      <c r="D103" s="1516"/>
      <c r="E103" s="1516"/>
      <c r="F103" s="1455" t="str">
        <f>IF(AND(ISNUMBER(F101),ISNUMBER(M101),ISNUMBER(O101)),F101+M101+O101,"")</f>
        <v/>
      </c>
      <c r="G103" s="1074"/>
      <c r="H103" s="183"/>
      <c r="I103" s="183"/>
      <c r="J103" s="183"/>
      <c r="K103" s="183"/>
      <c r="L103" s="183"/>
      <c r="M103" s="183"/>
      <c r="N103" s="183"/>
      <c r="BK103" s="1075"/>
    </row>
    <row r="104" spans="1:63" ht="15" customHeight="1" x14ac:dyDescent="0.2">
      <c r="A104" s="1076"/>
      <c r="B104" s="1074"/>
      <c r="G104" s="1074"/>
      <c r="H104" s="1074"/>
      <c r="I104" s="1074"/>
      <c r="J104" s="1074"/>
      <c r="BK104" s="1075"/>
    </row>
    <row r="105" spans="1:63" s="207" customFormat="1" ht="30" customHeight="1" x14ac:dyDescent="0.25">
      <c r="A105" s="1377" t="s">
        <v>1265</v>
      </c>
      <c r="B105" s="18"/>
      <c r="C105" s="16"/>
      <c r="D105" s="16"/>
      <c r="E105" s="16"/>
      <c r="F105" s="16"/>
      <c r="G105" s="203"/>
      <c r="H105" s="203"/>
      <c r="I105" s="203"/>
      <c r="J105" s="203"/>
      <c r="K105" s="180"/>
      <c r="L105" s="180"/>
      <c r="M105" s="180"/>
      <c r="N105" s="180"/>
      <c r="O105" s="180"/>
      <c r="P105" s="180"/>
      <c r="Q105" s="180"/>
      <c r="R105" s="180"/>
      <c r="S105" s="180"/>
      <c r="T105" s="180"/>
      <c r="U105" s="180"/>
      <c r="V105" s="180"/>
      <c r="W105" s="180"/>
      <c r="X105" s="180"/>
      <c r="Y105" s="180"/>
      <c r="Z105" s="180"/>
      <c r="AA105" s="180"/>
      <c r="AB105" s="180"/>
      <c r="AC105" s="180"/>
      <c r="AD105" s="180"/>
      <c r="AE105" s="180"/>
      <c r="AF105" s="180"/>
      <c r="AG105" s="180"/>
      <c r="AH105" s="180"/>
      <c r="AI105" s="180"/>
      <c r="AJ105" s="180"/>
      <c r="AK105" s="180"/>
      <c r="AL105" s="180"/>
      <c r="AM105" s="180"/>
      <c r="AN105" s="180"/>
      <c r="AO105" s="180"/>
      <c r="AP105" s="180"/>
      <c r="AQ105" s="180"/>
      <c r="AR105" s="180"/>
      <c r="AS105" s="180"/>
      <c r="AT105" s="180"/>
      <c r="AU105" s="180"/>
      <c r="AV105" s="180"/>
      <c r="AW105" s="180"/>
      <c r="AX105" s="180"/>
      <c r="AY105" s="180"/>
      <c r="AZ105" s="180"/>
      <c r="BA105" s="180"/>
      <c r="BB105" s="180"/>
      <c r="BC105" s="180"/>
      <c r="BD105" s="180"/>
      <c r="BE105" s="180"/>
      <c r="BF105" s="180"/>
      <c r="BG105" s="180"/>
      <c r="BH105" s="180"/>
      <c r="BI105" s="180"/>
      <c r="BJ105" s="180"/>
      <c r="BK105" s="181"/>
    </row>
    <row r="106" spans="1:63" ht="15" customHeight="1" x14ac:dyDescent="0.2">
      <c r="A106" s="1076"/>
      <c r="B106" s="1074"/>
      <c r="G106" s="1074"/>
      <c r="H106" s="1074"/>
      <c r="I106" s="1074"/>
      <c r="J106" s="1074"/>
      <c r="BK106" s="1075"/>
    </row>
    <row r="107" spans="1:63" ht="15" customHeight="1" x14ac:dyDescent="0.2">
      <c r="A107" s="1076"/>
      <c r="B107" s="1751" t="s">
        <v>1415</v>
      </c>
      <c r="C107" s="1769" t="s">
        <v>1267</v>
      </c>
      <c r="D107" s="1769" t="s">
        <v>1266</v>
      </c>
      <c r="E107" s="1771" t="s">
        <v>1251</v>
      </c>
      <c r="F107" s="1677" t="s">
        <v>1247</v>
      </c>
      <c r="G107" s="1678"/>
      <c r="H107" s="1678"/>
      <c r="I107" s="1678"/>
      <c r="J107" s="1726"/>
      <c r="K107" s="1727" t="s">
        <v>1248</v>
      </c>
      <c r="L107" s="1728"/>
      <c r="M107" s="1727" t="s">
        <v>1249</v>
      </c>
      <c r="N107" s="1722"/>
      <c r="BK107" s="1075"/>
    </row>
    <row r="108" spans="1:63" ht="15" customHeight="1" x14ac:dyDescent="0.2">
      <c r="A108" s="1076"/>
      <c r="B108" s="1753"/>
      <c r="C108" s="1770"/>
      <c r="D108" s="1770"/>
      <c r="E108" s="1772"/>
      <c r="F108" s="1599" t="s">
        <v>1215</v>
      </c>
      <c r="G108" s="1599" t="s">
        <v>1216</v>
      </c>
      <c r="H108" s="1599" t="s">
        <v>1217</v>
      </c>
      <c r="I108" s="1599" t="s">
        <v>1218</v>
      </c>
      <c r="J108" s="1599" t="s">
        <v>1219</v>
      </c>
      <c r="K108" s="1443" t="s">
        <v>1215</v>
      </c>
      <c r="L108" s="1444" t="s">
        <v>1216</v>
      </c>
      <c r="M108" s="1443" t="s">
        <v>1215</v>
      </c>
      <c r="N108" s="1599" t="s">
        <v>1216</v>
      </c>
      <c r="BK108" s="1075"/>
    </row>
    <row r="109" spans="1:63" ht="15" customHeight="1" x14ac:dyDescent="0.2">
      <c r="A109" s="1076"/>
      <c r="B109" s="1433">
        <v>1</v>
      </c>
      <c r="C109" s="1763" t="s">
        <v>1268</v>
      </c>
      <c r="D109" s="1765" t="s">
        <v>1270</v>
      </c>
      <c r="E109" s="1502" t="s">
        <v>1272</v>
      </c>
      <c r="F109" s="265"/>
      <c r="G109" s="265"/>
      <c r="H109" s="265"/>
      <c r="I109" s="265"/>
      <c r="J109" s="273"/>
      <c r="K109" s="1428"/>
      <c r="L109" s="1429"/>
      <c r="M109" s="1428"/>
      <c r="N109" s="273"/>
      <c r="BK109" s="1075"/>
    </row>
    <row r="110" spans="1:63" ht="30" customHeight="1" x14ac:dyDescent="0.2">
      <c r="A110" s="1076"/>
      <c r="B110" s="970">
        <v>2</v>
      </c>
      <c r="C110" s="1764"/>
      <c r="D110" s="1766"/>
      <c r="E110" s="1605" t="s">
        <v>1273</v>
      </c>
      <c r="F110" s="265"/>
      <c r="G110" s="265"/>
      <c r="H110" s="265"/>
      <c r="I110" s="265"/>
      <c r="J110" s="273"/>
      <c r="K110" s="1428"/>
      <c r="L110" s="1429"/>
      <c r="M110" s="1428"/>
      <c r="N110" s="273"/>
      <c r="BK110" s="1075"/>
    </row>
    <row r="111" spans="1:63" ht="15" customHeight="1" x14ac:dyDescent="0.2">
      <c r="A111" s="1076"/>
      <c r="B111" s="970">
        <v>3</v>
      </c>
      <c r="C111" s="1764"/>
      <c r="D111" s="1766"/>
      <c r="E111" s="1503" t="s">
        <v>1274</v>
      </c>
      <c r="F111" s="265"/>
      <c r="G111" s="265"/>
      <c r="H111" s="265"/>
      <c r="I111" s="265"/>
      <c r="J111" s="273"/>
      <c r="K111" s="1428"/>
      <c r="L111" s="1429"/>
      <c r="M111" s="1428"/>
      <c r="N111" s="273"/>
      <c r="BK111" s="1075"/>
    </row>
    <row r="112" spans="1:63" ht="15" customHeight="1" x14ac:dyDescent="0.2">
      <c r="A112" s="1076"/>
      <c r="B112" s="970">
        <v>4</v>
      </c>
      <c r="C112" s="1764"/>
      <c r="D112" s="1767"/>
      <c r="E112" s="1503" t="s">
        <v>1275</v>
      </c>
      <c r="F112" s="265"/>
      <c r="G112" s="265"/>
      <c r="H112" s="265"/>
      <c r="I112" s="265"/>
      <c r="J112" s="273"/>
      <c r="K112" s="1428"/>
      <c r="L112" s="1429"/>
      <c r="M112" s="1428"/>
      <c r="N112" s="273"/>
      <c r="BK112" s="1075"/>
    </row>
    <row r="113" spans="1:63" ht="15" customHeight="1" x14ac:dyDescent="0.2">
      <c r="A113" s="1076"/>
      <c r="B113" s="970">
        <v>5</v>
      </c>
      <c r="C113" s="1764"/>
      <c r="D113" s="1768" t="s">
        <v>1271</v>
      </c>
      <c r="E113" s="1503" t="s">
        <v>1272</v>
      </c>
      <c r="F113" s="265"/>
      <c r="G113" s="265"/>
      <c r="H113" s="265"/>
      <c r="I113" s="265"/>
      <c r="J113" s="273"/>
      <c r="K113" s="1428"/>
      <c r="L113" s="1429"/>
      <c r="M113" s="1428"/>
      <c r="N113" s="273"/>
      <c r="BK113" s="1075"/>
    </row>
    <row r="114" spans="1:63" ht="30" customHeight="1" x14ac:dyDescent="0.2">
      <c r="A114" s="1076"/>
      <c r="B114" s="970">
        <v>6</v>
      </c>
      <c r="C114" s="1764"/>
      <c r="D114" s="1766"/>
      <c r="E114" s="1605" t="s">
        <v>1273</v>
      </c>
      <c r="F114" s="265"/>
      <c r="G114" s="265"/>
      <c r="H114" s="265"/>
      <c r="I114" s="265"/>
      <c r="J114" s="273"/>
      <c r="K114" s="1428"/>
      <c r="L114" s="1429"/>
      <c r="M114" s="1428"/>
      <c r="N114" s="273"/>
      <c r="BK114" s="1075"/>
    </row>
    <row r="115" spans="1:63" ht="15" customHeight="1" x14ac:dyDescent="0.2">
      <c r="A115" s="1076"/>
      <c r="B115" s="1434">
        <v>7</v>
      </c>
      <c r="C115" s="1764"/>
      <c r="D115" s="1766"/>
      <c r="E115" s="1503" t="s">
        <v>1274</v>
      </c>
      <c r="F115" s="265"/>
      <c r="G115" s="265"/>
      <c r="H115" s="265"/>
      <c r="I115" s="265"/>
      <c r="J115" s="273"/>
      <c r="K115" s="1428"/>
      <c r="L115" s="1429"/>
      <c r="M115" s="1428"/>
      <c r="N115" s="273"/>
      <c r="BK115" s="1075"/>
    </row>
    <row r="116" spans="1:63" ht="15" customHeight="1" x14ac:dyDescent="0.2">
      <c r="A116" s="1076"/>
      <c r="B116" s="970">
        <v>8</v>
      </c>
      <c r="C116" s="1748"/>
      <c r="D116" s="1767"/>
      <c r="E116" s="1503" t="s">
        <v>1275</v>
      </c>
      <c r="F116" s="265"/>
      <c r="G116" s="265"/>
      <c r="H116" s="265"/>
      <c r="I116" s="265"/>
      <c r="J116" s="273"/>
      <c r="K116" s="1428"/>
      <c r="L116" s="1429"/>
      <c r="M116" s="1428"/>
      <c r="N116" s="273"/>
      <c r="BK116" s="1075"/>
    </row>
    <row r="117" spans="1:63" ht="30" customHeight="1" x14ac:dyDescent="0.2">
      <c r="A117" s="1076"/>
      <c r="B117" s="970">
        <v>9</v>
      </c>
      <c r="C117" s="1747" t="s">
        <v>1269</v>
      </c>
      <c r="D117" s="1475" t="s">
        <v>1270</v>
      </c>
      <c r="E117" s="1503" t="s">
        <v>1276</v>
      </c>
      <c r="F117" s="265"/>
      <c r="G117" s="265"/>
      <c r="H117" s="265"/>
      <c r="I117" s="265"/>
      <c r="J117" s="273"/>
      <c r="K117" s="1428"/>
      <c r="L117" s="1429"/>
      <c r="M117" s="1428"/>
      <c r="N117" s="273"/>
      <c r="BK117" s="1075"/>
    </row>
    <row r="118" spans="1:63" ht="30" customHeight="1" x14ac:dyDescent="0.2">
      <c r="A118" s="1076"/>
      <c r="B118" s="1445">
        <v>10</v>
      </c>
      <c r="C118" s="1748"/>
      <c r="D118" s="1475" t="s">
        <v>1271</v>
      </c>
      <c r="E118" s="1503" t="s">
        <v>1276</v>
      </c>
      <c r="F118" s="265"/>
      <c r="G118" s="265"/>
      <c r="H118" s="265"/>
      <c r="I118" s="265"/>
      <c r="J118" s="273"/>
      <c r="K118" s="1428"/>
      <c r="L118" s="1429"/>
      <c r="M118" s="1428"/>
      <c r="N118" s="273"/>
      <c r="BK118" s="1075"/>
    </row>
    <row r="119" spans="1:63" ht="15" customHeight="1" x14ac:dyDescent="0.2">
      <c r="A119" s="1076"/>
      <c r="B119" s="971" t="s">
        <v>1252</v>
      </c>
      <c r="C119" s="1749"/>
      <c r="D119" s="1750"/>
      <c r="E119" s="1750"/>
      <c r="F119" s="321"/>
      <c r="G119" s="1222"/>
      <c r="H119" s="321"/>
      <c r="I119" s="321"/>
      <c r="J119" s="275"/>
      <c r="K119" s="1430"/>
      <c r="L119" s="1222"/>
      <c r="M119" s="1430"/>
      <c r="N119" s="1222"/>
      <c r="BK119" s="1075"/>
    </row>
    <row r="120" spans="1:63" ht="15" customHeight="1" x14ac:dyDescent="0.2">
      <c r="A120" s="1076"/>
      <c r="B120" s="1074"/>
      <c r="G120" s="1074"/>
      <c r="H120" s="1074"/>
      <c r="I120" s="1074"/>
      <c r="J120" s="1074"/>
      <c r="BK120" s="1075"/>
    </row>
    <row r="121" spans="1:63" s="1168" customFormat="1" ht="15" customHeight="1" x14ac:dyDescent="0.2">
      <c r="A121" s="63"/>
      <c r="B121" s="1723" t="s">
        <v>178</v>
      </c>
      <c r="C121" s="1723"/>
      <c r="D121" s="1723"/>
      <c r="E121" s="1723"/>
      <c r="F121" s="1425"/>
      <c r="G121" s="629"/>
      <c r="H121" s="629"/>
      <c r="I121" s="1465"/>
      <c r="J121" s="1464"/>
      <c r="K121" s="1514"/>
      <c r="L121" s="1464"/>
      <c r="M121" s="1514"/>
      <c r="N121" s="1465"/>
      <c r="O121" s="1170"/>
      <c r="P121" s="1575"/>
      <c r="Q121" s="1170"/>
      <c r="R121" s="1170"/>
      <c r="S121" s="1170"/>
      <c r="T121" s="1170"/>
      <c r="U121" s="1170"/>
      <c r="V121" s="1170"/>
      <c r="W121" s="1170"/>
      <c r="X121" s="1170"/>
      <c r="Y121" s="1170"/>
      <c r="Z121" s="1170"/>
      <c r="AA121" s="1170"/>
      <c r="AB121" s="1170"/>
      <c r="AC121" s="1170"/>
      <c r="AD121" s="1170"/>
      <c r="AE121" s="1170"/>
      <c r="AF121" s="1170"/>
      <c r="AG121" s="1170"/>
      <c r="AH121" s="1170"/>
      <c r="AI121" s="1170"/>
      <c r="AJ121" s="1170"/>
      <c r="AK121" s="1170"/>
      <c r="AL121" s="1170"/>
      <c r="AM121" s="1170"/>
      <c r="AN121" s="1170"/>
      <c r="AO121" s="1170"/>
      <c r="AP121" s="1170"/>
      <c r="AQ121" s="1170"/>
      <c r="AR121" s="1170"/>
      <c r="AS121" s="1170"/>
      <c r="AT121" s="1170"/>
      <c r="AU121" s="1170"/>
      <c r="AV121" s="1170"/>
      <c r="AW121" s="1170"/>
      <c r="AX121" s="1170"/>
      <c r="AY121" s="1170"/>
      <c r="AZ121" s="1170"/>
      <c r="BA121" s="1170"/>
      <c r="BB121" s="1170"/>
      <c r="BC121" s="1170"/>
      <c r="BD121" s="1170"/>
      <c r="BE121" s="1170"/>
      <c r="BF121" s="1170"/>
      <c r="BG121" s="1170"/>
      <c r="BH121" s="1170"/>
      <c r="BI121" s="1170"/>
      <c r="BJ121" s="1170"/>
      <c r="BK121" s="1143"/>
    </row>
    <row r="122" spans="1:63" ht="15" customHeight="1" x14ac:dyDescent="0.2">
      <c r="A122" s="1076"/>
      <c r="B122" s="1074"/>
      <c r="G122" s="1074"/>
      <c r="H122" s="1074"/>
      <c r="I122" s="1074"/>
      <c r="J122" s="1074"/>
      <c r="BK122" s="1075"/>
    </row>
    <row r="123" spans="1:63" ht="15" customHeight="1" x14ac:dyDescent="0.2">
      <c r="A123" s="1076"/>
      <c r="B123" s="1516" t="s">
        <v>1322</v>
      </c>
      <c r="C123" s="1516"/>
      <c r="D123" s="1516"/>
      <c r="E123" s="1516"/>
      <c r="F123" s="1455" t="str">
        <f>IF(AND(ISNUMBER(F121),ISNUMBER(K121),ISNUMBER(M121)),F121+K121+M121,"")</f>
        <v/>
      </c>
      <c r="G123" s="183"/>
      <c r="H123" s="183"/>
      <c r="I123" s="183"/>
      <c r="J123" s="183"/>
      <c r="K123" s="183"/>
      <c r="L123" s="183"/>
      <c r="M123" s="183"/>
      <c r="BK123" s="1075"/>
    </row>
    <row r="124" spans="1:63" ht="15" customHeight="1" x14ac:dyDescent="0.2">
      <c r="A124" s="1076"/>
      <c r="B124" s="1074"/>
      <c r="G124" s="1074"/>
      <c r="H124" s="1074"/>
      <c r="I124" s="1074"/>
      <c r="J124" s="1074"/>
      <c r="BK124" s="1075"/>
    </row>
    <row r="125" spans="1:63" s="207" customFormat="1" ht="30" customHeight="1" x14ac:dyDescent="0.25">
      <c r="A125" s="1377" t="s">
        <v>1277</v>
      </c>
      <c r="B125" s="18"/>
      <c r="C125" s="16"/>
      <c r="D125" s="16"/>
      <c r="E125" s="16"/>
      <c r="F125" s="16"/>
      <c r="G125" s="203"/>
      <c r="H125" s="203"/>
      <c r="I125" s="203"/>
      <c r="J125" s="203"/>
      <c r="K125" s="180"/>
      <c r="L125" s="180"/>
      <c r="M125" s="180"/>
      <c r="N125" s="180"/>
      <c r="O125" s="180"/>
      <c r="P125" s="180"/>
      <c r="Q125" s="180"/>
      <c r="R125" s="180"/>
      <c r="S125" s="180"/>
      <c r="T125" s="180"/>
      <c r="U125" s="180"/>
      <c r="V125" s="180"/>
      <c r="W125" s="180"/>
      <c r="X125" s="180"/>
      <c r="Y125" s="180"/>
      <c r="Z125" s="180"/>
      <c r="AA125" s="180"/>
      <c r="AB125" s="180"/>
      <c r="AC125" s="180"/>
      <c r="AD125" s="180"/>
      <c r="AE125" s="180"/>
      <c r="AF125" s="180"/>
      <c r="AG125" s="180"/>
      <c r="AH125" s="180"/>
      <c r="AI125" s="180"/>
      <c r="AJ125" s="180"/>
      <c r="AK125" s="180"/>
      <c r="AL125" s="180"/>
      <c r="AM125" s="180"/>
      <c r="AN125" s="180"/>
      <c r="AO125" s="180"/>
      <c r="AP125" s="180"/>
      <c r="AQ125" s="180"/>
      <c r="AR125" s="180"/>
      <c r="AS125" s="180"/>
      <c r="AT125" s="180"/>
      <c r="AU125" s="180"/>
      <c r="AV125" s="180"/>
      <c r="AW125" s="180"/>
      <c r="AX125" s="180"/>
      <c r="AY125" s="180"/>
      <c r="AZ125" s="180"/>
      <c r="BA125" s="180"/>
      <c r="BB125" s="180"/>
      <c r="BC125" s="180"/>
      <c r="BD125" s="180"/>
      <c r="BE125" s="180"/>
      <c r="BF125" s="180"/>
      <c r="BG125" s="180"/>
      <c r="BH125" s="180"/>
      <c r="BI125" s="180"/>
      <c r="BJ125" s="180"/>
      <c r="BK125" s="181"/>
    </row>
    <row r="126" spans="1:63" ht="15" customHeight="1" x14ac:dyDescent="0.2">
      <c r="A126" s="1076"/>
      <c r="B126" s="1074"/>
      <c r="G126" s="1074"/>
      <c r="H126" s="1074"/>
      <c r="I126" s="1074"/>
      <c r="J126" s="1074"/>
      <c r="AB126" s="1070"/>
      <c r="BK126" s="1075"/>
    </row>
    <row r="127" spans="1:63" ht="15" customHeight="1" x14ac:dyDescent="0.2">
      <c r="A127" s="1076"/>
      <c r="B127" s="1751" t="s">
        <v>1415</v>
      </c>
      <c r="C127" s="1754" t="s">
        <v>1251</v>
      </c>
      <c r="D127" s="1755"/>
      <c r="E127" s="1756"/>
      <c r="F127" s="1677" t="s">
        <v>1247</v>
      </c>
      <c r="G127" s="1678"/>
      <c r="H127" s="1726"/>
      <c r="I127" s="1727" t="s">
        <v>1422</v>
      </c>
      <c r="J127" s="1722"/>
      <c r="K127" s="1722"/>
      <c r="L127" s="1722"/>
      <c r="M127" s="1722"/>
      <c r="N127" s="1722"/>
      <c r="O127" s="1722"/>
      <c r="P127" s="1722"/>
      <c r="Q127" s="1722"/>
      <c r="R127" s="1722"/>
      <c r="S127" s="1722"/>
      <c r="T127" s="1722"/>
      <c r="U127" s="1727" t="s">
        <v>1423</v>
      </c>
      <c r="V127" s="1722"/>
      <c r="W127" s="1722"/>
      <c r="X127" s="1722"/>
      <c r="Y127" s="1722"/>
      <c r="Z127" s="1722"/>
      <c r="AA127" s="1722"/>
      <c r="AB127" s="1722"/>
      <c r="AC127" s="1722"/>
      <c r="AD127" s="1722"/>
      <c r="AE127" s="1722"/>
      <c r="AF127" s="1722"/>
      <c r="AG127" s="1727" t="s">
        <v>1248</v>
      </c>
      <c r="AH127" s="1728"/>
      <c r="AI127" s="1727" t="s">
        <v>1249</v>
      </c>
      <c r="AJ127" s="1722"/>
      <c r="BK127" s="1075"/>
    </row>
    <row r="128" spans="1:63" ht="15" customHeight="1" x14ac:dyDescent="0.2">
      <c r="A128" s="1076"/>
      <c r="B128" s="1752"/>
      <c r="C128" s="1757"/>
      <c r="D128" s="1758"/>
      <c r="E128" s="1759"/>
      <c r="F128" s="1628" t="s">
        <v>1215</v>
      </c>
      <c r="G128" s="1628" t="s">
        <v>1216</v>
      </c>
      <c r="H128" s="1743" t="s">
        <v>1217</v>
      </c>
      <c r="I128" s="1735" t="s">
        <v>1424</v>
      </c>
      <c r="J128" s="1736"/>
      <c r="K128" s="1736"/>
      <c r="L128" s="1737"/>
      <c r="M128" s="1738" t="s">
        <v>1425</v>
      </c>
      <c r="N128" s="1739"/>
      <c r="O128" s="1739"/>
      <c r="P128" s="1740"/>
      <c r="Q128" s="1739" t="s">
        <v>1430</v>
      </c>
      <c r="R128" s="1739"/>
      <c r="S128" s="1739"/>
      <c r="T128" s="1739"/>
      <c r="U128" s="1735" t="s">
        <v>1424</v>
      </c>
      <c r="V128" s="1736"/>
      <c r="W128" s="1736"/>
      <c r="X128" s="1737"/>
      <c r="Y128" s="1738" t="s">
        <v>1425</v>
      </c>
      <c r="Z128" s="1739"/>
      <c r="AA128" s="1739"/>
      <c r="AB128" s="1740"/>
      <c r="AC128" s="1739" t="s">
        <v>1430</v>
      </c>
      <c r="AD128" s="1739"/>
      <c r="AE128" s="1739"/>
      <c r="AF128" s="1739"/>
      <c r="AG128" s="1741" t="s">
        <v>1215</v>
      </c>
      <c r="AH128" s="1745" t="s">
        <v>1216</v>
      </c>
      <c r="AI128" s="1741" t="s">
        <v>1215</v>
      </c>
      <c r="AJ128" s="1725" t="s">
        <v>1216</v>
      </c>
      <c r="BK128" s="1075"/>
    </row>
    <row r="129" spans="1:63" ht="30" customHeight="1" x14ac:dyDescent="0.2">
      <c r="A129" s="1076"/>
      <c r="B129" s="1753"/>
      <c r="C129" s="1760"/>
      <c r="D129" s="1761"/>
      <c r="E129" s="1762"/>
      <c r="F129" s="1629"/>
      <c r="G129" s="1629"/>
      <c r="H129" s="1744"/>
      <c r="I129" s="1519" t="s">
        <v>1426</v>
      </c>
      <c r="J129" s="1520" t="s">
        <v>1427</v>
      </c>
      <c r="K129" s="1520" t="s">
        <v>1428</v>
      </c>
      <c r="L129" s="1608" t="s">
        <v>1429</v>
      </c>
      <c r="M129" s="1520" t="s">
        <v>1426</v>
      </c>
      <c r="N129" s="1520" t="s">
        <v>1427</v>
      </c>
      <c r="O129" s="1520" t="s">
        <v>1428</v>
      </c>
      <c r="P129" s="1520" t="s">
        <v>1429</v>
      </c>
      <c r="Q129" s="1609" t="s">
        <v>1426</v>
      </c>
      <c r="R129" s="1520" t="s">
        <v>1427</v>
      </c>
      <c r="S129" s="1520" t="s">
        <v>1428</v>
      </c>
      <c r="T129" s="1521" t="s">
        <v>1429</v>
      </c>
      <c r="U129" s="1519" t="s">
        <v>1426</v>
      </c>
      <c r="V129" s="1520" t="s">
        <v>1427</v>
      </c>
      <c r="W129" s="1520" t="s">
        <v>1428</v>
      </c>
      <c r="X129" s="1608" t="s">
        <v>1429</v>
      </c>
      <c r="Y129" s="1520" t="s">
        <v>1426</v>
      </c>
      <c r="Z129" s="1520" t="s">
        <v>1427</v>
      </c>
      <c r="AA129" s="1520" t="s">
        <v>1428</v>
      </c>
      <c r="AB129" s="1520" t="s">
        <v>1429</v>
      </c>
      <c r="AC129" s="1609" t="s">
        <v>1426</v>
      </c>
      <c r="AD129" s="1520" t="s">
        <v>1427</v>
      </c>
      <c r="AE129" s="1520" t="s">
        <v>1428</v>
      </c>
      <c r="AF129" s="1521" t="s">
        <v>1429</v>
      </c>
      <c r="AG129" s="1742"/>
      <c r="AH129" s="1746"/>
      <c r="AI129" s="1742"/>
      <c r="AJ129" s="1640"/>
      <c r="BK129" s="1075"/>
    </row>
    <row r="130" spans="1:63" ht="15" customHeight="1" x14ac:dyDescent="0.2">
      <c r="A130" s="1076"/>
      <c r="B130" s="1433">
        <v>1</v>
      </c>
      <c r="C130" s="1733" t="s">
        <v>1278</v>
      </c>
      <c r="D130" s="1734"/>
      <c r="E130" s="1734"/>
      <c r="F130" s="314"/>
      <c r="G130" s="1437"/>
      <c r="H130" s="1437"/>
      <c r="I130" s="1426"/>
      <c r="J130" s="314"/>
      <c r="K130" s="314"/>
      <c r="L130" s="1424"/>
      <c r="M130" s="314"/>
      <c r="N130" s="314"/>
      <c r="O130" s="314"/>
      <c r="P130" s="314"/>
      <c r="Q130" s="1401"/>
      <c r="R130" s="314"/>
      <c r="S130" s="314"/>
      <c r="T130" s="1427"/>
      <c r="U130" s="1426"/>
      <c r="V130" s="314"/>
      <c r="W130" s="314"/>
      <c r="X130" s="1424"/>
      <c r="Y130" s="314"/>
      <c r="Z130" s="314"/>
      <c r="AA130" s="314"/>
      <c r="AB130" s="314"/>
      <c r="AC130" s="1401"/>
      <c r="AD130" s="314"/>
      <c r="AE130" s="314"/>
      <c r="AF130" s="1427"/>
      <c r="AG130" s="1438"/>
      <c r="AH130" s="1439"/>
      <c r="AI130" s="1438"/>
      <c r="AJ130" s="1437"/>
      <c r="BK130" s="1075"/>
    </row>
    <row r="131" spans="1:63" ht="15" customHeight="1" x14ac:dyDescent="0.2">
      <c r="A131" s="1076"/>
      <c r="B131" s="970">
        <v>2</v>
      </c>
      <c r="C131" s="1729" t="s">
        <v>1282</v>
      </c>
      <c r="D131" s="1730"/>
      <c r="E131" s="1730"/>
      <c r="F131" s="265"/>
      <c r="G131" s="273"/>
      <c r="H131" s="273"/>
      <c r="I131" s="1428"/>
      <c r="J131" s="265"/>
      <c r="K131" s="265"/>
      <c r="L131" s="273"/>
      <c r="M131" s="265"/>
      <c r="N131" s="265"/>
      <c r="O131" s="265"/>
      <c r="P131" s="265"/>
      <c r="Q131" s="1402"/>
      <c r="R131" s="265"/>
      <c r="S131" s="265"/>
      <c r="T131" s="1429"/>
      <c r="U131" s="1428"/>
      <c r="V131" s="265"/>
      <c r="W131" s="265"/>
      <c r="X131" s="273"/>
      <c r="Y131" s="265"/>
      <c r="Z131" s="265"/>
      <c r="AA131" s="265"/>
      <c r="AB131" s="265"/>
      <c r="AC131" s="1402"/>
      <c r="AD131" s="265"/>
      <c r="AE131" s="265"/>
      <c r="AF131" s="1429"/>
      <c r="AG131" s="1428"/>
      <c r="AH131" s="1429"/>
      <c r="AI131" s="1428"/>
      <c r="AJ131" s="273"/>
      <c r="BK131" s="1075"/>
    </row>
    <row r="132" spans="1:63" ht="15" customHeight="1" x14ac:dyDescent="0.2">
      <c r="A132" s="1076"/>
      <c r="B132" s="970">
        <v>3</v>
      </c>
      <c r="C132" s="1729" t="s">
        <v>1279</v>
      </c>
      <c r="D132" s="1730"/>
      <c r="E132" s="1730"/>
      <c r="F132" s="265"/>
      <c r="G132" s="273"/>
      <c r="H132" s="273"/>
      <c r="I132" s="1428"/>
      <c r="J132" s="265"/>
      <c r="K132" s="265"/>
      <c r="L132" s="273"/>
      <c r="M132" s="265"/>
      <c r="N132" s="265"/>
      <c r="O132" s="265"/>
      <c r="P132" s="265"/>
      <c r="Q132" s="1402"/>
      <c r="R132" s="265"/>
      <c r="S132" s="265"/>
      <c r="T132" s="1429"/>
      <c r="U132" s="1428"/>
      <c r="V132" s="265"/>
      <c r="W132" s="265"/>
      <c r="X132" s="273"/>
      <c r="Y132" s="265"/>
      <c r="Z132" s="265"/>
      <c r="AA132" s="265"/>
      <c r="AB132" s="265"/>
      <c r="AC132" s="1402"/>
      <c r="AD132" s="265"/>
      <c r="AE132" s="265"/>
      <c r="AF132" s="1429"/>
      <c r="AG132" s="1428"/>
      <c r="AH132" s="1429"/>
      <c r="AI132" s="1428"/>
      <c r="AJ132" s="273"/>
      <c r="BK132" s="1075"/>
    </row>
    <row r="133" spans="1:63" ht="15" customHeight="1" x14ac:dyDescent="0.2">
      <c r="A133" s="1076"/>
      <c r="B133" s="970">
        <v>4</v>
      </c>
      <c r="C133" s="1729" t="s">
        <v>1280</v>
      </c>
      <c r="D133" s="1730"/>
      <c r="E133" s="1730"/>
      <c r="F133" s="265"/>
      <c r="G133" s="273"/>
      <c r="H133" s="273"/>
      <c r="I133" s="1428"/>
      <c r="J133" s="265"/>
      <c r="K133" s="265"/>
      <c r="L133" s="273"/>
      <c r="M133" s="265"/>
      <c r="N133" s="265"/>
      <c r="O133" s="265"/>
      <c r="P133" s="265"/>
      <c r="Q133" s="1402"/>
      <c r="R133" s="265"/>
      <c r="S133" s="265"/>
      <c r="T133" s="1429"/>
      <c r="U133" s="1428"/>
      <c r="V133" s="265"/>
      <c r="W133" s="265"/>
      <c r="X133" s="273"/>
      <c r="Y133" s="265"/>
      <c r="Z133" s="265"/>
      <c r="AA133" s="265"/>
      <c r="AB133" s="265"/>
      <c r="AC133" s="1402"/>
      <c r="AD133" s="265"/>
      <c r="AE133" s="265"/>
      <c r="AF133" s="1429"/>
      <c r="AG133" s="1428"/>
      <c r="AH133" s="1429"/>
      <c r="AI133" s="1428"/>
      <c r="AJ133" s="273"/>
      <c r="BK133" s="1075"/>
    </row>
    <row r="134" spans="1:63" ht="15" customHeight="1" x14ac:dyDescent="0.2">
      <c r="A134" s="1076"/>
      <c r="B134" s="970">
        <v>5</v>
      </c>
      <c r="C134" s="1729" t="s">
        <v>1281</v>
      </c>
      <c r="D134" s="1730"/>
      <c r="E134" s="1730"/>
      <c r="F134" s="265"/>
      <c r="G134" s="273"/>
      <c r="H134" s="273"/>
      <c r="I134" s="1428"/>
      <c r="J134" s="265"/>
      <c r="K134" s="265"/>
      <c r="L134" s="273"/>
      <c r="M134" s="265"/>
      <c r="N134" s="265"/>
      <c r="O134" s="265"/>
      <c r="P134" s="265"/>
      <c r="Q134" s="1402"/>
      <c r="R134" s="265"/>
      <c r="S134" s="265"/>
      <c r="T134" s="1429"/>
      <c r="U134" s="1428"/>
      <c r="V134" s="265"/>
      <c r="W134" s="265"/>
      <c r="X134" s="273"/>
      <c r="Y134" s="265"/>
      <c r="Z134" s="265"/>
      <c r="AA134" s="265"/>
      <c r="AB134" s="265"/>
      <c r="AC134" s="1402"/>
      <c r="AD134" s="265"/>
      <c r="AE134" s="265"/>
      <c r="AF134" s="1429"/>
      <c r="AG134" s="1428"/>
      <c r="AH134" s="1429"/>
      <c r="AI134" s="1428"/>
      <c r="AJ134" s="273"/>
      <c r="BK134" s="1075"/>
    </row>
    <row r="135" spans="1:63" ht="15" customHeight="1" x14ac:dyDescent="0.2">
      <c r="A135" s="1076"/>
      <c r="B135" s="970">
        <v>6</v>
      </c>
      <c r="C135" s="1729" t="s">
        <v>1283</v>
      </c>
      <c r="D135" s="1730"/>
      <c r="E135" s="1730"/>
      <c r="F135" s="265"/>
      <c r="G135" s="273"/>
      <c r="H135" s="273"/>
      <c r="I135" s="1428"/>
      <c r="J135" s="265"/>
      <c r="K135" s="265"/>
      <c r="L135" s="273"/>
      <c r="M135" s="265"/>
      <c r="N135" s="265"/>
      <c r="O135" s="265"/>
      <c r="P135" s="265"/>
      <c r="Q135" s="1402"/>
      <c r="R135" s="265"/>
      <c r="S135" s="265"/>
      <c r="T135" s="1429"/>
      <c r="U135" s="1428"/>
      <c r="V135" s="265"/>
      <c r="W135" s="265"/>
      <c r="X135" s="273"/>
      <c r="Y135" s="265"/>
      <c r="Z135" s="265"/>
      <c r="AA135" s="265"/>
      <c r="AB135" s="265"/>
      <c r="AC135" s="1402"/>
      <c r="AD135" s="265"/>
      <c r="AE135" s="265"/>
      <c r="AF135" s="1429"/>
      <c r="AG135" s="1428"/>
      <c r="AH135" s="1429"/>
      <c r="AI135" s="1428"/>
      <c r="AJ135" s="273"/>
      <c r="BK135" s="1075"/>
    </row>
    <row r="136" spans="1:63" ht="15" customHeight="1" x14ac:dyDescent="0.2">
      <c r="A136" s="1076"/>
      <c r="B136" s="1434">
        <v>7</v>
      </c>
      <c r="C136" s="1729" t="s">
        <v>1284</v>
      </c>
      <c r="D136" s="1730"/>
      <c r="E136" s="1730"/>
      <c r="F136" s="265"/>
      <c r="G136" s="273"/>
      <c r="H136" s="273"/>
      <c r="I136" s="1428"/>
      <c r="J136" s="265"/>
      <c r="K136" s="265"/>
      <c r="L136" s="273"/>
      <c r="M136" s="265"/>
      <c r="N136" s="265"/>
      <c r="O136" s="265"/>
      <c r="P136" s="265"/>
      <c r="Q136" s="1402"/>
      <c r="R136" s="265"/>
      <c r="S136" s="265"/>
      <c r="T136" s="1429"/>
      <c r="U136" s="1428"/>
      <c r="V136" s="265"/>
      <c r="W136" s="265"/>
      <c r="X136" s="273"/>
      <c r="Y136" s="265"/>
      <c r="Z136" s="265"/>
      <c r="AA136" s="265"/>
      <c r="AB136" s="265"/>
      <c r="AC136" s="1402"/>
      <c r="AD136" s="265"/>
      <c r="AE136" s="265"/>
      <c r="AF136" s="1429"/>
      <c r="AG136" s="1428"/>
      <c r="AH136" s="1429"/>
      <c r="AI136" s="1428"/>
      <c r="AJ136" s="273"/>
      <c r="BK136" s="1075"/>
    </row>
    <row r="137" spans="1:63" ht="15" customHeight="1" x14ac:dyDescent="0.2">
      <c r="A137" s="1076"/>
      <c r="B137" s="970">
        <v>8</v>
      </c>
      <c r="C137" s="1729" t="s">
        <v>72</v>
      </c>
      <c r="D137" s="1730"/>
      <c r="E137" s="1730"/>
      <c r="F137" s="265"/>
      <c r="G137" s="273"/>
      <c r="H137" s="273"/>
      <c r="I137" s="1428"/>
      <c r="J137" s="265"/>
      <c r="K137" s="265"/>
      <c r="L137" s="273"/>
      <c r="M137" s="265"/>
      <c r="N137" s="265"/>
      <c r="O137" s="265"/>
      <c r="P137" s="265"/>
      <c r="Q137" s="1402"/>
      <c r="R137" s="265"/>
      <c r="S137" s="265"/>
      <c r="T137" s="1429"/>
      <c r="U137" s="1428"/>
      <c r="V137" s="265"/>
      <c r="W137" s="265"/>
      <c r="X137" s="273"/>
      <c r="Y137" s="265"/>
      <c r="Z137" s="265"/>
      <c r="AA137" s="265"/>
      <c r="AB137" s="265"/>
      <c r="AC137" s="1402"/>
      <c r="AD137" s="265"/>
      <c r="AE137" s="265"/>
      <c r="AF137" s="1429"/>
      <c r="AG137" s="1428"/>
      <c r="AH137" s="1429"/>
      <c r="AI137" s="1428"/>
      <c r="AJ137" s="273"/>
      <c r="BK137" s="1075"/>
    </row>
    <row r="138" spans="1:63" ht="15" customHeight="1" x14ac:dyDescent="0.2">
      <c r="A138" s="1076"/>
      <c r="B138" s="970">
        <v>9</v>
      </c>
      <c r="C138" s="1729" t="s">
        <v>1285</v>
      </c>
      <c r="D138" s="1730"/>
      <c r="E138" s="1730"/>
      <c r="F138" s="265"/>
      <c r="G138" s="273"/>
      <c r="H138" s="273"/>
      <c r="I138" s="1428"/>
      <c r="J138" s="265"/>
      <c r="K138" s="265"/>
      <c r="L138" s="273"/>
      <c r="M138" s="265"/>
      <c r="N138" s="265"/>
      <c r="O138" s="265"/>
      <c r="P138" s="265"/>
      <c r="Q138" s="1402"/>
      <c r="R138" s="265"/>
      <c r="S138" s="265"/>
      <c r="T138" s="1429"/>
      <c r="U138" s="1428"/>
      <c r="V138" s="265"/>
      <c r="W138" s="265"/>
      <c r="X138" s="273"/>
      <c r="Y138" s="265"/>
      <c r="Z138" s="265"/>
      <c r="AA138" s="265"/>
      <c r="AB138" s="265"/>
      <c r="AC138" s="1402"/>
      <c r="AD138" s="265"/>
      <c r="AE138" s="265"/>
      <c r="AF138" s="1429"/>
      <c r="AG138" s="1428"/>
      <c r="AH138" s="1429"/>
      <c r="AI138" s="1428"/>
      <c r="AJ138" s="273"/>
      <c r="BK138" s="1075"/>
    </row>
    <row r="139" spans="1:63" ht="15" customHeight="1" x14ac:dyDescent="0.2">
      <c r="A139" s="1076"/>
      <c r="B139" s="970">
        <v>10</v>
      </c>
      <c r="C139" s="1729" t="s">
        <v>1286</v>
      </c>
      <c r="D139" s="1730"/>
      <c r="E139" s="1730"/>
      <c r="F139" s="265"/>
      <c r="G139" s="273"/>
      <c r="H139" s="273"/>
      <c r="I139" s="1428"/>
      <c r="J139" s="265"/>
      <c r="K139" s="265"/>
      <c r="L139" s="273"/>
      <c r="M139" s="265"/>
      <c r="N139" s="265"/>
      <c r="O139" s="265"/>
      <c r="P139" s="265"/>
      <c r="Q139" s="1402"/>
      <c r="R139" s="265"/>
      <c r="S139" s="265"/>
      <c r="T139" s="1429"/>
      <c r="U139" s="1428"/>
      <c r="V139" s="265"/>
      <c r="W139" s="265"/>
      <c r="X139" s="273"/>
      <c r="Y139" s="265"/>
      <c r="Z139" s="265"/>
      <c r="AA139" s="265"/>
      <c r="AB139" s="265"/>
      <c r="AC139" s="1402"/>
      <c r="AD139" s="265"/>
      <c r="AE139" s="265"/>
      <c r="AF139" s="1429"/>
      <c r="AG139" s="1428"/>
      <c r="AH139" s="1463"/>
      <c r="AI139" s="1462"/>
      <c r="AJ139" s="329"/>
      <c r="BK139" s="1075"/>
    </row>
    <row r="140" spans="1:63" ht="15" customHeight="1" x14ac:dyDescent="0.2">
      <c r="A140" s="1076"/>
      <c r="B140" s="971">
        <v>11</v>
      </c>
      <c r="C140" s="1731" t="s">
        <v>1287</v>
      </c>
      <c r="D140" s="1732"/>
      <c r="E140" s="1732"/>
      <c r="F140" s="321"/>
      <c r="G140" s="275"/>
      <c r="H140" s="275"/>
      <c r="I140" s="1430"/>
      <c r="J140" s="321"/>
      <c r="K140" s="321"/>
      <c r="L140" s="275"/>
      <c r="M140" s="321"/>
      <c r="N140" s="321"/>
      <c r="O140" s="321"/>
      <c r="P140" s="321"/>
      <c r="Q140" s="1405"/>
      <c r="R140" s="321"/>
      <c r="S140" s="321"/>
      <c r="T140" s="1431"/>
      <c r="U140" s="1430"/>
      <c r="V140" s="321"/>
      <c r="W140" s="321"/>
      <c r="X140" s="275"/>
      <c r="Y140" s="321"/>
      <c r="Z140" s="321"/>
      <c r="AA140" s="321"/>
      <c r="AB140" s="321"/>
      <c r="AC140" s="1405"/>
      <c r="AD140" s="321"/>
      <c r="AE140" s="321"/>
      <c r="AF140" s="1431"/>
      <c r="AG140" s="1430"/>
      <c r="AH140" s="1431"/>
      <c r="AI140" s="1430"/>
      <c r="AJ140" s="275"/>
      <c r="BK140" s="1075"/>
    </row>
    <row r="141" spans="1:63" ht="15" customHeight="1" x14ac:dyDescent="0.2">
      <c r="A141" s="1076"/>
      <c r="B141" s="1074"/>
      <c r="G141" s="1074"/>
      <c r="H141" s="1074"/>
      <c r="I141" s="1170"/>
      <c r="J141" s="1170"/>
      <c r="K141" s="1170"/>
      <c r="L141" s="1170"/>
      <c r="U141" s="1170"/>
      <c r="V141" s="1170"/>
      <c r="W141" s="1170"/>
      <c r="X141" s="1170"/>
      <c r="BK141" s="1075"/>
    </row>
    <row r="142" spans="1:63" s="1168" customFormat="1" ht="15" customHeight="1" x14ac:dyDescent="0.2">
      <c r="A142" s="63"/>
      <c r="B142" s="1723" t="s">
        <v>178</v>
      </c>
      <c r="C142" s="1723"/>
      <c r="D142" s="1723"/>
      <c r="E142" s="1723"/>
      <c r="F142" s="1425"/>
      <c r="G142" s="629"/>
      <c r="H142" s="1465"/>
      <c r="I142" s="1432"/>
      <c r="J142" s="629"/>
      <c r="K142" s="629"/>
      <c r="L142" s="1465"/>
      <c r="M142" s="629"/>
      <c r="N142" s="629"/>
      <c r="O142" s="629"/>
      <c r="P142" s="629"/>
      <c r="Q142" s="1517"/>
      <c r="R142" s="629"/>
      <c r="S142" s="629"/>
      <c r="T142" s="629"/>
      <c r="U142" s="629"/>
      <c r="V142" s="629"/>
      <c r="W142" s="629"/>
      <c r="X142" s="1465"/>
      <c r="Y142" s="629"/>
      <c r="Z142" s="629"/>
      <c r="AA142" s="629"/>
      <c r="AB142" s="629"/>
      <c r="AC142" s="1517"/>
      <c r="AD142" s="629"/>
      <c r="AE142" s="629"/>
      <c r="AF142" s="1465"/>
      <c r="AG142" s="1518"/>
      <c r="AH142" s="1464"/>
      <c r="AI142" s="1518"/>
      <c r="AJ142" s="1465"/>
      <c r="AK142" s="1170"/>
      <c r="AL142" s="1170"/>
      <c r="AM142" s="1170"/>
      <c r="AN142" s="1170"/>
      <c r="AO142" s="1170"/>
      <c r="AP142" s="1170"/>
      <c r="AQ142" s="1170"/>
      <c r="AR142" s="1170"/>
      <c r="AS142" s="1170"/>
      <c r="AT142" s="1170"/>
      <c r="AU142" s="1170"/>
      <c r="AV142" s="1170"/>
      <c r="AW142" s="1170"/>
      <c r="AX142" s="1170"/>
      <c r="AY142" s="1170"/>
      <c r="AZ142" s="1170"/>
      <c r="BA142" s="1170"/>
      <c r="BB142" s="1170"/>
      <c r="BC142" s="1170"/>
      <c r="BD142" s="1170"/>
      <c r="BE142" s="1170"/>
      <c r="BF142" s="1170"/>
      <c r="BG142" s="1170"/>
      <c r="BH142" s="1170"/>
      <c r="BI142" s="1170"/>
      <c r="BJ142" s="1170"/>
      <c r="BK142" s="1143"/>
    </row>
    <row r="143" spans="1:63" ht="15" customHeight="1" x14ac:dyDescent="0.2">
      <c r="A143" s="1076"/>
      <c r="B143" s="1074"/>
      <c r="G143" s="1074"/>
      <c r="H143" s="1074"/>
      <c r="I143" s="1074"/>
      <c r="J143" s="1074"/>
      <c r="N143" s="1467"/>
      <c r="AB143" s="1320"/>
      <c r="BK143" s="1075"/>
    </row>
    <row r="144" spans="1:63" ht="15" customHeight="1" x14ac:dyDescent="0.2">
      <c r="A144" s="1076"/>
      <c r="B144" s="1724" t="s">
        <v>1323</v>
      </c>
      <c r="C144" s="1724"/>
      <c r="D144" s="1724"/>
      <c r="E144" s="1724"/>
      <c r="F144" s="1455" t="str">
        <f>IF(AND(ISNUMBER(F142),ISNUMBER(AG142),ISNUMBER(AI142)),F142+AG142+AI142,"")</f>
        <v/>
      </c>
      <c r="G144" s="183"/>
      <c r="H144" s="183"/>
      <c r="I144" s="183"/>
      <c r="J144" s="183"/>
      <c r="K144" s="183"/>
      <c r="M144" s="183"/>
      <c r="N144" s="183"/>
      <c r="BK144" s="1075"/>
    </row>
    <row r="145" spans="1:63" ht="15" customHeight="1" x14ac:dyDescent="0.2">
      <c r="A145" s="1076"/>
      <c r="B145" s="1074"/>
      <c r="G145" s="1074"/>
      <c r="H145" s="1074"/>
      <c r="I145" s="1074"/>
      <c r="J145" s="1074"/>
      <c r="BK145" s="1075"/>
    </row>
    <row r="146" spans="1:63" s="207" customFormat="1" ht="30" customHeight="1" x14ac:dyDescent="0.25">
      <c r="A146" s="1377" t="s">
        <v>1288</v>
      </c>
      <c r="B146" s="18"/>
      <c r="C146" s="16"/>
      <c r="D146" s="16"/>
      <c r="E146" s="16"/>
      <c r="F146" s="16"/>
      <c r="G146" s="203"/>
      <c r="H146" s="203"/>
      <c r="I146" s="203"/>
      <c r="J146" s="203"/>
      <c r="K146" s="180"/>
      <c r="L146" s="180"/>
      <c r="M146" s="180"/>
      <c r="N146" s="180"/>
      <c r="O146" s="180"/>
      <c r="P146" s="180"/>
      <c r="Q146" s="180"/>
      <c r="R146" s="180"/>
      <c r="S146" s="180"/>
      <c r="T146" s="180"/>
      <c r="U146" s="180"/>
      <c r="V146" s="180"/>
      <c r="W146" s="180"/>
      <c r="X146" s="180"/>
      <c r="Y146" s="180"/>
      <c r="Z146" s="180"/>
      <c r="AA146" s="180"/>
      <c r="AB146" s="180"/>
      <c r="AC146" s="180"/>
      <c r="AD146" s="180"/>
      <c r="AE146" s="180"/>
      <c r="AF146" s="180"/>
      <c r="AG146" s="180"/>
      <c r="AH146" s="180"/>
      <c r="AI146" s="180"/>
      <c r="AJ146" s="180"/>
      <c r="AK146" s="180"/>
      <c r="AL146" s="180"/>
      <c r="AM146" s="180"/>
      <c r="AN146" s="180"/>
      <c r="AO146" s="180"/>
      <c r="AP146" s="180"/>
      <c r="AQ146" s="180"/>
      <c r="AR146" s="180"/>
      <c r="AS146" s="180"/>
      <c r="AT146" s="180"/>
      <c r="AU146" s="180"/>
      <c r="AV146" s="180"/>
      <c r="AW146" s="180"/>
      <c r="AX146" s="180"/>
      <c r="AY146" s="180"/>
      <c r="AZ146" s="180"/>
      <c r="BA146" s="180"/>
      <c r="BB146" s="180"/>
      <c r="BC146" s="180"/>
      <c r="BD146" s="180"/>
      <c r="BE146" s="180"/>
      <c r="BF146" s="180"/>
      <c r="BG146" s="180"/>
      <c r="BH146" s="180"/>
      <c r="BI146" s="180"/>
      <c r="BJ146" s="180"/>
      <c r="BK146" s="181"/>
    </row>
    <row r="147" spans="1:63" s="1073" customFormat="1" ht="15" customHeight="1" x14ac:dyDescent="0.25">
      <c r="A147" s="1053"/>
      <c r="B147" s="46"/>
      <c r="C147" s="46"/>
      <c r="D147" s="46"/>
      <c r="E147" s="46"/>
      <c r="F147" s="46"/>
      <c r="G147" s="46"/>
      <c r="H147" s="46"/>
      <c r="I147" s="46"/>
      <c r="J147" s="46"/>
      <c r="BK147" s="1072"/>
    </row>
    <row r="148" spans="1:63" s="1168" customFormat="1" ht="15" customHeight="1" x14ac:dyDescent="0.2">
      <c r="A148" s="74"/>
      <c r="B148" s="1725" t="s">
        <v>1214</v>
      </c>
      <c r="C148" s="1725"/>
      <c r="D148" s="1725"/>
      <c r="E148" s="1725"/>
      <c r="F148" s="1677" t="s">
        <v>1247</v>
      </c>
      <c r="G148" s="1678"/>
      <c r="H148" s="1678"/>
      <c r="I148" s="1726"/>
      <c r="J148" s="1727" t="s">
        <v>1248</v>
      </c>
      <c r="K148" s="1728"/>
      <c r="L148" s="1727" t="s">
        <v>1249</v>
      </c>
      <c r="M148" s="1722"/>
      <c r="N148" s="1170"/>
      <c r="O148" s="1575"/>
      <c r="P148" s="1575"/>
      <c r="Q148" s="1170"/>
      <c r="R148" s="1170"/>
      <c r="S148" s="1170"/>
      <c r="T148" s="1170"/>
      <c r="U148" s="1170"/>
      <c r="V148" s="1170"/>
      <c r="W148" s="1170"/>
      <c r="X148" s="1170"/>
      <c r="Y148" s="1170"/>
      <c r="Z148" s="1170"/>
      <c r="AA148" s="1170"/>
      <c r="AB148" s="1170"/>
      <c r="AC148" s="1170"/>
      <c r="AD148" s="1170"/>
      <c r="AE148" s="1170"/>
      <c r="AF148" s="1170"/>
      <c r="AG148" s="1170"/>
      <c r="AH148" s="1170"/>
      <c r="AI148" s="1170"/>
      <c r="AJ148" s="1170"/>
      <c r="AK148" s="1170"/>
      <c r="AL148" s="1170"/>
      <c r="AM148" s="1170"/>
      <c r="AN148" s="1170"/>
      <c r="AO148" s="1170"/>
      <c r="AP148" s="1170"/>
      <c r="AQ148" s="1170"/>
      <c r="AR148" s="1170"/>
      <c r="AS148" s="1170"/>
      <c r="AT148" s="1170"/>
      <c r="AU148" s="1170"/>
      <c r="AV148" s="1170"/>
      <c r="AW148" s="1170"/>
      <c r="AX148" s="1170"/>
      <c r="AY148" s="1170"/>
      <c r="AZ148" s="1170"/>
      <c r="BA148" s="1170"/>
      <c r="BB148" s="1170"/>
      <c r="BC148" s="1170"/>
      <c r="BD148" s="1170"/>
      <c r="BE148" s="1170"/>
      <c r="BF148" s="1170"/>
      <c r="BG148" s="1170"/>
      <c r="BH148" s="1170"/>
      <c r="BI148" s="1170"/>
      <c r="BJ148" s="1170"/>
      <c r="BK148" s="1143"/>
    </row>
    <row r="149" spans="1:63" s="1168" customFormat="1" ht="30" customHeight="1" x14ac:dyDescent="0.2">
      <c r="A149" s="63"/>
      <c r="B149" s="1640"/>
      <c r="C149" s="1640"/>
      <c r="D149" s="1640"/>
      <c r="E149" s="1640"/>
      <c r="F149" s="1604" t="s">
        <v>1215</v>
      </c>
      <c r="G149" s="1604" t="s">
        <v>1216</v>
      </c>
      <c r="H149" s="1604" t="s">
        <v>1217</v>
      </c>
      <c r="I149" s="1604" t="s">
        <v>1335</v>
      </c>
      <c r="J149" s="1606" t="s">
        <v>1215</v>
      </c>
      <c r="K149" s="1602" t="s">
        <v>1216</v>
      </c>
      <c r="L149" s="1606" t="s">
        <v>1215</v>
      </c>
      <c r="M149" s="1604" t="s">
        <v>1216</v>
      </c>
      <c r="N149" s="1170"/>
      <c r="O149" s="1575"/>
      <c r="P149" s="1575"/>
      <c r="Q149" s="1170"/>
      <c r="R149" s="1170"/>
      <c r="S149" s="1170"/>
      <c r="T149" s="1170"/>
      <c r="U149" s="1170"/>
      <c r="V149" s="1170"/>
      <c r="W149" s="1170"/>
      <c r="X149" s="1170"/>
      <c r="Y149" s="1170"/>
      <c r="Z149" s="1170"/>
      <c r="AA149" s="1170"/>
      <c r="AB149" s="1170"/>
      <c r="AC149" s="1170"/>
      <c r="AD149" s="1170"/>
      <c r="AE149" s="1170"/>
      <c r="AF149" s="1170"/>
      <c r="AG149" s="1170"/>
      <c r="AH149" s="1170"/>
      <c r="AI149" s="1170"/>
      <c r="AJ149" s="1170"/>
      <c r="AK149" s="1170"/>
      <c r="AL149" s="1170"/>
      <c r="AM149" s="1170"/>
      <c r="AN149" s="1170"/>
      <c r="AO149" s="1170"/>
      <c r="AP149" s="1170"/>
      <c r="AQ149" s="1170"/>
      <c r="AR149" s="1170"/>
      <c r="AS149" s="1170"/>
      <c r="AT149" s="1170"/>
      <c r="AU149" s="1170"/>
      <c r="AV149" s="1170"/>
      <c r="AW149" s="1170"/>
      <c r="AX149" s="1170"/>
      <c r="AY149" s="1170"/>
      <c r="AZ149" s="1170"/>
      <c r="BA149" s="1170"/>
      <c r="BB149" s="1170"/>
      <c r="BC149" s="1170"/>
      <c r="BD149" s="1170"/>
      <c r="BE149" s="1170"/>
      <c r="BF149" s="1170"/>
      <c r="BG149" s="1170"/>
      <c r="BH149" s="1170"/>
      <c r="BI149" s="1170"/>
      <c r="BJ149" s="1170"/>
      <c r="BK149" s="1143"/>
    </row>
    <row r="150" spans="1:63" s="1168" customFormat="1" ht="15" customHeight="1" x14ac:dyDescent="0.2">
      <c r="A150" s="63"/>
      <c r="B150" s="1458" t="s">
        <v>886</v>
      </c>
      <c r="C150" s="1458"/>
      <c r="D150" s="1458"/>
      <c r="E150" s="1458"/>
      <c r="F150" s="314"/>
      <c r="G150" s="314"/>
      <c r="H150" s="314"/>
      <c r="I150" s="314"/>
      <c r="J150" s="1426"/>
      <c r="K150" s="1427"/>
      <c r="L150" s="1426"/>
      <c r="M150" s="1424"/>
      <c r="N150" s="1170"/>
      <c r="O150" s="1575"/>
      <c r="P150" s="1575"/>
      <c r="Q150" s="1170"/>
      <c r="R150" s="1170"/>
      <c r="S150" s="1170"/>
      <c r="T150" s="1170"/>
      <c r="U150" s="1170"/>
      <c r="V150" s="1170"/>
      <c r="W150" s="1170"/>
      <c r="X150" s="1170"/>
      <c r="Y150" s="1170"/>
      <c r="Z150" s="1170"/>
      <c r="AA150" s="1170"/>
      <c r="AB150" s="1170"/>
      <c r="AC150" s="1170"/>
      <c r="AD150" s="1170"/>
      <c r="AE150" s="1170"/>
      <c r="AF150" s="1170"/>
      <c r="AG150" s="1170"/>
      <c r="AH150" s="1170"/>
      <c r="AI150" s="1170"/>
      <c r="AJ150" s="1170"/>
      <c r="AK150" s="1170"/>
      <c r="AL150" s="1170"/>
      <c r="AM150" s="1170"/>
      <c r="AN150" s="1170"/>
      <c r="AO150" s="1170"/>
      <c r="AP150" s="1170"/>
      <c r="AQ150" s="1170"/>
      <c r="AR150" s="1170"/>
      <c r="AS150" s="1170"/>
      <c r="AT150" s="1170"/>
      <c r="AU150" s="1170"/>
      <c r="AV150" s="1170"/>
      <c r="AW150" s="1170"/>
      <c r="AX150" s="1170"/>
      <c r="AY150" s="1170"/>
      <c r="AZ150" s="1170"/>
      <c r="BA150" s="1170"/>
      <c r="BB150" s="1170"/>
      <c r="BC150" s="1170"/>
      <c r="BD150" s="1170"/>
      <c r="BE150" s="1170"/>
      <c r="BF150" s="1170"/>
      <c r="BG150" s="1170"/>
      <c r="BH150" s="1170"/>
      <c r="BI150" s="1170"/>
      <c r="BJ150" s="1170"/>
      <c r="BK150" s="1143"/>
    </row>
    <row r="151" spans="1:63" s="1168" customFormat="1" ht="15" customHeight="1" x14ac:dyDescent="0.2">
      <c r="A151" s="63"/>
      <c r="B151" s="1459" t="s">
        <v>887</v>
      </c>
      <c r="C151" s="1459"/>
      <c r="D151" s="1459"/>
      <c r="E151" s="1459"/>
      <c r="F151" s="265"/>
      <c r="G151" s="265"/>
      <c r="H151" s="265"/>
      <c r="I151" s="265"/>
      <c r="J151" s="1428"/>
      <c r="K151" s="1429"/>
      <c r="L151" s="1428"/>
      <c r="M151" s="273"/>
      <c r="N151" s="1170"/>
      <c r="O151" s="1575"/>
      <c r="P151" s="1575"/>
      <c r="Q151" s="1170"/>
      <c r="R151" s="1170"/>
      <c r="S151" s="1170"/>
      <c r="T151" s="1170"/>
      <c r="U151" s="1170"/>
      <c r="V151" s="1170"/>
      <c r="W151" s="1170"/>
      <c r="X151" s="1170"/>
      <c r="Y151" s="1170"/>
      <c r="Z151" s="1170"/>
      <c r="AA151" s="1170"/>
      <c r="AB151" s="1170"/>
      <c r="AC151" s="1170"/>
      <c r="AD151" s="1170"/>
      <c r="AE151" s="1170"/>
      <c r="AF151" s="1170"/>
      <c r="AG151" s="1170"/>
      <c r="AH151" s="1170"/>
      <c r="AI151" s="1170"/>
      <c r="AJ151" s="1170"/>
      <c r="AK151" s="1170"/>
      <c r="AL151" s="1170"/>
      <c r="AM151" s="1170"/>
      <c r="AN151" s="1170"/>
      <c r="AO151" s="1170"/>
      <c r="AP151" s="1170"/>
      <c r="AQ151" s="1170"/>
      <c r="AR151" s="1170"/>
      <c r="AS151" s="1170"/>
      <c r="AT151" s="1170"/>
      <c r="AU151" s="1170"/>
      <c r="AV151" s="1170"/>
      <c r="AW151" s="1170"/>
      <c r="AX151" s="1170"/>
      <c r="AY151" s="1170"/>
      <c r="AZ151" s="1170"/>
      <c r="BA151" s="1170"/>
      <c r="BB151" s="1170"/>
      <c r="BC151" s="1170"/>
      <c r="BD151" s="1170"/>
      <c r="BE151" s="1170"/>
      <c r="BF151" s="1170"/>
      <c r="BG151" s="1170"/>
      <c r="BH151" s="1170"/>
      <c r="BI151" s="1170"/>
      <c r="BJ151" s="1170"/>
      <c r="BK151" s="1143"/>
    </row>
    <row r="152" spans="1:63" s="1168" customFormat="1" ht="15" customHeight="1" x14ac:dyDescent="0.2">
      <c r="A152" s="63"/>
      <c r="B152" s="1456" t="s">
        <v>1220</v>
      </c>
      <c r="C152" s="1456"/>
      <c r="D152" s="1456"/>
      <c r="E152" s="1456"/>
      <c r="F152" s="265"/>
      <c r="G152" s="265"/>
      <c r="H152" s="265"/>
      <c r="I152" s="265"/>
      <c r="J152" s="1428"/>
      <c r="K152" s="1429"/>
      <c r="L152" s="1428"/>
      <c r="M152" s="273"/>
      <c r="N152" s="1170"/>
      <c r="O152" s="1575"/>
      <c r="P152" s="1575"/>
      <c r="Q152" s="1170"/>
      <c r="R152" s="1170"/>
      <c r="S152" s="1170"/>
      <c r="T152" s="1170"/>
      <c r="U152" s="1170"/>
      <c r="V152" s="1170"/>
      <c r="W152" s="1170"/>
      <c r="X152" s="1170"/>
      <c r="Y152" s="1170"/>
      <c r="Z152" s="1170"/>
      <c r="AA152" s="1170"/>
      <c r="AB152" s="1170"/>
      <c r="AC152" s="1170"/>
      <c r="AD152" s="1170"/>
      <c r="AE152" s="1170"/>
      <c r="AF152" s="1170"/>
      <c r="AG152" s="1170"/>
      <c r="AH152" s="1170"/>
      <c r="AI152" s="1170"/>
      <c r="AJ152" s="1170"/>
      <c r="AK152" s="1170"/>
      <c r="AL152" s="1170"/>
      <c r="AM152" s="1170"/>
      <c r="AN152" s="1170"/>
      <c r="AO152" s="1170"/>
      <c r="AP152" s="1170"/>
      <c r="AQ152" s="1170"/>
      <c r="AR152" s="1170"/>
      <c r="AS152" s="1170"/>
      <c r="AT152" s="1170"/>
      <c r="AU152" s="1170"/>
      <c r="AV152" s="1170"/>
      <c r="AW152" s="1170"/>
      <c r="AX152" s="1170"/>
      <c r="AY152" s="1170"/>
      <c r="AZ152" s="1170"/>
      <c r="BA152" s="1170"/>
      <c r="BB152" s="1170"/>
      <c r="BC152" s="1170"/>
      <c r="BD152" s="1170"/>
      <c r="BE152" s="1170"/>
      <c r="BF152" s="1170"/>
      <c r="BG152" s="1170"/>
      <c r="BH152" s="1170"/>
      <c r="BI152" s="1170"/>
      <c r="BJ152" s="1170"/>
      <c r="BK152" s="1143"/>
    </row>
    <row r="153" spans="1:63" s="1168" customFormat="1" ht="15" customHeight="1" x14ac:dyDescent="0.2">
      <c r="A153" s="63"/>
      <c r="B153" s="1456" t="s">
        <v>888</v>
      </c>
      <c r="C153" s="1456"/>
      <c r="D153" s="1456"/>
      <c r="E153" s="1456"/>
      <c r="F153" s="265"/>
      <c r="G153" s="265"/>
      <c r="H153" s="265"/>
      <c r="I153" s="265"/>
      <c r="J153" s="1428"/>
      <c r="K153" s="1429"/>
      <c r="L153" s="1428"/>
      <c r="M153" s="273"/>
      <c r="N153" s="1170"/>
      <c r="O153" s="1575"/>
      <c r="P153" s="1575"/>
      <c r="Q153" s="1170"/>
      <c r="R153" s="1170"/>
      <c r="S153" s="1170"/>
      <c r="T153" s="1170"/>
      <c r="U153" s="1170"/>
      <c r="V153" s="1170"/>
      <c r="W153" s="1170"/>
      <c r="X153" s="1170"/>
      <c r="Y153" s="1170"/>
      <c r="Z153" s="1170"/>
      <c r="AA153" s="1170"/>
      <c r="AB153" s="1170"/>
      <c r="AC153" s="1170"/>
      <c r="AD153" s="1170"/>
      <c r="AE153" s="1170"/>
      <c r="AF153" s="1170"/>
      <c r="AG153" s="1170"/>
      <c r="AH153" s="1170"/>
      <c r="AI153" s="1170"/>
      <c r="AJ153" s="1170"/>
      <c r="AK153" s="1170"/>
      <c r="AL153" s="1170"/>
      <c r="AM153" s="1170"/>
      <c r="AN153" s="1170"/>
      <c r="AO153" s="1170"/>
      <c r="AP153" s="1170"/>
      <c r="AQ153" s="1170"/>
      <c r="AR153" s="1170"/>
      <c r="AS153" s="1170"/>
      <c r="AT153" s="1170"/>
      <c r="AU153" s="1170"/>
      <c r="AV153" s="1170"/>
      <c r="AW153" s="1170"/>
      <c r="AX153" s="1170"/>
      <c r="AY153" s="1170"/>
      <c r="AZ153" s="1170"/>
      <c r="BA153" s="1170"/>
      <c r="BB153" s="1170"/>
      <c r="BC153" s="1170"/>
      <c r="BD153" s="1170"/>
      <c r="BE153" s="1170"/>
      <c r="BF153" s="1170"/>
      <c r="BG153" s="1170"/>
      <c r="BH153" s="1170"/>
      <c r="BI153" s="1170"/>
      <c r="BJ153" s="1170"/>
      <c r="BK153" s="1143"/>
    </row>
    <row r="154" spans="1:63" s="1168" customFormat="1" ht="15" customHeight="1" x14ac:dyDescent="0.2">
      <c r="A154" s="63"/>
      <c r="B154" s="1456" t="s">
        <v>1221</v>
      </c>
      <c r="C154" s="1456"/>
      <c r="D154" s="1456"/>
      <c r="E154" s="1456"/>
      <c r="F154" s="265"/>
      <c r="G154" s="265"/>
      <c r="H154" s="265"/>
      <c r="I154" s="265"/>
      <c r="J154" s="1428"/>
      <c r="K154" s="1429"/>
      <c r="L154" s="1428"/>
      <c r="M154" s="273"/>
      <c r="N154" s="1170"/>
      <c r="O154" s="1575"/>
      <c r="P154" s="1575"/>
      <c r="Q154" s="1170"/>
      <c r="R154" s="1170"/>
      <c r="S154" s="1170"/>
      <c r="T154" s="1170"/>
      <c r="U154" s="1170"/>
      <c r="V154" s="1170"/>
      <c r="W154" s="1170"/>
      <c r="X154" s="1170"/>
      <c r="Y154" s="1170"/>
      <c r="Z154" s="1170"/>
      <c r="AA154" s="1170"/>
      <c r="AB154" s="1170"/>
      <c r="AC154" s="1170"/>
      <c r="AD154" s="1170"/>
      <c r="AE154" s="1170"/>
      <c r="AF154" s="1170"/>
      <c r="AG154" s="1170"/>
      <c r="AH154" s="1170"/>
      <c r="AI154" s="1170"/>
      <c r="AJ154" s="1170"/>
      <c r="AK154" s="1170"/>
      <c r="AL154" s="1170"/>
      <c r="AM154" s="1170"/>
      <c r="AN154" s="1170"/>
      <c r="AO154" s="1170"/>
      <c r="AP154" s="1170"/>
      <c r="AQ154" s="1170"/>
      <c r="AR154" s="1170"/>
      <c r="AS154" s="1170"/>
      <c r="AT154" s="1170"/>
      <c r="AU154" s="1170"/>
      <c r="AV154" s="1170"/>
      <c r="AW154" s="1170"/>
      <c r="AX154" s="1170"/>
      <c r="AY154" s="1170"/>
      <c r="AZ154" s="1170"/>
      <c r="BA154" s="1170"/>
      <c r="BB154" s="1170"/>
      <c r="BC154" s="1170"/>
      <c r="BD154" s="1170"/>
      <c r="BE154" s="1170"/>
      <c r="BF154" s="1170"/>
      <c r="BG154" s="1170"/>
      <c r="BH154" s="1170"/>
      <c r="BI154" s="1170"/>
      <c r="BJ154" s="1170"/>
      <c r="BK154" s="1143"/>
    </row>
    <row r="155" spans="1:63" s="1168" customFormat="1" ht="15" customHeight="1" x14ac:dyDescent="0.2">
      <c r="A155" s="63"/>
      <c r="B155" s="1456" t="s">
        <v>1222</v>
      </c>
      <c r="C155" s="1456"/>
      <c r="D155" s="1456"/>
      <c r="E155" s="1456"/>
      <c r="F155" s="265"/>
      <c r="G155" s="265"/>
      <c r="H155" s="265"/>
      <c r="I155" s="265"/>
      <c r="J155" s="1428"/>
      <c r="K155" s="1429"/>
      <c r="L155" s="1428"/>
      <c r="M155" s="273"/>
      <c r="N155" s="1170"/>
      <c r="O155" s="1575"/>
      <c r="P155" s="1575"/>
      <c r="Q155" s="1170"/>
      <c r="R155" s="1170"/>
      <c r="S155" s="1170"/>
      <c r="T155" s="1170"/>
      <c r="U155" s="1170"/>
      <c r="V155" s="1170"/>
      <c r="W155" s="1170"/>
      <c r="X155" s="1170"/>
      <c r="Y155" s="1170"/>
      <c r="Z155" s="1170"/>
      <c r="AA155" s="1170"/>
      <c r="AB155" s="1170"/>
      <c r="AC155" s="1170"/>
      <c r="AD155" s="1170"/>
      <c r="AE155" s="1170"/>
      <c r="AF155" s="1170"/>
      <c r="AG155" s="1170"/>
      <c r="AH155" s="1170"/>
      <c r="AI155" s="1170"/>
      <c r="AJ155" s="1170"/>
      <c r="AK155" s="1170"/>
      <c r="AL155" s="1170"/>
      <c r="AM155" s="1170"/>
      <c r="AN155" s="1170"/>
      <c r="AO155" s="1170"/>
      <c r="AP155" s="1170"/>
      <c r="AQ155" s="1170"/>
      <c r="AR155" s="1170"/>
      <c r="AS155" s="1170"/>
      <c r="AT155" s="1170"/>
      <c r="AU155" s="1170"/>
      <c r="AV155" s="1170"/>
      <c r="AW155" s="1170"/>
      <c r="AX155" s="1170"/>
      <c r="AY155" s="1170"/>
      <c r="AZ155" s="1170"/>
      <c r="BA155" s="1170"/>
      <c r="BB155" s="1170"/>
      <c r="BC155" s="1170"/>
      <c r="BD155" s="1170"/>
      <c r="BE155" s="1170"/>
      <c r="BF155" s="1170"/>
      <c r="BG155" s="1170"/>
      <c r="BH155" s="1170"/>
      <c r="BI155" s="1170"/>
      <c r="BJ155" s="1170"/>
      <c r="BK155" s="1143"/>
    </row>
    <row r="156" spans="1:63" s="1168" customFormat="1" ht="15" customHeight="1" x14ac:dyDescent="0.2">
      <c r="A156" s="63"/>
      <c r="B156" s="1456" t="s">
        <v>1223</v>
      </c>
      <c r="C156" s="1456"/>
      <c r="D156" s="1456"/>
      <c r="E156" s="1456"/>
      <c r="F156" s="265"/>
      <c r="G156" s="265"/>
      <c r="H156" s="265"/>
      <c r="I156" s="265"/>
      <c r="J156" s="1428"/>
      <c r="K156" s="1429"/>
      <c r="L156" s="1428"/>
      <c r="M156" s="273"/>
      <c r="N156" s="1170"/>
      <c r="O156" s="1575"/>
      <c r="P156" s="1575"/>
      <c r="Q156" s="1170"/>
      <c r="R156" s="1170"/>
      <c r="S156" s="1170"/>
      <c r="T156" s="1170"/>
      <c r="U156" s="1170"/>
      <c r="V156" s="1170"/>
      <c r="W156" s="1170"/>
      <c r="X156" s="1170"/>
      <c r="Y156" s="1170"/>
      <c r="Z156" s="1170"/>
      <c r="AA156" s="1170"/>
      <c r="AB156" s="1170"/>
      <c r="AC156" s="1170"/>
      <c r="AD156" s="1170"/>
      <c r="AE156" s="1170"/>
      <c r="AF156" s="1170"/>
      <c r="AG156" s="1170"/>
      <c r="AH156" s="1170"/>
      <c r="AI156" s="1170"/>
      <c r="AJ156" s="1170"/>
      <c r="AK156" s="1170"/>
      <c r="AL156" s="1170"/>
      <c r="AM156" s="1170"/>
      <c r="AN156" s="1170"/>
      <c r="AO156" s="1170"/>
      <c r="AP156" s="1170"/>
      <c r="AQ156" s="1170"/>
      <c r="AR156" s="1170"/>
      <c r="AS156" s="1170"/>
      <c r="AT156" s="1170"/>
      <c r="AU156" s="1170"/>
      <c r="AV156" s="1170"/>
      <c r="AW156" s="1170"/>
      <c r="AX156" s="1170"/>
      <c r="AY156" s="1170"/>
      <c r="AZ156" s="1170"/>
      <c r="BA156" s="1170"/>
      <c r="BB156" s="1170"/>
      <c r="BC156" s="1170"/>
      <c r="BD156" s="1170"/>
      <c r="BE156" s="1170"/>
      <c r="BF156" s="1170"/>
      <c r="BG156" s="1170"/>
      <c r="BH156" s="1170"/>
      <c r="BI156" s="1170"/>
      <c r="BJ156" s="1170"/>
      <c r="BK156" s="1143"/>
    </row>
    <row r="157" spans="1:63" s="1168" customFormat="1" ht="15" customHeight="1" x14ac:dyDescent="0.2">
      <c r="A157" s="63"/>
      <c r="B157" s="1456" t="s">
        <v>1224</v>
      </c>
      <c r="C157" s="1456"/>
      <c r="D157" s="1456"/>
      <c r="E157" s="1456"/>
      <c r="F157" s="265"/>
      <c r="G157" s="265"/>
      <c r="H157" s="265"/>
      <c r="I157" s="265"/>
      <c r="J157" s="1428"/>
      <c r="K157" s="1429"/>
      <c r="L157" s="1428"/>
      <c r="M157" s="273"/>
      <c r="N157" s="1170"/>
      <c r="O157" s="1575"/>
      <c r="P157" s="1575"/>
      <c r="Q157" s="1170"/>
      <c r="R157" s="1170"/>
      <c r="S157" s="1170"/>
      <c r="T157" s="1170"/>
      <c r="U157" s="1170"/>
      <c r="V157" s="1170"/>
      <c r="W157" s="1170"/>
      <c r="X157" s="1170"/>
      <c r="Y157" s="1170"/>
      <c r="Z157" s="1170"/>
      <c r="AA157" s="1170"/>
      <c r="AB157" s="1170"/>
      <c r="AC157" s="1170"/>
      <c r="AD157" s="1170"/>
      <c r="AE157" s="1170"/>
      <c r="AF157" s="1170"/>
      <c r="AG157" s="1170"/>
      <c r="AH157" s="1170"/>
      <c r="AI157" s="1170"/>
      <c r="AJ157" s="1170"/>
      <c r="AK157" s="1170"/>
      <c r="AL157" s="1170"/>
      <c r="AM157" s="1170"/>
      <c r="AN157" s="1170"/>
      <c r="AO157" s="1170"/>
      <c r="AP157" s="1170"/>
      <c r="AQ157" s="1170"/>
      <c r="AR157" s="1170"/>
      <c r="AS157" s="1170"/>
      <c r="AT157" s="1170"/>
      <c r="AU157" s="1170"/>
      <c r="AV157" s="1170"/>
      <c r="AW157" s="1170"/>
      <c r="AX157" s="1170"/>
      <c r="AY157" s="1170"/>
      <c r="AZ157" s="1170"/>
      <c r="BA157" s="1170"/>
      <c r="BB157" s="1170"/>
      <c r="BC157" s="1170"/>
      <c r="BD157" s="1170"/>
      <c r="BE157" s="1170"/>
      <c r="BF157" s="1170"/>
      <c r="BG157" s="1170"/>
      <c r="BH157" s="1170"/>
      <c r="BI157" s="1170"/>
      <c r="BJ157" s="1170"/>
      <c r="BK157" s="1143"/>
    </row>
    <row r="158" spans="1:63" s="1168" customFormat="1" ht="15" customHeight="1" x14ac:dyDescent="0.2">
      <c r="A158" s="63"/>
      <c r="B158" s="1456" t="s">
        <v>1225</v>
      </c>
      <c r="C158" s="1456"/>
      <c r="D158" s="1456"/>
      <c r="E158" s="1456"/>
      <c r="F158" s="265"/>
      <c r="G158" s="265"/>
      <c r="H158" s="265"/>
      <c r="I158" s="265"/>
      <c r="J158" s="1428"/>
      <c r="K158" s="1429"/>
      <c r="L158" s="1428"/>
      <c r="M158" s="273"/>
      <c r="N158" s="1170"/>
      <c r="O158" s="1575"/>
      <c r="P158" s="1575"/>
      <c r="Q158" s="1170"/>
      <c r="R158" s="1170"/>
      <c r="S158" s="1170"/>
      <c r="T158" s="1170"/>
      <c r="U158" s="1170"/>
      <c r="V158" s="1170"/>
      <c r="W158" s="1170"/>
      <c r="X158" s="1170"/>
      <c r="Y158" s="1170"/>
      <c r="Z158" s="1170"/>
      <c r="AA158" s="1170"/>
      <c r="AB158" s="1170"/>
      <c r="AC158" s="1170"/>
      <c r="AD158" s="1170"/>
      <c r="AE158" s="1170"/>
      <c r="AF158" s="1170"/>
      <c r="AG158" s="1170"/>
      <c r="AH158" s="1170"/>
      <c r="AI158" s="1170"/>
      <c r="AJ158" s="1170"/>
      <c r="AK158" s="1170"/>
      <c r="AL158" s="1170"/>
      <c r="AM158" s="1170"/>
      <c r="AN158" s="1170"/>
      <c r="AO158" s="1170"/>
      <c r="AP158" s="1170"/>
      <c r="AQ158" s="1170"/>
      <c r="AR158" s="1170"/>
      <c r="AS158" s="1170"/>
      <c r="AT158" s="1170"/>
      <c r="AU158" s="1170"/>
      <c r="AV158" s="1170"/>
      <c r="AW158" s="1170"/>
      <c r="AX158" s="1170"/>
      <c r="AY158" s="1170"/>
      <c r="AZ158" s="1170"/>
      <c r="BA158" s="1170"/>
      <c r="BB158" s="1170"/>
      <c r="BC158" s="1170"/>
      <c r="BD158" s="1170"/>
      <c r="BE158" s="1170"/>
      <c r="BF158" s="1170"/>
      <c r="BG158" s="1170"/>
      <c r="BH158" s="1170"/>
      <c r="BI158" s="1170"/>
      <c r="BJ158" s="1170"/>
      <c r="BK158" s="1143"/>
    </row>
    <row r="159" spans="1:63" s="1168" customFormat="1" ht="15" customHeight="1" x14ac:dyDescent="0.2">
      <c r="A159" s="63"/>
      <c r="B159" s="1456" t="s">
        <v>1226</v>
      </c>
      <c r="C159" s="1456"/>
      <c r="D159" s="1456"/>
      <c r="E159" s="1456"/>
      <c r="F159" s="265"/>
      <c r="G159" s="265"/>
      <c r="H159" s="265"/>
      <c r="I159" s="265"/>
      <c r="J159" s="1428"/>
      <c r="K159" s="1429"/>
      <c r="L159" s="1428"/>
      <c r="M159" s="273"/>
      <c r="N159" s="1170"/>
      <c r="O159" s="1575"/>
      <c r="P159" s="1575"/>
      <c r="Q159" s="1170"/>
      <c r="R159" s="1170"/>
      <c r="S159" s="1170"/>
      <c r="T159" s="1170"/>
      <c r="U159" s="1170"/>
      <c r="V159" s="1170"/>
      <c r="W159" s="1170"/>
      <c r="X159" s="1170"/>
      <c r="Y159" s="1170"/>
      <c r="Z159" s="1170"/>
      <c r="AA159" s="1170"/>
      <c r="AB159" s="1170"/>
      <c r="AC159" s="1170"/>
      <c r="AD159" s="1170"/>
      <c r="AE159" s="1170"/>
      <c r="AF159" s="1170"/>
      <c r="AG159" s="1170"/>
      <c r="AH159" s="1170"/>
      <c r="AI159" s="1170"/>
      <c r="AJ159" s="1170"/>
      <c r="AK159" s="1170"/>
      <c r="AL159" s="1170"/>
      <c r="AM159" s="1170"/>
      <c r="AN159" s="1170"/>
      <c r="AO159" s="1170"/>
      <c r="AP159" s="1170"/>
      <c r="AQ159" s="1170"/>
      <c r="AR159" s="1170"/>
      <c r="AS159" s="1170"/>
      <c r="AT159" s="1170"/>
      <c r="AU159" s="1170"/>
      <c r="AV159" s="1170"/>
      <c r="AW159" s="1170"/>
      <c r="AX159" s="1170"/>
      <c r="AY159" s="1170"/>
      <c r="AZ159" s="1170"/>
      <c r="BA159" s="1170"/>
      <c r="BB159" s="1170"/>
      <c r="BC159" s="1170"/>
      <c r="BD159" s="1170"/>
      <c r="BE159" s="1170"/>
      <c r="BF159" s="1170"/>
      <c r="BG159" s="1170"/>
      <c r="BH159" s="1170"/>
      <c r="BI159" s="1170"/>
      <c r="BJ159" s="1170"/>
      <c r="BK159" s="1143"/>
    </row>
    <row r="160" spans="1:63" s="1168" customFormat="1" ht="15" customHeight="1" x14ac:dyDescent="0.2">
      <c r="A160" s="63"/>
      <c r="B160" s="1456" t="s">
        <v>1227</v>
      </c>
      <c r="C160" s="1456"/>
      <c r="D160" s="1456"/>
      <c r="E160" s="1456"/>
      <c r="F160" s="265"/>
      <c r="G160" s="265"/>
      <c r="H160" s="265"/>
      <c r="I160" s="265"/>
      <c r="J160" s="1428"/>
      <c r="K160" s="1429"/>
      <c r="L160" s="1428"/>
      <c r="M160" s="273"/>
      <c r="N160" s="1170"/>
      <c r="O160" s="1575"/>
      <c r="P160" s="1575"/>
      <c r="Q160" s="1170"/>
      <c r="R160" s="1170"/>
      <c r="S160" s="1170"/>
      <c r="T160" s="1170"/>
      <c r="U160" s="1170"/>
      <c r="V160" s="1170"/>
      <c r="W160" s="1170"/>
      <c r="X160" s="1170"/>
      <c r="Y160" s="1170"/>
      <c r="Z160" s="1170"/>
      <c r="AA160" s="1170"/>
      <c r="AB160" s="1170"/>
      <c r="AC160" s="1170"/>
      <c r="AD160" s="1170"/>
      <c r="AE160" s="1170"/>
      <c r="AF160" s="1170"/>
      <c r="AG160" s="1170"/>
      <c r="AH160" s="1170"/>
      <c r="AI160" s="1170"/>
      <c r="AJ160" s="1170"/>
      <c r="AK160" s="1170"/>
      <c r="AL160" s="1170"/>
      <c r="AM160" s="1170"/>
      <c r="AN160" s="1170"/>
      <c r="AO160" s="1170"/>
      <c r="AP160" s="1170"/>
      <c r="AQ160" s="1170"/>
      <c r="AR160" s="1170"/>
      <c r="AS160" s="1170"/>
      <c r="AT160" s="1170"/>
      <c r="AU160" s="1170"/>
      <c r="AV160" s="1170"/>
      <c r="AW160" s="1170"/>
      <c r="AX160" s="1170"/>
      <c r="AY160" s="1170"/>
      <c r="AZ160" s="1170"/>
      <c r="BA160" s="1170"/>
      <c r="BB160" s="1170"/>
      <c r="BC160" s="1170"/>
      <c r="BD160" s="1170"/>
      <c r="BE160" s="1170"/>
      <c r="BF160" s="1170"/>
      <c r="BG160" s="1170"/>
      <c r="BH160" s="1170"/>
      <c r="BI160" s="1170"/>
      <c r="BJ160" s="1170"/>
      <c r="BK160" s="1143"/>
    </row>
    <row r="161" spans="1:63" s="1168" customFormat="1" ht="15" customHeight="1" x14ac:dyDescent="0.2">
      <c r="A161" s="63"/>
      <c r="B161" s="1456" t="s">
        <v>1228</v>
      </c>
      <c r="C161" s="1456"/>
      <c r="D161" s="1456"/>
      <c r="E161" s="1456"/>
      <c r="F161" s="265"/>
      <c r="G161" s="265"/>
      <c r="H161" s="265"/>
      <c r="I161" s="265"/>
      <c r="J161" s="1428"/>
      <c r="K161" s="1429"/>
      <c r="L161" s="1428"/>
      <c r="M161" s="273"/>
      <c r="N161" s="1170"/>
      <c r="O161" s="1575"/>
      <c r="P161" s="1575"/>
      <c r="Q161" s="1170"/>
      <c r="R161" s="1170"/>
      <c r="S161" s="1170"/>
      <c r="T161" s="1170"/>
      <c r="U161" s="1170"/>
      <c r="V161" s="1170"/>
      <c r="W161" s="1170"/>
      <c r="X161" s="1170"/>
      <c r="Y161" s="1170"/>
      <c r="Z161" s="1170"/>
      <c r="AA161" s="1170"/>
      <c r="AB161" s="1170"/>
      <c r="AC161" s="1170"/>
      <c r="AD161" s="1170"/>
      <c r="AE161" s="1170"/>
      <c r="AF161" s="1170"/>
      <c r="AG161" s="1170"/>
      <c r="AH161" s="1170"/>
      <c r="AI161" s="1170"/>
      <c r="AJ161" s="1170"/>
      <c r="AK161" s="1170"/>
      <c r="AL161" s="1170"/>
      <c r="AM161" s="1170"/>
      <c r="AN161" s="1170"/>
      <c r="AO161" s="1170"/>
      <c r="AP161" s="1170"/>
      <c r="AQ161" s="1170"/>
      <c r="AR161" s="1170"/>
      <c r="AS161" s="1170"/>
      <c r="AT161" s="1170"/>
      <c r="AU161" s="1170"/>
      <c r="AV161" s="1170"/>
      <c r="AW161" s="1170"/>
      <c r="AX161" s="1170"/>
      <c r="AY161" s="1170"/>
      <c r="AZ161" s="1170"/>
      <c r="BA161" s="1170"/>
      <c r="BB161" s="1170"/>
      <c r="BC161" s="1170"/>
      <c r="BD161" s="1170"/>
      <c r="BE161" s="1170"/>
      <c r="BF161" s="1170"/>
      <c r="BG161" s="1170"/>
      <c r="BH161" s="1170"/>
      <c r="BI161" s="1170"/>
      <c r="BJ161" s="1170"/>
      <c r="BK161" s="1143"/>
    </row>
    <row r="162" spans="1:63" s="1168" customFormat="1" ht="15" customHeight="1" x14ac:dyDescent="0.2">
      <c r="A162" s="63"/>
      <c r="B162" s="1456" t="s">
        <v>1229</v>
      </c>
      <c r="C162" s="1456"/>
      <c r="D162" s="1456"/>
      <c r="E162" s="1456"/>
      <c r="F162" s="265"/>
      <c r="G162" s="265"/>
      <c r="H162" s="265"/>
      <c r="I162" s="265"/>
      <c r="J162" s="1428"/>
      <c r="K162" s="1429"/>
      <c r="L162" s="1428"/>
      <c r="M162" s="273"/>
      <c r="N162" s="1170"/>
      <c r="O162" s="1575"/>
      <c r="P162" s="1575"/>
      <c r="Q162" s="1170"/>
      <c r="R162" s="1170"/>
      <c r="S162" s="1170"/>
      <c r="T162" s="1170"/>
      <c r="U162" s="1170"/>
      <c r="V162" s="1170"/>
      <c r="W162" s="1170"/>
      <c r="X162" s="1170"/>
      <c r="Y162" s="1170"/>
      <c r="Z162" s="1170"/>
      <c r="AA162" s="1170"/>
      <c r="AB162" s="1170"/>
      <c r="AC162" s="1170"/>
      <c r="AD162" s="1170"/>
      <c r="AE162" s="1170"/>
      <c r="AF162" s="1170"/>
      <c r="AG162" s="1170"/>
      <c r="AH162" s="1170"/>
      <c r="AI162" s="1170"/>
      <c r="AJ162" s="1170"/>
      <c r="AK162" s="1170"/>
      <c r="AL162" s="1170"/>
      <c r="AM162" s="1170"/>
      <c r="AN162" s="1170"/>
      <c r="AO162" s="1170"/>
      <c r="AP162" s="1170"/>
      <c r="AQ162" s="1170"/>
      <c r="AR162" s="1170"/>
      <c r="AS162" s="1170"/>
      <c r="AT162" s="1170"/>
      <c r="AU162" s="1170"/>
      <c r="AV162" s="1170"/>
      <c r="AW162" s="1170"/>
      <c r="AX162" s="1170"/>
      <c r="AY162" s="1170"/>
      <c r="AZ162" s="1170"/>
      <c r="BA162" s="1170"/>
      <c r="BB162" s="1170"/>
      <c r="BC162" s="1170"/>
      <c r="BD162" s="1170"/>
      <c r="BE162" s="1170"/>
      <c r="BF162" s="1170"/>
      <c r="BG162" s="1170"/>
      <c r="BH162" s="1170"/>
      <c r="BI162" s="1170"/>
      <c r="BJ162" s="1170"/>
      <c r="BK162" s="1143"/>
    </row>
    <row r="163" spans="1:63" s="1168" customFormat="1" ht="15" customHeight="1" x14ac:dyDescent="0.2">
      <c r="A163" s="63"/>
      <c r="B163" s="1456" t="s">
        <v>1230</v>
      </c>
      <c r="C163" s="1456"/>
      <c r="D163" s="1456"/>
      <c r="E163" s="1456"/>
      <c r="F163" s="265"/>
      <c r="G163" s="265"/>
      <c r="H163" s="265"/>
      <c r="I163" s="265"/>
      <c r="J163" s="1428"/>
      <c r="K163" s="1429"/>
      <c r="L163" s="1428"/>
      <c r="M163" s="273"/>
      <c r="N163" s="1170"/>
      <c r="O163" s="1575"/>
      <c r="P163" s="1575"/>
      <c r="Q163" s="1170"/>
      <c r="R163" s="1170"/>
      <c r="S163" s="1170"/>
      <c r="T163" s="1170"/>
      <c r="U163" s="1170"/>
      <c r="V163" s="1170"/>
      <c r="W163" s="1170"/>
      <c r="X163" s="1170"/>
      <c r="Y163" s="1170"/>
      <c r="Z163" s="1170"/>
      <c r="AA163" s="1170"/>
      <c r="AB163" s="1170"/>
      <c r="AC163" s="1170"/>
      <c r="AD163" s="1170"/>
      <c r="AE163" s="1170"/>
      <c r="AF163" s="1170"/>
      <c r="AG163" s="1170"/>
      <c r="AH163" s="1170"/>
      <c r="AI163" s="1170"/>
      <c r="AJ163" s="1170"/>
      <c r="AK163" s="1170"/>
      <c r="AL163" s="1170"/>
      <c r="AM163" s="1170"/>
      <c r="AN163" s="1170"/>
      <c r="AO163" s="1170"/>
      <c r="AP163" s="1170"/>
      <c r="AQ163" s="1170"/>
      <c r="AR163" s="1170"/>
      <c r="AS163" s="1170"/>
      <c r="AT163" s="1170"/>
      <c r="AU163" s="1170"/>
      <c r="AV163" s="1170"/>
      <c r="AW163" s="1170"/>
      <c r="AX163" s="1170"/>
      <c r="AY163" s="1170"/>
      <c r="AZ163" s="1170"/>
      <c r="BA163" s="1170"/>
      <c r="BB163" s="1170"/>
      <c r="BC163" s="1170"/>
      <c r="BD163" s="1170"/>
      <c r="BE163" s="1170"/>
      <c r="BF163" s="1170"/>
      <c r="BG163" s="1170"/>
      <c r="BH163" s="1170"/>
      <c r="BI163" s="1170"/>
      <c r="BJ163" s="1170"/>
      <c r="BK163" s="1143"/>
    </row>
    <row r="164" spans="1:63" s="1168" customFormat="1" ht="15" customHeight="1" x14ac:dyDescent="0.2">
      <c r="A164" s="63"/>
      <c r="B164" s="1456" t="s">
        <v>1231</v>
      </c>
      <c r="C164" s="1456"/>
      <c r="D164" s="1456"/>
      <c r="E164" s="1456"/>
      <c r="F164" s="265"/>
      <c r="G164" s="265"/>
      <c r="H164" s="265"/>
      <c r="I164" s="265"/>
      <c r="J164" s="1428"/>
      <c r="K164" s="1429"/>
      <c r="L164" s="1428"/>
      <c r="M164" s="273"/>
      <c r="N164" s="1170"/>
      <c r="O164" s="1575"/>
      <c r="P164" s="1575"/>
      <c r="Q164" s="1170"/>
      <c r="R164" s="1170"/>
      <c r="S164" s="1170"/>
      <c r="T164" s="1170"/>
      <c r="U164" s="1170"/>
      <c r="V164" s="1170"/>
      <c r="W164" s="1170"/>
      <c r="X164" s="1170"/>
      <c r="Y164" s="1170"/>
      <c r="Z164" s="1170"/>
      <c r="AA164" s="1170"/>
      <c r="AB164" s="1170"/>
      <c r="AC164" s="1170"/>
      <c r="AD164" s="1170"/>
      <c r="AE164" s="1170"/>
      <c r="AF164" s="1170"/>
      <c r="AG164" s="1170"/>
      <c r="AH164" s="1170"/>
      <c r="AI164" s="1170"/>
      <c r="AJ164" s="1170"/>
      <c r="AK164" s="1170"/>
      <c r="AL164" s="1170"/>
      <c r="AM164" s="1170"/>
      <c r="AN164" s="1170"/>
      <c r="AO164" s="1170"/>
      <c r="AP164" s="1170"/>
      <c r="AQ164" s="1170"/>
      <c r="AR164" s="1170"/>
      <c r="AS164" s="1170"/>
      <c r="AT164" s="1170"/>
      <c r="AU164" s="1170"/>
      <c r="AV164" s="1170"/>
      <c r="AW164" s="1170"/>
      <c r="AX164" s="1170"/>
      <c r="AY164" s="1170"/>
      <c r="AZ164" s="1170"/>
      <c r="BA164" s="1170"/>
      <c r="BB164" s="1170"/>
      <c r="BC164" s="1170"/>
      <c r="BD164" s="1170"/>
      <c r="BE164" s="1170"/>
      <c r="BF164" s="1170"/>
      <c r="BG164" s="1170"/>
      <c r="BH164" s="1170"/>
      <c r="BI164" s="1170"/>
      <c r="BJ164" s="1170"/>
      <c r="BK164" s="1143"/>
    </row>
    <row r="165" spans="1:63" s="1168" customFormat="1" ht="15" customHeight="1" x14ac:dyDescent="0.2">
      <c r="A165" s="63"/>
      <c r="B165" s="1456" t="s">
        <v>1232</v>
      </c>
      <c r="C165" s="1456"/>
      <c r="D165" s="1456"/>
      <c r="E165" s="1456"/>
      <c r="F165" s="265"/>
      <c r="G165" s="265"/>
      <c r="H165" s="265"/>
      <c r="I165" s="265"/>
      <c r="J165" s="1428"/>
      <c r="K165" s="1429"/>
      <c r="L165" s="1428"/>
      <c r="M165" s="273"/>
      <c r="N165" s="1170"/>
      <c r="O165" s="1575"/>
      <c r="P165" s="1575"/>
      <c r="Q165" s="1170"/>
      <c r="R165" s="1170"/>
      <c r="S165" s="1170"/>
      <c r="T165" s="1170"/>
      <c r="U165" s="1170"/>
      <c r="V165" s="1170"/>
      <c r="W165" s="1170"/>
      <c r="X165" s="1170"/>
      <c r="Y165" s="1170"/>
      <c r="Z165" s="1170"/>
      <c r="AA165" s="1170"/>
      <c r="AB165" s="1170"/>
      <c r="AC165" s="1170"/>
      <c r="AD165" s="1170"/>
      <c r="AE165" s="1170"/>
      <c r="AF165" s="1170"/>
      <c r="AG165" s="1170"/>
      <c r="AH165" s="1170"/>
      <c r="AI165" s="1170"/>
      <c r="AJ165" s="1170"/>
      <c r="AK165" s="1170"/>
      <c r="AL165" s="1170"/>
      <c r="AM165" s="1170"/>
      <c r="AN165" s="1170"/>
      <c r="AO165" s="1170"/>
      <c r="AP165" s="1170"/>
      <c r="AQ165" s="1170"/>
      <c r="AR165" s="1170"/>
      <c r="AS165" s="1170"/>
      <c r="AT165" s="1170"/>
      <c r="AU165" s="1170"/>
      <c r="AV165" s="1170"/>
      <c r="AW165" s="1170"/>
      <c r="AX165" s="1170"/>
      <c r="AY165" s="1170"/>
      <c r="AZ165" s="1170"/>
      <c r="BA165" s="1170"/>
      <c r="BB165" s="1170"/>
      <c r="BC165" s="1170"/>
      <c r="BD165" s="1170"/>
      <c r="BE165" s="1170"/>
      <c r="BF165" s="1170"/>
      <c r="BG165" s="1170"/>
      <c r="BH165" s="1170"/>
      <c r="BI165" s="1170"/>
      <c r="BJ165" s="1170"/>
      <c r="BK165" s="1143"/>
    </row>
    <row r="166" spans="1:63" s="1168" customFormat="1" ht="15" customHeight="1" x14ac:dyDescent="0.2">
      <c r="A166" s="63"/>
      <c r="B166" s="1456" t="s">
        <v>1233</v>
      </c>
      <c r="C166" s="1456"/>
      <c r="D166" s="1456"/>
      <c r="E166" s="1456"/>
      <c r="F166" s="265"/>
      <c r="G166" s="265"/>
      <c r="H166" s="265"/>
      <c r="I166" s="265"/>
      <c r="J166" s="1428"/>
      <c r="K166" s="1429"/>
      <c r="L166" s="1428"/>
      <c r="M166" s="273"/>
      <c r="N166" s="1170"/>
      <c r="O166" s="1575"/>
      <c r="P166" s="1575"/>
      <c r="Q166" s="1170"/>
      <c r="R166" s="1170"/>
      <c r="S166" s="1170"/>
      <c r="T166" s="1170"/>
      <c r="U166" s="1170"/>
      <c r="V166" s="1170"/>
      <c r="W166" s="1170"/>
      <c r="X166" s="1170"/>
      <c r="Y166" s="1170"/>
      <c r="Z166" s="1170"/>
      <c r="AA166" s="1170"/>
      <c r="AB166" s="1170"/>
      <c r="AC166" s="1170"/>
      <c r="AD166" s="1170"/>
      <c r="AE166" s="1170"/>
      <c r="AF166" s="1170"/>
      <c r="AG166" s="1170"/>
      <c r="AH166" s="1170"/>
      <c r="AI166" s="1170"/>
      <c r="AJ166" s="1170"/>
      <c r="AK166" s="1170"/>
      <c r="AL166" s="1170"/>
      <c r="AM166" s="1170"/>
      <c r="AN166" s="1170"/>
      <c r="AO166" s="1170"/>
      <c r="AP166" s="1170"/>
      <c r="AQ166" s="1170"/>
      <c r="AR166" s="1170"/>
      <c r="AS166" s="1170"/>
      <c r="AT166" s="1170"/>
      <c r="AU166" s="1170"/>
      <c r="AV166" s="1170"/>
      <c r="AW166" s="1170"/>
      <c r="AX166" s="1170"/>
      <c r="AY166" s="1170"/>
      <c r="AZ166" s="1170"/>
      <c r="BA166" s="1170"/>
      <c r="BB166" s="1170"/>
      <c r="BC166" s="1170"/>
      <c r="BD166" s="1170"/>
      <c r="BE166" s="1170"/>
      <c r="BF166" s="1170"/>
      <c r="BG166" s="1170"/>
      <c r="BH166" s="1170"/>
      <c r="BI166" s="1170"/>
      <c r="BJ166" s="1170"/>
      <c r="BK166" s="1143"/>
    </row>
    <row r="167" spans="1:63" s="1168" customFormat="1" ht="15" customHeight="1" x14ac:dyDescent="0.2">
      <c r="A167" s="63"/>
      <c r="B167" s="1456" t="s">
        <v>1234</v>
      </c>
      <c r="C167" s="1456"/>
      <c r="D167" s="1456"/>
      <c r="E167" s="1456"/>
      <c r="F167" s="265"/>
      <c r="G167" s="265"/>
      <c r="H167" s="265"/>
      <c r="I167" s="265"/>
      <c r="J167" s="1428"/>
      <c r="K167" s="1429"/>
      <c r="L167" s="1428"/>
      <c r="M167" s="273"/>
      <c r="N167" s="1170"/>
      <c r="O167" s="1575"/>
      <c r="P167" s="1575"/>
      <c r="Q167" s="1170"/>
      <c r="R167" s="1170"/>
      <c r="S167" s="1170"/>
      <c r="T167" s="1170"/>
      <c r="U167" s="1170"/>
      <c r="V167" s="1170"/>
      <c r="W167" s="1170"/>
      <c r="X167" s="1170"/>
      <c r="Y167" s="1170"/>
      <c r="Z167" s="1170"/>
      <c r="AA167" s="1170"/>
      <c r="AB167" s="1170"/>
      <c r="AC167" s="1170"/>
      <c r="AD167" s="1170"/>
      <c r="AE167" s="1170"/>
      <c r="AF167" s="1170"/>
      <c r="AG167" s="1170"/>
      <c r="AH167" s="1170"/>
      <c r="AI167" s="1170"/>
      <c r="AJ167" s="1170"/>
      <c r="AK167" s="1170"/>
      <c r="AL167" s="1170"/>
      <c r="AM167" s="1170"/>
      <c r="AN167" s="1170"/>
      <c r="AO167" s="1170"/>
      <c r="AP167" s="1170"/>
      <c r="AQ167" s="1170"/>
      <c r="AR167" s="1170"/>
      <c r="AS167" s="1170"/>
      <c r="AT167" s="1170"/>
      <c r="AU167" s="1170"/>
      <c r="AV167" s="1170"/>
      <c r="AW167" s="1170"/>
      <c r="AX167" s="1170"/>
      <c r="AY167" s="1170"/>
      <c r="AZ167" s="1170"/>
      <c r="BA167" s="1170"/>
      <c r="BB167" s="1170"/>
      <c r="BC167" s="1170"/>
      <c r="BD167" s="1170"/>
      <c r="BE167" s="1170"/>
      <c r="BF167" s="1170"/>
      <c r="BG167" s="1170"/>
      <c r="BH167" s="1170"/>
      <c r="BI167" s="1170"/>
      <c r="BJ167" s="1170"/>
      <c r="BK167" s="1143"/>
    </row>
    <row r="168" spans="1:63" s="1168" customFormat="1" ht="15" customHeight="1" x14ac:dyDescent="0.2">
      <c r="A168" s="63"/>
      <c r="B168" s="1456" t="s">
        <v>1235</v>
      </c>
      <c r="C168" s="1456"/>
      <c r="D168" s="1456"/>
      <c r="E168" s="1456"/>
      <c r="F168" s="265"/>
      <c r="G168" s="265"/>
      <c r="H168" s="265"/>
      <c r="I168" s="265"/>
      <c r="J168" s="1428"/>
      <c r="K168" s="1429"/>
      <c r="L168" s="1428"/>
      <c r="M168" s="273"/>
      <c r="N168" s="1170"/>
      <c r="O168" s="1575"/>
      <c r="P168" s="1575"/>
      <c r="Q168" s="1170"/>
      <c r="R168" s="1170"/>
      <c r="S168" s="1170"/>
      <c r="T168" s="1170"/>
      <c r="U168" s="1170"/>
      <c r="V168" s="1170"/>
      <c r="W168" s="1170"/>
      <c r="X168" s="1170"/>
      <c r="Y168" s="1170"/>
      <c r="Z168" s="1170"/>
      <c r="AA168" s="1170"/>
      <c r="AB168" s="1170"/>
      <c r="AC168" s="1170"/>
      <c r="AD168" s="1170"/>
      <c r="AE168" s="1170"/>
      <c r="AF168" s="1170"/>
      <c r="AG168" s="1170"/>
      <c r="AH168" s="1170"/>
      <c r="AI168" s="1170"/>
      <c r="AJ168" s="1170"/>
      <c r="AK168" s="1170"/>
      <c r="AL168" s="1170"/>
      <c r="AM168" s="1170"/>
      <c r="AN168" s="1170"/>
      <c r="AO168" s="1170"/>
      <c r="AP168" s="1170"/>
      <c r="AQ168" s="1170"/>
      <c r="AR168" s="1170"/>
      <c r="AS168" s="1170"/>
      <c r="AT168" s="1170"/>
      <c r="AU168" s="1170"/>
      <c r="AV168" s="1170"/>
      <c r="AW168" s="1170"/>
      <c r="AX168" s="1170"/>
      <c r="AY168" s="1170"/>
      <c r="AZ168" s="1170"/>
      <c r="BA168" s="1170"/>
      <c r="BB168" s="1170"/>
      <c r="BC168" s="1170"/>
      <c r="BD168" s="1170"/>
      <c r="BE168" s="1170"/>
      <c r="BF168" s="1170"/>
      <c r="BG168" s="1170"/>
      <c r="BH168" s="1170"/>
      <c r="BI168" s="1170"/>
      <c r="BJ168" s="1170"/>
      <c r="BK168" s="1143"/>
    </row>
    <row r="169" spans="1:63" s="1168" customFormat="1" ht="15" customHeight="1" x14ac:dyDescent="0.2">
      <c r="A169" s="63"/>
      <c r="B169" s="1456" t="s">
        <v>1236</v>
      </c>
      <c r="C169" s="1456"/>
      <c r="D169" s="1456"/>
      <c r="E169" s="1456"/>
      <c r="F169" s="265"/>
      <c r="G169" s="265"/>
      <c r="H169" s="265"/>
      <c r="I169" s="265"/>
      <c r="J169" s="1428"/>
      <c r="K169" s="1429"/>
      <c r="L169" s="1428"/>
      <c r="M169" s="273"/>
      <c r="N169" s="1170"/>
      <c r="O169" s="1575"/>
      <c r="P169" s="1575"/>
      <c r="Q169" s="1170"/>
      <c r="R169" s="1170"/>
      <c r="S169" s="1170"/>
      <c r="T169" s="1170"/>
      <c r="U169" s="1170"/>
      <c r="V169" s="1170"/>
      <c r="W169" s="1170"/>
      <c r="X169" s="1170"/>
      <c r="Y169" s="1170"/>
      <c r="Z169" s="1170"/>
      <c r="AA169" s="1170"/>
      <c r="AB169" s="1170"/>
      <c r="AC169" s="1170"/>
      <c r="AD169" s="1170"/>
      <c r="AE169" s="1170"/>
      <c r="AF169" s="1170"/>
      <c r="AG169" s="1170"/>
      <c r="AH169" s="1170"/>
      <c r="AI169" s="1170"/>
      <c r="AJ169" s="1170"/>
      <c r="AK169" s="1170"/>
      <c r="AL169" s="1170"/>
      <c r="AM169" s="1170"/>
      <c r="AN169" s="1170"/>
      <c r="AO169" s="1170"/>
      <c r="AP169" s="1170"/>
      <c r="AQ169" s="1170"/>
      <c r="AR169" s="1170"/>
      <c r="AS169" s="1170"/>
      <c r="AT169" s="1170"/>
      <c r="AU169" s="1170"/>
      <c r="AV169" s="1170"/>
      <c r="AW169" s="1170"/>
      <c r="AX169" s="1170"/>
      <c r="AY169" s="1170"/>
      <c r="AZ169" s="1170"/>
      <c r="BA169" s="1170"/>
      <c r="BB169" s="1170"/>
      <c r="BC169" s="1170"/>
      <c r="BD169" s="1170"/>
      <c r="BE169" s="1170"/>
      <c r="BF169" s="1170"/>
      <c r="BG169" s="1170"/>
      <c r="BH169" s="1170"/>
      <c r="BI169" s="1170"/>
      <c r="BJ169" s="1170"/>
      <c r="BK169" s="1143"/>
    </row>
    <row r="170" spans="1:63" s="1168" customFormat="1" ht="15" customHeight="1" x14ac:dyDescent="0.2">
      <c r="A170" s="63"/>
      <c r="B170" s="1456" t="s">
        <v>1237</v>
      </c>
      <c r="C170" s="1456"/>
      <c r="D170" s="1456"/>
      <c r="E170" s="1456"/>
      <c r="F170" s="265"/>
      <c r="G170" s="265"/>
      <c r="H170" s="265"/>
      <c r="I170" s="265"/>
      <c r="J170" s="1428"/>
      <c r="K170" s="1429"/>
      <c r="L170" s="1428"/>
      <c r="M170" s="273"/>
      <c r="N170" s="1170"/>
      <c r="O170" s="1575"/>
      <c r="P170" s="1575"/>
      <c r="Q170" s="1170"/>
      <c r="R170" s="1170"/>
      <c r="S170" s="1170"/>
      <c r="T170" s="1170"/>
      <c r="U170" s="1170"/>
      <c r="V170" s="1170"/>
      <c r="W170" s="1170"/>
      <c r="X170" s="1170"/>
      <c r="Y170" s="1170"/>
      <c r="Z170" s="1170"/>
      <c r="AA170" s="1170"/>
      <c r="AB170" s="1170"/>
      <c r="AC170" s="1170"/>
      <c r="AD170" s="1170"/>
      <c r="AE170" s="1170"/>
      <c r="AF170" s="1170"/>
      <c r="AG170" s="1170"/>
      <c r="AH170" s="1170"/>
      <c r="AI170" s="1170"/>
      <c r="AJ170" s="1170"/>
      <c r="AK170" s="1170"/>
      <c r="AL170" s="1170"/>
      <c r="AM170" s="1170"/>
      <c r="AN170" s="1170"/>
      <c r="AO170" s="1170"/>
      <c r="AP170" s="1170"/>
      <c r="AQ170" s="1170"/>
      <c r="AR170" s="1170"/>
      <c r="AS170" s="1170"/>
      <c r="AT170" s="1170"/>
      <c r="AU170" s="1170"/>
      <c r="AV170" s="1170"/>
      <c r="AW170" s="1170"/>
      <c r="AX170" s="1170"/>
      <c r="AY170" s="1170"/>
      <c r="AZ170" s="1170"/>
      <c r="BA170" s="1170"/>
      <c r="BB170" s="1170"/>
      <c r="BC170" s="1170"/>
      <c r="BD170" s="1170"/>
      <c r="BE170" s="1170"/>
      <c r="BF170" s="1170"/>
      <c r="BG170" s="1170"/>
      <c r="BH170" s="1170"/>
      <c r="BI170" s="1170"/>
      <c r="BJ170" s="1170"/>
      <c r="BK170" s="1143"/>
    </row>
    <row r="171" spans="1:63" s="1168" customFormat="1" ht="15" customHeight="1" x14ac:dyDescent="0.2">
      <c r="A171" s="63"/>
      <c r="B171" s="1456" t="s">
        <v>1238</v>
      </c>
      <c r="C171" s="1456"/>
      <c r="D171" s="1456"/>
      <c r="E171" s="1456"/>
      <c r="F171" s="265"/>
      <c r="G171" s="265"/>
      <c r="H171" s="265"/>
      <c r="I171" s="265"/>
      <c r="J171" s="1428"/>
      <c r="K171" s="1429"/>
      <c r="L171" s="1428"/>
      <c r="M171" s="273"/>
      <c r="N171" s="1170"/>
      <c r="O171" s="1575"/>
      <c r="P171" s="1575"/>
      <c r="Q171" s="1170"/>
      <c r="R171" s="1170"/>
      <c r="S171" s="1170"/>
      <c r="T171" s="1170"/>
      <c r="U171" s="1170"/>
      <c r="V171" s="1170"/>
      <c r="W171" s="1170"/>
      <c r="X171" s="1170"/>
      <c r="Y171" s="1170"/>
      <c r="Z171" s="1170"/>
      <c r="AA171" s="1170"/>
      <c r="AB171" s="1170"/>
      <c r="AC171" s="1170"/>
      <c r="AD171" s="1170"/>
      <c r="AE171" s="1170"/>
      <c r="AF171" s="1170"/>
      <c r="AG171" s="1170"/>
      <c r="AH171" s="1170"/>
      <c r="AI171" s="1170"/>
      <c r="AJ171" s="1170"/>
      <c r="AK171" s="1170"/>
      <c r="AL171" s="1170"/>
      <c r="AM171" s="1170"/>
      <c r="AN171" s="1170"/>
      <c r="AO171" s="1170"/>
      <c r="AP171" s="1170"/>
      <c r="AQ171" s="1170"/>
      <c r="AR171" s="1170"/>
      <c r="AS171" s="1170"/>
      <c r="AT171" s="1170"/>
      <c r="AU171" s="1170"/>
      <c r="AV171" s="1170"/>
      <c r="AW171" s="1170"/>
      <c r="AX171" s="1170"/>
      <c r="AY171" s="1170"/>
      <c r="AZ171" s="1170"/>
      <c r="BA171" s="1170"/>
      <c r="BB171" s="1170"/>
      <c r="BC171" s="1170"/>
      <c r="BD171" s="1170"/>
      <c r="BE171" s="1170"/>
      <c r="BF171" s="1170"/>
      <c r="BG171" s="1170"/>
      <c r="BH171" s="1170"/>
      <c r="BI171" s="1170"/>
      <c r="BJ171" s="1170"/>
      <c r="BK171" s="1143"/>
    </row>
    <row r="172" spans="1:63" s="1168" customFormat="1" ht="15" customHeight="1" x14ac:dyDescent="0.2">
      <c r="A172" s="63"/>
      <c r="B172" s="1456" t="s">
        <v>1239</v>
      </c>
      <c r="C172" s="1456"/>
      <c r="D172" s="1456"/>
      <c r="E172" s="1456"/>
      <c r="F172" s="265"/>
      <c r="G172" s="265"/>
      <c r="H172" s="265"/>
      <c r="I172" s="265"/>
      <c r="J172" s="1428"/>
      <c r="K172" s="1429"/>
      <c r="L172" s="1428"/>
      <c r="M172" s="273"/>
      <c r="N172" s="1170"/>
      <c r="O172" s="1575"/>
      <c r="P172" s="1575"/>
      <c r="Q172" s="1170"/>
      <c r="R172" s="1170"/>
      <c r="S172" s="1170"/>
      <c r="T172" s="1170"/>
      <c r="U172" s="1170"/>
      <c r="V172" s="1170"/>
      <c r="W172" s="1170"/>
      <c r="X172" s="1170"/>
      <c r="Y172" s="1170"/>
      <c r="Z172" s="1170"/>
      <c r="AA172" s="1170"/>
      <c r="AB172" s="1170"/>
      <c r="AC172" s="1170"/>
      <c r="AD172" s="1170"/>
      <c r="AE172" s="1170"/>
      <c r="AF172" s="1170"/>
      <c r="AG172" s="1170"/>
      <c r="AH172" s="1170"/>
      <c r="AI172" s="1170"/>
      <c r="AJ172" s="1170"/>
      <c r="AK172" s="1170"/>
      <c r="AL172" s="1170"/>
      <c r="AM172" s="1170"/>
      <c r="AN172" s="1170"/>
      <c r="AO172" s="1170"/>
      <c r="AP172" s="1170"/>
      <c r="AQ172" s="1170"/>
      <c r="AR172" s="1170"/>
      <c r="AS172" s="1170"/>
      <c r="AT172" s="1170"/>
      <c r="AU172" s="1170"/>
      <c r="AV172" s="1170"/>
      <c r="AW172" s="1170"/>
      <c r="AX172" s="1170"/>
      <c r="AY172" s="1170"/>
      <c r="AZ172" s="1170"/>
      <c r="BA172" s="1170"/>
      <c r="BB172" s="1170"/>
      <c r="BC172" s="1170"/>
      <c r="BD172" s="1170"/>
      <c r="BE172" s="1170"/>
      <c r="BF172" s="1170"/>
      <c r="BG172" s="1170"/>
      <c r="BH172" s="1170"/>
      <c r="BI172" s="1170"/>
      <c r="BJ172" s="1170"/>
      <c r="BK172" s="1143"/>
    </row>
    <row r="173" spans="1:63" s="1168" customFormat="1" ht="15" customHeight="1" x14ac:dyDescent="0.2">
      <c r="A173" s="63"/>
      <c r="B173" s="1456" t="s">
        <v>1240</v>
      </c>
      <c r="C173" s="1456"/>
      <c r="D173" s="1456"/>
      <c r="E173" s="1456"/>
      <c r="F173" s="265"/>
      <c r="G173" s="265"/>
      <c r="H173" s="265"/>
      <c r="I173" s="265"/>
      <c r="J173" s="1428"/>
      <c r="K173" s="1429"/>
      <c r="L173" s="1428"/>
      <c r="M173" s="273"/>
      <c r="N173" s="1170"/>
      <c r="O173" s="1575"/>
      <c r="P173" s="1575"/>
      <c r="Q173" s="1170"/>
      <c r="R173" s="1170"/>
      <c r="S173" s="1170"/>
      <c r="T173" s="1170"/>
      <c r="U173" s="1170"/>
      <c r="V173" s="1170"/>
      <c r="W173" s="1170"/>
      <c r="X173" s="1170"/>
      <c r="Y173" s="1170"/>
      <c r="Z173" s="1170"/>
      <c r="AA173" s="1170"/>
      <c r="AB173" s="1170"/>
      <c r="AC173" s="1170"/>
      <c r="AD173" s="1170"/>
      <c r="AE173" s="1170"/>
      <c r="AF173" s="1170"/>
      <c r="AG173" s="1170"/>
      <c r="AH173" s="1170"/>
      <c r="AI173" s="1170"/>
      <c r="AJ173" s="1170"/>
      <c r="AK173" s="1170"/>
      <c r="AL173" s="1170"/>
      <c r="AM173" s="1170"/>
      <c r="AN173" s="1170"/>
      <c r="AO173" s="1170"/>
      <c r="AP173" s="1170"/>
      <c r="AQ173" s="1170"/>
      <c r="AR173" s="1170"/>
      <c r="AS173" s="1170"/>
      <c r="AT173" s="1170"/>
      <c r="AU173" s="1170"/>
      <c r="AV173" s="1170"/>
      <c r="AW173" s="1170"/>
      <c r="AX173" s="1170"/>
      <c r="AY173" s="1170"/>
      <c r="AZ173" s="1170"/>
      <c r="BA173" s="1170"/>
      <c r="BB173" s="1170"/>
      <c r="BC173" s="1170"/>
      <c r="BD173" s="1170"/>
      <c r="BE173" s="1170"/>
      <c r="BF173" s="1170"/>
      <c r="BG173" s="1170"/>
      <c r="BH173" s="1170"/>
      <c r="BI173" s="1170"/>
      <c r="BJ173" s="1170"/>
      <c r="BK173" s="1143"/>
    </row>
    <row r="174" spans="1:63" s="1168" customFormat="1" ht="15" customHeight="1" x14ac:dyDescent="0.2">
      <c r="A174" s="63"/>
      <c r="B174" s="1456" t="s">
        <v>1241</v>
      </c>
      <c r="C174" s="1456"/>
      <c r="D174" s="1456"/>
      <c r="E174" s="1456"/>
      <c r="F174" s="265"/>
      <c r="G174" s="265"/>
      <c r="H174" s="265"/>
      <c r="I174" s="265"/>
      <c r="J174" s="1428"/>
      <c r="K174" s="1429"/>
      <c r="L174" s="1428"/>
      <c r="M174" s="273"/>
      <c r="N174" s="1170"/>
      <c r="O174" s="1575"/>
      <c r="P174" s="1575"/>
      <c r="Q174" s="1170"/>
      <c r="R174" s="1170"/>
      <c r="S174" s="1170"/>
      <c r="T174" s="1170"/>
      <c r="U174" s="1170"/>
      <c r="V174" s="1170"/>
      <c r="W174" s="1170"/>
      <c r="X174" s="1170"/>
      <c r="Y174" s="1170"/>
      <c r="Z174" s="1170"/>
      <c r="AA174" s="1170"/>
      <c r="AB174" s="1170"/>
      <c r="AC174" s="1170"/>
      <c r="AD174" s="1170"/>
      <c r="AE174" s="1170"/>
      <c r="AF174" s="1170"/>
      <c r="AG174" s="1170"/>
      <c r="AH174" s="1170"/>
      <c r="AI174" s="1170"/>
      <c r="AJ174" s="1170"/>
      <c r="AK174" s="1170"/>
      <c r="AL174" s="1170"/>
      <c r="AM174" s="1170"/>
      <c r="AN174" s="1170"/>
      <c r="AO174" s="1170"/>
      <c r="AP174" s="1170"/>
      <c r="AQ174" s="1170"/>
      <c r="AR174" s="1170"/>
      <c r="AS174" s="1170"/>
      <c r="AT174" s="1170"/>
      <c r="AU174" s="1170"/>
      <c r="AV174" s="1170"/>
      <c r="AW174" s="1170"/>
      <c r="AX174" s="1170"/>
      <c r="AY174" s="1170"/>
      <c r="AZ174" s="1170"/>
      <c r="BA174" s="1170"/>
      <c r="BB174" s="1170"/>
      <c r="BC174" s="1170"/>
      <c r="BD174" s="1170"/>
      <c r="BE174" s="1170"/>
      <c r="BF174" s="1170"/>
      <c r="BG174" s="1170"/>
      <c r="BH174" s="1170"/>
      <c r="BI174" s="1170"/>
      <c r="BJ174" s="1170"/>
      <c r="BK174" s="1143"/>
    </row>
    <row r="175" spans="1:63" s="1168" customFormat="1" ht="15" customHeight="1" x14ac:dyDescent="0.2">
      <c r="A175" s="63"/>
      <c r="B175" s="1456" t="s">
        <v>1242</v>
      </c>
      <c r="C175" s="1456"/>
      <c r="D175" s="1456"/>
      <c r="E175" s="1456"/>
      <c r="F175" s="265"/>
      <c r="G175" s="265"/>
      <c r="H175" s="265"/>
      <c r="I175" s="265"/>
      <c r="J175" s="1428"/>
      <c r="K175" s="1429"/>
      <c r="L175" s="1428"/>
      <c r="M175" s="273"/>
      <c r="N175" s="1170"/>
      <c r="O175" s="1575"/>
      <c r="P175" s="1575"/>
      <c r="Q175" s="1170"/>
      <c r="R175" s="1170"/>
      <c r="S175" s="1170"/>
      <c r="T175" s="1170"/>
      <c r="U175" s="1170"/>
      <c r="V175" s="1170"/>
      <c r="W175" s="1170"/>
      <c r="X175" s="1170"/>
      <c r="Y175" s="1170"/>
      <c r="Z175" s="1170"/>
      <c r="AA175" s="1170"/>
      <c r="AB175" s="1170"/>
      <c r="AC175" s="1170"/>
      <c r="AD175" s="1170"/>
      <c r="AE175" s="1170"/>
      <c r="AF175" s="1170"/>
      <c r="AG175" s="1170"/>
      <c r="AH175" s="1170"/>
      <c r="AI175" s="1170"/>
      <c r="AJ175" s="1170"/>
      <c r="AK175" s="1170"/>
      <c r="AL175" s="1170"/>
      <c r="AM175" s="1170"/>
      <c r="AN175" s="1170"/>
      <c r="AO175" s="1170"/>
      <c r="AP175" s="1170"/>
      <c r="AQ175" s="1170"/>
      <c r="AR175" s="1170"/>
      <c r="AS175" s="1170"/>
      <c r="AT175" s="1170"/>
      <c r="AU175" s="1170"/>
      <c r="AV175" s="1170"/>
      <c r="AW175" s="1170"/>
      <c r="AX175" s="1170"/>
      <c r="AY175" s="1170"/>
      <c r="AZ175" s="1170"/>
      <c r="BA175" s="1170"/>
      <c r="BB175" s="1170"/>
      <c r="BC175" s="1170"/>
      <c r="BD175" s="1170"/>
      <c r="BE175" s="1170"/>
      <c r="BF175" s="1170"/>
      <c r="BG175" s="1170"/>
      <c r="BH175" s="1170"/>
      <c r="BI175" s="1170"/>
      <c r="BJ175" s="1170"/>
      <c r="BK175" s="1143"/>
    </row>
    <row r="176" spans="1:63" s="1168" customFormat="1" ht="15" customHeight="1" x14ac:dyDescent="0.2">
      <c r="A176" s="63"/>
      <c r="B176" s="1456" t="s">
        <v>1243</v>
      </c>
      <c r="C176" s="1456"/>
      <c r="D176" s="1456"/>
      <c r="E176" s="1456"/>
      <c r="F176" s="265"/>
      <c r="G176" s="265"/>
      <c r="H176" s="265"/>
      <c r="I176" s="265"/>
      <c r="J176" s="1428"/>
      <c r="K176" s="1429"/>
      <c r="L176" s="1428"/>
      <c r="M176" s="273"/>
      <c r="N176" s="1170"/>
      <c r="O176" s="1575"/>
      <c r="P176" s="1575"/>
      <c r="Q176" s="1170"/>
      <c r="R176" s="1170"/>
      <c r="S176" s="1170"/>
      <c r="T176" s="1170"/>
      <c r="U176" s="1170"/>
      <c r="V176" s="1170"/>
      <c r="W176" s="1170"/>
      <c r="X176" s="1170"/>
      <c r="Y176" s="1170"/>
      <c r="Z176" s="1170"/>
      <c r="AA176" s="1170"/>
      <c r="AB176" s="1170"/>
      <c r="AC176" s="1170"/>
      <c r="AD176" s="1170"/>
      <c r="AE176" s="1170"/>
      <c r="AF176" s="1170"/>
      <c r="AG176" s="1170"/>
      <c r="AH176" s="1170"/>
      <c r="AI176" s="1170"/>
      <c r="AJ176" s="1170"/>
      <c r="AK176" s="1170"/>
      <c r="AL176" s="1170"/>
      <c r="AM176" s="1170"/>
      <c r="AN176" s="1170"/>
      <c r="AO176" s="1170"/>
      <c r="AP176" s="1170"/>
      <c r="AQ176" s="1170"/>
      <c r="AR176" s="1170"/>
      <c r="AS176" s="1170"/>
      <c r="AT176" s="1170"/>
      <c r="AU176" s="1170"/>
      <c r="AV176" s="1170"/>
      <c r="AW176" s="1170"/>
      <c r="AX176" s="1170"/>
      <c r="AY176" s="1170"/>
      <c r="AZ176" s="1170"/>
      <c r="BA176" s="1170"/>
      <c r="BB176" s="1170"/>
      <c r="BC176" s="1170"/>
      <c r="BD176" s="1170"/>
      <c r="BE176" s="1170"/>
      <c r="BF176" s="1170"/>
      <c r="BG176" s="1170"/>
      <c r="BH176" s="1170"/>
      <c r="BI176" s="1170"/>
      <c r="BJ176" s="1170"/>
      <c r="BK176" s="1143"/>
    </row>
    <row r="177" spans="1:63" s="1168" customFormat="1" ht="15" customHeight="1" x14ac:dyDescent="0.2">
      <c r="A177" s="63"/>
      <c r="B177" s="1456" t="s">
        <v>1244</v>
      </c>
      <c r="C177" s="1456"/>
      <c r="D177" s="1456"/>
      <c r="E177" s="1456"/>
      <c r="F177" s="265"/>
      <c r="G177" s="265"/>
      <c r="H177" s="265"/>
      <c r="I177" s="265"/>
      <c r="J177" s="1428"/>
      <c r="K177" s="1429"/>
      <c r="L177" s="1428"/>
      <c r="M177" s="273"/>
      <c r="N177" s="1170"/>
      <c r="O177" s="1575"/>
      <c r="P177" s="1575"/>
      <c r="Q177" s="1170"/>
      <c r="R177" s="1170"/>
      <c r="S177" s="1170"/>
      <c r="T177" s="1170"/>
      <c r="U177" s="1170"/>
      <c r="V177" s="1170"/>
      <c r="W177" s="1170"/>
      <c r="X177" s="1170"/>
      <c r="Y177" s="1170"/>
      <c r="Z177" s="1170"/>
      <c r="AA177" s="1170"/>
      <c r="AB177" s="1170"/>
      <c r="AC177" s="1170"/>
      <c r="AD177" s="1170"/>
      <c r="AE177" s="1170"/>
      <c r="AF177" s="1170"/>
      <c r="AG177" s="1170"/>
      <c r="AH177" s="1170"/>
      <c r="AI177" s="1170"/>
      <c r="AJ177" s="1170"/>
      <c r="AK177" s="1170"/>
      <c r="AL177" s="1170"/>
      <c r="AM177" s="1170"/>
      <c r="AN177" s="1170"/>
      <c r="AO177" s="1170"/>
      <c r="AP177" s="1170"/>
      <c r="AQ177" s="1170"/>
      <c r="AR177" s="1170"/>
      <c r="AS177" s="1170"/>
      <c r="AT177" s="1170"/>
      <c r="AU177" s="1170"/>
      <c r="AV177" s="1170"/>
      <c r="AW177" s="1170"/>
      <c r="AX177" s="1170"/>
      <c r="AY177" s="1170"/>
      <c r="AZ177" s="1170"/>
      <c r="BA177" s="1170"/>
      <c r="BB177" s="1170"/>
      <c r="BC177" s="1170"/>
      <c r="BD177" s="1170"/>
      <c r="BE177" s="1170"/>
      <c r="BF177" s="1170"/>
      <c r="BG177" s="1170"/>
      <c r="BH177" s="1170"/>
      <c r="BI177" s="1170"/>
      <c r="BJ177" s="1170"/>
      <c r="BK177" s="1143"/>
    </row>
    <row r="178" spans="1:63" s="1168" customFormat="1" ht="15" customHeight="1" x14ac:dyDescent="0.2">
      <c r="A178" s="63"/>
      <c r="B178" s="1456" t="s">
        <v>1245</v>
      </c>
      <c r="C178" s="1456"/>
      <c r="D178" s="1456"/>
      <c r="E178" s="1456"/>
      <c r="F178" s="265"/>
      <c r="G178" s="265"/>
      <c r="H178" s="265"/>
      <c r="I178" s="265"/>
      <c r="J178" s="1428"/>
      <c r="K178" s="1429"/>
      <c r="L178" s="1428"/>
      <c r="M178" s="273"/>
      <c r="N178" s="1170"/>
      <c r="O178" s="1575"/>
      <c r="P178" s="1575"/>
      <c r="Q178" s="1170"/>
      <c r="R178" s="1170"/>
      <c r="S178" s="1170"/>
      <c r="T178" s="1170"/>
      <c r="U178" s="1170"/>
      <c r="V178" s="1170"/>
      <c r="W178" s="1170"/>
      <c r="X178" s="1170"/>
      <c r="Y178" s="1170"/>
      <c r="Z178" s="1170"/>
      <c r="AA178" s="1170"/>
      <c r="AB178" s="1170"/>
      <c r="AC178" s="1170"/>
      <c r="AD178" s="1170"/>
      <c r="AE178" s="1170"/>
      <c r="AF178" s="1170"/>
      <c r="AG178" s="1170"/>
      <c r="AH178" s="1170"/>
      <c r="AI178" s="1170"/>
      <c r="AJ178" s="1170"/>
      <c r="AK178" s="1170"/>
      <c r="AL178" s="1170"/>
      <c r="AM178" s="1170"/>
      <c r="AN178" s="1170"/>
      <c r="AO178" s="1170"/>
      <c r="AP178" s="1170"/>
      <c r="AQ178" s="1170"/>
      <c r="AR178" s="1170"/>
      <c r="AS178" s="1170"/>
      <c r="AT178" s="1170"/>
      <c r="AU178" s="1170"/>
      <c r="AV178" s="1170"/>
      <c r="AW178" s="1170"/>
      <c r="AX178" s="1170"/>
      <c r="AY178" s="1170"/>
      <c r="AZ178" s="1170"/>
      <c r="BA178" s="1170"/>
      <c r="BB178" s="1170"/>
      <c r="BC178" s="1170"/>
      <c r="BD178" s="1170"/>
      <c r="BE178" s="1170"/>
      <c r="BF178" s="1170"/>
      <c r="BG178" s="1170"/>
      <c r="BH178" s="1170"/>
      <c r="BI178" s="1170"/>
      <c r="BJ178" s="1170"/>
      <c r="BK178" s="1143"/>
    </row>
    <row r="179" spans="1:63" s="1168" customFormat="1" ht="15" customHeight="1" x14ac:dyDescent="0.2">
      <c r="A179" s="63"/>
      <c r="B179" s="1456" t="s">
        <v>889</v>
      </c>
      <c r="C179" s="1456"/>
      <c r="D179" s="1456"/>
      <c r="E179" s="1456"/>
      <c r="F179" s="265"/>
      <c r="G179" s="265"/>
      <c r="H179" s="265"/>
      <c r="I179" s="265"/>
      <c r="J179" s="1428"/>
      <c r="K179" s="1429"/>
      <c r="L179" s="1428"/>
      <c r="M179" s="273"/>
      <c r="N179" s="1170"/>
      <c r="O179" s="1575"/>
      <c r="P179" s="1575"/>
      <c r="Q179" s="1170"/>
      <c r="R179" s="1170"/>
      <c r="S179" s="1170"/>
      <c r="T179" s="1170"/>
      <c r="U179" s="1170"/>
      <c r="V179" s="1170"/>
      <c r="W179" s="1170"/>
      <c r="X179" s="1170"/>
      <c r="Y179" s="1170"/>
      <c r="Z179" s="1170"/>
      <c r="AA179" s="1170"/>
      <c r="AB179" s="1170"/>
      <c r="AC179" s="1170"/>
      <c r="AD179" s="1170"/>
      <c r="AE179" s="1170"/>
      <c r="AF179" s="1170"/>
      <c r="AG179" s="1170"/>
      <c r="AH179" s="1170"/>
      <c r="AI179" s="1170"/>
      <c r="AJ179" s="1170"/>
      <c r="AK179" s="1170"/>
      <c r="AL179" s="1170"/>
      <c r="AM179" s="1170"/>
      <c r="AN179" s="1170"/>
      <c r="AO179" s="1170"/>
      <c r="AP179" s="1170"/>
      <c r="AQ179" s="1170"/>
      <c r="AR179" s="1170"/>
      <c r="AS179" s="1170"/>
      <c r="AT179" s="1170"/>
      <c r="AU179" s="1170"/>
      <c r="AV179" s="1170"/>
      <c r="AW179" s="1170"/>
      <c r="AX179" s="1170"/>
      <c r="AY179" s="1170"/>
      <c r="AZ179" s="1170"/>
      <c r="BA179" s="1170"/>
      <c r="BB179" s="1170"/>
      <c r="BC179" s="1170"/>
      <c r="BD179" s="1170"/>
      <c r="BE179" s="1170"/>
      <c r="BF179" s="1170"/>
      <c r="BG179" s="1170"/>
      <c r="BH179" s="1170"/>
      <c r="BI179" s="1170"/>
      <c r="BJ179" s="1170"/>
      <c r="BK179" s="1143"/>
    </row>
    <row r="180" spans="1:63" s="1168" customFormat="1" ht="15" customHeight="1" x14ac:dyDescent="0.2">
      <c r="A180" s="63"/>
      <c r="B180" s="1457" t="s">
        <v>1246</v>
      </c>
      <c r="C180" s="1457"/>
      <c r="D180" s="1457"/>
      <c r="E180" s="1457"/>
      <c r="F180" s="321"/>
      <c r="G180" s="321"/>
      <c r="H180" s="321"/>
      <c r="I180" s="321"/>
      <c r="J180" s="1430"/>
      <c r="K180" s="1431"/>
      <c r="L180" s="1430"/>
      <c r="M180" s="275"/>
      <c r="N180" s="1170"/>
      <c r="O180" s="1575"/>
      <c r="P180" s="1575"/>
      <c r="Q180" s="1170"/>
      <c r="R180" s="1170"/>
      <c r="S180" s="1170"/>
      <c r="T180" s="1170"/>
      <c r="U180" s="1170"/>
      <c r="V180" s="1170"/>
      <c r="W180" s="1170"/>
      <c r="X180" s="1170"/>
      <c r="Y180" s="1170"/>
      <c r="Z180" s="1170"/>
      <c r="AA180" s="1170"/>
      <c r="AB180" s="1170"/>
      <c r="AC180" s="1170"/>
      <c r="AD180" s="1170"/>
      <c r="AE180" s="1170"/>
      <c r="AF180" s="1170"/>
      <c r="AG180" s="1170"/>
      <c r="AH180" s="1170"/>
      <c r="AI180" s="1170"/>
      <c r="AJ180" s="1170"/>
      <c r="AK180" s="1170"/>
      <c r="AL180" s="1170"/>
      <c r="AM180" s="1170"/>
      <c r="AN180" s="1170"/>
      <c r="AO180" s="1170"/>
      <c r="AP180" s="1170"/>
      <c r="AQ180" s="1170"/>
      <c r="AR180" s="1170"/>
      <c r="AS180" s="1170"/>
      <c r="AT180" s="1170"/>
      <c r="AU180" s="1170"/>
      <c r="AV180" s="1170"/>
      <c r="AW180" s="1170"/>
      <c r="AX180" s="1170"/>
      <c r="AY180" s="1170"/>
      <c r="AZ180" s="1170"/>
      <c r="BA180" s="1170"/>
      <c r="BB180" s="1170"/>
      <c r="BC180" s="1170"/>
      <c r="BD180" s="1170"/>
      <c r="BE180" s="1170"/>
      <c r="BF180" s="1170"/>
      <c r="BG180" s="1170"/>
      <c r="BH180" s="1170"/>
      <c r="BI180" s="1170"/>
      <c r="BJ180" s="1170"/>
      <c r="BK180" s="1143"/>
    </row>
    <row r="181" spans="1:63" s="1168" customFormat="1" ht="15" customHeight="1" x14ac:dyDescent="0.2">
      <c r="A181" s="74"/>
      <c r="B181" s="1169"/>
      <c r="C181" s="1169"/>
      <c r="D181" s="1169"/>
      <c r="E181" s="1169"/>
      <c r="F181" s="1169"/>
      <c r="G181" s="1170"/>
      <c r="H181" s="1170"/>
      <c r="I181" s="1170"/>
      <c r="J181" s="1575"/>
      <c r="K181" s="1575"/>
      <c r="L181" s="1575"/>
      <c r="M181" s="1575"/>
      <c r="N181" s="1170"/>
      <c r="O181" s="1575"/>
      <c r="P181" s="1575"/>
      <c r="Q181" s="1170"/>
      <c r="R181" s="1170"/>
      <c r="S181" s="1170"/>
      <c r="T181" s="1170"/>
      <c r="U181" s="1170"/>
      <c r="V181" s="1170"/>
      <c r="W181" s="1170"/>
      <c r="X181" s="1170"/>
      <c r="Y181" s="1170"/>
      <c r="Z181" s="1170"/>
      <c r="AA181" s="1170"/>
      <c r="AB181" s="1170"/>
      <c r="AC181" s="1170"/>
      <c r="AD181" s="1170"/>
      <c r="AE181" s="1170"/>
      <c r="AF181" s="1170"/>
      <c r="AG181" s="1170"/>
      <c r="AH181" s="1170"/>
      <c r="AI181" s="1170"/>
      <c r="AJ181" s="1170"/>
      <c r="AK181" s="1170"/>
      <c r="AL181" s="1170"/>
      <c r="AM181" s="1170"/>
      <c r="AN181" s="1170"/>
      <c r="AO181" s="1170"/>
      <c r="AP181" s="1170"/>
      <c r="AQ181" s="1170"/>
      <c r="AR181" s="1170"/>
      <c r="AS181" s="1170"/>
      <c r="AT181" s="1170"/>
      <c r="AU181" s="1170"/>
      <c r="AV181" s="1170"/>
      <c r="AW181" s="1170"/>
      <c r="AX181" s="1170"/>
      <c r="AY181" s="1170"/>
      <c r="AZ181" s="1170"/>
      <c r="BA181" s="1170"/>
      <c r="BB181" s="1170"/>
      <c r="BC181" s="1170"/>
      <c r="BD181" s="1170"/>
      <c r="BE181" s="1170"/>
      <c r="BF181" s="1170"/>
      <c r="BG181" s="1170"/>
      <c r="BH181" s="1170"/>
      <c r="BI181" s="1170"/>
      <c r="BJ181" s="1170"/>
      <c r="BK181" s="1143"/>
    </row>
    <row r="182" spans="1:63" s="1168" customFormat="1" ht="15" customHeight="1" x14ac:dyDescent="0.2">
      <c r="A182" s="63"/>
      <c r="B182" s="1723" t="s">
        <v>178</v>
      </c>
      <c r="C182" s="1723"/>
      <c r="D182" s="1723"/>
      <c r="E182" s="1723"/>
      <c r="F182" s="1425"/>
      <c r="G182" s="629"/>
      <c r="H182" s="629"/>
      <c r="I182" s="1465"/>
      <c r="J182" s="1518"/>
      <c r="K182" s="1610"/>
      <c r="L182" s="1518"/>
      <c r="M182" s="1465"/>
      <c r="N182" s="1170"/>
      <c r="O182" s="1575"/>
      <c r="P182" s="1575"/>
      <c r="Q182" s="1170"/>
      <c r="R182" s="1170"/>
      <c r="S182" s="1170"/>
      <c r="T182" s="1170"/>
      <c r="U182" s="1170"/>
      <c r="V182" s="1170"/>
      <c r="W182" s="1170"/>
      <c r="X182" s="1170"/>
      <c r="Y182" s="1170"/>
      <c r="Z182" s="1170"/>
      <c r="AA182" s="1170"/>
      <c r="AB182" s="1170"/>
      <c r="AC182" s="1170"/>
      <c r="AD182" s="1170"/>
      <c r="AE182" s="1170"/>
      <c r="AF182" s="1170"/>
      <c r="AG182" s="1170"/>
      <c r="AH182" s="1170"/>
      <c r="AI182" s="1170"/>
      <c r="AJ182" s="1170"/>
      <c r="AK182" s="1170"/>
      <c r="AL182" s="1170"/>
      <c r="AM182" s="1170"/>
      <c r="AN182" s="1170"/>
      <c r="AO182" s="1170"/>
      <c r="AP182" s="1170"/>
      <c r="AQ182" s="1170"/>
      <c r="AR182" s="1170"/>
      <c r="AS182" s="1170"/>
      <c r="AT182" s="1170"/>
      <c r="AU182" s="1170"/>
      <c r="AV182" s="1170"/>
      <c r="AW182" s="1170"/>
      <c r="AX182" s="1170"/>
      <c r="AY182" s="1170"/>
      <c r="AZ182" s="1170"/>
      <c r="BA182" s="1170"/>
      <c r="BB182" s="1170"/>
      <c r="BC182" s="1170"/>
      <c r="BD182" s="1170"/>
      <c r="BE182" s="1170"/>
      <c r="BF182" s="1170"/>
      <c r="BG182" s="1170"/>
      <c r="BH182" s="1170"/>
      <c r="BI182" s="1170"/>
      <c r="BJ182" s="1170"/>
      <c r="BK182" s="1143"/>
    </row>
    <row r="183" spans="1:63" ht="15" customHeight="1" x14ac:dyDescent="0.2">
      <c r="A183" s="1076"/>
      <c r="B183" s="1074"/>
      <c r="G183" s="1074"/>
      <c r="H183" s="1074"/>
      <c r="I183" s="1074"/>
      <c r="J183" s="1074"/>
      <c r="BK183" s="1075"/>
    </row>
    <row r="184" spans="1:63" ht="15" customHeight="1" x14ac:dyDescent="0.2">
      <c r="A184" s="1076"/>
      <c r="B184" s="1516" t="s">
        <v>1324</v>
      </c>
      <c r="C184" s="1516"/>
      <c r="D184" s="1516"/>
      <c r="E184" s="1516"/>
      <c r="F184" s="1455" t="str">
        <f>IF(AND(ISNUMBER(F182),ISNUMBER(J182),ISNUMBER(L182)),F182+J182+L182,"")</f>
        <v/>
      </c>
      <c r="G184" s="183"/>
      <c r="H184" s="183"/>
      <c r="I184" s="183"/>
      <c r="J184" s="183"/>
      <c r="K184" s="183"/>
      <c r="L184" s="183"/>
      <c r="M184" s="183"/>
      <c r="BK184" s="1075"/>
    </row>
    <row r="185" spans="1:63" ht="15" customHeight="1" x14ac:dyDescent="0.2">
      <c r="A185" s="1076"/>
      <c r="B185" s="1074"/>
      <c r="G185" s="1074"/>
      <c r="H185" s="1074"/>
      <c r="I185" s="1074"/>
      <c r="J185" s="1074"/>
      <c r="BK185" s="1075"/>
    </row>
    <row r="186" spans="1:63" s="207" customFormat="1" ht="30" customHeight="1" x14ac:dyDescent="0.25">
      <c r="A186" s="1377" t="s">
        <v>1289</v>
      </c>
      <c r="B186" s="18"/>
      <c r="C186" s="16"/>
      <c r="D186" s="16"/>
      <c r="E186" s="16"/>
      <c r="F186" s="16"/>
      <c r="G186" s="203"/>
      <c r="H186" s="203"/>
      <c r="I186" s="203"/>
      <c r="J186" s="203"/>
      <c r="K186" s="180"/>
      <c r="L186" s="180"/>
      <c r="M186" s="180"/>
      <c r="N186" s="180"/>
      <c r="O186" s="180"/>
      <c r="P186" s="180"/>
      <c r="Q186" s="180"/>
      <c r="R186" s="180"/>
      <c r="S186" s="180"/>
      <c r="T186" s="180"/>
      <c r="U186" s="180"/>
      <c r="V186" s="180"/>
      <c r="W186" s="180"/>
      <c r="X186" s="180"/>
      <c r="Y186" s="180"/>
      <c r="Z186" s="180"/>
      <c r="AA186" s="180"/>
      <c r="AB186" s="180"/>
      <c r="AC186" s="180"/>
      <c r="AD186" s="180"/>
      <c r="AE186" s="180"/>
      <c r="AF186" s="180"/>
      <c r="AG186" s="180"/>
      <c r="AH186" s="180"/>
      <c r="AI186" s="180"/>
      <c r="AJ186" s="180"/>
      <c r="AK186" s="180"/>
      <c r="AL186" s="180"/>
      <c r="AM186" s="180"/>
      <c r="AN186" s="180"/>
      <c r="AO186" s="180"/>
      <c r="AP186" s="180"/>
      <c r="AQ186" s="180"/>
      <c r="AR186" s="180"/>
      <c r="AS186" s="180"/>
      <c r="AT186" s="180"/>
      <c r="AU186" s="180"/>
      <c r="AV186" s="180"/>
      <c r="AW186" s="180"/>
      <c r="AX186" s="180"/>
      <c r="AY186" s="180"/>
      <c r="AZ186" s="180"/>
      <c r="BA186" s="180"/>
      <c r="BB186" s="180"/>
      <c r="BC186" s="180"/>
      <c r="BD186" s="180"/>
      <c r="BE186" s="180"/>
      <c r="BF186" s="180"/>
      <c r="BG186" s="180"/>
      <c r="BH186" s="180"/>
      <c r="BI186" s="180"/>
      <c r="BJ186" s="180"/>
      <c r="BK186" s="181"/>
    </row>
    <row r="187" spans="1:63" s="1073" customFormat="1" ht="30" customHeight="1" x14ac:dyDescent="0.25">
      <c r="A187" s="1053" t="s">
        <v>1261</v>
      </c>
      <c r="B187" s="46"/>
      <c r="C187" s="46"/>
      <c r="D187" s="46"/>
      <c r="E187" s="46"/>
      <c r="F187" s="46"/>
      <c r="G187" s="46"/>
      <c r="H187" s="46"/>
      <c r="I187" s="46"/>
      <c r="J187" s="46"/>
      <c r="BK187" s="1072"/>
    </row>
    <row r="188" spans="1:63" s="1073" customFormat="1" ht="30" customHeight="1" x14ac:dyDescent="0.25">
      <c r="A188" s="1053" t="s">
        <v>1290</v>
      </c>
      <c r="B188" s="46"/>
      <c r="C188" s="46"/>
      <c r="D188" s="46"/>
      <c r="E188" s="46"/>
      <c r="F188" s="46"/>
      <c r="G188" s="46"/>
      <c r="H188" s="46"/>
      <c r="I188" s="46"/>
      <c r="J188" s="46"/>
      <c r="BK188" s="1072"/>
    </row>
    <row r="189" spans="1:63" ht="15" customHeight="1" x14ac:dyDescent="0.2">
      <c r="A189" s="1076"/>
      <c r="B189" s="1074"/>
      <c r="G189" s="1074"/>
      <c r="H189" s="1074"/>
      <c r="I189" s="1074"/>
      <c r="J189" s="1074"/>
      <c r="BK189" s="1075"/>
    </row>
    <row r="190" spans="1:63" ht="15" customHeight="1" x14ac:dyDescent="0.2">
      <c r="A190" s="1076"/>
      <c r="B190" s="1699" t="s">
        <v>1250</v>
      </c>
      <c r="C190" s="1699"/>
      <c r="D190" s="1699"/>
      <c r="E190" s="1699"/>
      <c r="F190" s="1698" t="s">
        <v>1291</v>
      </c>
      <c r="G190" s="1722"/>
      <c r="H190" s="1722"/>
      <c r="I190" s="1722"/>
      <c r="J190" s="1722"/>
      <c r="K190" s="1722"/>
      <c r="L190" s="1722"/>
      <c r="M190" s="1722"/>
      <c r="N190" s="1722"/>
      <c r="O190" s="1722"/>
      <c r="P190" s="1722"/>
      <c r="Q190" s="1722"/>
      <c r="BK190" s="1075"/>
    </row>
    <row r="191" spans="1:63" ht="15" customHeight="1" x14ac:dyDescent="0.2">
      <c r="A191" s="1076"/>
      <c r="B191" s="1701"/>
      <c r="C191" s="1701"/>
      <c r="D191" s="1701"/>
      <c r="E191" s="1701"/>
      <c r="F191" s="1707" t="s">
        <v>1292</v>
      </c>
      <c r="G191" s="1708"/>
      <c r="H191" s="1708"/>
      <c r="I191" s="1709"/>
      <c r="J191" s="1710" t="s">
        <v>1293</v>
      </c>
      <c r="K191" s="1708"/>
      <c r="L191" s="1708"/>
      <c r="M191" s="1709"/>
      <c r="N191" s="1710" t="s">
        <v>1295</v>
      </c>
      <c r="O191" s="1708"/>
      <c r="P191" s="1708"/>
      <c r="Q191" s="1708"/>
      <c r="BK191" s="1075"/>
    </row>
    <row r="192" spans="1:63" ht="15" customHeight="1" x14ac:dyDescent="0.2">
      <c r="A192" s="1076"/>
      <c r="B192" s="1701"/>
      <c r="C192" s="1701"/>
      <c r="D192" s="1701"/>
      <c r="E192" s="1701"/>
      <c r="F192" s="1711" t="s">
        <v>1326</v>
      </c>
      <c r="G192" s="1714"/>
      <c r="H192" s="1711" t="s">
        <v>1327</v>
      </c>
      <c r="I192" s="1712"/>
      <c r="J192" s="1713" t="s">
        <v>1326</v>
      </c>
      <c r="K192" s="1714"/>
      <c r="L192" s="1711" t="s">
        <v>1327</v>
      </c>
      <c r="M192" s="1712"/>
      <c r="N192" s="1713" t="s">
        <v>1326</v>
      </c>
      <c r="O192" s="1714"/>
      <c r="P192" s="1711" t="s">
        <v>1327</v>
      </c>
      <c r="Q192" s="1715"/>
      <c r="BK192" s="1075"/>
    </row>
    <row r="193" spans="1:63" ht="45" customHeight="1" x14ac:dyDescent="0.2">
      <c r="A193" s="1076"/>
      <c r="B193" s="1703"/>
      <c r="C193" s="1703"/>
      <c r="D193" s="1703"/>
      <c r="E193" s="1703"/>
      <c r="F193" s="1449" t="s">
        <v>1294</v>
      </c>
      <c r="G193" s="1449" t="s">
        <v>1296</v>
      </c>
      <c r="H193" s="1449" t="s">
        <v>1294</v>
      </c>
      <c r="I193" s="1450" t="s">
        <v>1296</v>
      </c>
      <c r="J193" s="1451" t="s">
        <v>1294</v>
      </c>
      <c r="K193" s="1449" t="s">
        <v>1296</v>
      </c>
      <c r="L193" s="1449" t="s">
        <v>1294</v>
      </c>
      <c r="M193" s="1452" t="s">
        <v>1296</v>
      </c>
      <c r="N193" s="1448" t="s">
        <v>1294</v>
      </c>
      <c r="O193" s="1449" t="s">
        <v>1296</v>
      </c>
      <c r="P193" s="1449" t="s">
        <v>1294</v>
      </c>
      <c r="Q193" s="1450" t="s">
        <v>1296</v>
      </c>
      <c r="BK193" s="1075"/>
    </row>
    <row r="194" spans="1:63" ht="15" customHeight="1" x14ac:dyDescent="0.2">
      <c r="A194" s="1076"/>
      <c r="B194" s="1446" t="s">
        <v>1297</v>
      </c>
      <c r="C194" s="1446"/>
      <c r="D194" s="1056"/>
      <c r="E194" s="1056"/>
      <c r="F194" s="314"/>
      <c r="G194" s="314"/>
      <c r="H194" s="314"/>
      <c r="I194" s="1424"/>
      <c r="J194" s="1426"/>
      <c r="K194" s="314"/>
      <c r="L194" s="314"/>
      <c r="M194" s="1427"/>
      <c r="N194" s="1401"/>
      <c r="O194" s="314"/>
      <c r="P194" s="314"/>
      <c r="Q194" s="1424"/>
      <c r="BK194" s="1075"/>
    </row>
    <row r="195" spans="1:63" ht="15" customHeight="1" x14ac:dyDescent="0.2">
      <c r="A195" s="1076"/>
      <c r="B195" s="1447" t="s">
        <v>1298</v>
      </c>
      <c r="C195" s="1447"/>
      <c r="D195" s="1057"/>
      <c r="E195" s="1057"/>
      <c r="F195" s="265"/>
      <c r="G195" s="265"/>
      <c r="H195" s="265"/>
      <c r="I195" s="273"/>
      <c r="J195" s="1428"/>
      <c r="K195" s="265"/>
      <c r="L195" s="265"/>
      <c r="M195" s="1429"/>
      <c r="N195" s="1402"/>
      <c r="O195" s="265"/>
      <c r="P195" s="265"/>
      <c r="Q195" s="273"/>
      <c r="BK195" s="1075"/>
    </row>
    <row r="196" spans="1:63" ht="15" customHeight="1" x14ac:dyDescent="0.2">
      <c r="A196" s="1076"/>
      <c r="B196" s="1057" t="s">
        <v>497</v>
      </c>
      <c r="C196" s="1057"/>
      <c r="D196" s="1057"/>
      <c r="E196" s="1057"/>
      <c r="F196" s="265"/>
      <c r="G196" s="265"/>
      <c r="H196" s="265"/>
      <c r="I196" s="273"/>
      <c r="J196" s="1428"/>
      <c r="K196" s="265"/>
      <c r="L196" s="265"/>
      <c r="M196" s="1429"/>
      <c r="N196" s="1402"/>
      <c r="O196" s="265"/>
      <c r="P196" s="265"/>
      <c r="Q196" s="273"/>
      <c r="BK196" s="1075"/>
    </row>
    <row r="197" spans="1:63" ht="15" customHeight="1" x14ac:dyDescent="0.2">
      <c r="A197" s="1076"/>
      <c r="B197" s="1057" t="s">
        <v>1299</v>
      </c>
      <c r="C197" s="1057"/>
      <c r="D197" s="1057"/>
      <c r="E197" s="1057"/>
      <c r="F197" s="265"/>
      <c r="G197" s="265"/>
      <c r="H197" s="265"/>
      <c r="I197" s="273"/>
      <c r="J197" s="1428"/>
      <c r="K197" s="265"/>
      <c r="L197" s="265"/>
      <c r="M197" s="1429"/>
      <c r="N197" s="1402"/>
      <c r="O197" s="265"/>
      <c r="P197" s="265"/>
      <c r="Q197" s="273"/>
      <c r="BK197" s="1075"/>
    </row>
    <row r="198" spans="1:63" ht="15" customHeight="1" x14ac:dyDescent="0.2">
      <c r="A198" s="1076"/>
      <c r="B198" s="1057" t="s">
        <v>1300</v>
      </c>
      <c r="C198" s="1057"/>
      <c r="D198" s="1057"/>
      <c r="E198" s="1057"/>
      <c r="F198" s="265"/>
      <c r="G198" s="265"/>
      <c r="H198" s="265"/>
      <c r="I198" s="273"/>
      <c r="J198" s="1428"/>
      <c r="K198" s="265"/>
      <c r="L198" s="265"/>
      <c r="M198" s="1429"/>
      <c r="N198" s="1402"/>
      <c r="O198" s="265"/>
      <c r="P198" s="265"/>
      <c r="Q198" s="273"/>
      <c r="BK198" s="1075"/>
    </row>
    <row r="199" spans="1:63" ht="15" customHeight="1" x14ac:dyDescent="0.2">
      <c r="A199" s="1076"/>
      <c r="B199" s="1057" t="s">
        <v>498</v>
      </c>
      <c r="C199" s="1057"/>
      <c r="D199" s="1057"/>
      <c r="E199" s="1057"/>
      <c r="F199" s="265"/>
      <c r="G199" s="265"/>
      <c r="H199" s="265"/>
      <c r="I199" s="273"/>
      <c r="J199" s="1428"/>
      <c r="K199" s="265"/>
      <c r="L199" s="265"/>
      <c r="M199" s="1429"/>
      <c r="N199" s="1402"/>
      <c r="O199" s="265"/>
      <c r="P199" s="265"/>
      <c r="Q199" s="273"/>
      <c r="BK199" s="1075"/>
    </row>
    <row r="200" spans="1:63" ht="15" customHeight="1" x14ac:dyDescent="0.2">
      <c r="A200" s="1076"/>
      <c r="B200" s="1057" t="s">
        <v>1301</v>
      </c>
      <c r="C200" s="1057"/>
      <c r="D200" s="1057"/>
      <c r="E200" s="1057"/>
      <c r="F200" s="265"/>
      <c r="G200" s="265"/>
      <c r="H200" s="265"/>
      <c r="I200" s="273"/>
      <c r="J200" s="1428"/>
      <c r="K200" s="265"/>
      <c r="L200" s="265"/>
      <c r="M200" s="1429"/>
      <c r="N200" s="1402"/>
      <c r="O200" s="265"/>
      <c r="P200" s="265"/>
      <c r="Q200" s="273"/>
      <c r="BK200" s="1075"/>
    </row>
    <row r="201" spans="1:63" ht="15" customHeight="1" x14ac:dyDescent="0.2">
      <c r="A201" s="1076"/>
      <c r="B201" s="1057" t="s">
        <v>1302</v>
      </c>
      <c r="C201" s="1057"/>
      <c r="D201" s="1057"/>
      <c r="E201" s="1057"/>
      <c r="F201" s="265"/>
      <c r="G201" s="265"/>
      <c r="H201" s="265"/>
      <c r="I201" s="273"/>
      <c r="J201" s="1428"/>
      <c r="K201" s="265"/>
      <c r="L201" s="265"/>
      <c r="M201" s="1429"/>
      <c r="N201" s="1402"/>
      <c r="O201" s="265"/>
      <c r="P201" s="265"/>
      <c r="Q201" s="273"/>
      <c r="BK201" s="1075"/>
    </row>
    <row r="202" spans="1:63" ht="15" customHeight="1" x14ac:dyDescent="0.2">
      <c r="A202" s="1076"/>
      <c r="B202" s="1058" t="s">
        <v>1303</v>
      </c>
      <c r="C202" s="1058"/>
      <c r="D202" s="1058"/>
      <c r="E202" s="1058"/>
      <c r="F202" s="321"/>
      <c r="G202" s="321"/>
      <c r="H202" s="321"/>
      <c r="I202" s="275"/>
      <c r="J202" s="1430"/>
      <c r="K202" s="321"/>
      <c r="L202" s="321"/>
      <c r="M202" s="1431"/>
      <c r="N202" s="1405"/>
      <c r="O202" s="321"/>
      <c r="P202" s="321"/>
      <c r="Q202" s="275"/>
      <c r="BK202" s="1075"/>
    </row>
    <row r="203" spans="1:63" ht="15" customHeight="1" x14ac:dyDescent="0.2">
      <c r="A203" s="1076"/>
      <c r="B203" s="1074"/>
      <c r="G203" s="1074"/>
      <c r="H203" s="1074"/>
      <c r="I203" s="1074"/>
      <c r="J203" s="1074"/>
      <c r="BK203" s="1075"/>
    </row>
    <row r="204" spans="1:63" s="1073" customFormat="1" ht="30" customHeight="1" x14ac:dyDescent="0.25">
      <c r="A204" s="1053" t="s">
        <v>1304</v>
      </c>
      <c r="B204" s="46"/>
      <c r="C204" s="46"/>
      <c r="D204" s="46"/>
      <c r="E204" s="46"/>
      <c r="F204" s="46"/>
      <c r="G204" s="46"/>
      <c r="H204" s="46"/>
      <c r="I204" s="46"/>
      <c r="J204" s="46"/>
      <c r="BK204" s="1072"/>
    </row>
    <row r="205" spans="1:63" ht="15" customHeight="1" x14ac:dyDescent="0.2">
      <c r="A205" s="1076"/>
      <c r="B205" s="1074"/>
      <c r="G205" s="1074"/>
      <c r="H205" s="1074"/>
      <c r="I205" s="1074"/>
      <c r="J205" s="1074"/>
      <c r="BK205" s="1075"/>
    </row>
    <row r="206" spans="1:63" ht="15" customHeight="1" x14ac:dyDescent="0.2">
      <c r="A206" s="1076"/>
      <c r="B206" s="1699" t="s">
        <v>1250</v>
      </c>
      <c r="C206" s="1699"/>
      <c r="D206" s="1699"/>
      <c r="E206" s="1699"/>
      <c r="F206" s="1698" t="s">
        <v>1291</v>
      </c>
      <c r="G206" s="1722"/>
      <c r="H206" s="1722"/>
      <c r="I206" s="1722"/>
      <c r="J206" s="1722"/>
      <c r="K206" s="1722"/>
      <c r="L206" s="1722"/>
      <c r="M206" s="1722"/>
      <c r="N206" s="1722"/>
      <c r="O206" s="1722"/>
      <c r="P206" s="1722"/>
      <c r="Q206" s="1722"/>
      <c r="BK206" s="1075"/>
    </row>
    <row r="207" spans="1:63" ht="15" customHeight="1" x14ac:dyDescent="0.2">
      <c r="A207" s="1076"/>
      <c r="B207" s="1701"/>
      <c r="C207" s="1701"/>
      <c r="D207" s="1701"/>
      <c r="E207" s="1701"/>
      <c r="F207" s="1707" t="s">
        <v>1292</v>
      </c>
      <c r="G207" s="1708"/>
      <c r="H207" s="1708"/>
      <c r="I207" s="1709"/>
      <c r="J207" s="1710" t="s">
        <v>1293</v>
      </c>
      <c r="K207" s="1708"/>
      <c r="L207" s="1708"/>
      <c r="M207" s="1709"/>
      <c r="N207" s="1710" t="s">
        <v>1295</v>
      </c>
      <c r="O207" s="1708"/>
      <c r="P207" s="1708"/>
      <c r="Q207" s="1708"/>
      <c r="BK207" s="1075"/>
    </row>
    <row r="208" spans="1:63" ht="15" customHeight="1" x14ac:dyDescent="0.2">
      <c r="A208" s="1076"/>
      <c r="B208" s="1701"/>
      <c r="C208" s="1701"/>
      <c r="D208" s="1701"/>
      <c r="E208" s="1701"/>
      <c r="F208" s="1711" t="s">
        <v>1326</v>
      </c>
      <c r="G208" s="1714"/>
      <c r="H208" s="1711" t="s">
        <v>1327</v>
      </c>
      <c r="I208" s="1712"/>
      <c r="J208" s="1713" t="s">
        <v>1326</v>
      </c>
      <c r="K208" s="1714"/>
      <c r="L208" s="1711" t="s">
        <v>1327</v>
      </c>
      <c r="M208" s="1712"/>
      <c r="N208" s="1713" t="s">
        <v>1326</v>
      </c>
      <c r="O208" s="1714"/>
      <c r="P208" s="1711" t="s">
        <v>1327</v>
      </c>
      <c r="Q208" s="1715"/>
      <c r="BK208" s="1075"/>
    </row>
    <row r="209" spans="1:63" ht="45" customHeight="1" x14ac:dyDescent="0.2">
      <c r="A209" s="1076"/>
      <c r="B209" s="1703"/>
      <c r="C209" s="1703"/>
      <c r="D209" s="1703"/>
      <c r="E209" s="1703"/>
      <c r="F209" s="1449" t="s">
        <v>1294</v>
      </c>
      <c r="G209" s="1449" t="s">
        <v>1296</v>
      </c>
      <c r="H209" s="1449" t="s">
        <v>1294</v>
      </c>
      <c r="I209" s="1450" t="s">
        <v>1296</v>
      </c>
      <c r="J209" s="1451" t="s">
        <v>1294</v>
      </c>
      <c r="K209" s="1449" t="s">
        <v>1296</v>
      </c>
      <c r="L209" s="1449" t="s">
        <v>1294</v>
      </c>
      <c r="M209" s="1452" t="s">
        <v>1296</v>
      </c>
      <c r="N209" s="1448" t="s">
        <v>1294</v>
      </c>
      <c r="O209" s="1449" t="s">
        <v>1296</v>
      </c>
      <c r="P209" s="1449" t="s">
        <v>1294</v>
      </c>
      <c r="Q209" s="1450" t="s">
        <v>1296</v>
      </c>
      <c r="BK209" s="1075"/>
    </row>
    <row r="210" spans="1:63" ht="15" customHeight="1" x14ac:dyDescent="0.2">
      <c r="A210" s="1076"/>
      <c r="B210" s="1446" t="s">
        <v>1297</v>
      </c>
      <c r="C210" s="1446"/>
      <c r="D210" s="1056"/>
      <c r="E210" s="1056"/>
      <c r="F210" s="314"/>
      <c r="G210" s="314"/>
      <c r="H210" s="314"/>
      <c r="I210" s="1424"/>
      <c r="J210" s="1426"/>
      <c r="K210" s="314"/>
      <c r="L210" s="314"/>
      <c r="M210" s="1427"/>
      <c r="N210" s="1401"/>
      <c r="O210" s="314"/>
      <c r="P210" s="314"/>
      <c r="Q210" s="1424"/>
      <c r="BK210" s="1075"/>
    </row>
    <row r="211" spans="1:63" ht="15" customHeight="1" x14ac:dyDescent="0.2">
      <c r="A211" s="1076"/>
      <c r="B211" s="1447" t="s">
        <v>1298</v>
      </c>
      <c r="C211" s="1447"/>
      <c r="D211" s="1057"/>
      <c r="E211" s="1057"/>
      <c r="F211" s="265"/>
      <c r="G211" s="265"/>
      <c r="H211" s="265"/>
      <c r="I211" s="273"/>
      <c r="J211" s="1428"/>
      <c r="K211" s="265"/>
      <c r="L211" s="265"/>
      <c r="M211" s="1429"/>
      <c r="N211" s="1402"/>
      <c r="O211" s="265"/>
      <c r="P211" s="265"/>
      <c r="Q211" s="273"/>
      <c r="BK211" s="1075"/>
    </row>
    <row r="212" spans="1:63" ht="15" customHeight="1" x14ac:dyDescent="0.2">
      <c r="A212" s="1076"/>
      <c r="B212" s="1057" t="s">
        <v>497</v>
      </c>
      <c r="C212" s="1057"/>
      <c r="D212" s="1057"/>
      <c r="E212" s="1057"/>
      <c r="F212" s="265"/>
      <c r="G212" s="265"/>
      <c r="H212" s="265"/>
      <c r="I212" s="273"/>
      <c r="J212" s="1428"/>
      <c r="K212" s="265"/>
      <c r="L212" s="265"/>
      <c r="M212" s="1429"/>
      <c r="N212" s="1402"/>
      <c r="O212" s="265"/>
      <c r="P212" s="265"/>
      <c r="Q212" s="273"/>
      <c r="BK212" s="1075"/>
    </row>
    <row r="213" spans="1:63" ht="15" customHeight="1" x14ac:dyDescent="0.2">
      <c r="A213" s="1076"/>
      <c r="B213" s="1057" t="s">
        <v>1299</v>
      </c>
      <c r="C213" s="1057"/>
      <c r="D213" s="1057"/>
      <c r="E213" s="1057"/>
      <c r="F213" s="265"/>
      <c r="G213" s="265"/>
      <c r="H213" s="265"/>
      <c r="I213" s="273"/>
      <c r="J213" s="1428"/>
      <c r="K213" s="265"/>
      <c r="L213" s="265"/>
      <c r="M213" s="1429"/>
      <c r="N213" s="1402"/>
      <c r="O213" s="265"/>
      <c r="P213" s="265"/>
      <c r="Q213" s="273"/>
      <c r="BK213" s="1075"/>
    </row>
    <row r="214" spans="1:63" ht="15" customHeight="1" x14ac:dyDescent="0.2">
      <c r="A214" s="1076"/>
      <c r="B214" s="1057" t="s">
        <v>1300</v>
      </c>
      <c r="C214" s="1057"/>
      <c r="D214" s="1057"/>
      <c r="E214" s="1057"/>
      <c r="F214" s="265"/>
      <c r="G214" s="265"/>
      <c r="H214" s="265"/>
      <c r="I214" s="273"/>
      <c r="J214" s="1428"/>
      <c r="K214" s="265"/>
      <c r="L214" s="265"/>
      <c r="M214" s="1429"/>
      <c r="N214" s="1402"/>
      <c r="O214" s="265"/>
      <c r="P214" s="265"/>
      <c r="Q214" s="273"/>
      <c r="BK214" s="1075"/>
    </row>
    <row r="215" spans="1:63" ht="15" customHeight="1" x14ac:dyDescent="0.2">
      <c r="A215" s="1076"/>
      <c r="B215" s="1057" t="s">
        <v>498</v>
      </c>
      <c r="C215" s="1057"/>
      <c r="D215" s="1057"/>
      <c r="E215" s="1057"/>
      <c r="F215" s="265"/>
      <c r="G215" s="265"/>
      <c r="H215" s="265"/>
      <c r="I215" s="273"/>
      <c r="J215" s="1428"/>
      <c r="K215" s="265"/>
      <c r="L215" s="265"/>
      <c r="M215" s="1429"/>
      <c r="N215" s="1402"/>
      <c r="O215" s="265"/>
      <c r="P215" s="265"/>
      <c r="Q215" s="273"/>
      <c r="BK215" s="1075"/>
    </row>
    <row r="216" spans="1:63" ht="15" customHeight="1" x14ac:dyDescent="0.2">
      <c r="A216" s="1076"/>
      <c r="B216" s="1057" t="s">
        <v>1301</v>
      </c>
      <c r="C216" s="1057"/>
      <c r="D216" s="1057"/>
      <c r="E216" s="1057"/>
      <c r="F216" s="265"/>
      <c r="G216" s="265"/>
      <c r="H216" s="265"/>
      <c r="I216" s="273"/>
      <c r="J216" s="1428"/>
      <c r="K216" s="265"/>
      <c r="L216" s="265"/>
      <c r="M216" s="1429"/>
      <c r="N216" s="1402"/>
      <c r="O216" s="265"/>
      <c r="P216" s="265"/>
      <c r="Q216" s="273"/>
      <c r="BK216" s="1075"/>
    </row>
    <row r="217" spans="1:63" ht="15" customHeight="1" x14ac:dyDescent="0.2">
      <c r="A217" s="1076"/>
      <c r="B217" s="1057" t="s">
        <v>1302</v>
      </c>
      <c r="C217" s="1057"/>
      <c r="D217" s="1057"/>
      <c r="E217" s="1057"/>
      <c r="F217" s="265"/>
      <c r="G217" s="265"/>
      <c r="H217" s="265"/>
      <c r="I217" s="273"/>
      <c r="J217" s="1428"/>
      <c r="K217" s="265"/>
      <c r="L217" s="265"/>
      <c r="M217" s="1429"/>
      <c r="N217" s="1402"/>
      <c r="O217" s="265"/>
      <c r="P217" s="265"/>
      <c r="Q217" s="273"/>
      <c r="BK217" s="1075"/>
    </row>
    <row r="218" spans="1:63" ht="15" customHeight="1" x14ac:dyDescent="0.2">
      <c r="A218" s="1076"/>
      <c r="B218" s="1058" t="s">
        <v>1303</v>
      </c>
      <c r="C218" s="1058"/>
      <c r="D218" s="1058"/>
      <c r="E218" s="1058"/>
      <c r="F218" s="321"/>
      <c r="G218" s="321"/>
      <c r="H218" s="321"/>
      <c r="I218" s="275"/>
      <c r="J218" s="1430"/>
      <c r="K218" s="321"/>
      <c r="L218" s="321"/>
      <c r="M218" s="1431"/>
      <c r="N218" s="1405"/>
      <c r="O218" s="321"/>
      <c r="P218" s="321"/>
      <c r="Q218" s="275"/>
      <c r="BK218" s="1075"/>
    </row>
    <row r="219" spans="1:63" ht="15" customHeight="1" x14ac:dyDescent="0.2">
      <c r="A219" s="1076"/>
      <c r="B219" s="1074"/>
      <c r="G219" s="1074"/>
      <c r="H219" s="1074"/>
      <c r="I219" s="1074"/>
      <c r="J219" s="1074"/>
      <c r="BK219" s="1075"/>
    </row>
    <row r="220" spans="1:63" s="1073" customFormat="1" ht="30" customHeight="1" x14ac:dyDescent="0.25">
      <c r="A220" s="1053" t="s">
        <v>1336</v>
      </c>
      <c r="B220" s="46"/>
      <c r="C220" s="46"/>
      <c r="D220" s="46"/>
      <c r="E220" s="46"/>
      <c r="F220" s="46"/>
      <c r="G220" s="46"/>
      <c r="H220" s="46"/>
      <c r="I220" s="46"/>
      <c r="J220" s="46"/>
      <c r="BK220" s="1072"/>
    </row>
    <row r="221" spans="1:63" ht="15" customHeight="1" x14ac:dyDescent="0.2">
      <c r="A221" s="1076"/>
      <c r="B221" s="1074"/>
      <c r="G221" s="1074"/>
      <c r="H221" s="1074"/>
      <c r="I221" s="1074"/>
      <c r="J221" s="1074"/>
      <c r="BK221" s="1075"/>
    </row>
    <row r="222" spans="1:63" ht="15" customHeight="1" x14ac:dyDescent="0.2">
      <c r="A222" s="1076"/>
      <c r="B222" s="1716" t="s">
        <v>1250</v>
      </c>
      <c r="C222" s="1716"/>
      <c r="D222" s="1716"/>
      <c r="E222" s="1717"/>
      <c r="F222" s="1698" t="s">
        <v>1328</v>
      </c>
      <c r="G222" s="1722"/>
      <c r="H222" s="1722"/>
      <c r="I222" s="1722"/>
      <c r="J222" s="1722"/>
      <c r="K222" s="1722"/>
      <c r="L222" s="1722"/>
      <c r="M222" s="1722"/>
      <c r="N222" s="1722"/>
      <c r="O222" s="1722"/>
      <c r="P222" s="1722"/>
      <c r="Q222" s="1722"/>
      <c r="BK222" s="1075"/>
    </row>
    <row r="223" spans="1:63" ht="15" customHeight="1" x14ac:dyDescent="0.2">
      <c r="A223" s="1076"/>
      <c r="B223" s="1718"/>
      <c r="C223" s="1718"/>
      <c r="D223" s="1718"/>
      <c r="E223" s="1719"/>
      <c r="F223" s="1707" t="s">
        <v>1292</v>
      </c>
      <c r="G223" s="1708"/>
      <c r="H223" s="1708"/>
      <c r="I223" s="1709"/>
      <c r="J223" s="1710" t="s">
        <v>1293</v>
      </c>
      <c r="K223" s="1708"/>
      <c r="L223" s="1708"/>
      <c r="M223" s="1709"/>
      <c r="N223" s="1710" t="s">
        <v>1295</v>
      </c>
      <c r="O223" s="1708"/>
      <c r="P223" s="1708"/>
      <c r="Q223" s="1708"/>
      <c r="BK223" s="1075"/>
    </row>
    <row r="224" spans="1:63" ht="15" customHeight="1" x14ac:dyDescent="0.2">
      <c r="A224" s="1076"/>
      <c r="B224" s="1718"/>
      <c r="C224" s="1718"/>
      <c r="D224" s="1718"/>
      <c r="E224" s="1719"/>
      <c r="F224" s="1711" t="s">
        <v>1326</v>
      </c>
      <c r="G224" s="1714"/>
      <c r="H224" s="1711" t="s">
        <v>1327</v>
      </c>
      <c r="I224" s="1712"/>
      <c r="J224" s="1713" t="s">
        <v>1326</v>
      </c>
      <c r="K224" s="1714"/>
      <c r="L224" s="1711" t="s">
        <v>1327</v>
      </c>
      <c r="M224" s="1712"/>
      <c r="N224" s="1713" t="s">
        <v>1326</v>
      </c>
      <c r="O224" s="1714"/>
      <c r="P224" s="1711" t="s">
        <v>1327</v>
      </c>
      <c r="Q224" s="1715"/>
      <c r="BK224" s="1075"/>
    </row>
    <row r="225" spans="1:63" ht="45" customHeight="1" x14ac:dyDescent="0.2">
      <c r="A225" s="1076"/>
      <c r="B225" s="1720"/>
      <c r="C225" s="1720"/>
      <c r="D225" s="1720"/>
      <c r="E225" s="1721"/>
      <c r="F225" s="1449" t="s">
        <v>1294</v>
      </c>
      <c r="G225" s="1449" t="s">
        <v>1296</v>
      </c>
      <c r="H225" s="1449" t="s">
        <v>1294</v>
      </c>
      <c r="I225" s="1450" t="s">
        <v>1296</v>
      </c>
      <c r="J225" s="1451" t="s">
        <v>1294</v>
      </c>
      <c r="K225" s="1449" t="s">
        <v>1296</v>
      </c>
      <c r="L225" s="1449" t="s">
        <v>1294</v>
      </c>
      <c r="M225" s="1452" t="s">
        <v>1296</v>
      </c>
      <c r="N225" s="1448" t="s">
        <v>1294</v>
      </c>
      <c r="O225" s="1449" t="s">
        <v>1296</v>
      </c>
      <c r="P225" s="1449" t="s">
        <v>1294</v>
      </c>
      <c r="Q225" s="1450" t="s">
        <v>1296</v>
      </c>
      <c r="BK225" s="1075"/>
    </row>
    <row r="226" spans="1:63" ht="15" customHeight="1" x14ac:dyDescent="0.2">
      <c r="A226" s="1076"/>
      <c r="B226" s="1515" t="s">
        <v>1297</v>
      </c>
      <c r="C226" s="1515"/>
      <c r="D226" s="1522"/>
      <c r="E226" s="1364"/>
      <c r="F226" s="314"/>
      <c r="G226" s="314"/>
      <c r="H226" s="314"/>
      <c r="I226" s="1424"/>
      <c r="J226" s="1426"/>
      <c r="K226" s="314"/>
      <c r="L226" s="314"/>
      <c r="M226" s="1427"/>
      <c r="N226" s="1401"/>
      <c r="O226" s="314"/>
      <c r="P226" s="314"/>
      <c r="Q226" s="1424"/>
      <c r="BK226" s="1075"/>
    </row>
    <row r="227" spans="1:63" ht="15" customHeight="1" x14ac:dyDescent="0.2">
      <c r="A227" s="1076"/>
      <c r="B227" s="1447" t="s">
        <v>1298</v>
      </c>
      <c r="C227" s="1447"/>
      <c r="D227" s="1057"/>
      <c r="E227" s="1362"/>
      <c r="F227" s="265"/>
      <c r="G227" s="265"/>
      <c r="H227" s="265"/>
      <c r="I227" s="273"/>
      <c r="J227" s="1428"/>
      <c r="K227" s="265"/>
      <c r="L227" s="265"/>
      <c r="M227" s="1429"/>
      <c r="N227" s="1402"/>
      <c r="O227" s="265"/>
      <c r="P227" s="265"/>
      <c r="Q227" s="273"/>
      <c r="BK227" s="1075"/>
    </row>
    <row r="228" spans="1:63" ht="15" customHeight="1" x14ac:dyDescent="0.2">
      <c r="A228" s="1076"/>
      <c r="B228" s="1057" t="s">
        <v>497</v>
      </c>
      <c r="C228" s="1057"/>
      <c r="D228" s="1057"/>
      <c r="E228" s="1362"/>
      <c r="F228" s="265"/>
      <c r="G228" s="265"/>
      <c r="H228" s="265"/>
      <c r="I228" s="273"/>
      <c r="J228" s="1428"/>
      <c r="K228" s="265"/>
      <c r="L228" s="265"/>
      <c r="M228" s="1429"/>
      <c r="N228" s="1402"/>
      <c r="O228" s="265"/>
      <c r="P228" s="265"/>
      <c r="Q228" s="273"/>
      <c r="BK228" s="1075"/>
    </row>
    <row r="229" spans="1:63" ht="15" customHeight="1" x14ac:dyDescent="0.2">
      <c r="A229" s="1076"/>
      <c r="B229" s="1057" t="s">
        <v>1299</v>
      </c>
      <c r="C229" s="1057"/>
      <c r="D229" s="1057"/>
      <c r="E229" s="1362"/>
      <c r="F229" s="265"/>
      <c r="G229" s="265"/>
      <c r="H229" s="265"/>
      <c r="I229" s="273"/>
      <c r="J229" s="1428"/>
      <c r="K229" s="265"/>
      <c r="L229" s="265"/>
      <c r="M229" s="1429"/>
      <c r="N229" s="1402"/>
      <c r="O229" s="265"/>
      <c r="P229" s="265"/>
      <c r="Q229" s="273"/>
      <c r="BK229" s="1075"/>
    </row>
    <row r="230" spans="1:63" ht="15" customHeight="1" x14ac:dyDescent="0.2">
      <c r="A230" s="1076"/>
      <c r="B230" s="1057" t="s">
        <v>1300</v>
      </c>
      <c r="C230" s="1057"/>
      <c r="D230" s="1057"/>
      <c r="E230" s="1362"/>
      <c r="F230" s="265"/>
      <c r="G230" s="265"/>
      <c r="H230" s="265"/>
      <c r="I230" s="273"/>
      <c r="J230" s="1428"/>
      <c r="K230" s="265"/>
      <c r="L230" s="265"/>
      <c r="M230" s="1429"/>
      <c r="N230" s="1402"/>
      <c r="O230" s="265"/>
      <c r="P230" s="265"/>
      <c r="Q230" s="273"/>
      <c r="BK230" s="1075"/>
    </row>
    <row r="231" spans="1:63" ht="15" customHeight="1" x14ac:dyDescent="0.2">
      <c r="A231" s="1076"/>
      <c r="B231" s="1057" t="s">
        <v>498</v>
      </c>
      <c r="C231" s="1057"/>
      <c r="D231" s="1057"/>
      <c r="E231" s="1362"/>
      <c r="F231" s="265"/>
      <c r="G231" s="265"/>
      <c r="H231" s="265"/>
      <c r="I231" s="273"/>
      <c r="J231" s="1428"/>
      <c r="K231" s="265"/>
      <c r="L231" s="265"/>
      <c r="M231" s="1429"/>
      <c r="N231" s="1402"/>
      <c r="O231" s="265"/>
      <c r="P231" s="265"/>
      <c r="Q231" s="273"/>
      <c r="BK231" s="1075"/>
    </row>
    <row r="232" spans="1:63" ht="15" customHeight="1" x14ac:dyDescent="0.2">
      <c r="A232" s="1076"/>
      <c r="B232" s="1057" t="s">
        <v>1301</v>
      </c>
      <c r="C232" s="1057"/>
      <c r="D232" s="1057"/>
      <c r="E232" s="1362"/>
      <c r="F232" s="265"/>
      <c r="G232" s="265"/>
      <c r="H232" s="265"/>
      <c r="I232" s="273"/>
      <c r="J232" s="1428"/>
      <c r="K232" s="265"/>
      <c r="L232" s="265"/>
      <c r="M232" s="1429"/>
      <c r="N232" s="1402"/>
      <c r="O232" s="265"/>
      <c r="P232" s="265"/>
      <c r="Q232" s="273"/>
      <c r="BK232" s="1075"/>
    </row>
    <row r="233" spans="1:63" ht="15" customHeight="1" x14ac:dyDescent="0.2">
      <c r="A233" s="1076"/>
      <c r="B233" s="1057" t="s">
        <v>1302</v>
      </c>
      <c r="C233" s="1057"/>
      <c r="D233" s="1057"/>
      <c r="E233" s="1362"/>
      <c r="F233" s="265"/>
      <c r="G233" s="265"/>
      <c r="H233" s="265"/>
      <c r="I233" s="273"/>
      <c r="J233" s="1428"/>
      <c r="K233" s="265"/>
      <c r="L233" s="265"/>
      <c r="M233" s="1429"/>
      <c r="N233" s="1402"/>
      <c r="O233" s="265"/>
      <c r="P233" s="265"/>
      <c r="Q233" s="273"/>
      <c r="BK233" s="1075"/>
    </row>
    <row r="234" spans="1:63" ht="15" customHeight="1" x14ac:dyDescent="0.2">
      <c r="A234" s="1076"/>
      <c r="B234" s="1058" t="s">
        <v>1303</v>
      </c>
      <c r="C234" s="1058"/>
      <c r="D234" s="1058"/>
      <c r="E234" s="1363"/>
      <c r="F234" s="332"/>
      <c r="G234" s="332"/>
      <c r="H234" s="332"/>
      <c r="I234" s="329"/>
      <c r="J234" s="1462"/>
      <c r="K234" s="332"/>
      <c r="L234" s="332"/>
      <c r="M234" s="1463"/>
      <c r="N234" s="1468"/>
      <c r="O234" s="332"/>
      <c r="P234" s="332"/>
      <c r="Q234" s="329"/>
      <c r="BK234" s="1075"/>
    </row>
    <row r="235" spans="1:63" ht="15" customHeight="1" x14ac:dyDescent="0.2">
      <c r="A235" s="1076"/>
      <c r="B235" s="1056" t="s">
        <v>1337</v>
      </c>
      <c r="C235" s="1056"/>
      <c r="D235" s="1056"/>
      <c r="E235" s="1361"/>
      <c r="F235" s="1130" t="str">
        <f>IF(AND(ISNUMBER(F226),ISNUMBER(F227),ISNUMBER(F228),ISNUMBER(F229),ISNUMBER(F230),ISNUMBER(F231),ISNUMBER(F232),ISNUMBER(F233),ISNUMBER(F234),ISNUMBER(G226),ISNUMBER(G227),ISNUMBER(G228),ISNUMBER(G229),ISNUMBER(G230),ISNUMBER(G231),ISNUMBER(G232),ISNUMBER(G233),ISNUMBER(G234)),SUM(F226:G234),"")</f>
        <v/>
      </c>
      <c r="G235" s="906"/>
      <c r="H235" s="1130" t="str">
        <f>IF(AND(ISNUMBER(H226),ISNUMBER(H227),ISNUMBER(H228),ISNUMBER(H229),ISNUMBER(H230),ISNUMBER(H231),ISNUMBER(H232),ISNUMBER(H233),ISNUMBER(H234),ISNUMBER(I226),ISNUMBER(I227),ISNUMBER(I228),ISNUMBER(I229),ISNUMBER(I230),ISNUMBER(I231),ISNUMBER(I232),ISNUMBER(I233),ISNUMBER(I234)),SUM(H226:I234),"")</f>
        <v/>
      </c>
      <c r="I235" s="1466"/>
      <c r="J235" s="1472" t="str">
        <f>IF(AND(ISNUMBER(J226),ISNUMBER(J227),ISNUMBER(J228),ISNUMBER(J229),ISNUMBER(J230),ISNUMBER(J231),ISNUMBER(J232),ISNUMBER(J233),ISNUMBER(J234),ISNUMBER(K226),ISNUMBER(K227),ISNUMBER(K228),ISNUMBER(K229),ISNUMBER(K230),ISNUMBER(K231),ISNUMBER(K232),ISNUMBER(K233),ISNUMBER(K234)),SUM(J226:K234),"")</f>
        <v/>
      </c>
      <c r="K235" s="906"/>
      <c r="L235" s="1130" t="str">
        <f>IF(AND(ISNUMBER(L226),ISNUMBER(L227),ISNUMBER(L228),ISNUMBER(L229),ISNUMBER(L230),ISNUMBER(L231),ISNUMBER(L232),ISNUMBER(L233),ISNUMBER(L234),ISNUMBER(M226),ISNUMBER(M227),ISNUMBER(M228),ISNUMBER(M229),ISNUMBER(M230),ISNUMBER(M231),ISNUMBER(M232),ISNUMBER(M233),ISNUMBER(M234)),SUM(L226:M234),"")</f>
        <v/>
      </c>
      <c r="M235" s="1466"/>
      <c r="N235" s="1472" t="str">
        <f>IF(AND(ISNUMBER(N226),ISNUMBER(N227),ISNUMBER(N228),ISNUMBER(N229),ISNUMBER(N230),ISNUMBER(N231),ISNUMBER(N232),ISNUMBER(N233),ISNUMBER(N234),ISNUMBER(O226),ISNUMBER(O227),ISNUMBER(O228),ISNUMBER(O229),ISNUMBER(O230),ISNUMBER(O231),ISNUMBER(O232),ISNUMBER(O233),ISNUMBER(O234)),SUM(N226:O234),"")</f>
        <v/>
      </c>
      <c r="O235" s="906"/>
      <c r="P235" s="1130" t="str">
        <f>IF(AND(ISNUMBER(P226),ISNUMBER(P227),ISNUMBER(P228),ISNUMBER(P229),ISNUMBER(P230),ISNUMBER(P231),ISNUMBER(P232),ISNUMBER(P233),ISNUMBER(P234),ISNUMBER(Q226),ISNUMBER(Q227),ISNUMBER(Q228),ISNUMBER(Q229),ISNUMBER(Q230),ISNUMBER(Q231),ISNUMBER(Q232),ISNUMBER(Q233),ISNUMBER(Q234)),SUM(P226:Q234),"")</f>
        <v/>
      </c>
      <c r="Q235" s="1473"/>
      <c r="BK235" s="1075"/>
    </row>
    <row r="236" spans="1:63" ht="15" customHeight="1" x14ac:dyDescent="0.2">
      <c r="A236" s="1076"/>
      <c r="B236" s="1057" t="s">
        <v>1338</v>
      </c>
      <c r="C236" s="1057"/>
      <c r="D236" s="1057"/>
      <c r="E236" s="1362"/>
      <c r="F236" s="1131"/>
      <c r="G236" s="1131"/>
      <c r="H236" s="1174" t="str">
        <f>IF(AND(ISNUMBER(F235),ISNUMBER(H235)),IF(F235+H235&lt;&gt;0,F235/(F235+H235),""),"")</f>
        <v/>
      </c>
      <c r="I236" s="1461"/>
      <c r="J236" s="1460"/>
      <c r="K236" s="1131"/>
      <c r="L236" s="1174" t="str">
        <f>IF(AND(ISNUMBER(J235),ISNUMBER(L235)),IF(J235+L235&lt;&gt;0,J235/(J235+L235),""),"")</f>
        <v/>
      </c>
      <c r="M236" s="1461"/>
      <c r="N236" s="1460"/>
      <c r="O236" s="1131"/>
      <c r="P236" s="1174" t="str">
        <f>IF(AND(ISNUMBER(N235),ISNUMBER(P235)),IF(N235+P235&lt;&gt;0,N235/(N235+P235),""),"")</f>
        <v/>
      </c>
      <c r="Q236" s="316"/>
      <c r="BK236" s="1075"/>
    </row>
    <row r="237" spans="1:63" ht="15" customHeight="1" x14ac:dyDescent="0.2">
      <c r="A237" s="1076"/>
      <c r="B237" s="1057"/>
      <c r="C237" s="1469">
        <v>5.0000000000000001E-3</v>
      </c>
      <c r="D237" s="1057"/>
      <c r="E237" s="1362"/>
      <c r="F237" s="1131"/>
      <c r="G237" s="1174" t="str">
        <f>IF(AND(ISNUMBER(F226),ISNUMBER(G226)), IF(AND(F226&gt;=0,G226&gt;=0),$C237*(F226+G226),""), "")</f>
        <v/>
      </c>
      <c r="H237" s="1131"/>
      <c r="I237" s="1174" t="str">
        <f>IF(AND(ISNUMBER(H226),ISNUMBER(I226)), IF(AND(H226&gt;=0,I226&gt;=0),$C237*(H226+I226),""), "")</f>
        <v/>
      </c>
      <c r="J237" s="1460"/>
      <c r="K237" s="1174" t="str">
        <f>IF(AND(ISNUMBER(J226),ISNUMBER(K226)), IF(AND(J226&gt;=0,K226&gt;=0),$C237*(J226+K226),""), "")</f>
        <v/>
      </c>
      <c r="L237" s="1131"/>
      <c r="M237" s="1174" t="str">
        <f>IF(AND(ISNUMBER(L226),ISNUMBER(M226)), IF(AND(L226&gt;=0,M226&gt;=0),$C237*(L226+M226),""), "")</f>
        <v/>
      </c>
      <c r="N237" s="1460"/>
      <c r="O237" s="1174" t="str">
        <f>IF(AND(ISNUMBER(N226),ISNUMBER(O226)), IF(AND(N226&gt;=0,O226&gt;=0),$C237*(N226+O226),""), "")</f>
        <v/>
      </c>
      <c r="P237" s="1131"/>
      <c r="Q237" s="1570" t="str">
        <f t="shared" ref="Q237:Q245" si="0">IF(AND(ISNUMBER(P226),ISNUMBER(Q226)), IF(AND(P226&gt;=0,Q226&gt;=0),$C237*(P226+Q226),""), "")</f>
        <v/>
      </c>
      <c r="BK237" s="1075"/>
    </row>
    <row r="238" spans="1:63" ht="15" customHeight="1" x14ac:dyDescent="0.2">
      <c r="A238" s="1076"/>
      <c r="B238" s="1057"/>
      <c r="C238" s="1469">
        <v>0.02</v>
      </c>
      <c r="D238" s="1057"/>
      <c r="E238" s="1362"/>
      <c r="F238" s="1131"/>
      <c r="G238" s="1174" t="str">
        <f t="shared" ref="G238:I245" si="1">IF(AND(ISNUMBER(F227),ISNUMBER(G227)), IF(AND(F227&gt;=0,G227&gt;=0),$C238*(F227+G227),""), "")</f>
        <v/>
      </c>
      <c r="H238" s="1131"/>
      <c r="I238" s="1174" t="str">
        <f t="shared" si="1"/>
        <v/>
      </c>
      <c r="J238" s="1460"/>
      <c r="K238" s="1174" t="str">
        <f t="shared" ref="K238:K245" si="2">IF(AND(ISNUMBER(J227),ISNUMBER(K227)), IF(AND(J227&gt;=0,K227&gt;=0),$C238*(J227+K227),""), "")</f>
        <v/>
      </c>
      <c r="L238" s="1131"/>
      <c r="M238" s="1174" t="str">
        <f t="shared" ref="M238:M245" si="3">IF(AND(ISNUMBER(L227),ISNUMBER(M227)), IF(AND(L227&gt;=0,M227&gt;=0),$C238*(L227+M227),""), "")</f>
        <v/>
      </c>
      <c r="N238" s="1460"/>
      <c r="O238" s="1174" t="str">
        <f t="shared" ref="O238:O245" si="4">IF(AND(ISNUMBER(N227),ISNUMBER(O227)), IF(AND(N227&gt;=0,O227&gt;=0),$C238*(N227+O227),""), "")</f>
        <v/>
      </c>
      <c r="P238" s="1131"/>
      <c r="Q238" s="1570" t="str">
        <f t="shared" si="0"/>
        <v/>
      </c>
      <c r="BK238" s="1075"/>
    </row>
    <row r="239" spans="1:63" ht="15" customHeight="1" x14ac:dyDescent="0.2">
      <c r="A239" s="1076"/>
      <c r="B239" s="1057"/>
      <c r="C239" s="1469">
        <v>0.03</v>
      </c>
      <c r="D239" s="1057"/>
      <c r="E239" s="1362"/>
      <c r="F239" s="1131"/>
      <c r="G239" s="1174" t="str">
        <f t="shared" si="1"/>
        <v/>
      </c>
      <c r="H239" s="1131"/>
      <c r="I239" s="1174" t="str">
        <f t="shared" si="1"/>
        <v/>
      </c>
      <c r="J239" s="1460"/>
      <c r="K239" s="1174" t="str">
        <f t="shared" si="2"/>
        <v/>
      </c>
      <c r="L239" s="1131"/>
      <c r="M239" s="1174" t="str">
        <f t="shared" si="3"/>
        <v/>
      </c>
      <c r="N239" s="1460"/>
      <c r="O239" s="1174" t="str">
        <f t="shared" si="4"/>
        <v/>
      </c>
      <c r="P239" s="1131"/>
      <c r="Q239" s="1570" t="str">
        <f t="shared" si="0"/>
        <v/>
      </c>
      <c r="BK239" s="1075"/>
    </row>
    <row r="240" spans="1:63" ht="15" customHeight="1" x14ac:dyDescent="0.2">
      <c r="A240" s="1076"/>
      <c r="B240" s="1057"/>
      <c r="C240" s="1469">
        <v>0.06</v>
      </c>
      <c r="D240" s="1057"/>
      <c r="E240" s="1362"/>
      <c r="F240" s="1131"/>
      <c r="G240" s="1174" t="str">
        <f t="shared" si="1"/>
        <v/>
      </c>
      <c r="H240" s="1131"/>
      <c r="I240" s="1174" t="str">
        <f t="shared" si="1"/>
        <v/>
      </c>
      <c r="J240" s="1460"/>
      <c r="K240" s="1174" t="str">
        <f t="shared" si="2"/>
        <v/>
      </c>
      <c r="L240" s="1131"/>
      <c r="M240" s="1174" t="str">
        <f t="shared" si="3"/>
        <v/>
      </c>
      <c r="N240" s="1460"/>
      <c r="O240" s="1174" t="str">
        <f t="shared" si="4"/>
        <v/>
      </c>
      <c r="P240" s="1131"/>
      <c r="Q240" s="1570" t="str">
        <f t="shared" si="0"/>
        <v/>
      </c>
      <c r="BK240" s="1075"/>
    </row>
    <row r="241" spans="1:63" ht="15" customHeight="1" x14ac:dyDescent="0.2">
      <c r="A241" s="1076"/>
      <c r="B241" s="1057"/>
      <c r="C241" s="1469">
        <v>0.15</v>
      </c>
      <c r="D241" s="1057"/>
      <c r="E241" s="1362"/>
      <c r="F241" s="1131"/>
      <c r="G241" s="1174" t="str">
        <f t="shared" si="1"/>
        <v/>
      </c>
      <c r="H241" s="1131"/>
      <c r="I241" s="1174" t="str">
        <f t="shared" si="1"/>
        <v/>
      </c>
      <c r="J241" s="1460"/>
      <c r="K241" s="1174" t="str">
        <f t="shared" si="2"/>
        <v/>
      </c>
      <c r="L241" s="1131"/>
      <c r="M241" s="1174" t="str">
        <f t="shared" si="3"/>
        <v/>
      </c>
      <c r="N241" s="1460"/>
      <c r="O241" s="1174" t="str">
        <f t="shared" si="4"/>
        <v/>
      </c>
      <c r="P241" s="1131"/>
      <c r="Q241" s="1570" t="str">
        <f t="shared" si="0"/>
        <v/>
      </c>
      <c r="BK241" s="1075"/>
    </row>
    <row r="242" spans="1:63" ht="15" customHeight="1" x14ac:dyDescent="0.2">
      <c r="A242" s="1076"/>
      <c r="B242" s="1057"/>
      <c r="C242" s="1469">
        <v>0.3</v>
      </c>
      <c r="D242" s="1057"/>
      <c r="E242" s="1362"/>
      <c r="F242" s="1131"/>
      <c r="G242" s="1174" t="str">
        <f t="shared" si="1"/>
        <v/>
      </c>
      <c r="H242" s="1131"/>
      <c r="I242" s="1174" t="str">
        <f t="shared" si="1"/>
        <v/>
      </c>
      <c r="J242" s="1460"/>
      <c r="K242" s="1174" t="str">
        <f t="shared" si="2"/>
        <v/>
      </c>
      <c r="L242" s="1131"/>
      <c r="M242" s="1174" t="str">
        <f t="shared" si="3"/>
        <v/>
      </c>
      <c r="N242" s="1460"/>
      <c r="O242" s="1174" t="str">
        <f t="shared" si="4"/>
        <v/>
      </c>
      <c r="P242" s="1131"/>
      <c r="Q242" s="1570" t="str">
        <f t="shared" si="0"/>
        <v/>
      </c>
      <c r="BK242" s="1075"/>
    </row>
    <row r="243" spans="1:63" ht="15" customHeight="1" x14ac:dyDescent="0.2">
      <c r="A243" s="1076"/>
      <c r="B243" s="1057"/>
      <c r="C243" s="1469">
        <v>0.5</v>
      </c>
      <c r="D243" s="1057"/>
      <c r="E243" s="1362"/>
      <c r="F243" s="1131"/>
      <c r="G243" s="1174" t="str">
        <f t="shared" si="1"/>
        <v/>
      </c>
      <c r="H243" s="1131"/>
      <c r="I243" s="1174" t="str">
        <f t="shared" si="1"/>
        <v/>
      </c>
      <c r="J243" s="1460"/>
      <c r="K243" s="1174" t="str">
        <f t="shared" si="2"/>
        <v/>
      </c>
      <c r="L243" s="1131"/>
      <c r="M243" s="1174" t="str">
        <f t="shared" si="3"/>
        <v/>
      </c>
      <c r="N243" s="1460"/>
      <c r="O243" s="1174" t="str">
        <f t="shared" si="4"/>
        <v/>
      </c>
      <c r="P243" s="1131"/>
      <c r="Q243" s="1570" t="str">
        <f t="shared" si="0"/>
        <v/>
      </c>
      <c r="BK243" s="1075"/>
    </row>
    <row r="244" spans="1:63" ht="15" customHeight="1" x14ac:dyDescent="0.2">
      <c r="A244" s="1076"/>
      <c r="B244" s="1057"/>
      <c r="C244" s="1469">
        <v>0.15</v>
      </c>
      <c r="D244" s="1057"/>
      <c r="E244" s="1362"/>
      <c r="F244" s="1131"/>
      <c r="G244" s="1174" t="str">
        <f t="shared" si="1"/>
        <v/>
      </c>
      <c r="H244" s="1131"/>
      <c r="I244" s="1174" t="str">
        <f t="shared" si="1"/>
        <v/>
      </c>
      <c r="J244" s="1460"/>
      <c r="K244" s="1174" t="str">
        <f t="shared" si="2"/>
        <v/>
      </c>
      <c r="L244" s="1131"/>
      <c r="M244" s="1174" t="str">
        <f t="shared" si="3"/>
        <v/>
      </c>
      <c r="N244" s="1460"/>
      <c r="O244" s="1174" t="str">
        <f t="shared" si="4"/>
        <v/>
      </c>
      <c r="P244" s="1131"/>
      <c r="Q244" s="1570" t="str">
        <f t="shared" si="0"/>
        <v/>
      </c>
      <c r="BK244" s="1075"/>
    </row>
    <row r="245" spans="1:63" ht="15" customHeight="1" x14ac:dyDescent="0.2">
      <c r="A245" s="1076"/>
      <c r="B245" s="1058"/>
      <c r="C245" s="1470">
        <v>1</v>
      </c>
      <c r="D245" s="1058"/>
      <c r="E245" s="1363"/>
      <c r="F245" s="1152"/>
      <c r="G245" s="1174" t="str">
        <f t="shared" si="1"/>
        <v/>
      </c>
      <c r="H245" s="1152"/>
      <c r="I245" s="1174" t="str">
        <f t="shared" si="1"/>
        <v/>
      </c>
      <c r="J245" s="1471"/>
      <c r="K245" s="1174" t="str">
        <f t="shared" si="2"/>
        <v/>
      </c>
      <c r="L245" s="1152"/>
      <c r="M245" s="1174" t="str">
        <f t="shared" si="3"/>
        <v/>
      </c>
      <c r="N245" s="1471"/>
      <c r="O245" s="1174" t="str">
        <f t="shared" si="4"/>
        <v/>
      </c>
      <c r="P245" s="1152"/>
      <c r="Q245" s="576" t="str">
        <f t="shared" si="0"/>
        <v/>
      </c>
      <c r="BK245" s="1075"/>
    </row>
    <row r="246" spans="1:63" ht="15" customHeight="1" x14ac:dyDescent="0.2">
      <c r="A246" s="1076"/>
      <c r="B246" s="60"/>
      <c r="C246" s="60"/>
      <c r="D246" s="180"/>
      <c r="E246" s="1523"/>
      <c r="F246" s="1707" t="s">
        <v>1292</v>
      </c>
      <c r="G246" s="1708"/>
      <c r="H246" s="1708"/>
      <c r="I246" s="1709"/>
      <c r="J246" s="1710" t="s">
        <v>1293</v>
      </c>
      <c r="K246" s="1708"/>
      <c r="L246" s="1708"/>
      <c r="M246" s="1709"/>
      <c r="N246" s="1710" t="s">
        <v>1295</v>
      </c>
      <c r="O246" s="1708"/>
      <c r="P246" s="1708"/>
      <c r="Q246" s="1708"/>
      <c r="BK246" s="1075"/>
    </row>
    <row r="247" spans="1:63" ht="15" customHeight="1" x14ac:dyDescent="0.2">
      <c r="A247" s="1076"/>
      <c r="B247" s="60" t="s">
        <v>178</v>
      </c>
      <c r="C247" s="60"/>
      <c r="D247" s="180"/>
      <c r="E247" s="1523"/>
      <c r="F247" s="629"/>
      <c r="G247" s="629"/>
      <c r="H247" s="1465"/>
      <c r="I247" s="1474" t="str">
        <f>IF(ISNUMBER(H236),SUM(G237:G245)-H236*SUM(I237:I245),"")</f>
        <v/>
      </c>
      <c r="J247" s="629"/>
      <c r="K247" s="629"/>
      <c r="L247" s="629"/>
      <c r="M247" s="1474" t="str">
        <f>IF(ISNUMBER(L236),SUM(K237:K245)-L236*SUM(M237:M245),"")</f>
        <v/>
      </c>
      <c r="N247" s="629"/>
      <c r="O247" s="629"/>
      <c r="P247" s="629"/>
      <c r="Q247" s="357" t="str">
        <f>IF(ISNUMBER(P236),SUM(O237:O245)-P236*SUM(Q237:Q245),"")</f>
        <v/>
      </c>
      <c r="BK247" s="1075"/>
    </row>
    <row r="248" spans="1:63" ht="15" customHeight="1" x14ac:dyDescent="0.2">
      <c r="A248" s="1076"/>
      <c r="B248" s="1074"/>
      <c r="G248" s="1074"/>
      <c r="H248" s="1074"/>
      <c r="I248" s="1074"/>
      <c r="J248" s="1074"/>
      <c r="BK248" s="1075"/>
    </row>
    <row r="249" spans="1:63" ht="15" customHeight="1" x14ac:dyDescent="0.2">
      <c r="A249" s="1076"/>
      <c r="B249" s="1516" t="s">
        <v>1325</v>
      </c>
      <c r="C249" s="1516"/>
      <c r="D249" s="1516"/>
      <c r="E249" s="1516"/>
      <c r="F249" s="1516"/>
      <c r="G249" s="1516"/>
      <c r="H249" s="1516"/>
      <c r="I249" s="1455" t="str">
        <f>IF(AND(ISNUMBER(I247),ISNUMBER(M247),ISNUMBER(Q247)),I247+M247+Q247,"")</f>
        <v/>
      </c>
      <c r="J249" s="183"/>
      <c r="K249" s="183"/>
      <c r="L249" s="183"/>
      <c r="M249" s="183"/>
      <c r="N249" s="183"/>
      <c r="BK249" s="1075"/>
    </row>
    <row r="250" spans="1:63" ht="15" customHeight="1" x14ac:dyDescent="0.2">
      <c r="A250" s="1076"/>
      <c r="B250" s="1074"/>
      <c r="G250" s="1074"/>
      <c r="H250" s="1074"/>
      <c r="I250" s="1074"/>
      <c r="J250" s="1074"/>
      <c r="BK250" s="1075"/>
    </row>
    <row r="251" spans="1:63" s="1073" customFormat="1" ht="30" customHeight="1" x14ac:dyDescent="0.25">
      <c r="A251" s="1053" t="s">
        <v>1305</v>
      </c>
      <c r="B251" s="46"/>
      <c r="C251" s="46"/>
      <c r="D251" s="46"/>
      <c r="E251" s="46"/>
      <c r="F251" s="46"/>
      <c r="G251" s="46"/>
      <c r="H251" s="46"/>
      <c r="I251" s="46"/>
      <c r="J251" s="46"/>
      <c r="BK251" s="1072"/>
    </row>
    <row r="252" spans="1:63" ht="15" customHeight="1" x14ac:dyDescent="0.2">
      <c r="A252" s="1076"/>
      <c r="B252" s="1074"/>
      <c r="G252" s="1074"/>
      <c r="H252" s="1074"/>
      <c r="I252" s="1074"/>
      <c r="J252" s="1074"/>
      <c r="BK252" s="1075"/>
    </row>
    <row r="253" spans="1:63" ht="15" customHeight="1" x14ac:dyDescent="0.2">
      <c r="A253" s="1076"/>
      <c r="B253" s="1716" t="s">
        <v>1250</v>
      </c>
      <c r="C253" s="1716"/>
      <c r="D253" s="1716"/>
      <c r="E253" s="1717"/>
      <c r="F253" s="1698" t="s">
        <v>1328</v>
      </c>
      <c r="G253" s="1722"/>
      <c r="H253" s="1722"/>
      <c r="I253" s="1722"/>
      <c r="J253" s="1722"/>
      <c r="K253" s="1722"/>
      <c r="L253" s="1722"/>
      <c r="M253" s="1722"/>
      <c r="N253" s="1722"/>
      <c r="O253" s="1722"/>
      <c r="P253" s="1722"/>
      <c r="Q253" s="1722"/>
      <c r="BK253" s="1075"/>
    </row>
    <row r="254" spans="1:63" ht="15" customHeight="1" x14ac:dyDescent="0.2">
      <c r="A254" s="1076"/>
      <c r="B254" s="1718"/>
      <c r="C254" s="1718"/>
      <c r="D254" s="1718"/>
      <c r="E254" s="1719"/>
      <c r="F254" s="1707" t="s">
        <v>1292</v>
      </c>
      <c r="G254" s="1708"/>
      <c r="H254" s="1708"/>
      <c r="I254" s="1709"/>
      <c r="J254" s="1710" t="s">
        <v>1293</v>
      </c>
      <c r="K254" s="1708"/>
      <c r="L254" s="1708"/>
      <c r="M254" s="1709"/>
      <c r="N254" s="1710" t="s">
        <v>1295</v>
      </c>
      <c r="O254" s="1708"/>
      <c r="P254" s="1708"/>
      <c r="Q254" s="1708"/>
      <c r="BK254" s="1075"/>
    </row>
    <row r="255" spans="1:63" ht="15" customHeight="1" x14ac:dyDescent="0.2">
      <c r="A255" s="1076"/>
      <c r="B255" s="1718"/>
      <c r="C255" s="1718"/>
      <c r="D255" s="1718"/>
      <c r="E255" s="1719"/>
      <c r="F255" s="1711" t="s">
        <v>1326</v>
      </c>
      <c r="G255" s="1714"/>
      <c r="H255" s="1711" t="s">
        <v>1327</v>
      </c>
      <c r="I255" s="1712"/>
      <c r="J255" s="1713" t="s">
        <v>1326</v>
      </c>
      <c r="K255" s="1714"/>
      <c r="L255" s="1711" t="s">
        <v>1327</v>
      </c>
      <c r="M255" s="1712"/>
      <c r="N255" s="1713" t="s">
        <v>1326</v>
      </c>
      <c r="O255" s="1714"/>
      <c r="P255" s="1711" t="s">
        <v>1327</v>
      </c>
      <c r="Q255" s="1715"/>
      <c r="BK255" s="1075"/>
    </row>
    <row r="256" spans="1:63" ht="45" customHeight="1" x14ac:dyDescent="0.2">
      <c r="A256" s="1076"/>
      <c r="B256" s="1720"/>
      <c r="C256" s="1720"/>
      <c r="D256" s="1720"/>
      <c r="E256" s="1721"/>
      <c r="F256" s="1449" t="s">
        <v>1294</v>
      </c>
      <c r="G256" s="1449" t="s">
        <v>1296</v>
      </c>
      <c r="H256" s="1449" t="s">
        <v>1294</v>
      </c>
      <c r="I256" s="1450" t="s">
        <v>1296</v>
      </c>
      <c r="J256" s="1451" t="s">
        <v>1294</v>
      </c>
      <c r="K256" s="1449" t="s">
        <v>1296</v>
      </c>
      <c r="L256" s="1449" t="s">
        <v>1294</v>
      </c>
      <c r="M256" s="1452" t="s">
        <v>1296</v>
      </c>
      <c r="N256" s="1448" t="s">
        <v>1294</v>
      </c>
      <c r="O256" s="1449" t="s">
        <v>1296</v>
      </c>
      <c r="P256" s="1449" t="s">
        <v>1294</v>
      </c>
      <c r="Q256" s="1450" t="s">
        <v>1296</v>
      </c>
      <c r="BK256" s="1075"/>
    </row>
    <row r="257" spans="1:63" ht="15" customHeight="1" x14ac:dyDescent="0.2">
      <c r="A257" s="1076"/>
      <c r="B257" s="1515" t="s">
        <v>1297</v>
      </c>
      <c r="C257" s="1515"/>
      <c r="D257" s="1522"/>
      <c r="E257" s="1364"/>
      <c r="F257" s="314"/>
      <c r="G257" s="314"/>
      <c r="H257" s="314"/>
      <c r="I257" s="1424"/>
      <c r="J257" s="1426"/>
      <c r="K257" s="314"/>
      <c r="L257" s="314"/>
      <c r="M257" s="1427"/>
      <c r="N257" s="1401"/>
      <c r="O257" s="314"/>
      <c r="P257" s="314"/>
      <c r="Q257" s="1424"/>
      <c r="BK257" s="1075"/>
    </row>
    <row r="258" spans="1:63" ht="15" customHeight="1" x14ac:dyDescent="0.2">
      <c r="A258" s="1076"/>
      <c r="B258" s="1447" t="s">
        <v>1298</v>
      </c>
      <c r="C258" s="1447"/>
      <c r="D258" s="1057"/>
      <c r="E258" s="1362"/>
      <c r="F258" s="265"/>
      <c r="G258" s="265"/>
      <c r="H258" s="265"/>
      <c r="I258" s="273"/>
      <c r="J258" s="1428"/>
      <c r="K258" s="265"/>
      <c r="L258" s="265"/>
      <c r="M258" s="1429"/>
      <c r="N258" s="1402"/>
      <c r="O258" s="265"/>
      <c r="P258" s="265"/>
      <c r="Q258" s="273"/>
      <c r="BK258" s="1075"/>
    </row>
    <row r="259" spans="1:63" ht="15" customHeight="1" x14ac:dyDescent="0.2">
      <c r="A259" s="1076"/>
      <c r="B259" s="1057" t="s">
        <v>497</v>
      </c>
      <c r="C259" s="1057"/>
      <c r="D259" s="1057"/>
      <c r="E259" s="1362"/>
      <c r="F259" s="265"/>
      <c r="G259" s="265"/>
      <c r="H259" s="265"/>
      <c r="I259" s="273"/>
      <c r="J259" s="1428"/>
      <c r="K259" s="265"/>
      <c r="L259" s="265"/>
      <c r="M259" s="1429"/>
      <c r="N259" s="1402"/>
      <c r="O259" s="265"/>
      <c r="P259" s="265"/>
      <c r="Q259" s="273"/>
      <c r="BK259" s="1075"/>
    </row>
    <row r="260" spans="1:63" ht="15" customHeight="1" x14ac:dyDescent="0.2">
      <c r="A260" s="1076"/>
      <c r="B260" s="1057" t="s">
        <v>1299</v>
      </c>
      <c r="C260" s="1057"/>
      <c r="D260" s="1057"/>
      <c r="E260" s="1362"/>
      <c r="F260" s="265"/>
      <c r="G260" s="265"/>
      <c r="H260" s="265"/>
      <c r="I260" s="273"/>
      <c r="J260" s="1428"/>
      <c r="K260" s="265"/>
      <c r="L260" s="265"/>
      <c r="M260" s="1429"/>
      <c r="N260" s="1402"/>
      <c r="O260" s="265"/>
      <c r="P260" s="265"/>
      <c r="Q260" s="273"/>
      <c r="BK260" s="1075"/>
    </row>
    <row r="261" spans="1:63" ht="15" customHeight="1" x14ac:dyDescent="0.2">
      <c r="A261" s="1076"/>
      <c r="B261" s="1057" t="s">
        <v>1300</v>
      </c>
      <c r="C261" s="1057"/>
      <c r="D261" s="1057"/>
      <c r="E261" s="1362"/>
      <c r="F261" s="265"/>
      <c r="G261" s="265"/>
      <c r="H261" s="265"/>
      <c r="I261" s="273"/>
      <c r="J261" s="1428"/>
      <c r="K261" s="265"/>
      <c r="L261" s="265"/>
      <c r="M261" s="1429"/>
      <c r="N261" s="1402"/>
      <c r="O261" s="265"/>
      <c r="P261" s="265"/>
      <c r="Q261" s="273"/>
      <c r="BK261" s="1075"/>
    </row>
    <row r="262" spans="1:63" ht="15" customHeight="1" x14ac:dyDescent="0.2">
      <c r="A262" s="1076"/>
      <c r="B262" s="1057" t="s">
        <v>498</v>
      </c>
      <c r="C262" s="1057"/>
      <c r="D262" s="1057"/>
      <c r="E262" s="1362"/>
      <c r="F262" s="265"/>
      <c r="G262" s="265"/>
      <c r="H262" s="265"/>
      <c r="I262" s="273"/>
      <c r="J262" s="1428"/>
      <c r="K262" s="265"/>
      <c r="L262" s="265"/>
      <c r="M262" s="1429"/>
      <c r="N262" s="1402"/>
      <c r="O262" s="265"/>
      <c r="P262" s="265"/>
      <c r="Q262" s="273"/>
      <c r="BK262" s="1075"/>
    </row>
    <row r="263" spans="1:63" ht="15" customHeight="1" x14ac:dyDescent="0.2">
      <c r="A263" s="1076"/>
      <c r="B263" s="1057" t="s">
        <v>1301</v>
      </c>
      <c r="C263" s="1057"/>
      <c r="D263" s="1057"/>
      <c r="E263" s="1362"/>
      <c r="F263" s="265"/>
      <c r="G263" s="265"/>
      <c r="H263" s="265"/>
      <c r="I263" s="273"/>
      <c r="J263" s="1428"/>
      <c r="K263" s="265"/>
      <c r="L263" s="265"/>
      <c r="M263" s="1429"/>
      <c r="N263" s="1402"/>
      <c r="O263" s="265"/>
      <c r="P263" s="265"/>
      <c r="Q263" s="273"/>
      <c r="BK263" s="1075"/>
    </row>
    <row r="264" spans="1:63" ht="15" customHeight="1" x14ac:dyDescent="0.2">
      <c r="A264" s="1076"/>
      <c r="B264" s="1057" t="s">
        <v>1302</v>
      </c>
      <c r="C264" s="1057"/>
      <c r="D264" s="1057"/>
      <c r="E264" s="1362"/>
      <c r="F264" s="265"/>
      <c r="G264" s="265"/>
      <c r="H264" s="265"/>
      <c r="I264" s="273"/>
      <c r="J264" s="1428"/>
      <c r="K264" s="265"/>
      <c r="L264" s="265"/>
      <c r="M264" s="1429"/>
      <c r="N264" s="1402"/>
      <c r="O264" s="265"/>
      <c r="P264" s="265"/>
      <c r="Q264" s="273"/>
      <c r="BK264" s="1075"/>
    </row>
    <row r="265" spans="1:63" ht="15" customHeight="1" x14ac:dyDescent="0.2">
      <c r="A265" s="1076"/>
      <c r="B265" s="1058" t="s">
        <v>1303</v>
      </c>
      <c r="C265" s="1058"/>
      <c r="D265" s="1058"/>
      <c r="E265" s="1363"/>
      <c r="F265" s="321"/>
      <c r="G265" s="321"/>
      <c r="H265" s="321"/>
      <c r="I265" s="275"/>
      <c r="J265" s="1430"/>
      <c r="K265" s="321"/>
      <c r="L265" s="321"/>
      <c r="M265" s="1431"/>
      <c r="N265" s="1405"/>
      <c r="O265" s="321"/>
      <c r="P265" s="321"/>
      <c r="Q265" s="275"/>
      <c r="BK265" s="1075"/>
    </row>
    <row r="266" spans="1:63" ht="15" customHeight="1" x14ac:dyDescent="0.2">
      <c r="A266" s="1076"/>
      <c r="B266" s="1074"/>
      <c r="G266" s="1074"/>
      <c r="H266" s="1074"/>
      <c r="I266" s="1074"/>
      <c r="J266" s="1074"/>
      <c r="BK266" s="1075"/>
    </row>
    <row r="267" spans="1:63" s="1073" customFormat="1" ht="30" customHeight="1" x14ac:dyDescent="0.25">
      <c r="A267" s="1053" t="s">
        <v>1306</v>
      </c>
      <c r="B267" s="46"/>
      <c r="C267" s="46"/>
      <c r="D267" s="46"/>
      <c r="E267" s="46"/>
      <c r="F267" s="46"/>
      <c r="G267" s="46"/>
      <c r="H267" s="46"/>
      <c r="I267" s="46"/>
      <c r="J267" s="46"/>
      <c r="BK267" s="1072"/>
    </row>
    <row r="268" spans="1:63" ht="15" customHeight="1" x14ac:dyDescent="0.2">
      <c r="A268" s="1076"/>
      <c r="B268" s="1074"/>
      <c r="G268" s="1074"/>
      <c r="H268" s="1074"/>
      <c r="I268" s="1074"/>
      <c r="J268" s="1074"/>
      <c r="BK268" s="1075"/>
    </row>
    <row r="269" spans="1:63" ht="15" customHeight="1" x14ac:dyDescent="0.2">
      <c r="A269" s="1076"/>
      <c r="B269" s="1716" t="s">
        <v>1250</v>
      </c>
      <c r="C269" s="1716"/>
      <c r="D269" s="1716"/>
      <c r="E269" s="1717"/>
      <c r="F269" s="1698" t="s">
        <v>1328</v>
      </c>
      <c r="G269" s="1722"/>
      <c r="H269" s="1722"/>
      <c r="I269" s="1722"/>
      <c r="J269" s="1722"/>
      <c r="K269" s="1722"/>
      <c r="L269" s="1722"/>
      <c r="M269" s="1722"/>
      <c r="N269" s="1722"/>
      <c r="O269" s="1722"/>
      <c r="P269" s="1722"/>
      <c r="Q269" s="1722"/>
      <c r="BK269" s="1075"/>
    </row>
    <row r="270" spans="1:63" ht="15" customHeight="1" x14ac:dyDescent="0.2">
      <c r="A270" s="1076"/>
      <c r="B270" s="1718"/>
      <c r="C270" s="1718"/>
      <c r="D270" s="1718"/>
      <c r="E270" s="1719"/>
      <c r="F270" s="1707" t="s">
        <v>1292</v>
      </c>
      <c r="G270" s="1708"/>
      <c r="H270" s="1708"/>
      <c r="I270" s="1709"/>
      <c r="J270" s="1710" t="s">
        <v>1293</v>
      </c>
      <c r="K270" s="1708"/>
      <c r="L270" s="1708"/>
      <c r="M270" s="1709"/>
      <c r="N270" s="1710" t="s">
        <v>1295</v>
      </c>
      <c r="O270" s="1708"/>
      <c r="P270" s="1708"/>
      <c r="Q270" s="1708"/>
      <c r="BK270" s="1075"/>
    </row>
    <row r="271" spans="1:63" ht="15" customHeight="1" x14ac:dyDescent="0.2">
      <c r="A271" s="1076"/>
      <c r="B271" s="1718"/>
      <c r="C271" s="1718"/>
      <c r="D271" s="1718"/>
      <c r="E271" s="1719"/>
      <c r="F271" s="1711" t="s">
        <v>1326</v>
      </c>
      <c r="G271" s="1714"/>
      <c r="H271" s="1711" t="s">
        <v>1327</v>
      </c>
      <c r="I271" s="1712"/>
      <c r="J271" s="1713" t="s">
        <v>1326</v>
      </c>
      <c r="K271" s="1714"/>
      <c r="L271" s="1711" t="s">
        <v>1327</v>
      </c>
      <c r="M271" s="1712"/>
      <c r="N271" s="1713" t="s">
        <v>1326</v>
      </c>
      <c r="O271" s="1714"/>
      <c r="P271" s="1711" t="s">
        <v>1327</v>
      </c>
      <c r="Q271" s="1715"/>
      <c r="BK271" s="1075"/>
    </row>
    <row r="272" spans="1:63" ht="45" customHeight="1" x14ac:dyDescent="0.2">
      <c r="A272" s="1076"/>
      <c r="B272" s="1720"/>
      <c r="C272" s="1720"/>
      <c r="D272" s="1720"/>
      <c r="E272" s="1721"/>
      <c r="F272" s="1449" t="s">
        <v>1294</v>
      </c>
      <c r="G272" s="1449" t="s">
        <v>1296</v>
      </c>
      <c r="H272" s="1449" t="s">
        <v>1294</v>
      </c>
      <c r="I272" s="1450" t="s">
        <v>1296</v>
      </c>
      <c r="J272" s="1451" t="s">
        <v>1294</v>
      </c>
      <c r="K272" s="1449" t="s">
        <v>1296</v>
      </c>
      <c r="L272" s="1449" t="s">
        <v>1294</v>
      </c>
      <c r="M272" s="1452" t="s">
        <v>1296</v>
      </c>
      <c r="N272" s="1448" t="s">
        <v>1294</v>
      </c>
      <c r="O272" s="1449" t="s">
        <v>1296</v>
      </c>
      <c r="P272" s="1449" t="s">
        <v>1294</v>
      </c>
      <c r="Q272" s="1450" t="s">
        <v>1296</v>
      </c>
      <c r="BK272" s="1075"/>
    </row>
    <row r="273" spans="1:63" ht="15" customHeight="1" x14ac:dyDescent="0.2">
      <c r="A273" s="1076"/>
      <c r="B273" s="1515" t="s">
        <v>1297</v>
      </c>
      <c r="C273" s="1515"/>
      <c r="D273" s="1522"/>
      <c r="E273" s="1364"/>
      <c r="F273" s="314"/>
      <c r="G273" s="314"/>
      <c r="H273" s="314"/>
      <c r="I273" s="1424"/>
      <c r="J273" s="1426"/>
      <c r="K273" s="314"/>
      <c r="L273" s="314"/>
      <c r="M273" s="1427"/>
      <c r="N273" s="1401"/>
      <c r="O273" s="314"/>
      <c r="P273" s="314"/>
      <c r="Q273" s="1424"/>
      <c r="BK273" s="1075"/>
    </row>
    <row r="274" spans="1:63" ht="15" customHeight="1" x14ac:dyDescent="0.2">
      <c r="A274" s="1076"/>
      <c r="B274" s="1447" t="s">
        <v>1298</v>
      </c>
      <c r="C274" s="1447"/>
      <c r="D274" s="1057"/>
      <c r="E274" s="1362"/>
      <c r="F274" s="265"/>
      <c r="G274" s="265"/>
      <c r="H274" s="265"/>
      <c r="I274" s="273"/>
      <c r="J274" s="1428"/>
      <c r="K274" s="265"/>
      <c r="L274" s="265"/>
      <c r="M274" s="1429"/>
      <c r="N274" s="1402"/>
      <c r="O274" s="265"/>
      <c r="P274" s="265"/>
      <c r="Q274" s="273"/>
      <c r="BK274" s="1075"/>
    </row>
    <row r="275" spans="1:63" ht="15" customHeight="1" x14ac:dyDescent="0.2">
      <c r="A275" s="1076"/>
      <c r="B275" s="1057" t="s">
        <v>497</v>
      </c>
      <c r="C275" s="1057"/>
      <c r="D275" s="1057"/>
      <c r="E275" s="1362"/>
      <c r="F275" s="265"/>
      <c r="G275" s="265"/>
      <c r="H275" s="265"/>
      <c r="I275" s="273"/>
      <c r="J275" s="1428"/>
      <c r="K275" s="265"/>
      <c r="L275" s="265"/>
      <c r="M275" s="1429"/>
      <c r="N275" s="1402"/>
      <c r="O275" s="265"/>
      <c r="P275" s="265"/>
      <c r="Q275" s="273"/>
      <c r="BK275" s="1075"/>
    </row>
    <row r="276" spans="1:63" ht="15" customHeight="1" x14ac:dyDescent="0.2">
      <c r="A276" s="1076"/>
      <c r="B276" s="1057" t="s">
        <v>1299</v>
      </c>
      <c r="C276" s="1057"/>
      <c r="D276" s="1057"/>
      <c r="E276" s="1362"/>
      <c r="F276" s="265"/>
      <c r="G276" s="265"/>
      <c r="H276" s="265"/>
      <c r="I276" s="273"/>
      <c r="J276" s="1428"/>
      <c r="K276" s="265"/>
      <c r="L276" s="265"/>
      <c r="M276" s="1429"/>
      <c r="N276" s="1402"/>
      <c r="O276" s="265"/>
      <c r="P276" s="265"/>
      <c r="Q276" s="273"/>
      <c r="BK276" s="1075"/>
    </row>
    <row r="277" spans="1:63" ht="15" customHeight="1" x14ac:dyDescent="0.2">
      <c r="A277" s="1076"/>
      <c r="B277" s="1057" t="s">
        <v>1300</v>
      </c>
      <c r="C277" s="1057"/>
      <c r="D277" s="1057"/>
      <c r="E277" s="1362"/>
      <c r="F277" s="265"/>
      <c r="G277" s="265"/>
      <c r="H277" s="265"/>
      <c r="I277" s="273"/>
      <c r="J277" s="1428"/>
      <c r="K277" s="265"/>
      <c r="L277" s="265"/>
      <c r="M277" s="1429"/>
      <c r="N277" s="1402"/>
      <c r="O277" s="265"/>
      <c r="P277" s="265"/>
      <c r="Q277" s="273"/>
      <c r="BK277" s="1075"/>
    </row>
    <row r="278" spans="1:63" ht="15" customHeight="1" x14ac:dyDescent="0.2">
      <c r="A278" s="1076"/>
      <c r="B278" s="1057" t="s">
        <v>498</v>
      </c>
      <c r="C278" s="1057"/>
      <c r="D278" s="1057"/>
      <c r="E278" s="1362"/>
      <c r="F278" s="265"/>
      <c r="G278" s="265"/>
      <c r="H278" s="265"/>
      <c r="I278" s="273"/>
      <c r="J278" s="1428"/>
      <c r="K278" s="265"/>
      <c r="L278" s="265"/>
      <c r="M278" s="1429"/>
      <c r="N278" s="1402"/>
      <c r="O278" s="265"/>
      <c r="P278" s="265"/>
      <c r="Q278" s="273"/>
      <c r="BK278" s="1075"/>
    </row>
    <row r="279" spans="1:63" ht="15" customHeight="1" x14ac:dyDescent="0.2">
      <c r="A279" s="1076"/>
      <c r="B279" s="1057" t="s">
        <v>1301</v>
      </c>
      <c r="C279" s="1057"/>
      <c r="D279" s="1057"/>
      <c r="E279" s="1362"/>
      <c r="F279" s="265"/>
      <c r="G279" s="265"/>
      <c r="H279" s="265"/>
      <c r="I279" s="273"/>
      <c r="J279" s="1428"/>
      <c r="K279" s="265"/>
      <c r="L279" s="265"/>
      <c r="M279" s="1429"/>
      <c r="N279" s="1402"/>
      <c r="O279" s="265"/>
      <c r="P279" s="265"/>
      <c r="Q279" s="273"/>
      <c r="BK279" s="1075"/>
    </row>
    <row r="280" spans="1:63" ht="15" customHeight="1" x14ac:dyDescent="0.2">
      <c r="A280" s="1076"/>
      <c r="B280" s="1057" t="s">
        <v>1302</v>
      </c>
      <c r="C280" s="1057"/>
      <c r="D280" s="1057"/>
      <c r="E280" s="1362"/>
      <c r="F280" s="265"/>
      <c r="G280" s="265"/>
      <c r="H280" s="265"/>
      <c r="I280" s="273"/>
      <c r="J280" s="1428"/>
      <c r="K280" s="265"/>
      <c r="L280" s="265"/>
      <c r="M280" s="1429"/>
      <c r="N280" s="1402"/>
      <c r="O280" s="265"/>
      <c r="P280" s="265"/>
      <c r="Q280" s="273"/>
      <c r="BK280" s="1075"/>
    </row>
    <row r="281" spans="1:63" ht="15" customHeight="1" x14ac:dyDescent="0.2">
      <c r="A281" s="1076"/>
      <c r="B281" s="1058" t="s">
        <v>1303</v>
      </c>
      <c r="C281" s="1058"/>
      <c r="D281" s="1058"/>
      <c r="E281" s="1363"/>
      <c r="F281" s="321"/>
      <c r="G281" s="321"/>
      <c r="H281" s="321"/>
      <c r="I281" s="275"/>
      <c r="J281" s="1430"/>
      <c r="K281" s="321"/>
      <c r="L281" s="321"/>
      <c r="M281" s="1431"/>
      <c r="N281" s="1405"/>
      <c r="O281" s="321"/>
      <c r="P281" s="321"/>
      <c r="Q281" s="275"/>
      <c r="BK281" s="1075"/>
    </row>
    <row r="282" spans="1:63" ht="15" customHeight="1" x14ac:dyDescent="0.2">
      <c r="A282" s="1076"/>
      <c r="B282" s="1074"/>
      <c r="G282" s="1074"/>
      <c r="H282" s="1074"/>
      <c r="I282" s="1074"/>
      <c r="J282" s="1074"/>
      <c r="BK282" s="1075"/>
    </row>
    <row r="283" spans="1:63" s="1073" customFormat="1" ht="30" customHeight="1" x14ac:dyDescent="0.25">
      <c r="A283" s="1053" t="s">
        <v>1339</v>
      </c>
      <c r="B283" s="46"/>
      <c r="C283" s="46"/>
      <c r="D283" s="46"/>
      <c r="E283" s="46"/>
      <c r="F283" s="46"/>
      <c r="G283" s="46"/>
      <c r="H283" s="46"/>
      <c r="I283" s="46"/>
      <c r="J283" s="46"/>
      <c r="BK283" s="1072"/>
    </row>
    <row r="284" spans="1:63" s="1073" customFormat="1" ht="30" customHeight="1" x14ac:dyDescent="0.25">
      <c r="A284" s="1053" t="s">
        <v>1307</v>
      </c>
      <c r="B284" s="46"/>
      <c r="C284" s="46"/>
      <c r="D284" s="46"/>
      <c r="E284" s="46"/>
      <c r="F284" s="46"/>
      <c r="G284" s="46"/>
      <c r="H284" s="46"/>
      <c r="I284" s="46"/>
      <c r="J284" s="46"/>
      <c r="BK284" s="1072"/>
    </row>
    <row r="285" spans="1:63" ht="15" customHeight="1" x14ac:dyDescent="0.2">
      <c r="A285" s="1076"/>
      <c r="B285" s="1074"/>
      <c r="G285" s="1074"/>
      <c r="H285" s="1074"/>
      <c r="I285" s="1074"/>
      <c r="J285" s="1074"/>
      <c r="AB285" s="1070"/>
      <c r="BK285" s="1075"/>
    </row>
    <row r="286" spans="1:63" ht="15" customHeight="1" x14ac:dyDescent="0.2">
      <c r="A286" s="1076"/>
      <c r="B286" s="1699" t="s">
        <v>1250</v>
      </c>
      <c r="C286" s="1699"/>
      <c r="D286" s="1699"/>
      <c r="E286" s="1700"/>
      <c r="F286" s="1705" t="s">
        <v>1309</v>
      </c>
      <c r="G286" s="1706"/>
      <c r="H286" s="1706"/>
      <c r="I286" s="1706"/>
      <c r="J286" s="1706"/>
      <c r="K286" s="1706"/>
      <c r="L286" s="1706"/>
      <c r="M286" s="1706"/>
      <c r="N286" s="1706"/>
      <c r="O286" s="1706"/>
      <c r="P286" s="1706"/>
      <c r="Q286" s="1706"/>
      <c r="R286" s="1706"/>
      <c r="S286" s="1706"/>
      <c r="T286" s="1706"/>
      <c r="U286" s="1706"/>
      <c r="V286" s="1706"/>
      <c r="W286" s="1706"/>
      <c r="X286" s="1706"/>
      <c r="Y286" s="1706"/>
      <c r="Z286" s="1706"/>
      <c r="AA286" s="1706"/>
      <c r="AB286" s="1706"/>
      <c r="AC286" s="1706"/>
      <c r="BK286" s="1075"/>
    </row>
    <row r="287" spans="1:63" ht="15" customHeight="1" x14ac:dyDescent="0.2">
      <c r="A287" s="1076"/>
      <c r="B287" s="1701"/>
      <c r="C287" s="1701"/>
      <c r="D287" s="1701"/>
      <c r="E287" s="1702"/>
      <c r="F287" s="1707" t="s">
        <v>1310</v>
      </c>
      <c r="G287" s="1708"/>
      <c r="H287" s="1709"/>
      <c r="I287" s="1710" t="s">
        <v>1315</v>
      </c>
      <c r="J287" s="1708"/>
      <c r="K287" s="1709"/>
      <c r="L287" s="1710" t="s">
        <v>1311</v>
      </c>
      <c r="M287" s="1708"/>
      <c r="N287" s="1709"/>
      <c r="O287" s="1710" t="s">
        <v>1314</v>
      </c>
      <c r="P287" s="1708"/>
      <c r="Q287" s="1709"/>
      <c r="R287" s="1476"/>
      <c r="S287" s="1607" t="s">
        <v>1312</v>
      </c>
      <c r="T287" s="1477"/>
      <c r="U287" s="1710" t="s">
        <v>863</v>
      </c>
      <c r="V287" s="1708"/>
      <c r="W287" s="1709"/>
      <c r="X287" s="1710" t="s">
        <v>1313</v>
      </c>
      <c r="Y287" s="1708"/>
      <c r="Z287" s="1709"/>
      <c r="AA287" s="1710" t="s">
        <v>1246</v>
      </c>
      <c r="AB287" s="1708"/>
      <c r="AC287" s="1708"/>
      <c r="BK287" s="1075"/>
    </row>
    <row r="288" spans="1:63" ht="15" customHeight="1" x14ac:dyDescent="0.2">
      <c r="A288" s="1076"/>
      <c r="B288" s="1703"/>
      <c r="C288" s="1703"/>
      <c r="D288" s="1703"/>
      <c r="E288" s="1704"/>
      <c r="F288" s="1449" t="s">
        <v>1316</v>
      </c>
      <c r="G288" s="1449" t="s">
        <v>1317</v>
      </c>
      <c r="H288" s="1452" t="s">
        <v>447</v>
      </c>
      <c r="I288" s="1449" t="s">
        <v>1316</v>
      </c>
      <c r="J288" s="1449" t="s">
        <v>1317</v>
      </c>
      <c r="K288" s="1452" t="s">
        <v>447</v>
      </c>
      <c r="L288" s="1449" t="s">
        <v>1316</v>
      </c>
      <c r="M288" s="1449" t="s">
        <v>1317</v>
      </c>
      <c r="N288" s="1452" t="s">
        <v>447</v>
      </c>
      <c r="O288" s="1449" t="s">
        <v>1316</v>
      </c>
      <c r="P288" s="1449" t="s">
        <v>1317</v>
      </c>
      <c r="Q288" s="1452" t="s">
        <v>447</v>
      </c>
      <c r="R288" s="1449" t="s">
        <v>1316</v>
      </c>
      <c r="S288" s="1449" t="s">
        <v>1317</v>
      </c>
      <c r="T288" s="1452" t="s">
        <v>447</v>
      </c>
      <c r="U288" s="1449" t="s">
        <v>1316</v>
      </c>
      <c r="V288" s="1449" t="s">
        <v>1317</v>
      </c>
      <c r="W288" s="1452" t="s">
        <v>447</v>
      </c>
      <c r="X288" s="1449" t="s">
        <v>1316</v>
      </c>
      <c r="Y288" s="1449" t="s">
        <v>1317</v>
      </c>
      <c r="Z288" s="1452" t="s">
        <v>447</v>
      </c>
      <c r="AA288" s="1451" t="s">
        <v>1316</v>
      </c>
      <c r="AB288" s="1449" t="s">
        <v>1317</v>
      </c>
      <c r="AC288" s="1450" t="s">
        <v>447</v>
      </c>
      <c r="BK288" s="1075"/>
    </row>
    <row r="289" spans="1:63" ht="15" customHeight="1" x14ac:dyDescent="0.2">
      <c r="A289" s="1076"/>
      <c r="B289" s="1515" t="s">
        <v>1297</v>
      </c>
      <c r="C289" s="1515"/>
      <c r="D289" s="1522"/>
      <c r="E289" s="1364"/>
      <c r="F289" s="314"/>
      <c r="G289" s="314"/>
      <c r="H289" s="1427"/>
      <c r="I289" s="314"/>
      <c r="J289" s="314"/>
      <c r="K289" s="1427"/>
      <c r="L289" s="314"/>
      <c r="M289" s="314"/>
      <c r="N289" s="1427"/>
      <c r="O289" s="314"/>
      <c r="P289" s="314"/>
      <c r="Q289" s="1427"/>
      <c r="R289" s="314"/>
      <c r="S289" s="314"/>
      <c r="T289" s="1427"/>
      <c r="U289" s="314"/>
      <c r="V289" s="314"/>
      <c r="W289" s="1427"/>
      <c r="X289" s="314"/>
      <c r="Y289" s="314"/>
      <c r="Z289" s="1427"/>
      <c r="AA289" s="1426"/>
      <c r="AB289" s="314"/>
      <c r="AC289" s="1424"/>
      <c r="BK289" s="1075"/>
    </row>
    <row r="290" spans="1:63" ht="15" customHeight="1" x14ac:dyDescent="0.2">
      <c r="A290" s="1076"/>
      <c r="B290" s="1515" t="s">
        <v>1298</v>
      </c>
      <c r="C290" s="1515"/>
      <c r="D290" s="1522"/>
      <c r="E290" s="1364"/>
      <c r="F290" s="265"/>
      <c r="G290" s="265"/>
      <c r="H290" s="1429"/>
      <c r="I290" s="265"/>
      <c r="J290" s="265"/>
      <c r="K290" s="1429"/>
      <c r="L290" s="265"/>
      <c r="M290" s="265"/>
      <c r="N290" s="1429"/>
      <c r="O290" s="265"/>
      <c r="P290" s="265"/>
      <c r="Q290" s="1429"/>
      <c r="R290" s="265"/>
      <c r="S290" s="265"/>
      <c r="T290" s="1429"/>
      <c r="U290" s="265"/>
      <c r="V290" s="265"/>
      <c r="W290" s="1429"/>
      <c r="X290" s="265"/>
      <c r="Y290" s="265"/>
      <c r="Z290" s="1429"/>
      <c r="AA290" s="1428"/>
      <c r="AB290" s="265"/>
      <c r="AC290" s="273"/>
      <c r="BK290" s="1075"/>
    </row>
    <row r="291" spans="1:63" ht="15" customHeight="1" x14ac:dyDescent="0.2">
      <c r="A291" s="1076"/>
      <c r="B291" s="1447" t="s">
        <v>497</v>
      </c>
      <c r="C291" s="1447"/>
      <c r="D291" s="1057"/>
      <c r="E291" s="1362"/>
      <c r="F291" s="265"/>
      <c r="G291" s="265"/>
      <c r="H291" s="1429"/>
      <c r="I291" s="265"/>
      <c r="J291" s="265"/>
      <c r="K291" s="1429"/>
      <c r="L291" s="265"/>
      <c r="M291" s="265"/>
      <c r="N291" s="1429"/>
      <c r="O291" s="265"/>
      <c r="P291" s="265"/>
      <c r="Q291" s="1429"/>
      <c r="R291" s="265"/>
      <c r="S291" s="265"/>
      <c r="T291" s="1429"/>
      <c r="U291" s="265"/>
      <c r="V291" s="265"/>
      <c r="W291" s="1429"/>
      <c r="X291" s="265"/>
      <c r="Y291" s="265"/>
      <c r="Z291" s="1429"/>
      <c r="AA291" s="1428"/>
      <c r="AB291" s="265"/>
      <c r="AC291" s="273"/>
      <c r="BK291" s="1075"/>
    </row>
    <row r="292" spans="1:63" ht="15" customHeight="1" x14ac:dyDescent="0.2">
      <c r="A292" s="1076"/>
      <c r="B292" s="1057" t="s">
        <v>1299</v>
      </c>
      <c r="C292" s="1057"/>
      <c r="D292" s="1057"/>
      <c r="E292" s="1362"/>
      <c r="F292" s="265"/>
      <c r="G292" s="265"/>
      <c r="H292" s="1429"/>
      <c r="I292" s="265"/>
      <c r="J292" s="265"/>
      <c r="K292" s="1429"/>
      <c r="L292" s="265"/>
      <c r="M292" s="265"/>
      <c r="N292" s="1429"/>
      <c r="O292" s="265"/>
      <c r="P292" s="265"/>
      <c r="Q292" s="1429"/>
      <c r="R292" s="265"/>
      <c r="S292" s="265"/>
      <c r="T292" s="1429"/>
      <c r="U292" s="265"/>
      <c r="V292" s="265"/>
      <c r="W292" s="1429"/>
      <c r="X292" s="265"/>
      <c r="Y292" s="265"/>
      <c r="Z292" s="1429"/>
      <c r="AA292" s="1428"/>
      <c r="AB292" s="265"/>
      <c r="AC292" s="273"/>
      <c r="BK292" s="1075"/>
    </row>
    <row r="293" spans="1:63" ht="15" customHeight="1" x14ac:dyDescent="0.2">
      <c r="A293" s="1076"/>
      <c r="B293" s="1057" t="s">
        <v>1300</v>
      </c>
      <c r="C293" s="1057"/>
      <c r="D293" s="1057"/>
      <c r="E293" s="1362"/>
      <c r="F293" s="265"/>
      <c r="G293" s="265"/>
      <c r="H293" s="1429"/>
      <c r="I293" s="265"/>
      <c r="J293" s="265"/>
      <c r="K293" s="1429"/>
      <c r="L293" s="265"/>
      <c r="M293" s="265"/>
      <c r="N293" s="1429"/>
      <c r="O293" s="265"/>
      <c r="P293" s="265"/>
      <c r="Q293" s="1429"/>
      <c r="R293" s="265"/>
      <c r="S293" s="265"/>
      <c r="T293" s="1429"/>
      <c r="U293" s="265"/>
      <c r="V293" s="265"/>
      <c r="W293" s="1429"/>
      <c r="X293" s="265"/>
      <c r="Y293" s="265"/>
      <c r="Z293" s="1429"/>
      <c r="AA293" s="1428"/>
      <c r="AB293" s="265"/>
      <c r="AC293" s="273"/>
      <c r="BK293" s="1075"/>
    </row>
    <row r="294" spans="1:63" ht="15" customHeight="1" x14ac:dyDescent="0.2">
      <c r="A294" s="1076"/>
      <c r="B294" s="1057" t="s">
        <v>498</v>
      </c>
      <c r="C294" s="1057"/>
      <c r="D294" s="1057"/>
      <c r="E294" s="1362"/>
      <c r="F294" s="265"/>
      <c r="G294" s="265"/>
      <c r="H294" s="1429"/>
      <c r="I294" s="265"/>
      <c r="J294" s="265"/>
      <c r="K294" s="1429"/>
      <c r="L294" s="265"/>
      <c r="M294" s="265"/>
      <c r="N294" s="1429"/>
      <c r="O294" s="265"/>
      <c r="P294" s="265"/>
      <c r="Q294" s="1429"/>
      <c r="R294" s="265"/>
      <c r="S294" s="265"/>
      <c r="T294" s="1429"/>
      <c r="U294" s="265"/>
      <c r="V294" s="265"/>
      <c r="W294" s="1429"/>
      <c r="X294" s="265"/>
      <c r="Y294" s="265"/>
      <c r="Z294" s="1429"/>
      <c r="AA294" s="1428"/>
      <c r="AB294" s="265"/>
      <c r="AC294" s="273"/>
      <c r="BK294" s="1075"/>
    </row>
    <row r="295" spans="1:63" ht="15" customHeight="1" x14ac:dyDescent="0.2">
      <c r="A295" s="1076"/>
      <c r="B295" s="1057" t="s">
        <v>1301</v>
      </c>
      <c r="C295" s="1057"/>
      <c r="D295" s="1057"/>
      <c r="E295" s="1362"/>
      <c r="F295" s="265"/>
      <c r="G295" s="265"/>
      <c r="H295" s="1429"/>
      <c r="I295" s="265"/>
      <c r="J295" s="265"/>
      <c r="K295" s="1429"/>
      <c r="L295" s="265"/>
      <c r="M295" s="265"/>
      <c r="N295" s="1429"/>
      <c r="O295" s="265"/>
      <c r="P295" s="265"/>
      <c r="Q295" s="1429"/>
      <c r="R295" s="265"/>
      <c r="S295" s="265"/>
      <c r="T295" s="1429"/>
      <c r="U295" s="265"/>
      <c r="V295" s="265"/>
      <c r="W295" s="1429"/>
      <c r="X295" s="265"/>
      <c r="Y295" s="265"/>
      <c r="Z295" s="1429"/>
      <c r="AA295" s="1428"/>
      <c r="AB295" s="265"/>
      <c r="AC295" s="273"/>
      <c r="BK295" s="1075"/>
    </row>
    <row r="296" spans="1:63" ht="15" customHeight="1" x14ac:dyDescent="0.2">
      <c r="A296" s="1076"/>
      <c r="B296" s="1057" t="s">
        <v>1302</v>
      </c>
      <c r="C296" s="1057"/>
      <c r="D296" s="1057"/>
      <c r="E296" s="1362"/>
      <c r="F296" s="265"/>
      <c r="G296" s="265"/>
      <c r="H296" s="1429"/>
      <c r="I296" s="265"/>
      <c r="J296" s="265"/>
      <c r="K296" s="1429"/>
      <c r="L296" s="265"/>
      <c r="M296" s="265"/>
      <c r="N296" s="1429"/>
      <c r="O296" s="265"/>
      <c r="P296" s="265"/>
      <c r="Q296" s="1429"/>
      <c r="R296" s="265"/>
      <c r="S296" s="265"/>
      <c r="T296" s="1429"/>
      <c r="U296" s="265"/>
      <c r="V296" s="265"/>
      <c r="W296" s="1429"/>
      <c r="X296" s="265"/>
      <c r="Y296" s="265"/>
      <c r="Z296" s="1429"/>
      <c r="AA296" s="1428"/>
      <c r="AB296" s="265"/>
      <c r="AC296" s="273"/>
      <c r="BK296" s="1075"/>
    </row>
    <row r="297" spans="1:63" ht="15" customHeight="1" x14ac:dyDescent="0.2">
      <c r="A297" s="1076"/>
      <c r="B297" s="1058" t="s">
        <v>1303</v>
      </c>
      <c r="C297" s="1058"/>
      <c r="D297" s="1058"/>
      <c r="E297" s="1363"/>
      <c r="F297" s="321"/>
      <c r="G297" s="321"/>
      <c r="H297" s="1431"/>
      <c r="I297" s="321"/>
      <c r="J297" s="321"/>
      <c r="K297" s="1431"/>
      <c r="L297" s="321"/>
      <c r="M297" s="321"/>
      <c r="N297" s="1431"/>
      <c r="O297" s="321"/>
      <c r="P297" s="321"/>
      <c r="Q297" s="1431"/>
      <c r="R297" s="321"/>
      <c r="S297" s="321"/>
      <c r="T297" s="1431"/>
      <c r="U297" s="321"/>
      <c r="V297" s="321"/>
      <c r="W297" s="1431"/>
      <c r="X297" s="321"/>
      <c r="Y297" s="321"/>
      <c r="Z297" s="1431"/>
      <c r="AA297" s="1430"/>
      <c r="AB297" s="321"/>
      <c r="AC297" s="275"/>
      <c r="BK297" s="1075"/>
    </row>
    <row r="298" spans="1:63" ht="15" customHeight="1" x14ac:dyDescent="0.2">
      <c r="A298" s="1076"/>
      <c r="B298" s="1074"/>
      <c r="G298" s="1074"/>
      <c r="H298" s="1074"/>
      <c r="I298" s="1074"/>
      <c r="J298" s="1074"/>
      <c r="BK298" s="1075"/>
    </row>
    <row r="299" spans="1:63" s="1073" customFormat="1" ht="30" customHeight="1" x14ac:dyDescent="0.25">
      <c r="A299" s="1053" t="s">
        <v>1308</v>
      </c>
      <c r="B299" s="46"/>
      <c r="C299" s="46"/>
      <c r="F299" s="46"/>
      <c r="G299" s="46"/>
      <c r="H299" s="46"/>
      <c r="I299" s="46"/>
      <c r="J299" s="46"/>
      <c r="K299" s="46"/>
      <c r="L299" s="46"/>
      <c r="M299" s="46"/>
      <c r="BK299" s="1072"/>
    </row>
    <row r="300" spans="1:63" ht="15" customHeight="1" x14ac:dyDescent="0.2">
      <c r="A300" s="1076"/>
      <c r="B300" s="1074"/>
      <c r="G300" s="1074"/>
      <c r="H300" s="1074"/>
      <c r="I300" s="1074"/>
      <c r="J300" s="1074"/>
      <c r="BK300" s="1075"/>
    </row>
    <row r="301" spans="1:63" ht="15" customHeight="1" x14ac:dyDescent="0.2">
      <c r="A301" s="1076"/>
      <c r="B301" s="1699" t="s">
        <v>1250</v>
      </c>
      <c r="C301" s="1699"/>
      <c r="D301" s="1699"/>
      <c r="E301" s="1700"/>
      <c r="F301" s="1705" t="s">
        <v>1309</v>
      </c>
      <c r="G301" s="1706"/>
      <c r="H301" s="1706"/>
      <c r="I301" s="1706"/>
      <c r="J301" s="1706"/>
      <c r="K301" s="1706"/>
      <c r="L301" s="1706"/>
      <c r="M301" s="1706"/>
      <c r="N301" s="1706"/>
      <c r="O301" s="1706"/>
      <c r="P301" s="1706"/>
      <c r="Q301" s="1706"/>
      <c r="R301" s="1706"/>
      <c r="S301" s="1706"/>
      <c r="T301" s="1706"/>
      <c r="U301" s="1706"/>
      <c r="V301" s="1706"/>
      <c r="W301" s="1706"/>
      <c r="X301" s="1706"/>
      <c r="Y301" s="1706"/>
      <c r="Z301" s="1706"/>
      <c r="AA301" s="1706"/>
      <c r="AB301" s="1706"/>
      <c r="AC301" s="1706"/>
      <c r="BK301" s="1075"/>
    </row>
    <row r="302" spans="1:63" ht="15" customHeight="1" x14ac:dyDescent="0.2">
      <c r="A302" s="1076"/>
      <c r="B302" s="1701"/>
      <c r="C302" s="1701"/>
      <c r="D302" s="1701"/>
      <c r="E302" s="1702"/>
      <c r="F302" s="1707" t="s">
        <v>1310</v>
      </c>
      <c r="G302" s="1708"/>
      <c r="H302" s="1709"/>
      <c r="I302" s="1710" t="s">
        <v>1315</v>
      </c>
      <c r="J302" s="1708"/>
      <c r="K302" s="1709"/>
      <c r="L302" s="1710" t="s">
        <v>1311</v>
      </c>
      <c r="M302" s="1708"/>
      <c r="N302" s="1709"/>
      <c r="O302" s="1710" t="s">
        <v>1314</v>
      </c>
      <c r="P302" s="1708"/>
      <c r="Q302" s="1709"/>
      <c r="R302" s="1476"/>
      <c r="S302" s="1607" t="s">
        <v>1312</v>
      </c>
      <c r="T302" s="1477"/>
      <c r="U302" s="1710" t="s">
        <v>863</v>
      </c>
      <c r="V302" s="1708"/>
      <c r="W302" s="1709"/>
      <c r="X302" s="1710" t="s">
        <v>1313</v>
      </c>
      <c r="Y302" s="1708"/>
      <c r="Z302" s="1709"/>
      <c r="AA302" s="1710" t="s">
        <v>1246</v>
      </c>
      <c r="AB302" s="1708"/>
      <c r="AC302" s="1708"/>
      <c r="BK302" s="1075"/>
    </row>
    <row r="303" spans="1:63" ht="15" customHeight="1" x14ac:dyDescent="0.2">
      <c r="A303" s="1076"/>
      <c r="B303" s="1703"/>
      <c r="C303" s="1703"/>
      <c r="D303" s="1703"/>
      <c r="E303" s="1704"/>
      <c r="F303" s="1449" t="s">
        <v>1316</v>
      </c>
      <c r="G303" s="1449" t="s">
        <v>1317</v>
      </c>
      <c r="H303" s="1452" t="s">
        <v>447</v>
      </c>
      <c r="I303" s="1449" t="s">
        <v>1316</v>
      </c>
      <c r="J303" s="1449" t="s">
        <v>1317</v>
      </c>
      <c r="K303" s="1452" t="s">
        <v>447</v>
      </c>
      <c r="L303" s="1449" t="s">
        <v>1316</v>
      </c>
      <c r="M303" s="1449" t="s">
        <v>1317</v>
      </c>
      <c r="N303" s="1452" t="s">
        <v>447</v>
      </c>
      <c r="O303" s="1449" t="s">
        <v>1316</v>
      </c>
      <c r="P303" s="1449" t="s">
        <v>1317</v>
      </c>
      <c r="Q303" s="1452" t="s">
        <v>447</v>
      </c>
      <c r="R303" s="1449" t="s">
        <v>1316</v>
      </c>
      <c r="S303" s="1449" t="s">
        <v>1317</v>
      </c>
      <c r="T303" s="1452" t="s">
        <v>447</v>
      </c>
      <c r="U303" s="1449" t="s">
        <v>1316</v>
      </c>
      <c r="V303" s="1449" t="s">
        <v>1317</v>
      </c>
      <c r="W303" s="1452" t="s">
        <v>447</v>
      </c>
      <c r="X303" s="1449" t="s">
        <v>1316</v>
      </c>
      <c r="Y303" s="1449" t="s">
        <v>1317</v>
      </c>
      <c r="Z303" s="1452" t="s">
        <v>447</v>
      </c>
      <c r="AA303" s="1451" t="s">
        <v>1316</v>
      </c>
      <c r="AB303" s="1449" t="s">
        <v>1317</v>
      </c>
      <c r="AC303" s="1450" t="s">
        <v>447</v>
      </c>
      <c r="BK303" s="1075"/>
    </row>
    <row r="304" spans="1:63" ht="15" customHeight="1" x14ac:dyDescent="0.2">
      <c r="A304" s="1076"/>
      <c r="B304" s="1515" t="s">
        <v>1297</v>
      </c>
      <c r="C304" s="1515"/>
      <c r="D304" s="1522"/>
      <c r="E304" s="1364"/>
      <c r="F304" s="314"/>
      <c r="G304" s="314"/>
      <c r="H304" s="1427"/>
      <c r="I304" s="314"/>
      <c r="J304" s="314"/>
      <c r="K304" s="1427"/>
      <c r="L304" s="314"/>
      <c r="M304" s="314"/>
      <c r="N304" s="1427"/>
      <c r="O304" s="314"/>
      <c r="P304" s="314"/>
      <c r="Q304" s="1427"/>
      <c r="R304" s="314"/>
      <c r="S304" s="314"/>
      <c r="T304" s="1427"/>
      <c r="U304" s="314"/>
      <c r="V304" s="314"/>
      <c r="W304" s="1427"/>
      <c r="X304" s="314"/>
      <c r="Y304" s="314"/>
      <c r="Z304" s="1427"/>
      <c r="AA304" s="314"/>
      <c r="AB304" s="314"/>
      <c r="AC304" s="1424"/>
      <c r="BK304" s="1075"/>
    </row>
    <row r="305" spans="1:63" ht="15" customHeight="1" x14ac:dyDescent="0.2">
      <c r="A305" s="1076"/>
      <c r="B305" s="1515" t="s">
        <v>1298</v>
      </c>
      <c r="C305" s="1515"/>
      <c r="D305" s="1522"/>
      <c r="E305" s="1364"/>
      <c r="F305" s="265"/>
      <c r="G305" s="265"/>
      <c r="H305" s="1429"/>
      <c r="I305" s="265"/>
      <c r="J305" s="265"/>
      <c r="K305" s="1429"/>
      <c r="L305" s="265"/>
      <c r="M305" s="265"/>
      <c r="N305" s="1429"/>
      <c r="O305" s="265"/>
      <c r="P305" s="265"/>
      <c r="Q305" s="1429"/>
      <c r="R305" s="265"/>
      <c r="S305" s="265"/>
      <c r="T305" s="1429"/>
      <c r="U305" s="265"/>
      <c r="V305" s="265"/>
      <c r="W305" s="1429"/>
      <c r="X305" s="265"/>
      <c r="Y305" s="265"/>
      <c r="Z305" s="1429"/>
      <c r="AA305" s="265"/>
      <c r="AB305" s="265"/>
      <c r="AC305" s="273"/>
      <c r="BK305" s="1075"/>
    </row>
    <row r="306" spans="1:63" ht="15" customHeight="1" x14ac:dyDescent="0.2">
      <c r="A306" s="1076"/>
      <c r="B306" s="1447" t="s">
        <v>497</v>
      </c>
      <c r="C306" s="1447"/>
      <c r="D306" s="1057"/>
      <c r="E306" s="1362"/>
      <c r="F306" s="265"/>
      <c r="G306" s="265"/>
      <c r="H306" s="1429"/>
      <c r="I306" s="265"/>
      <c r="J306" s="265"/>
      <c r="K306" s="1429"/>
      <c r="L306" s="265"/>
      <c r="M306" s="265"/>
      <c r="N306" s="1429"/>
      <c r="O306" s="265"/>
      <c r="P306" s="265"/>
      <c r="Q306" s="1429"/>
      <c r="R306" s="265"/>
      <c r="S306" s="265"/>
      <c r="T306" s="1429"/>
      <c r="U306" s="265"/>
      <c r="V306" s="265"/>
      <c r="W306" s="1429"/>
      <c r="X306" s="265"/>
      <c r="Y306" s="265"/>
      <c r="Z306" s="1429"/>
      <c r="AA306" s="265"/>
      <c r="AB306" s="265"/>
      <c r="AC306" s="273"/>
      <c r="BK306" s="1075"/>
    </row>
    <row r="307" spans="1:63" ht="15" customHeight="1" x14ac:dyDescent="0.2">
      <c r="A307" s="1076"/>
      <c r="B307" s="1057" t="s">
        <v>1299</v>
      </c>
      <c r="C307" s="1057"/>
      <c r="D307" s="1057"/>
      <c r="E307" s="1362"/>
      <c r="F307" s="265"/>
      <c r="G307" s="265"/>
      <c r="H307" s="1429"/>
      <c r="I307" s="265"/>
      <c r="J307" s="265"/>
      <c r="K307" s="1429"/>
      <c r="L307" s="265"/>
      <c r="M307" s="265"/>
      <c r="N307" s="1429"/>
      <c r="O307" s="265"/>
      <c r="P307" s="265"/>
      <c r="Q307" s="1429"/>
      <c r="R307" s="265"/>
      <c r="S307" s="265"/>
      <c r="T307" s="1429"/>
      <c r="U307" s="265"/>
      <c r="V307" s="265"/>
      <c r="W307" s="1429"/>
      <c r="X307" s="265"/>
      <c r="Y307" s="265"/>
      <c r="Z307" s="1429"/>
      <c r="AA307" s="265"/>
      <c r="AB307" s="265"/>
      <c r="AC307" s="273"/>
      <c r="BK307" s="1075"/>
    </row>
    <row r="308" spans="1:63" ht="15" customHeight="1" x14ac:dyDescent="0.2">
      <c r="A308" s="1076"/>
      <c r="B308" s="1057" t="s">
        <v>1300</v>
      </c>
      <c r="C308" s="1057"/>
      <c r="D308" s="1057"/>
      <c r="E308" s="1362"/>
      <c r="F308" s="265"/>
      <c r="G308" s="265"/>
      <c r="H308" s="1429"/>
      <c r="I308" s="265"/>
      <c r="J308" s="265"/>
      <c r="K308" s="1429"/>
      <c r="L308" s="265"/>
      <c r="M308" s="265"/>
      <c r="N308" s="1429"/>
      <c r="O308" s="265"/>
      <c r="P308" s="265"/>
      <c r="Q308" s="1429"/>
      <c r="R308" s="265"/>
      <c r="S308" s="265"/>
      <c r="T308" s="1429"/>
      <c r="U308" s="265"/>
      <c r="V308" s="265"/>
      <c r="W308" s="1429"/>
      <c r="X308" s="265"/>
      <c r="Y308" s="265"/>
      <c r="Z308" s="1429"/>
      <c r="AA308" s="265"/>
      <c r="AB308" s="265"/>
      <c r="AC308" s="273"/>
      <c r="BK308" s="1075"/>
    </row>
    <row r="309" spans="1:63" ht="15" customHeight="1" x14ac:dyDescent="0.2">
      <c r="A309" s="1076"/>
      <c r="B309" s="1057" t="s">
        <v>498</v>
      </c>
      <c r="C309" s="1057"/>
      <c r="D309" s="1057"/>
      <c r="E309" s="1362"/>
      <c r="F309" s="265"/>
      <c r="G309" s="265"/>
      <c r="H309" s="1429"/>
      <c r="I309" s="265"/>
      <c r="J309" s="265"/>
      <c r="K309" s="1429"/>
      <c r="L309" s="265"/>
      <c r="M309" s="265"/>
      <c r="N309" s="1429"/>
      <c r="O309" s="265"/>
      <c r="P309" s="265"/>
      <c r="Q309" s="1429"/>
      <c r="R309" s="265"/>
      <c r="S309" s="265"/>
      <c r="T309" s="1429"/>
      <c r="U309" s="265"/>
      <c r="V309" s="265"/>
      <c r="W309" s="1429"/>
      <c r="X309" s="265"/>
      <c r="Y309" s="265"/>
      <c r="Z309" s="1429"/>
      <c r="AA309" s="265"/>
      <c r="AB309" s="265"/>
      <c r="AC309" s="273"/>
      <c r="BK309" s="1075"/>
    </row>
    <row r="310" spans="1:63" ht="15" customHeight="1" x14ac:dyDescent="0.2">
      <c r="A310" s="1076"/>
      <c r="B310" s="1057" t="s">
        <v>1301</v>
      </c>
      <c r="C310" s="1057"/>
      <c r="D310" s="1057"/>
      <c r="E310" s="1362"/>
      <c r="F310" s="265"/>
      <c r="G310" s="265"/>
      <c r="H310" s="1429"/>
      <c r="I310" s="265"/>
      <c r="J310" s="265"/>
      <c r="K310" s="1429"/>
      <c r="L310" s="265"/>
      <c r="M310" s="265"/>
      <c r="N310" s="1429"/>
      <c r="O310" s="265"/>
      <c r="P310" s="265"/>
      <c r="Q310" s="1429"/>
      <c r="R310" s="265"/>
      <c r="S310" s="265"/>
      <c r="T310" s="1429"/>
      <c r="U310" s="265"/>
      <c r="V310" s="265"/>
      <c r="W310" s="1429"/>
      <c r="X310" s="265"/>
      <c r="Y310" s="265"/>
      <c r="Z310" s="1429"/>
      <c r="AA310" s="265"/>
      <c r="AB310" s="265"/>
      <c r="AC310" s="273"/>
      <c r="BK310" s="1075"/>
    </row>
    <row r="311" spans="1:63" ht="15" customHeight="1" x14ac:dyDescent="0.2">
      <c r="A311" s="1076"/>
      <c r="B311" s="1057" t="s">
        <v>1302</v>
      </c>
      <c r="C311" s="1057"/>
      <c r="D311" s="1057"/>
      <c r="E311" s="1362"/>
      <c r="F311" s="265"/>
      <c r="G311" s="265"/>
      <c r="H311" s="1429"/>
      <c r="I311" s="265"/>
      <c r="J311" s="265"/>
      <c r="K311" s="1429"/>
      <c r="L311" s="265"/>
      <c r="M311" s="265"/>
      <c r="N311" s="1429"/>
      <c r="O311" s="265"/>
      <c r="P311" s="265"/>
      <c r="Q311" s="1429"/>
      <c r="R311" s="265"/>
      <c r="S311" s="265"/>
      <c r="T311" s="1429"/>
      <c r="U311" s="265"/>
      <c r="V311" s="265"/>
      <c r="W311" s="1429"/>
      <c r="X311" s="265"/>
      <c r="Y311" s="265"/>
      <c r="Z311" s="1429"/>
      <c r="AA311" s="265"/>
      <c r="AB311" s="265"/>
      <c r="AC311" s="273"/>
      <c r="BK311" s="1075"/>
    </row>
    <row r="312" spans="1:63" ht="15" customHeight="1" x14ac:dyDescent="0.2">
      <c r="A312" s="1076"/>
      <c r="B312" s="1058" t="s">
        <v>1303</v>
      </c>
      <c r="C312" s="1058"/>
      <c r="D312" s="1058"/>
      <c r="E312" s="1363"/>
      <c r="F312" s="321"/>
      <c r="G312" s="321"/>
      <c r="H312" s="1431"/>
      <c r="I312" s="321"/>
      <c r="J312" s="321"/>
      <c r="K312" s="1431"/>
      <c r="L312" s="321"/>
      <c r="M312" s="321"/>
      <c r="N312" s="1431"/>
      <c r="O312" s="321"/>
      <c r="P312" s="321"/>
      <c r="Q312" s="1431"/>
      <c r="R312" s="321"/>
      <c r="S312" s="321"/>
      <c r="T312" s="1431"/>
      <c r="U312" s="321"/>
      <c r="V312" s="321"/>
      <c r="W312" s="1431"/>
      <c r="X312" s="321"/>
      <c r="Y312" s="321"/>
      <c r="Z312" s="1431"/>
      <c r="AA312" s="321"/>
      <c r="AB312" s="321"/>
      <c r="AC312" s="275"/>
      <c r="BK312" s="1075"/>
    </row>
    <row r="313" spans="1:63" ht="15" customHeight="1" x14ac:dyDescent="0.2">
      <c r="A313" s="214"/>
      <c r="B313" s="1070"/>
      <c r="C313" s="1070"/>
      <c r="D313" s="1070"/>
      <c r="E313" s="1070"/>
      <c r="F313" s="1070"/>
      <c r="G313" s="1070"/>
      <c r="H313" s="1070"/>
      <c r="I313" s="1070"/>
      <c r="J313" s="1070"/>
      <c r="K313" s="1070"/>
      <c r="L313" s="1070"/>
      <c r="M313" s="1070"/>
      <c r="N313" s="1070"/>
      <c r="O313" s="1070"/>
      <c r="P313" s="1070"/>
      <c r="Q313" s="1070"/>
      <c r="R313" s="1070"/>
      <c r="S313" s="1070"/>
      <c r="T313" s="1070"/>
      <c r="U313" s="1070"/>
      <c r="V313" s="1070"/>
      <c r="W313" s="1070"/>
      <c r="X313" s="1070"/>
      <c r="Y313" s="1070"/>
      <c r="Z313" s="1070"/>
      <c r="AA313" s="1070"/>
      <c r="AB313" s="1070"/>
      <c r="AC313" s="1070"/>
      <c r="AD313" s="1070"/>
      <c r="AE313" s="1070"/>
      <c r="AF313" s="1070"/>
      <c r="AG313" s="1070"/>
      <c r="AH313" s="1070"/>
      <c r="AI313" s="1070"/>
      <c r="AJ313" s="1070"/>
      <c r="AK313" s="1070"/>
      <c r="AL313" s="1070"/>
      <c r="AM313" s="1070"/>
      <c r="AN313" s="1070"/>
      <c r="AO313" s="1070"/>
      <c r="AP313" s="1070"/>
      <c r="AQ313" s="1070"/>
      <c r="AR313" s="1070"/>
      <c r="AS313" s="1070"/>
      <c r="AT313" s="1070"/>
      <c r="AU313" s="1070"/>
      <c r="AV313" s="1070"/>
      <c r="AW313" s="1070"/>
      <c r="AX313" s="1070"/>
      <c r="AY313" s="1070"/>
      <c r="AZ313" s="1070"/>
      <c r="BA313" s="1070"/>
      <c r="BB313" s="1070"/>
      <c r="BC313" s="1070"/>
      <c r="BD313" s="1070"/>
      <c r="BE313" s="1070"/>
      <c r="BF313" s="1070"/>
      <c r="BG313" s="1070"/>
      <c r="BH313" s="1070"/>
      <c r="BI313" s="1070"/>
      <c r="BJ313" s="1070"/>
      <c r="BK313" s="1071"/>
    </row>
  </sheetData>
  <mergeCells count="223">
    <mergeCell ref="B301:E303"/>
    <mergeCell ref="F301:AC301"/>
    <mergeCell ref="F302:H302"/>
    <mergeCell ref="I302:K302"/>
    <mergeCell ref="L302:N302"/>
    <mergeCell ref="O302:Q302"/>
    <mergeCell ref="U302:W302"/>
    <mergeCell ref="X302:Z302"/>
    <mergeCell ref="AA302:AC302"/>
    <mergeCell ref="L255:M255"/>
    <mergeCell ref="N255:O255"/>
    <mergeCell ref="N271:O271"/>
    <mergeCell ref="P271:Q271"/>
    <mergeCell ref="B286:E288"/>
    <mergeCell ref="F286:AC286"/>
    <mergeCell ref="F287:H287"/>
    <mergeCell ref="I287:K287"/>
    <mergeCell ref="L287:N287"/>
    <mergeCell ref="O287:Q287"/>
    <mergeCell ref="U287:W287"/>
    <mergeCell ref="X287:Z287"/>
    <mergeCell ref="AA287:AC287"/>
    <mergeCell ref="F246:I246"/>
    <mergeCell ref="J246:M246"/>
    <mergeCell ref="N246:Q246"/>
    <mergeCell ref="L208:M208"/>
    <mergeCell ref="N208:O208"/>
    <mergeCell ref="P208:Q208"/>
    <mergeCell ref="P255:Q255"/>
    <mergeCell ref="B269:E272"/>
    <mergeCell ref="F269:Q269"/>
    <mergeCell ref="F270:I270"/>
    <mergeCell ref="J270:M270"/>
    <mergeCell ref="N270:Q270"/>
    <mergeCell ref="F271:G271"/>
    <mergeCell ref="H271:I271"/>
    <mergeCell ref="J271:K271"/>
    <mergeCell ref="L271:M271"/>
    <mergeCell ref="B253:E256"/>
    <mergeCell ref="F253:Q253"/>
    <mergeCell ref="F254:I254"/>
    <mergeCell ref="J254:M254"/>
    <mergeCell ref="N254:Q254"/>
    <mergeCell ref="F255:G255"/>
    <mergeCell ref="H255:I255"/>
    <mergeCell ref="J255:K255"/>
    <mergeCell ref="B222:E225"/>
    <mergeCell ref="F222:Q222"/>
    <mergeCell ref="F223:I223"/>
    <mergeCell ref="J223:M223"/>
    <mergeCell ref="N223:Q223"/>
    <mergeCell ref="F224:G224"/>
    <mergeCell ref="H224:I224"/>
    <mergeCell ref="N192:O192"/>
    <mergeCell ref="P192:Q192"/>
    <mergeCell ref="B206:E209"/>
    <mergeCell ref="F206:Q206"/>
    <mergeCell ref="F207:I207"/>
    <mergeCell ref="J207:M207"/>
    <mergeCell ref="N207:Q207"/>
    <mergeCell ref="F208:G208"/>
    <mergeCell ref="H208:I208"/>
    <mergeCell ref="J208:K208"/>
    <mergeCell ref="J224:K224"/>
    <mergeCell ref="L224:M224"/>
    <mergeCell ref="N224:O224"/>
    <mergeCell ref="P224:Q224"/>
    <mergeCell ref="B182:E182"/>
    <mergeCell ref="B190:E193"/>
    <mergeCell ref="F190:Q190"/>
    <mergeCell ref="F191:I191"/>
    <mergeCell ref="J191:M191"/>
    <mergeCell ref="N191:Q191"/>
    <mergeCell ref="F192:G192"/>
    <mergeCell ref="H192:I192"/>
    <mergeCell ref="J192:K192"/>
    <mergeCell ref="L192:M192"/>
    <mergeCell ref="B142:E142"/>
    <mergeCell ref="B144:E144"/>
    <mergeCell ref="B148:E149"/>
    <mergeCell ref="F148:I148"/>
    <mergeCell ref="J148:K148"/>
    <mergeCell ref="L148:M148"/>
    <mergeCell ref="C135:E135"/>
    <mergeCell ref="C136:E136"/>
    <mergeCell ref="C137:E137"/>
    <mergeCell ref="C138:E138"/>
    <mergeCell ref="C139:E139"/>
    <mergeCell ref="C140:E140"/>
    <mergeCell ref="C130:E130"/>
    <mergeCell ref="C131:E131"/>
    <mergeCell ref="C132:E132"/>
    <mergeCell ref="C133:E133"/>
    <mergeCell ref="C134:E134"/>
    <mergeCell ref="U128:X128"/>
    <mergeCell ref="Y128:AB128"/>
    <mergeCell ref="AC128:AF128"/>
    <mergeCell ref="AG128:AG129"/>
    <mergeCell ref="U127:AF127"/>
    <mergeCell ref="AG127:AH127"/>
    <mergeCell ref="AI127:AJ127"/>
    <mergeCell ref="F128:F129"/>
    <mergeCell ref="G128:G129"/>
    <mergeCell ref="H128:H129"/>
    <mergeCell ref="I128:L128"/>
    <mergeCell ref="M128:P128"/>
    <mergeCell ref="Q128:T128"/>
    <mergeCell ref="AJ128:AJ129"/>
    <mergeCell ref="AH128:AH129"/>
    <mergeCell ref="AI128:AI129"/>
    <mergeCell ref="C117:C118"/>
    <mergeCell ref="C119:E119"/>
    <mergeCell ref="B121:E121"/>
    <mergeCell ref="B127:B129"/>
    <mergeCell ref="C127:E129"/>
    <mergeCell ref="F127:H127"/>
    <mergeCell ref="F107:J107"/>
    <mergeCell ref="K107:L107"/>
    <mergeCell ref="M107:N107"/>
    <mergeCell ref="C109:C116"/>
    <mergeCell ref="D109:D112"/>
    <mergeCell ref="D113:D116"/>
    <mergeCell ref="I127:T127"/>
    <mergeCell ref="C99:E99"/>
    <mergeCell ref="B101:E101"/>
    <mergeCell ref="B107:B108"/>
    <mergeCell ref="C107:C108"/>
    <mergeCell ref="D107:D108"/>
    <mergeCell ref="E107:E108"/>
    <mergeCell ref="P91:P92"/>
    <mergeCell ref="C93:C95"/>
    <mergeCell ref="D93:E93"/>
    <mergeCell ref="D94:E94"/>
    <mergeCell ref="D95:E95"/>
    <mergeCell ref="C96:C98"/>
    <mergeCell ref="D96:E96"/>
    <mergeCell ref="D97:E97"/>
    <mergeCell ref="D98:E98"/>
    <mergeCell ref="M90:N90"/>
    <mergeCell ref="O90:P90"/>
    <mergeCell ref="F91:F92"/>
    <mergeCell ref="G91:G92"/>
    <mergeCell ref="H91:H92"/>
    <mergeCell ref="I91:J91"/>
    <mergeCell ref="K91:L91"/>
    <mergeCell ref="M91:M92"/>
    <mergeCell ref="N91:N92"/>
    <mergeCell ref="O91:O92"/>
    <mergeCell ref="C83:E83"/>
    <mergeCell ref="B85:E85"/>
    <mergeCell ref="B90:B92"/>
    <mergeCell ref="C90:C92"/>
    <mergeCell ref="D90:E92"/>
    <mergeCell ref="F90:L90"/>
    <mergeCell ref="C77:C82"/>
    <mergeCell ref="D77:E77"/>
    <mergeCell ref="D78:E78"/>
    <mergeCell ref="D79:E79"/>
    <mergeCell ref="D80:E80"/>
    <mergeCell ref="D81:E81"/>
    <mergeCell ref="D82:E82"/>
    <mergeCell ref="P69:P70"/>
    <mergeCell ref="C71:C76"/>
    <mergeCell ref="D71:E71"/>
    <mergeCell ref="D72:E72"/>
    <mergeCell ref="D73:E73"/>
    <mergeCell ref="D74:E74"/>
    <mergeCell ref="D75:E75"/>
    <mergeCell ref="D76:E76"/>
    <mergeCell ref="M68:N68"/>
    <mergeCell ref="O68:P68"/>
    <mergeCell ref="F69:F70"/>
    <mergeCell ref="G69:G70"/>
    <mergeCell ref="H69:H70"/>
    <mergeCell ref="I69:J69"/>
    <mergeCell ref="K69:L69"/>
    <mergeCell ref="M69:M70"/>
    <mergeCell ref="N69:N70"/>
    <mergeCell ref="O69:O70"/>
    <mergeCell ref="C60:E60"/>
    <mergeCell ref="B62:E62"/>
    <mergeCell ref="B68:B70"/>
    <mergeCell ref="C68:C70"/>
    <mergeCell ref="D68:E70"/>
    <mergeCell ref="F68:L68"/>
    <mergeCell ref="C54:C59"/>
    <mergeCell ref="D54:E54"/>
    <mergeCell ref="D55:E55"/>
    <mergeCell ref="D56:E56"/>
    <mergeCell ref="D57:E57"/>
    <mergeCell ref="D58:E58"/>
    <mergeCell ref="D59:E59"/>
    <mergeCell ref="C48:C53"/>
    <mergeCell ref="D48:E48"/>
    <mergeCell ref="D49:E49"/>
    <mergeCell ref="D50:E50"/>
    <mergeCell ref="D51:E51"/>
    <mergeCell ref="D52:E52"/>
    <mergeCell ref="D53:E53"/>
    <mergeCell ref="G46:G47"/>
    <mergeCell ref="H46:H47"/>
    <mergeCell ref="AO4:AY4"/>
    <mergeCell ref="AZ4:BJ4"/>
    <mergeCell ref="B38:E38"/>
    <mergeCell ref="B45:B47"/>
    <mergeCell ref="C45:C47"/>
    <mergeCell ref="D45:E47"/>
    <mergeCell ref="F45:L45"/>
    <mergeCell ref="M45:N45"/>
    <mergeCell ref="O45:P45"/>
    <mergeCell ref="F46:F47"/>
    <mergeCell ref="B4:E5"/>
    <mergeCell ref="F4:F5"/>
    <mergeCell ref="G4:G5"/>
    <mergeCell ref="H4:R4"/>
    <mergeCell ref="S4:AC4"/>
    <mergeCell ref="AD4:AN4"/>
    <mergeCell ref="O46:O47"/>
    <mergeCell ref="P46:P47"/>
    <mergeCell ref="I46:J46"/>
    <mergeCell ref="K46:L46"/>
    <mergeCell ref="M46:M47"/>
    <mergeCell ref="N46:N47"/>
  </mergeCells>
  <conditionalFormatting sqref="F6:F8 F10:F31 F33 F35:F36 F131:F140 M6:M36 K6:K36 F93:P98">
    <cfRule type="cellIs" dxfId="807" priority="504" stopIfTrue="1" operator="lessThan">
      <formula>0</formula>
    </cfRule>
  </conditionalFormatting>
  <conditionalFormatting sqref="F6:Q36">
    <cfRule type="cellIs" dxfId="806" priority="514" stopIfTrue="1" operator="lessThan">
      <formula>0</formula>
    </cfRule>
  </conditionalFormatting>
  <conditionalFormatting sqref="F9 F32 F34">
    <cfRule type="cellIs" dxfId="805" priority="512" stopIfTrue="1" operator="equal">
      <formula>"No"</formula>
    </cfRule>
    <cfRule type="cellIs" dxfId="804" priority="513" stopIfTrue="1" operator="equal">
      <formula>"Yes"</formula>
    </cfRule>
  </conditionalFormatting>
  <conditionalFormatting sqref="G8">
    <cfRule type="cellIs" dxfId="803" priority="511" stopIfTrue="1" operator="lessThan">
      <formula>0</formula>
    </cfRule>
  </conditionalFormatting>
  <conditionalFormatting sqref="F49:F60">
    <cfRule type="cellIs" dxfId="802" priority="476" stopIfTrue="1" operator="lessThan">
      <formula>0</formula>
    </cfRule>
  </conditionalFormatting>
  <conditionalFormatting sqref="K49:L59">
    <cfRule type="cellIs" dxfId="801" priority="474" stopIfTrue="1" operator="lessThan">
      <formula>0</formula>
    </cfRule>
  </conditionalFormatting>
  <conditionalFormatting sqref="I6:I8 I10:I31 I33 I35:I36">
    <cfRule type="cellIs" dxfId="800" priority="510" stopIfTrue="1" operator="lessThan">
      <formula>0</formula>
    </cfRule>
  </conditionalFormatting>
  <conditionalFormatting sqref="K49:K59">
    <cfRule type="cellIs" dxfId="799" priority="475" stopIfTrue="1" operator="lessThan">
      <formula>0</formula>
    </cfRule>
  </conditionalFormatting>
  <conditionalFormatting sqref="K6:K8 K10:K31 K33 K35:K36">
    <cfRule type="cellIs" dxfId="798" priority="507" stopIfTrue="1" operator="lessThan">
      <formula>0</formula>
    </cfRule>
  </conditionalFormatting>
  <conditionalFormatting sqref="I49:I59">
    <cfRule type="cellIs" dxfId="797" priority="480" stopIfTrue="1" operator="lessThan">
      <formula>0</formula>
    </cfRule>
  </conditionalFormatting>
  <conditionalFormatting sqref="I49:J59 J60">
    <cfRule type="cellIs" dxfId="796" priority="479" stopIfTrue="1" operator="lessThan">
      <formula>0</formula>
    </cfRule>
  </conditionalFormatting>
  <conditionalFormatting sqref="I6:J36">
    <cfRule type="cellIs" dxfId="795" priority="509" stopIfTrue="1" operator="lessThan">
      <formula>0</formula>
    </cfRule>
  </conditionalFormatting>
  <conditionalFormatting sqref="J8">
    <cfRule type="cellIs" dxfId="794" priority="508" stopIfTrue="1" operator="lessThan">
      <formula>0</formula>
    </cfRule>
  </conditionalFormatting>
  <conditionalFormatting sqref="M38">
    <cfRule type="cellIs" dxfId="793" priority="505" stopIfTrue="1" operator="lessThan">
      <formula>0</formula>
    </cfRule>
  </conditionalFormatting>
  <conditionalFormatting sqref="M8">
    <cfRule type="cellIs" dxfId="792" priority="506" stopIfTrue="1" operator="lessThan">
      <formula>0</formula>
    </cfRule>
  </conditionalFormatting>
  <conditionalFormatting sqref="F109:J118">
    <cfRule type="cellIs" dxfId="791" priority="470" stopIfTrue="1" operator="lessThan">
      <formula>0</formula>
    </cfRule>
  </conditionalFormatting>
  <conditionalFormatting sqref="F131:G140">
    <cfRule type="cellIs" dxfId="790" priority="447" stopIfTrue="1" operator="lessThan">
      <formula>0</formula>
    </cfRule>
  </conditionalFormatting>
  <conditionalFormatting sqref="H9:Q9 H32:Q32 H34:Q34">
    <cfRule type="cellIs" dxfId="789" priority="502" stopIfTrue="1" operator="equal">
      <formula>"No"</formula>
    </cfRule>
    <cfRule type="cellIs" dxfId="788" priority="503" stopIfTrue="1" operator="equal">
      <formula>"Yes"</formula>
    </cfRule>
  </conditionalFormatting>
  <conditionalFormatting sqref="I8">
    <cfRule type="cellIs" dxfId="787" priority="501" stopIfTrue="1" operator="lessThan">
      <formula>0</formula>
    </cfRule>
  </conditionalFormatting>
  <conditionalFormatting sqref="G8">
    <cfRule type="cellIs" dxfId="786" priority="500" stopIfTrue="1" operator="lessThan">
      <formula>0</formula>
    </cfRule>
  </conditionalFormatting>
  <conditionalFormatting sqref="K6:K8 K10:K31 K33 K35:K36">
    <cfRule type="cellIs" dxfId="785" priority="499" stopIfTrue="1" operator="lessThan">
      <formula>0</formula>
    </cfRule>
  </conditionalFormatting>
  <conditionalFormatting sqref="M38">
    <cfRule type="cellIs" dxfId="784" priority="497" stopIfTrue="1" operator="lessThan">
      <formula>0</formula>
    </cfRule>
  </conditionalFormatting>
  <conditionalFormatting sqref="N6:N8 N10:N31 N33 N35:N36">
    <cfRule type="cellIs" dxfId="783" priority="496" stopIfTrue="1" operator="lessThan">
      <formula>0</formula>
    </cfRule>
  </conditionalFormatting>
  <conditionalFormatting sqref="M8">
    <cfRule type="cellIs" dxfId="782" priority="498" stopIfTrue="1" operator="lessThan">
      <formula>0</formula>
    </cfRule>
  </conditionalFormatting>
  <conditionalFormatting sqref="O38">
    <cfRule type="cellIs" dxfId="781" priority="493" stopIfTrue="1" operator="lessThan">
      <formula>0</formula>
    </cfRule>
  </conditionalFormatting>
  <conditionalFormatting sqref="N6:O36">
    <cfRule type="cellIs" dxfId="780" priority="495" stopIfTrue="1" operator="lessThan">
      <formula>0</formula>
    </cfRule>
  </conditionalFormatting>
  <conditionalFormatting sqref="O8">
    <cfRule type="cellIs" dxfId="779" priority="494" stopIfTrue="1" operator="lessThan">
      <formula>0</formula>
    </cfRule>
  </conditionalFormatting>
  <conditionalFormatting sqref="F40">
    <cfRule type="cellIs" dxfId="778" priority="492" stopIfTrue="1" operator="lessThan">
      <formula>0</formula>
    </cfRule>
  </conditionalFormatting>
  <conditionalFormatting sqref="F48:J48">
    <cfRule type="cellIs" dxfId="777" priority="491" stopIfTrue="1" operator="lessThan">
      <formula>0</formula>
    </cfRule>
  </conditionalFormatting>
  <conditionalFormatting sqref="I48">
    <cfRule type="cellIs" dxfId="776" priority="490" stopIfTrue="1" operator="lessThan">
      <formula>0</formula>
    </cfRule>
  </conditionalFormatting>
  <conditionalFormatting sqref="K48">
    <cfRule type="cellIs" dxfId="775" priority="488" stopIfTrue="1" operator="lessThan">
      <formula>0</formula>
    </cfRule>
  </conditionalFormatting>
  <conditionalFormatting sqref="I48:J48">
    <cfRule type="cellIs" dxfId="774" priority="489" stopIfTrue="1" operator="lessThan">
      <formula>0</formula>
    </cfRule>
  </conditionalFormatting>
  <conditionalFormatting sqref="K48:L48">
    <cfRule type="cellIs" dxfId="773" priority="487" stopIfTrue="1" operator="lessThan">
      <formula>0</formula>
    </cfRule>
  </conditionalFormatting>
  <conditionalFormatting sqref="F48">
    <cfRule type="cellIs" dxfId="772" priority="486" stopIfTrue="1" operator="lessThan">
      <formula>0</formula>
    </cfRule>
  </conditionalFormatting>
  <conditionalFormatting sqref="K48">
    <cfRule type="cellIs" dxfId="771" priority="485" stopIfTrue="1" operator="lessThan">
      <formula>0</formula>
    </cfRule>
  </conditionalFormatting>
  <conditionalFormatting sqref="M48">
    <cfRule type="cellIs" dxfId="770" priority="483" stopIfTrue="1" operator="lessThan">
      <formula>0</formula>
    </cfRule>
  </conditionalFormatting>
  <conditionalFormatting sqref="K48:L48">
    <cfRule type="cellIs" dxfId="769" priority="484" stopIfTrue="1" operator="lessThan">
      <formula>0</formula>
    </cfRule>
  </conditionalFormatting>
  <conditionalFormatting sqref="M48:N48">
    <cfRule type="cellIs" dxfId="768" priority="482" stopIfTrue="1" operator="lessThan">
      <formula>0</formula>
    </cfRule>
  </conditionalFormatting>
  <conditionalFormatting sqref="F49:J59 F60 H60 J60">
    <cfRule type="cellIs" dxfId="767" priority="481" stopIfTrue="1" operator="lessThan">
      <formula>0</formula>
    </cfRule>
  </conditionalFormatting>
  <conditionalFormatting sqref="K49:K59">
    <cfRule type="cellIs" dxfId="766" priority="478" stopIfTrue="1" operator="lessThan">
      <formula>0</formula>
    </cfRule>
  </conditionalFormatting>
  <conditionalFormatting sqref="K49:L59">
    <cfRule type="cellIs" dxfId="765" priority="477" stopIfTrue="1" operator="lessThan">
      <formula>0</formula>
    </cfRule>
  </conditionalFormatting>
  <conditionalFormatting sqref="M49:M60">
    <cfRule type="cellIs" dxfId="764" priority="473" stopIfTrue="1" operator="lessThan">
      <formula>0</formula>
    </cfRule>
  </conditionalFormatting>
  <conditionalFormatting sqref="M49:N59 M60">
    <cfRule type="cellIs" dxfId="763" priority="472" stopIfTrue="1" operator="lessThan">
      <formula>0</formula>
    </cfRule>
  </conditionalFormatting>
  <conditionalFormatting sqref="H62">
    <cfRule type="cellIs" dxfId="762" priority="471" stopIfTrue="1" operator="lessThan">
      <formula>0</formula>
    </cfRule>
  </conditionalFormatting>
  <conditionalFormatting sqref="F109:F118">
    <cfRule type="cellIs" dxfId="761" priority="465" stopIfTrue="1" operator="lessThan">
      <formula>0</formula>
    </cfRule>
  </conditionalFormatting>
  <conditionalFormatting sqref="K109:L118">
    <cfRule type="cellIs" dxfId="760" priority="463" stopIfTrue="1" operator="lessThan">
      <formula>0</formula>
    </cfRule>
  </conditionalFormatting>
  <conditionalFormatting sqref="K109:K118">
    <cfRule type="cellIs" dxfId="759" priority="464" stopIfTrue="1" operator="lessThan">
      <formula>0</formula>
    </cfRule>
  </conditionalFormatting>
  <conditionalFormatting sqref="I109:I118">
    <cfRule type="cellIs" dxfId="758" priority="469" stopIfTrue="1" operator="lessThan">
      <formula>0</formula>
    </cfRule>
  </conditionalFormatting>
  <conditionalFormatting sqref="I109:J118">
    <cfRule type="cellIs" dxfId="757" priority="468" stopIfTrue="1" operator="lessThan">
      <formula>0</formula>
    </cfRule>
  </conditionalFormatting>
  <conditionalFormatting sqref="K109:K118">
    <cfRule type="cellIs" dxfId="756" priority="467" stopIfTrue="1" operator="lessThan">
      <formula>0</formula>
    </cfRule>
  </conditionalFormatting>
  <conditionalFormatting sqref="K109:L118">
    <cfRule type="cellIs" dxfId="755" priority="466" stopIfTrue="1" operator="lessThan">
      <formula>0</formula>
    </cfRule>
  </conditionalFormatting>
  <conditionalFormatting sqref="M109:M118">
    <cfRule type="cellIs" dxfId="754" priority="462" stopIfTrue="1" operator="lessThan">
      <formula>0</formula>
    </cfRule>
  </conditionalFormatting>
  <conditionalFormatting sqref="M109:N118">
    <cfRule type="cellIs" dxfId="753" priority="461" stopIfTrue="1" operator="lessThan">
      <formula>0</formula>
    </cfRule>
  </conditionalFormatting>
  <conditionalFormatting sqref="F119">
    <cfRule type="cellIs" dxfId="752" priority="455" stopIfTrue="1" operator="lessThan">
      <formula>0</formula>
    </cfRule>
  </conditionalFormatting>
  <conditionalFormatting sqref="K119">
    <cfRule type="cellIs" dxfId="751" priority="453" stopIfTrue="1" operator="lessThan">
      <formula>0</formula>
    </cfRule>
  </conditionalFormatting>
  <conditionalFormatting sqref="K119">
    <cfRule type="cellIs" dxfId="750" priority="454" stopIfTrue="1" operator="lessThan">
      <formula>0</formula>
    </cfRule>
  </conditionalFormatting>
  <conditionalFormatting sqref="I119">
    <cfRule type="cellIs" dxfId="749" priority="459" stopIfTrue="1" operator="lessThan">
      <formula>0</formula>
    </cfRule>
  </conditionalFormatting>
  <conditionalFormatting sqref="I119:J119">
    <cfRule type="cellIs" dxfId="748" priority="458" stopIfTrue="1" operator="lessThan">
      <formula>0</formula>
    </cfRule>
  </conditionalFormatting>
  <conditionalFormatting sqref="F119 H119:J119">
    <cfRule type="cellIs" dxfId="747" priority="460" stopIfTrue="1" operator="lessThan">
      <formula>0</formula>
    </cfRule>
  </conditionalFormatting>
  <conditionalFormatting sqref="K119">
    <cfRule type="cellIs" dxfId="746" priority="457" stopIfTrue="1" operator="lessThan">
      <formula>0</formula>
    </cfRule>
  </conditionalFormatting>
  <conditionalFormatting sqref="K119">
    <cfRule type="cellIs" dxfId="745" priority="456" stopIfTrue="1" operator="lessThan">
      <formula>0</formula>
    </cfRule>
  </conditionalFormatting>
  <conditionalFormatting sqref="M119">
    <cfRule type="cellIs" dxfId="744" priority="452" stopIfTrue="1" operator="lessThan">
      <formula>0</formula>
    </cfRule>
  </conditionalFormatting>
  <conditionalFormatting sqref="M119">
    <cfRule type="cellIs" dxfId="743" priority="451" stopIfTrue="1" operator="lessThan">
      <formula>0</formula>
    </cfRule>
  </conditionalFormatting>
  <conditionalFormatting sqref="F130">
    <cfRule type="cellIs" dxfId="742" priority="448" stopIfTrue="1" operator="lessThan">
      <formula>0</formula>
    </cfRule>
  </conditionalFormatting>
  <conditionalFormatting sqref="F130:G130">
    <cfRule type="cellIs" dxfId="741" priority="449" stopIfTrue="1" operator="lessThan">
      <formula>0</formula>
    </cfRule>
  </conditionalFormatting>
  <conditionalFormatting sqref="H121">
    <cfRule type="cellIs" dxfId="740" priority="450" stopIfTrue="1" operator="lessThan">
      <formula>0</formula>
    </cfRule>
  </conditionalFormatting>
  <conditionalFormatting sqref="F142">
    <cfRule type="cellIs" dxfId="739" priority="445" stopIfTrue="1" operator="lessThan">
      <formula>0</formula>
    </cfRule>
  </conditionalFormatting>
  <conditionalFormatting sqref="F150:I180">
    <cfRule type="cellIs" dxfId="738" priority="444" stopIfTrue="1" operator="lessThan">
      <formula>0</formula>
    </cfRule>
  </conditionalFormatting>
  <conditionalFormatting sqref="G152">
    <cfRule type="cellIs" dxfId="737" priority="441" stopIfTrue="1" operator="lessThan">
      <formula>0</formula>
    </cfRule>
  </conditionalFormatting>
  <conditionalFormatting sqref="H182">
    <cfRule type="cellIs" dxfId="736" priority="440" stopIfTrue="1" operator="lessThan">
      <formula>0</formula>
    </cfRule>
  </conditionalFormatting>
  <conditionalFormatting sqref="F142">
    <cfRule type="cellIs" dxfId="735" priority="446" stopIfTrue="1" operator="lessThan">
      <formula>0</formula>
    </cfRule>
  </conditionalFormatting>
  <conditionalFormatting sqref="F150:F152 F154:F175 F177 F179:F180">
    <cfRule type="cellIs" dxfId="734" priority="432" stopIfTrue="1" operator="lessThan">
      <formula>0</formula>
    </cfRule>
  </conditionalFormatting>
  <conditionalFormatting sqref="F153 F176 F178">
    <cfRule type="cellIs" dxfId="733" priority="442" stopIfTrue="1" operator="equal">
      <formula>"No"</formula>
    </cfRule>
    <cfRule type="cellIs" dxfId="732" priority="443" stopIfTrue="1" operator="equal">
      <formula>"Yes"</formula>
    </cfRule>
  </conditionalFormatting>
  <conditionalFormatting sqref="F182">
    <cfRule type="cellIs" dxfId="731" priority="427" stopIfTrue="1" operator="lessThan">
      <formula>0</formula>
    </cfRule>
  </conditionalFormatting>
  <conditionalFormatting sqref="I150:I152 I154:I175 I177 I179:I180">
    <cfRule type="cellIs" dxfId="730" priority="439" stopIfTrue="1" operator="lessThan">
      <formula>0</formula>
    </cfRule>
  </conditionalFormatting>
  <conditionalFormatting sqref="F182">
    <cfRule type="cellIs" dxfId="729" priority="437" stopIfTrue="1" operator="lessThan">
      <formula>0</formula>
    </cfRule>
  </conditionalFormatting>
  <conditionalFormatting sqref="J150:J152 J154:J175 J177 J179:J180">
    <cfRule type="cellIs" dxfId="728" priority="436" stopIfTrue="1" operator="lessThan">
      <formula>0</formula>
    </cfRule>
  </conditionalFormatting>
  <conditionalFormatting sqref="I150:I180">
    <cfRule type="cellIs" dxfId="727" priority="438" stopIfTrue="1" operator="lessThan">
      <formula>0</formula>
    </cfRule>
  </conditionalFormatting>
  <conditionalFormatting sqref="J182">
    <cfRule type="cellIs" dxfId="726" priority="433" stopIfTrue="1" operator="lessThan">
      <formula>0</formula>
    </cfRule>
  </conditionalFormatting>
  <conditionalFormatting sqref="J150:K180">
    <cfRule type="cellIs" dxfId="725" priority="435" stopIfTrue="1" operator="lessThan">
      <formula>0</formula>
    </cfRule>
  </conditionalFormatting>
  <conditionalFormatting sqref="K152">
    <cfRule type="cellIs" dxfId="724" priority="434" stopIfTrue="1" operator="lessThan">
      <formula>0</formula>
    </cfRule>
  </conditionalFormatting>
  <conditionalFormatting sqref="H153 H176 H178">
    <cfRule type="cellIs" dxfId="723" priority="430" stopIfTrue="1" operator="equal">
      <formula>"No"</formula>
    </cfRule>
    <cfRule type="cellIs" dxfId="722" priority="431" stopIfTrue="1" operator="equal">
      <formula>"Yes"</formula>
    </cfRule>
  </conditionalFormatting>
  <conditionalFormatting sqref="I152">
    <cfRule type="cellIs" dxfId="721" priority="429" stopIfTrue="1" operator="lessThan">
      <formula>0</formula>
    </cfRule>
  </conditionalFormatting>
  <conditionalFormatting sqref="G152">
    <cfRule type="cellIs" dxfId="720" priority="428" stopIfTrue="1" operator="lessThan">
      <formula>0</formula>
    </cfRule>
  </conditionalFormatting>
  <conditionalFormatting sqref="J150:J152 J154:J175 J177 J179:J180">
    <cfRule type="cellIs" dxfId="719" priority="426" stopIfTrue="1" operator="lessThan">
      <formula>0</formula>
    </cfRule>
  </conditionalFormatting>
  <conditionalFormatting sqref="J182">
    <cfRule type="cellIs" dxfId="718" priority="423" stopIfTrue="1" operator="lessThan">
      <formula>0</formula>
    </cfRule>
  </conditionalFormatting>
  <conditionalFormatting sqref="L150:L152 L154:L175 L177 L179:L180">
    <cfRule type="cellIs" dxfId="717" priority="422" stopIfTrue="1" operator="lessThan">
      <formula>0</formula>
    </cfRule>
  </conditionalFormatting>
  <conditionalFormatting sqref="J150:K180">
    <cfRule type="cellIs" dxfId="716" priority="425" stopIfTrue="1" operator="lessThan">
      <formula>0</formula>
    </cfRule>
  </conditionalFormatting>
  <conditionalFormatting sqref="K152">
    <cfRule type="cellIs" dxfId="715" priority="424" stopIfTrue="1" operator="lessThan">
      <formula>0</formula>
    </cfRule>
  </conditionalFormatting>
  <conditionalFormatting sqref="L182">
    <cfRule type="cellIs" dxfId="714" priority="419" stopIfTrue="1" operator="lessThan">
      <formula>0</formula>
    </cfRule>
  </conditionalFormatting>
  <conditionalFormatting sqref="L150:M180">
    <cfRule type="cellIs" dxfId="713" priority="421" stopIfTrue="1" operator="lessThan">
      <formula>0</formula>
    </cfRule>
  </conditionalFormatting>
  <conditionalFormatting sqref="M152">
    <cfRule type="cellIs" dxfId="712" priority="420" stopIfTrue="1" operator="lessThan">
      <formula>0</formula>
    </cfRule>
  </conditionalFormatting>
  <conditionalFormatting sqref="F194:Q194">
    <cfRule type="cellIs" dxfId="711" priority="418" stopIfTrue="1" operator="lessThan">
      <formula>0</formula>
    </cfRule>
  </conditionalFormatting>
  <conditionalFormatting sqref="F194 H194 J194 L194 N194 P194">
    <cfRule type="cellIs" dxfId="710" priority="416" stopIfTrue="1" operator="equal">
      <formula>"No"</formula>
    </cfRule>
    <cfRule type="cellIs" dxfId="709" priority="417" stopIfTrue="1" operator="equal">
      <formula>"Yes"</formula>
    </cfRule>
  </conditionalFormatting>
  <conditionalFormatting sqref="F195:Q202">
    <cfRule type="cellIs" dxfId="708" priority="415" stopIfTrue="1" operator="lessThan">
      <formula>0</formula>
    </cfRule>
  </conditionalFormatting>
  <conditionalFormatting sqref="F195:F202 H195:H202 J195:J202 L195:L202 N195:N202 P195:P202">
    <cfRule type="cellIs" dxfId="707" priority="413" stopIfTrue="1" operator="equal">
      <formula>"No"</formula>
    </cfRule>
    <cfRule type="cellIs" dxfId="706" priority="414" stopIfTrue="1" operator="equal">
      <formula>"Yes"</formula>
    </cfRule>
  </conditionalFormatting>
  <conditionalFormatting sqref="I247 M247 Q247">
    <cfRule type="cellIs" dxfId="705" priority="412" stopIfTrue="1" operator="lessThan">
      <formula>0</formula>
    </cfRule>
  </conditionalFormatting>
  <conditionalFormatting sqref="F289:H289">
    <cfRule type="cellIs" dxfId="704" priority="411" stopIfTrue="1" operator="lessThan">
      <formula>0</formula>
    </cfRule>
  </conditionalFormatting>
  <conditionalFormatting sqref="F289 H289">
    <cfRule type="cellIs" dxfId="703" priority="409" stopIfTrue="1" operator="equal">
      <formula>"No"</formula>
    </cfRule>
    <cfRule type="cellIs" dxfId="702" priority="410" stopIfTrue="1" operator="equal">
      <formula>"Yes"</formula>
    </cfRule>
  </conditionalFormatting>
  <conditionalFormatting sqref="F227:F245 H227:H245 J227:J245 N227:N245 L227:L245 P227:P245">
    <cfRule type="cellIs" dxfId="701" priority="394" stopIfTrue="1" operator="equal">
      <formula>"No"</formula>
    </cfRule>
    <cfRule type="cellIs" dxfId="700" priority="395" stopIfTrue="1" operator="equal">
      <formula>"Yes"</formula>
    </cfRule>
  </conditionalFormatting>
  <conditionalFormatting sqref="F290:H297">
    <cfRule type="cellIs" dxfId="699" priority="408" stopIfTrue="1" operator="lessThan">
      <formula>0</formula>
    </cfRule>
  </conditionalFormatting>
  <conditionalFormatting sqref="F290:F297 H290:H297">
    <cfRule type="cellIs" dxfId="698" priority="406" stopIfTrue="1" operator="equal">
      <formula>"No"</formula>
    </cfRule>
    <cfRule type="cellIs" dxfId="697" priority="407" stopIfTrue="1" operator="equal">
      <formula>"Yes"</formula>
    </cfRule>
  </conditionalFormatting>
  <conditionalFormatting sqref="F210:Q210">
    <cfRule type="cellIs" dxfId="696" priority="405" stopIfTrue="1" operator="lessThan">
      <formula>0</formula>
    </cfRule>
  </conditionalFormatting>
  <conditionalFormatting sqref="F210 H210 J210 L210 N210 P210">
    <cfRule type="cellIs" dxfId="695" priority="403" stopIfTrue="1" operator="equal">
      <formula>"No"</formula>
    </cfRule>
    <cfRule type="cellIs" dxfId="694" priority="404" stopIfTrue="1" operator="equal">
      <formula>"Yes"</formula>
    </cfRule>
  </conditionalFormatting>
  <conditionalFormatting sqref="F211:Q218">
    <cfRule type="cellIs" dxfId="693" priority="402" stopIfTrue="1" operator="lessThan">
      <formula>0</formula>
    </cfRule>
  </conditionalFormatting>
  <conditionalFormatting sqref="F211:F218 H211:H218 J211:J218 L211:L218 N211:N218 P211:P218">
    <cfRule type="cellIs" dxfId="692" priority="400" stopIfTrue="1" operator="equal">
      <formula>"No"</formula>
    </cfRule>
    <cfRule type="cellIs" dxfId="691" priority="401" stopIfTrue="1" operator="equal">
      <formula>"Yes"</formula>
    </cfRule>
  </conditionalFormatting>
  <conditionalFormatting sqref="F226:Q226">
    <cfRule type="cellIs" dxfId="690" priority="399" stopIfTrue="1" operator="lessThan">
      <formula>0</formula>
    </cfRule>
  </conditionalFormatting>
  <conditionalFormatting sqref="F226 H226 J226 L226 N226 P226">
    <cfRule type="cellIs" dxfId="689" priority="397" stopIfTrue="1" operator="equal">
      <formula>"No"</formula>
    </cfRule>
    <cfRule type="cellIs" dxfId="688" priority="398" stopIfTrue="1" operator="equal">
      <formula>"Yes"</formula>
    </cfRule>
  </conditionalFormatting>
  <conditionalFormatting sqref="F227:Q245">
    <cfRule type="cellIs" dxfId="687" priority="396" stopIfTrue="1" operator="lessThan">
      <formula>0</formula>
    </cfRule>
  </conditionalFormatting>
  <conditionalFormatting sqref="F274:F281 H274:H281 J274:J281 L274:L281 N274:N281 P274:P281">
    <cfRule type="cellIs" dxfId="686" priority="382" stopIfTrue="1" operator="equal">
      <formula>"No"</formula>
    </cfRule>
    <cfRule type="cellIs" dxfId="685" priority="383" stopIfTrue="1" operator="equal">
      <formula>"Yes"</formula>
    </cfRule>
  </conditionalFormatting>
  <conditionalFormatting sqref="F258:F265 H258:H265 J258:J265 L258:L265 N258:N265 P258:P265">
    <cfRule type="cellIs" dxfId="684" priority="388" stopIfTrue="1" operator="equal">
      <formula>"No"</formula>
    </cfRule>
    <cfRule type="cellIs" dxfId="683" priority="389" stopIfTrue="1" operator="equal">
      <formula>"Yes"</formula>
    </cfRule>
  </conditionalFormatting>
  <conditionalFormatting sqref="F257:Q257">
    <cfRule type="cellIs" dxfId="682" priority="393" stopIfTrue="1" operator="lessThan">
      <formula>0</formula>
    </cfRule>
  </conditionalFormatting>
  <conditionalFormatting sqref="F257 H257 J257 L257 N257 P257">
    <cfRule type="cellIs" dxfId="681" priority="391" stopIfTrue="1" operator="equal">
      <formula>"No"</formula>
    </cfRule>
    <cfRule type="cellIs" dxfId="680" priority="392" stopIfTrue="1" operator="equal">
      <formula>"Yes"</formula>
    </cfRule>
  </conditionalFormatting>
  <conditionalFormatting sqref="F258:Q265">
    <cfRule type="cellIs" dxfId="679" priority="390" stopIfTrue="1" operator="lessThan">
      <formula>0</formula>
    </cfRule>
  </conditionalFormatting>
  <conditionalFormatting sqref="F273:Q273">
    <cfRule type="cellIs" dxfId="678" priority="387" stopIfTrue="1" operator="lessThan">
      <formula>0</formula>
    </cfRule>
  </conditionalFormatting>
  <conditionalFormatting sqref="F273 H273 J273 L273 N273 P273">
    <cfRule type="cellIs" dxfId="677" priority="385" stopIfTrue="1" operator="equal">
      <formula>"No"</formula>
    </cfRule>
    <cfRule type="cellIs" dxfId="676" priority="386" stopIfTrue="1" operator="equal">
      <formula>"Yes"</formula>
    </cfRule>
  </conditionalFormatting>
  <conditionalFormatting sqref="F274:Q281">
    <cfRule type="cellIs" dxfId="675" priority="384" stopIfTrue="1" operator="lessThan">
      <formula>0</formula>
    </cfRule>
  </conditionalFormatting>
  <conditionalFormatting sqref="I289:K289">
    <cfRule type="cellIs" dxfId="674" priority="381" stopIfTrue="1" operator="lessThan">
      <formula>0</formula>
    </cfRule>
  </conditionalFormatting>
  <conditionalFormatting sqref="I289 K289">
    <cfRule type="cellIs" dxfId="673" priority="379" stopIfTrue="1" operator="equal">
      <formula>"No"</formula>
    </cfRule>
    <cfRule type="cellIs" dxfId="672" priority="380" stopIfTrue="1" operator="equal">
      <formula>"Yes"</formula>
    </cfRule>
  </conditionalFormatting>
  <conditionalFormatting sqref="I290:K297">
    <cfRule type="cellIs" dxfId="671" priority="378" stopIfTrue="1" operator="lessThan">
      <formula>0</formula>
    </cfRule>
  </conditionalFormatting>
  <conditionalFormatting sqref="I290:I297 K290:K297">
    <cfRule type="cellIs" dxfId="670" priority="376" stopIfTrue="1" operator="equal">
      <formula>"No"</formula>
    </cfRule>
    <cfRule type="cellIs" dxfId="669" priority="377" stopIfTrue="1" operator="equal">
      <formula>"Yes"</formula>
    </cfRule>
  </conditionalFormatting>
  <conditionalFormatting sqref="R289:T289">
    <cfRule type="cellIs" dxfId="668" priority="375" stopIfTrue="1" operator="lessThan">
      <formula>0</formula>
    </cfRule>
  </conditionalFormatting>
  <conditionalFormatting sqref="R289 T289">
    <cfRule type="cellIs" dxfId="667" priority="373" stopIfTrue="1" operator="equal">
      <formula>"No"</formula>
    </cfRule>
    <cfRule type="cellIs" dxfId="666" priority="374" stopIfTrue="1" operator="equal">
      <formula>"Yes"</formula>
    </cfRule>
  </conditionalFormatting>
  <conditionalFormatting sqref="R290:T297">
    <cfRule type="cellIs" dxfId="665" priority="372" stopIfTrue="1" operator="lessThan">
      <formula>0</formula>
    </cfRule>
  </conditionalFormatting>
  <conditionalFormatting sqref="R290:R297 T290:T297">
    <cfRule type="cellIs" dxfId="664" priority="370" stopIfTrue="1" operator="equal">
      <formula>"No"</formula>
    </cfRule>
    <cfRule type="cellIs" dxfId="663" priority="371" stopIfTrue="1" operator="equal">
      <formula>"Yes"</formula>
    </cfRule>
  </conditionalFormatting>
  <conditionalFormatting sqref="U289:W289">
    <cfRule type="cellIs" dxfId="662" priority="369" stopIfTrue="1" operator="lessThan">
      <formula>0</formula>
    </cfRule>
  </conditionalFormatting>
  <conditionalFormatting sqref="U289 W289">
    <cfRule type="cellIs" dxfId="661" priority="367" stopIfTrue="1" operator="equal">
      <formula>"No"</formula>
    </cfRule>
    <cfRule type="cellIs" dxfId="660" priority="368" stopIfTrue="1" operator="equal">
      <formula>"Yes"</formula>
    </cfRule>
  </conditionalFormatting>
  <conditionalFormatting sqref="U290:W297">
    <cfRule type="cellIs" dxfId="659" priority="366" stopIfTrue="1" operator="lessThan">
      <formula>0</formula>
    </cfRule>
  </conditionalFormatting>
  <conditionalFormatting sqref="U290:U297 W290:W297">
    <cfRule type="cellIs" dxfId="658" priority="364" stopIfTrue="1" operator="equal">
      <formula>"No"</formula>
    </cfRule>
    <cfRule type="cellIs" dxfId="657" priority="365" stopIfTrue="1" operator="equal">
      <formula>"Yes"</formula>
    </cfRule>
  </conditionalFormatting>
  <conditionalFormatting sqref="X289:Z289">
    <cfRule type="cellIs" dxfId="656" priority="363" stopIfTrue="1" operator="lessThan">
      <formula>0</formula>
    </cfRule>
  </conditionalFormatting>
  <conditionalFormatting sqref="X289 Z289">
    <cfRule type="cellIs" dxfId="655" priority="361" stopIfTrue="1" operator="equal">
      <formula>"No"</formula>
    </cfRule>
    <cfRule type="cellIs" dxfId="654" priority="362" stopIfTrue="1" operator="equal">
      <formula>"Yes"</formula>
    </cfRule>
  </conditionalFormatting>
  <conditionalFormatting sqref="X290:Z297">
    <cfRule type="cellIs" dxfId="653" priority="360" stopIfTrue="1" operator="lessThan">
      <formula>0</formula>
    </cfRule>
  </conditionalFormatting>
  <conditionalFormatting sqref="X290:X297 Z290:Z297">
    <cfRule type="cellIs" dxfId="652" priority="358" stopIfTrue="1" operator="equal">
      <formula>"No"</formula>
    </cfRule>
    <cfRule type="cellIs" dxfId="651" priority="359" stopIfTrue="1" operator="equal">
      <formula>"Yes"</formula>
    </cfRule>
  </conditionalFormatting>
  <conditionalFormatting sqref="AA289:AC289">
    <cfRule type="cellIs" dxfId="650" priority="357" stopIfTrue="1" operator="lessThan">
      <formula>0</formula>
    </cfRule>
  </conditionalFormatting>
  <conditionalFormatting sqref="AA289 AC289">
    <cfRule type="cellIs" dxfId="649" priority="355" stopIfTrue="1" operator="equal">
      <formula>"No"</formula>
    </cfRule>
    <cfRule type="cellIs" dxfId="648" priority="356" stopIfTrue="1" operator="equal">
      <formula>"Yes"</formula>
    </cfRule>
  </conditionalFormatting>
  <conditionalFormatting sqref="AA290:AC297">
    <cfRule type="cellIs" dxfId="647" priority="354" stopIfTrue="1" operator="lessThan">
      <formula>0</formula>
    </cfRule>
  </conditionalFormatting>
  <conditionalFormatting sqref="AA290:AA297 AC290:AC297">
    <cfRule type="cellIs" dxfId="646" priority="352" stopIfTrue="1" operator="equal">
      <formula>"No"</formula>
    </cfRule>
    <cfRule type="cellIs" dxfId="645" priority="353" stopIfTrue="1" operator="equal">
      <formula>"Yes"</formula>
    </cfRule>
  </conditionalFormatting>
  <conditionalFormatting sqref="F304:H304">
    <cfRule type="cellIs" dxfId="644" priority="351" stopIfTrue="1" operator="lessThan">
      <formula>0</formula>
    </cfRule>
  </conditionalFormatting>
  <conditionalFormatting sqref="F304 H304">
    <cfRule type="cellIs" dxfId="643" priority="349" stopIfTrue="1" operator="equal">
      <formula>"No"</formula>
    </cfRule>
    <cfRule type="cellIs" dxfId="642" priority="350" stopIfTrue="1" operator="equal">
      <formula>"Yes"</formula>
    </cfRule>
  </conditionalFormatting>
  <conditionalFormatting sqref="F305:H312">
    <cfRule type="cellIs" dxfId="641" priority="348" stopIfTrue="1" operator="lessThan">
      <formula>0</formula>
    </cfRule>
  </conditionalFormatting>
  <conditionalFormatting sqref="F305:F312 H305:H312">
    <cfRule type="cellIs" dxfId="640" priority="346" stopIfTrue="1" operator="equal">
      <formula>"No"</formula>
    </cfRule>
    <cfRule type="cellIs" dxfId="639" priority="347" stopIfTrue="1" operator="equal">
      <formula>"Yes"</formula>
    </cfRule>
  </conditionalFormatting>
  <conditionalFormatting sqref="I304:K304">
    <cfRule type="cellIs" dxfId="638" priority="345" stopIfTrue="1" operator="lessThan">
      <formula>0</formula>
    </cfRule>
  </conditionalFormatting>
  <conditionalFormatting sqref="I304 K304">
    <cfRule type="cellIs" dxfId="637" priority="343" stopIfTrue="1" operator="equal">
      <formula>"No"</formula>
    </cfRule>
    <cfRule type="cellIs" dxfId="636" priority="344" stopIfTrue="1" operator="equal">
      <formula>"Yes"</formula>
    </cfRule>
  </conditionalFormatting>
  <conditionalFormatting sqref="I305:K312">
    <cfRule type="cellIs" dxfId="635" priority="342" stopIfTrue="1" operator="lessThan">
      <formula>0</formula>
    </cfRule>
  </conditionalFormatting>
  <conditionalFormatting sqref="I305:I312 K305:K312">
    <cfRule type="cellIs" dxfId="634" priority="340" stopIfTrue="1" operator="equal">
      <formula>"No"</formula>
    </cfRule>
    <cfRule type="cellIs" dxfId="633" priority="341" stopIfTrue="1" operator="equal">
      <formula>"Yes"</formula>
    </cfRule>
  </conditionalFormatting>
  <conditionalFormatting sqref="R304:T304">
    <cfRule type="cellIs" dxfId="632" priority="339" stopIfTrue="1" operator="lessThan">
      <formula>0</formula>
    </cfRule>
  </conditionalFormatting>
  <conditionalFormatting sqref="R304 T304">
    <cfRule type="cellIs" dxfId="631" priority="337" stopIfTrue="1" operator="equal">
      <formula>"No"</formula>
    </cfRule>
    <cfRule type="cellIs" dxfId="630" priority="338" stopIfTrue="1" operator="equal">
      <formula>"Yes"</formula>
    </cfRule>
  </conditionalFormatting>
  <conditionalFormatting sqref="R305:T312">
    <cfRule type="cellIs" dxfId="629" priority="336" stopIfTrue="1" operator="lessThan">
      <formula>0</formula>
    </cfRule>
  </conditionalFormatting>
  <conditionalFormatting sqref="R305:R312 T305:T312">
    <cfRule type="cellIs" dxfId="628" priority="334" stopIfTrue="1" operator="equal">
      <formula>"No"</formula>
    </cfRule>
    <cfRule type="cellIs" dxfId="627" priority="335" stopIfTrue="1" operator="equal">
      <formula>"Yes"</formula>
    </cfRule>
  </conditionalFormatting>
  <conditionalFormatting sqref="U304:W304">
    <cfRule type="cellIs" dxfId="626" priority="333" stopIfTrue="1" operator="lessThan">
      <formula>0</formula>
    </cfRule>
  </conditionalFormatting>
  <conditionalFormatting sqref="U304 W304">
    <cfRule type="cellIs" dxfId="625" priority="331" stopIfTrue="1" operator="equal">
      <formula>"No"</formula>
    </cfRule>
    <cfRule type="cellIs" dxfId="624" priority="332" stopIfTrue="1" operator="equal">
      <formula>"Yes"</formula>
    </cfRule>
  </conditionalFormatting>
  <conditionalFormatting sqref="U305:W312">
    <cfRule type="cellIs" dxfId="623" priority="330" stopIfTrue="1" operator="lessThan">
      <formula>0</formula>
    </cfRule>
  </conditionalFormatting>
  <conditionalFormatting sqref="U305:U312 W305:W312">
    <cfRule type="cellIs" dxfId="622" priority="328" stopIfTrue="1" operator="equal">
      <formula>"No"</formula>
    </cfRule>
    <cfRule type="cellIs" dxfId="621" priority="329" stopIfTrue="1" operator="equal">
      <formula>"Yes"</formula>
    </cfRule>
  </conditionalFormatting>
  <conditionalFormatting sqref="X304:Z304">
    <cfRule type="cellIs" dxfId="620" priority="327" stopIfTrue="1" operator="lessThan">
      <formula>0</formula>
    </cfRule>
  </conditionalFormatting>
  <conditionalFormatting sqref="X304 Z304">
    <cfRule type="cellIs" dxfId="619" priority="325" stopIfTrue="1" operator="equal">
      <formula>"No"</formula>
    </cfRule>
    <cfRule type="cellIs" dxfId="618" priority="326" stopIfTrue="1" operator="equal">
      <formula>"Yes"</formula>
    </cfRule>
  </conditionalFormatting>
  <conditionalFormatting sqref="X305:Z312">
    <cfRule type="cellIs" dxfId="617" priority="324" stopIfTrue="1" operator="lessThan">
      <formula>0</formula>
    </cfRule>
  </conditionalFormatting>
  <conditionalFormatting sqref="X305:X312 Z305:Z312">
    <cfRule type="cellIs" dxfId="616" priority="322" stopIfTrue="1" operator="equal">
      <formula>"No"</formula>
    </cfRule>
    <cfRule type="cellIs" dxfId="615" priority="323" stopIfTrue="1" operator="equal">
      <formula>"Yes"</formula>
    </cfRule>
  </conditionalFormatting>
  <conditionalFormatting sqref="AA304:AC304">
    <cfRule type="cellIs" dxfId="614" priority="321" stopIfTrue="1" operator="lessThan">
      <formula>0</formula>
    </cfRule>
  </conditionalFormatting>
  <conditionalFormatting sqref="AA304 AC304">
    <cfRule type="cellIs" dxfId="613" priority="319" stopIfTrue="1" operator="equal">
      <formula>"No"</formula>
    </cfRule>
    <cfRule type="cellIs" dxfId="612" priority="320" stopIfTrue="1" operator="equal">
      <formula>"Yes"</formula>
    </cfRule>
  </conditionalFormatting>
  <conditionalFormatting sqref="AA305:AC312">
    <cfRule type="cellIs" dxfId="611" priority="318" stopIfTrue="1" operator="lessThan">
      <formula>0</formula>
    </cfRule>
  </conditionalFormatting>
  <conditionalFormatting sqref="AA305:AA312 AC305:AC312">
    <cfRule type="cellIs" dxfId="610" priority="316" stopIfTrue="1" operator="equal">
      <formula>"No"</formula>
    </cfRule>
    <cfRule type="cellIs" dxfId="609" priority="317" stopIfTrue="1" operator="equal">
      <formula>"Yes"</formula>
    </cfRule>
  </conditionalFormatting>
  <conditionalFormatting sqref="L289:N289">
    <cfRule type="cellIs" dxfId="608" priority="315" stopIfTrue="1" operator="lessThan">
      <formula>0</formula>
    </cfRule>
  </conditionalFormatting>
  <conditionalFormatting sqref="L289 N289">
    <cfRule type="cellIs" dxfId="607" priority="313" stopIfTrue="1" operator="equal">
      <formula>"No"</formula>
    </cfRule>
    <cfRule type="cellIs" dxfId="606" priority="314" stopIfTrue="1" operator="equal">
      <formula>"Yes"</formula>
    </cfRule>
  </conditionalFormatting>
  <conditionalFormatting sqref="L290:N297">
    <cfRule type="cellIs" dxfId="605" priority="312" stopIfTrue="1" operator="lessThan">
      <formula>0</formula>
    </cfRule>
  </conditionalFormatting>
  <conditionalFormatting sqref="L290:L297 N290:N297">
    <cfRule type="cellIs" dxfId="604" priority="310" stopIfTrue="1" operator="equal">
      <formula>"No"</formula>
    </cfRule>
    <cfRule type="cellIs" dxfId="603" priority="311" stopIfTrue="1" operator="equal">
      <formula>"Yes"</formula>
    </cfRule>
  </conditionalFormatting>
  <conditionalFormatting sqref="O289:Q289">
    <cfRule type="cellIs" dxfId="602" priority="309" stopIfTrue="1" operator="lessThan">
      <formula>0</formula>
    </cfRule>
  </conditionalFormatting>
  <conditionalFormatting sqref="O289 Q289">
    <cfRule type="cellIs" dxfId="601" priority="307" stopIfTrue="1" operator="equal">
      <formula>"No"</formula>
    </cfRule>
    <cfRule type="cellIs" dxfId="600" priority="308" stopIfTrue="1" operator="equal">
      <formula>"Yes"</formula>
    </cfRule>
  </conditionalFormatting>
  <conditionalFormatting sqref="O290:Q297">
    <cfRule type="cellIs" dxfId="599" priority="306" stopIfTrue="1" operator="lessThan">
      <formula>0</formula>
    </cfRule>
  </conditionalFormatting>
  <conditionalFormatting sqref="O290:O297 Q290:Q297">
    <cfRule type="cellIs" dxfId="598" priority="304" stopIfTrue="1" operator="equal">
      <formula>"No"</formula>
    </cfRule>
    <cfRule type="cellIs" dxfId="597" priority="305" stopIfTrue="1" operator="equal">
      <formula>"Yes"</formula>
    </cfRule>
  </conditionalFormatting>
  <conditionalFormatting sqref="L304:N304">
    <cfRule type="cellIs" dxfId="596" priority="303" stopIfTrue="1" operator="lessThan">
      <formula>0</formula>
    </cfRule>
  </conditionalFormatting>
  <conditionalFormatting sqref="L304 N304">
    <cfRule type="cellIs" dxfId="595" priority="301" stopIfTrue="1" operator="equal">
      <formula>"No"</formula>
    </cfRule>
    <cfRule type="cellIs" dxfId="594" priority="302" stopIfTrue="1" operator="equal">
      <formula>"Yes"</formula>
    </cfRule>
  </conditionalFormatting>
  <conditionalFormatting sqref="L305:N312">
    <cfRule type="cellIs" dxfId="593" priority="300" stopIfTrue="1" operator="lessThan">
      <formula>0</formula>
    </cfRule>
  </conditionalFormatting>
  <conditionalFormatting sqref="L305:L312 N305:N312">
    <cfRule type="cellIs" dxfId="592" priority="298" stopIfTrue="1" operator="equal">
      <formula>"No"</formula>
    </cfRule>
    <cfRule type="cellIs" dxfId="591" priority="299" stopIfTrue="1" operator="equal">
      <formula>"Yes"</formula>
    </cfRule>
  </conditionalFormatting>
  <conditionalFormatting sqref="O304:Q304">
    <cfRule type="cellIs" dxfId="590" priority="297" stopIfTrue="1" operator="lessThan">
      <formula>0</formula>
    </cfRule>
  </conditionalFormatting>
  <conditionalFormatting sqref="O304 Q304">
    <cfRule type="cellIs" dxfId="589" priority="295" stopIfTrue="1" operator="equal">
      <formula>"No"</formula>
    </cfRule>
    <cfRule type="cellIs" dxfId="588" priority="296" stopIfTrue="1" operator="equal">
      <formula>"Yes"</formula>
    </cfRule>
  </conditionalFormatting>
  <conditionalFormatting sqref="O305:Q312">
    <cfRule type="cellIs" dxfId="587" priority="294" stopIfTrue="1" operator="lessThan">
      <formula>0</formula>
    </cfRule>
  </conditionalFormatting>
  <conditionalFormatting sqref="O305:O312 Q305:Q312">
    <cfRule type="cellIs" dxfId="586" priority="292" stopIfTrue="1" operator="equal">
      <formula>"No"</formula>
    </cfRule>
    <cfRule type="cellIs" dxfId="585" priority="293" stopIfTrue="1" operator="equal">
      <formula>"Yes"</formula>
    </cfRule>
  </conditionalFormatting>
  <conditionalFormatting sqref="F64">
    <cfRule type="cellIs" dxfId="584" priority="291" stopIfTrue="1" operator="lessThan">
      <formula>0</formula>
    </cfRule>
  </conditionalFormatting>
  <conditionalFormatting sqref="F103">
    <cfRule type="cellIs" dxfId="583" priority="290" stopIfTrue="1" operator="lessThan">
      <formula>0</formula>
    </cfRule>
  </conditionalFormatting>
  <conditionalFormatting sqref="F123">
    <cfRule type="cellIs" dxfId="582" priority="289" stopIfTrue="1" operator="lessThan">
      <formula>0</formula>
    </cfRule>
  </conditionalFormatting>
  <conditionalFormatting sqref="F144">
    <cfRule type="cellIs" dxfId="581" priority="288" stopIfTrue="1" operator="lessThan">
      <formula>0</formula>
    </cfRule>
  </conditionalFormatting>
  <conditionalFormatting sqref="F184">
    <cfRule type="cellIs" dxfId="580" priority="287" stopIfTrue="1" operator="lessThan">
      <formula>0</formula>
    </cfRule>
  </conditionalFormatting>
  <conditionalFormatting sqref="I249">
    <cfRule type="cellIs" dxfId="579" priority="286" stopIfTrue="1" operator="lessThan">
      <formula>0</formula>
    </cfRule>
  </conditionalFormatting>
  <conditionalFormatting sqref="H6:Q8 H10:Q31 H33:Q33 H35:Q36">
    <cfRule type="cellIs" dxfId="578" priority="285" stopIfTrue="1" operator="lessThan">
      <formula>0</formula>
    </cfRule>
  </conditionalFormatting>
  <conditionalFormatting sqref="H6:Q36">
    <cfRule type="cellIs" dxfId="577" priority="284" stopIfTrue="1" operator="lessThan">
      <formula>0</formula>
    </cfRule>
  </conditionalFormatting>
  <conditionalFormatting sqref="I8">
    <cfRule type="cellIs" dxfId="576" priority="283" stopIfTrue="1" operator="lessThan">
      <formula>0</formula>
    </cfRule>
  </conditionalFormatting>
  <conditionalFormatting sqref="H6:Q8 H10:Q31 H33:Q33 H35:Q36">
    <cfRule type="cellIs" dxfId="575" priority="282" stopIfTrue="1" operator="lessThan">
      <formula>0</formula>
    </cfRule>
  </conditionalFormatting>
  <conditionalFormatting sqref="J6:J8 J10:J31 J33 J35:J36">
    <cfRule type="cellIs" dxfId="574" priority="279" stopIfTrue="1" operator="lessThan">
      <formula>0</formula>
    </cfRule>
  </conditionalFormatting>
  <conditionalFormatting sqref="H6:Q36">
    <cfRule type="cellIs" dxfId="573" priority="281" stopIfTrue="1" operator="lessThan">
      <formula>0</formula>
    </cfRule>
  </conditionalFormatting>
  <conditionalFormatting sqref="I8">
    <cfRule type="cellIs" dxfId="572" priority="280" stopIfTrue="1" operator="lessThan">
      <formula>0</formula>
    </cfRule>
  </conditionalFormatting>
  <conditionalFormatting sqref="J6:K36">
    <cfRule type="cellIs" dxfId="571" priority="278" stopIfTrue="1" operator="lessThan">
      <formula>0</formula>
    </cfRule>
  </conditionalFormatting>
  <conditionalFormatting sqref="K8">
    <cfRule type="cellIs" dxfId="570" priority="277" stopIfTrue="1" operator="lessThan">
      <formula>0</formula>
    </cfRule>
  </conditionalFormatting>
  <conditionalFormatting sqref="M49:N59 M60">
    <cfRule type="cellIs" dxfId="569" priority="267" stopIfTrue="1" operator="lessThan">
      <formula>0</formula>
    </cfRule>
  </conditionalFormatting>
  <conditionalFormatting sqref="M49:M60">
    <cfRule type="cellIs" dxfId="568" priority="268" stopIfTrue="1" operator="lessThan">
      <formula>0</formula>
    </cfRule>
  </conditionalFormatting>
  <conditionalFormatting sqref="M48">
    <cfRule type="cellIs" dxfId="567" priority="276" stopIfTrue="1" operator="lessThan">
      <formula>0</formula>
    </cfRule>
  </conditionalFormatting>
  <conditionalFormatting sqref="M48:N48">
    <cfRule type="cellIs" dxfId="566" priority="275" stopIfTrue="1" operator="lessThan">
      <formula>0</formula>
    </cfRule>
  </conditionalFormatting>
  <conditionalFormatting sqref="M48">
    <cfRule type="cellIs" dxfId="565" priority="274" stopIfTrue="1" operator="lessThan">
      <formula>0</formula>
    </cfRule>
  </conditionalFormatting>
  <conditionalFormatting sqref="O48">
    <cfRule type="cellIs" dxfId="564" priority="272" stopIfTrue="1" operator="lessThan">
      <formula>0</formula>
    </cfRule>
  </conditionalFormatting>
  <conditionalFormatting sqref="M48:N48">
    <cfRule type="cellIs" dxfId="563" priority="273" stopIfTrue="1" operator="lessThan">
      <formula>0</formula>
    </cfRule>
  </conditionalFormatting>
  <conditionalFormatting sqref="O48:P48">
    <cfRule type="cellIs" dxfId="562" priority="271" stopIfTrue="1" operator="lessThan">
      <formula>0</formula>
    </cfRule>
  </conditionalFormatting>
  <conditionalFormatting sqref="M49:M60">
    <cfRule type="cellIs" dxfId="561" priority="270" stopIfTrue="1" operator="lessThan">
      <formula>0</formula>
    </cfRule>
  </conditionalFormatting>
  <conditionalFormatting sqref="M49:N59 M60">
    <cfRule type="cellIs" dxfId="560" priority="269" stopIfTrue="1" operator="lessThan">
      <formula>0</formula>
    </cfRule>
  </conditionalFormatting>
  <conditionalFormatting sqref="O49:O60">
    <cfRule type="cellIs" dxfId="559" priority="266" stopIfTrue="1" operator="lessThan">
      <formula>0</formula>
    </cfRule>
  </conditionalFormatting>
  <conditionalFormatting sqref="O49:P59 O60">
    <cfRule type="cellIs" dxfId="558" priority="265" stopIfTrue="1" operator="lessThan">
      <formula>0</formula>
    </cfRule>
  </conditionalFormatting>
  <conditionalFormatting sqref="R6:R8 R10:R31 R33 R35:R36">
    <cfRule type="cellIs" dxfId="557" priority="256" stopIfTrue="1" operator="lessThan">
      <formula>0</formula>
    </cfRule>
  </conditionalFormatting>
  <conditionalFormatting sqref="R6:R36">
    <cfRule type="cellIs" dxfId="556" priority="255" stopIfTrue="1" operator="lessThan">
      <formula>0</formula>
    </cfRule>
  </conditionalFormatting>
  <conditionalFormatting sqref="K121">
    <cfRule type="cellIs" dxfId="555" priority="221" stopIfTrue="1" operator="lessThan">
      <formula>0</formula>
    </cfRule>
  </conditionalFormatting>
  <conditionalFormatting sqref="M121">
    <cfRule type="cellIs" dxfId="554" priority="219" stopIfTrue="1" operator="lessThan">
      <formula>0</formula>
    </cfRule>
  </conditionalFormatting>
  <conditionalFormatting sqref="AG130:AH130">
    <cfRule type="cellIs" dxfId="553" priority="214" stopIfTrue="1" operator="lessThan">
      <formula>0</formula>
    </cfRule>
  </conditionalFormatting>
  <conditionalFormatting sqref="AI130">
    <cfRule type="cellIs" dxfId="552" priority="213" stopIfTrue="1" operator="lessThan">
      <formula>0</formula>
    </cfRule>
  </conditionalFormatting>
  <conditionalFormatting sqref="F38">
    <cfRule type="cellIs" dxfId="551" priority="263" stopIfTrue="1" operator="lessThan">
      <formula>0</formula>
    </cfRule>
  </conditionalFormatting>
  <conditionalFormatting sqref="F38">
    <cfRule type="cellIs" dxfId="550" priority="264" stopIfTrue="1" operator="lessThan">
      <formula>0</formula>
    </cfRule>
  </conditionalFormatting>
  <conditionalFormatting sqref="G38:R38">
    <cfRule type="cellIs" dxfId="549" priority="262" stopIfTrue="1" operator="lessThan">
      <formula>0</formula>
    </cfRule>
  </conditionalFormatting>
  <conditionalFormatting sqref="AG131:AH139 AG140">
    <cfRule type="cellIs" dxfId="548" priority="210" stopIfTrue="1" operator="lessThan">
      <formula>0</formula>
    </cfRule>
  </conditionalFormatting>
  <conditionalFormatting sqref="R6:R36">
    <cfRule type="cellIs" dxfId="547" priority="261" stopIfTrue="1" operator="lessThan">
      <formula>0</formula>
    </cfRule>
  </conditionalFormatting>
  <conditionalFormatting sqref="AG130">
    <cfRule type="cellIs" dxfId="546" priority="215" stopIfTrue="1" operator="lessThan">
      <formula>0</formula>
    </cfRule>
  </conditionalFormatting>
  <conditionalFormatting sqref="AI130:AJ130">
    <cfRule type="cellIs" dxfId="545" priority="212" stopIfTrue="1" operator="lessThan">
      <formula>0</formula>
    </cfRule>
  </conditionalFormatting>
  <conditionalFormatting sqref="AG131:AH139 AG140">
    <cfRule type="cellIs" dxfId="544" priority="211" stopIfTrue="1" operator="lessThan">
      <formula>0</formula>
    </cfRule>
  </conditionalFormatting>
  <conditionalFormatting sqref="R9 R32 R34">
    <cfRule type="cellIs" dxfId="543" priority="259" stopIfTrue="1" operator="equal">
      <formula>"No"</formula>
    </cfRule>
    <cfRule type="cellIs" dxfId="542" priority="260" stopIfTrue="1" operator="equal">
      <formula>"Yes"</formula>
    </cfRule>
  </conditionalFormatting>
  <conditionalFormatting sqref="M130:P140">
    <cfRule type="cellIs" dxfId="541" priority="207" stopIfTrue="1" operator="lessThan">
      <formula>0</formula>
    </cfRule>
  </conditionalFormatting>
  <conditionalFormatting sqref="Q130:T140">
    <cfRule type="cellIs" dxfId="540" priority="206" stopIfTrue="1" operator="lessThan">
      <formula>0</formula>
    </cfRule>
  </conditionalFormatting>
  <conditionalFormatting sqref="Y130:AB140">
    <cfRule type="cellIs" dxfId="539" priority="204" stopIfTrue="1" operator="lessThan">
      <formula>0</formula>
    </cfRule>
  </conditionalFormatting>
  <conditionalFormatting sqref="U130:X140">
    <cfRule type="cellIs" dxfId="538" priority="205" stopIfTrue="1" operator="lessThan">
      <formula>0</formula>
    </cfRule>
  </conditionalFormatting>
  <conditionalFormatting sqref="AC130:AF140">
    <cfRule type="cellIs" dxfId="537" priority="203" stopIfTrue="1" operator="lessThan">
      <formula>0</formula>
    </cfRule>
  </conditionalFormatting>
  <conditionalFormatting sqref="H130">
    <cfRule type="cellIs" dxfId="536" priority="202" stopIfTrue="1" operator="lessThan">
      <formula>0</formula>
    </cfRule>
  </conditionalFormatting>
  <conditionalFormatting sqref="R6:R8 R10:R31 R33 R35:R36">
    <cfRule type="cellIs" dxfId="535" priority="258" stopIfTrue="1" operator="lessThan">
      <formula>0</formula>
    </cfRule>
  </conditionalFormatting>
  <conditionalFormatting sqref="R6:R36">
    <cfRule type="cellIs" dxfId="534" priority="257" stopIfTrue="1" operator="lessThan">
      <formula>0</formula>
    </cfRule>
  </conditionalFormatting>
  <conditionalFormatting sqref="AG142">
    <cfRule type="cellIs" dxfId="533" priority="199" stopIfTrue="1" operator="lessThan">
      <formula>0</formula>
    </cfRule>
  </conditionalFormatting>
  <conditionalFormatting sqref="AG130">
    <cfRule type="cellIs" dxfId="532" priority="217" stopIfTrue="1" operator="lessThan">
      <formula>0</formula>
    </cfRule>
  </conditionalFormatting>
  <conditionalFormatting sqref="AG130:AH130">
    <cfRule type="cellIs" dxfId="531" priority="216" stopIfTrue="1" operator="lessThan">
      <formula>0</formula>
    </cfRule>
  </conditionalFormatting>
  <conditionalFormatting sqref="AI131:AJ139 AI140">
    <cfRule type="cellIs" dxfId="530" priority="209" stopIfTrue="1" operator="lessThan">
      <formula>0</formula>
    </cfRule>
  </conditionalFormatting>
  <conditionalFormatting sqref="I130:L140">
    <cfRule type="cellIs" dxfId="529" priority="208" stopIfTrue="1" operator="lessThan">
      <formula>0</formula>
    </cfRule>
  </conditionalFormatting>
  <conditionalFormatting sqref="F101">
    <cfRule type="cellIs" dxfId="528" priority="226" stopIfTrue="1" operator="lessThan">
      <formula>0</formula>
    </cfRule>
  </conditionalFormatting>
  <conditionalFormatting sqref="H101">
    <cfRule type="cellIs" dxfId="527" priority="232" stopIfTrue="1" operator="lessThan">
      <formula>0</formula>
    </cfRule>
  </conditionalFormatting>
  <conditionalFormatting sqref="O101">
    <cfRule type="cellIs" dxfId="526" priority="228" stopIfTrue="1" operator="lessThan">
      <formula>0</formula>
    </cfRule>
  </conditionalFormatting>
  <conditionalFormatting sqref="M101">
    <cfRule type="cellIs" dxfId="525" priority="230" stopIfTrue="1" operator="lessThan">
      <formula>0</formula>
    </cfRule>
  </conditionalFormatting>
  <conditionalFormatting sqref="AG142">
    <cfRule type="cellIs" dxfId="524" priority="200" stopIfTrue="1" operator="lessThan">
      <formula>0</formula>
    </cfRule>
  </conditionalFormatting>
  <conditionalFormatting sqref="F101">
    <cfRule type="cellIs" dxfId="523" priority="227" stopIfTrue="1" operator="lessThan">
      <formula>0</formula>
    </cfRule>
  </conditionalFormatting>
  <conditionalFormatting sqref="K121">
    <cfRule type="cellIs" dxfId="522" priority="222" stopIfTrue="1" operator="lessThan">
      <formula>0</formula>
    </cfRule>
  </conditionalFormatting>
  <conditionalFormatting sqref="K121">
    <cfRule type="cellIs" dxfId="521" priority="220" stopIfTrue="1" operator="lessThan">
      <formula>0</formula>
    </cfRule>
  </conditionalFormatting>
  <conditionalFormatting sqref="I99">
    <cfRule type="cellIs" dxfId="520" priority="237" stopIfTrue="1" operator="lessThan">
      <formula>0</formula>
    </cfRule>
  </conditionalFormatting>
  <conditionalFormatting sqref="M99">
    <cfRule type="cellIs" dxfId="519" priority="243" stopIfTrue="1" operator="lessThan">
      <formula>0</formula>
    </cfRule>
  </conditionalFormatting>
  <conditionalFormatting sqref="O99">
    <cfRule type="cellIs" dxfId="518" priority="238" stopIfTrue="1" operator="lessThan">
      <formula>0</formula>
    </cfRule>
  </conditionalFormatting>
  <conditionalFormatting sqref="M101">
    <cfRule type="cellIs" dxfId="517" priority="231" stopIfTrue="1" operator="lessThan">
      <formula>0</formula>
    </cfRule>
  </conditionalFormatting>
  <conditionalFormatting sqref="M101">
    <cfRule type="cellIs" dxfId="516" priority="229" stopIfTrue="1" operator="lessThan">
      <formula>0</formula>
    </cfRule>
  </conditionalFormatting>
  <conditionalFormatting sqref="AI142">
    <cfRule type="cellIs" dxfId="515" priority="197" stopIfTrue="1" operator="lessThan">
      <formula>0</formula>
    </cfRule>
  </conditionalFormatting>
  <conditionalFormatting sqref="G101">
    <cfRule type="cellIs" dxfId="514" priority="225" stopIfTrue="1" operator="lessThan">
      <formula>0</formula>
    </cfRule>
  </conditionalFormatting>
  <conditionalFormatting sqref="F121">
    <cfRule type="cellIs" dxfId="513" priority="224" stopIfTrue="1" operator="lessThan">
      <formula>0</formula>
    </cfRule>
  </conditionalFormatting>
  <conditionalFormatting sqref="I60">
    <cfRule type="cellIs" dxfId="512" priority="253" stopIfTrue="1" operator="lessThan">
      <formula>0</formula>
    </cfRule>
  </conditionalFormatting>
  <conditionalFormatting sqref="I60">
    <cfRule type="cellIs" dxfId="511" priority="254" stopIfTrue="1" operator="lessThan">
      <formula>0</formula>
    </cfRule>
  </conditionalFormatting>
  <conditionalFormatting sqref="M62">
    <cfRule type="cellIs" dxfId="510" priority="252" stopIfTrue="1" operator="lessThan">
      <formula>0</formula>
    </cfRule>
  </conditionalFormatting>
  <conditionalFormatting sqref="M62">
    <cfRule type="cellIs" dxfId="509" priority="251" stopIfTrue="1" operator="lessThan">
      <formula>0</formula>
    </cfRule>
  </conditionalFormatting>
  <conditionalFormatting sqref="M62">
    <cfRule type="cellIs" dxfId="508" priority="250" stopIfTrue="1" operator="lessThan">
      <formula>0</formula>
    </cfRule>
  </conditionalFormatting>
  <conditionalFormatting sqref="O62">
    <cfRule type="cellIs" dxfId="507" priority="249" stopIfTrue="1" operator="lessThan">
      <formula>0</formula>
    </cfRule>
  </conditionalFormatting>
  <conditionalFormatting sqref="F99">
    <cfRule type="cellIs" dxfId="506" priority="246" stopIfTrue="1" operator="lessThan">
      <formula>0</formula>
    </cfRule>
  </conditionalFormatting>
  <conditionalFormatting sqref="J99">
    <cfRule type="cellIs" dxfId="505" priority="247" stopIfTrue="1" operator="lessThan">
      <formula>0</formula>
    </cfRule>
  </conditionalFormatting>
  <conditionalFormatting sqref="F62">
    <cfRule type="cellIs" dxfId="504" priority="234" stopIfTrue="1" operator="lessThan">
      <formula>0</formula>
    </cfRule>
  </conditionalFormatting>
  <conditionalFormatting sqref="F99 H99 J99">
    <cfRule type="cellIs" dxfId="503" priority="248" stopIfTrue="1" operator="lessThan">
      <formula>0</formula>
    </cfRule>
  </conditionalFormatting>
  <conditionalFormatting sqref="M99">
    <cfRule type="cellIs" dxfId="502" priority="245" stopIfTrue="1" operator="lessThan">
      <formula>0</formula>
    </cfRule>
  </conditionalFormatting>
  <conditionalFormatting sqref="M99">
    <cfRule type="cellIs" dxfId="501" priority="244" stopIfTrue="1" operator="lessThan">
      <formula>0</formula>
    </cfRule>
  </conditionalFormatting>
  <conditionalFormatting sqref="F62">
    <cfRule type="cellIs" dxfId="500" priority="235" stopIfTrue="1" operator="lessThan">
      <formula>0</formula>
    </cfRule>
  </conditionalFormatting>
  <conditionalFormatting sqref="M99">
    <cfRule type="cellIs" dxfId="499" priority="240" stopIfTrue="1" operator="lessThan">
      <formula>0</formula>
    </cfRule>
  </conditionalFormatting>
  <conditionalFormatting sqref="M99">
    <cfRule type="cellIs" dxfId="498" priority="241" stopIfTrue="1" operator="lessThan">
      <formula>0</formula>
    </cfRule>
  </conditionalFormatting>
  <conditionalFormatting sqref="M99">
    <cfRule type="cellIs" dxfId="497" priority="242" stopIfTrue="1" operator="lessThan">
      <formula>0</formula>
    </cfRule>
  </conditionalFormatting>
  <conditionalFormatting sqref="O99">
    <cfRule type="cellIs" dxfId="496" priority="239" stopIfTrue="1" operator="lessThan">
      <formula>0</formula>
    </cfRule>
  </conditionalFormatting>
  <conditionalFormatting sqref="I99">
    <cfRule type="cellIs" dxfId="495" priority="236" stopIfTrue="1" operator="lessThan">
      <formula>0</formula>
    </cfRule>
  </conditionalFormatting>
  <conditionalFormatting sqref="F121">
    <cfRule type="cellIs" dxfId="494" priority="223" stopIfTrue="1" operator="lessThan">
      <formula>0</formula>
    </cfRule>
  </conditionalFormatting>
  <conditionalFormatting sqref="G62">
    <cfRule type="cellIs" dxfId="493" priority="233" stopIfTrue="1" operator="lessThan">
      <formula>0</formula>
    </cfRule>
  </conditionalFormatting>
  <conditionalFormatting sqref="S6:AB36">
    <cfRule type="cellIs" dxfId="492" priority="177" stopIfTrue="1" operator="lessThan">
      <formula>0</formula>
    </cfRule>
  </conditionalFormatting>
  <conditionalFormatting sqref="T8">
    <cfRule type="cellIs" dxfId="491" priority="176" stopIfTrue="1" operator="lessThan">
      <formula>0</formula>
    </cfRule>
  </conditionalFormatting>
  <conditionalFormatting sqref="AG131:AG140 AI131:AI140">
    <cfRule type="cellIs" dxfId="490" priority="218" stopIfTrue="1" operator="lessThan">
      <formula>0</formula>
    </cfRule>
  </conditionalFormatting>
  <conditionalFormatting sqref="H131:H140">
    <cfRule type="cellIs" dxfId="489" priority="201" stopIfTrue="1" operator="lessThan">
      <formula>0</formula>
    </cfRule>
  </conditionalFormatting>
  <conditionalFormatting sqref="AI142">
    <cfRule type="cellIs" dxfId="488" priority="198" stopIfTrue="1" operator="lessThan">
      <formula>0</formula>
    </cfRule>
  </conditionalFormatting>
  <conditionalFormatting sqref="AO6:AX36">
    <cfRule type="cellIs" dxfId="487" priority="104" stopIfTrue="1" operator="lessThan">
      <formula>0</formula>
    </cfRule>
  </conditionalFormatting>
  <conditionalFormatting sqref="AO6:AX8 AO10:AX31 AO33:AX33 AO35:AX36">
    <cfRule type="cellIs" dxfId="486" priority="105" stopIfTrue="1" operator="lessThan">
      <formula>0</formula>
    </cfRule>
  </conditionalFormatting>
  <conditionalFormatting sqref="AP8">
    <cfRule type="cellIs" dxfId="485" priority="103" stopIfTrue="1" operator="lessThan">
      <formula>0</formula>
    </cfRule>
  </conditionalFormatting>
  <conditionalFormatting sqref="AF6:AF8 AF10:AF31 AF33 AF35:AF36">
    <cfRule type="cellIs" dxfId="484" priority="137" stopIfTrue="1" operator="lessThan">
      <formula>0</formula>
    </cfRule>
  </conditionalFormatting>
  <conditionalFormatting sqref="AE38:AM38">
    <cfRule type="cellIs" dxfId="483" priority="134" stopIfTrue="1" operator="lessThan">
      <formula>0</formula>
    </cfRule>
  </conditionalFormatting>
  <conditionalFormatting sqref="AG8">
    <cfRule type="cellIs" dxfId="482" priority="135" stopIfTrue="1" operator="lessThan">
      <formula>0</formula>
    </cfRule>
  </conditionalFormatting>
  <conditionalFormatting sqref="AF6:AG36">
    <cfRule type="cellIs" dxfId="481" priority="136" stopIfTrue="1" operator="lessThan">
      <formula>0</formula>
    </cfRule>
  </conditionalFormatting>
  <conditionalFormatting sqref="AN6:AN36">
    <cfRule type="cellIs" dxfId="480" priority="133" stopIfTrue="1" operator="lessThan">
      <formula>0</formula>
    </cfRule>
  </conditionalFormatting>
  <conditionalFormatting sqref="AN6:AN8 AN10:AN31 AN33 AN35:AN36">
    <cfRule type="cellIs" dxfId="479" priority="128" stopIfTrue="1" operator="lessThan">
      <formula>0</formula>
    </cfRule>
  </conditionalFormatting>
  <conditionalFormatting sqref="AU6:AU8 AU10:AU31 AU33 AU35:AU36">
    <cfRule type="cellIs" dxfId="478" priority="112" stopIfTrue="1" operator="lessThan">
      <formula>0</formula>
    </cfRule>
  </conditionalFormatting>
  <conditionalFormatting sqref="AP8">
    <cfRule type="cellIs" dxfId="477" priority="116" stopIfTrue="1" operator="lessThan">
      <formula>0</formula>
    </cfRule>
  </conditionalFormatting>
  <conditionalFormatting sqref="AT8">
    <cfRule type="cellIs" dxfId="476" priority="114" stopIfTrue="1" operator="lessThan">
      <formula>0</formula>
    </cfRule>
  </conditionalFormatting>
  <conditionalFormatting sqref="AR6:AR8 AR10:AR31 AR33 AR35:AR36">
    <cfRule type="cellIs" dxfId="475" priority="115" stopIfTrue="1" operator="lessThan">
      <formula>0</formula>
    </cfRule>
  </conditionalFormatting>
  <conditionalFormatting sqref="AT38">
    <cfRule type="cellIs" dxfId="474" priority="113" stopIfTrue="1" operator="lessThan">
      <formula>0</formula>
    </cfRule>
  </conditionalFormatting>
  <conditionalFormatting sqref="AU6:AV36">
    <cfRule type="cellIs" dxfId="473" priority="111" stopIfTrue="1" operator="lessThan">
      <formula>0</formula>
    </cfRule>
  </conditionalFormatting>
  <conditionalFormatting sqref="AV8">
    <cfRule type="cellIs" dxfId="472" priority="110" stopIfTrue="1" operator="lessThan">
      <formula>0</formula>
    </cfRule>
  </conditionalFormatting>
  <conditionalFormatting sqref="AO6:AX8 AO10:AX31 AO33:AX33 AO35:AX36">
    <cfRule type="cellIs" dxfId="471" priority="108" stopIfTrue="1" operator="lessThan">
      <formula>0</formula>
    </cfRule>
  </conditionalFormatting>
  <conditionalFormatting sqref="AV38">
    <cfRule type="cellIs" dxfId="470" priority="109" stopIfTrue="1" operator="lessThan">
      <formula>0</formula>
    </cfRule>
  </conditionalFormatting>
  <conditionalFormatting sqref="AO6:AX36">
    <cfRule type="cellIs" dxfId="469" priority="107" stopIfTrue="1" operator="lessThan">
      <formula>0</formula>
    </cfRule>
  </conditionalFormatting>
  <conditionalFormatting sqref="AP8">
    <cfRule type="cellIs" dxfId="468" priority="106" stopIfTrue="1" operator="lessThan">
      <formula>0</formula>
    </cfRule>
  </conditionalFormatting>
  <conditionalFormatting sqref="AN6:AN36">
    <cfRule type="cellIs" dxfId="467" priority="129" stopIfTrue="1" operator="lessThan">
      <formula>0</formula>
    </cfRule>
  </conditionalFormatting>
  <conditionalFormatting sqref="AN6:AN8 AN10:AN31 AN33 AN35:AN36">
    <cfRule type="cellIs" dxfId="466" priority="130" stopIfTrue="1" operator="lessThan">
      <formula>0</formula>
    </cfRule>
  </conditionalFormatting>
  <conditionalFormatting sqref="AN6:AN36">
    <cfRule type="cellIs" dxfId="465" priority="127" stopIfTrue="1" operator="lessThan">
      <formula>0</formula>
    </cfRule>
  </conditionalFormatting>
  <conditionalFormatting sqref="AP6:AP8 AP10:AP31 AP33 AP35:AP36">
    <cfRule type="cellIs" dxfId="464" priority="125" stopIfTrue="1" operator="lessThan">
      <formula>0</formula>
    </cfRule>
  </conditionalFormatting>
  <conditionalFormatting sqref="AO6:AX36">
    <cfRule type="cellIs" dxfId="463" priority="126" stopIfTrue="1" operator="lessThan">
      <formula>0</formula>
    </cfRule>
  </conditionalFormatting>
  <conditionalFormatting sqref="AP6:AQ36">
    <cfRule type="cellIs" dxfId="462" priority="124" stopIfTrue="1" operator="lessThan">
      <formula>0</formula>
    </cfRule>
  </conditionalFormatting>
  <conditionalFormatting sqref="AI6:AI36 AG6:AG36">
    <cfRule type="cellIs" dxfId="461" priority="154" stopIfTrue="1" operator="lessThan">
      <formula>0</formula>
    </cfRule>
  </conditionalFormatting>
  <conditionalFormatting sqref="AQ8">
    <cfRule type="cellIs" dxfId="460" priority="123" stopIfTrue="1" operator="lessThan">
      <formula>0</formula>
    </cfRule>
  </conditionalFormatting>
  <conditionalFormatting sqref="AI8">
    <cfRule type="cellIs" dxfId="459" priority="156" stopIfTrue="1" operator="lessThan">
      <formula>0</formula>
    </cfRule>
  </conditionalFormatting>
  <conditionalFormatting sqref="AG6:AG8 AG10:AG31 AG33 AG35:AG36">
    <cfRule type="cellIs" dxfId="458" priority="157" stopIfTrue="1" operator="lessThan">
      <formula>0</formula>
    </cfRule>
  </conditionalFormatting>
  <conditionalFormatting sqref="AI38">
    <cfRule type="cellIs" dxfId="457" priority="155" stopIfTrue="1" operator="lessThan">
      <formula>0</formula>
    </cfRule>
  </conditionalFormatting>
  <conditionalFormatting sqref="AG6:AG8 AG10:AG31 AG33 AG35:AG36">
    <cfRule type="cellIs" dxfId="456" priority="150" stopIfTrue="1" operator="lessThan">
      <formula>0</formula>
    </cfRule>
  </conditionalFormatting>
  <conditionalFormatting sqref="AE8">
    <cfRule type="cellIs" dxfId="455" priority="151" stopIfTrue="1" operator="lessThan">
      <formula>0</formula>
    </cfRule>
  </conditionalFormatting>
  <conditionalFormatting sqref="AI8">
    <cfRule type="cellIs" dxfId="454" priority="149" stopIfTrue="1" operator="lessThan">
      <formula>0</formula>
    </cfRule>
  </conditionalFormatting>
  <conditionalFormatting sqref="AJ6:AK36">
    <cfRule type="cellIs" dxfId="453" priority="146" stopIfTrue="1" operator="lessThan">
      <formula>0</formula>
    </cfRule>
  </conditionalFormatting>
  <conditionalFormatting sqref="AK8">
    <cfRule type="cellIs" dxfId="452" priority="145" stopIfTrue="1" operator="lessThan">
      <formula>0</formula>
    </cfRule>
  </conditionalFormatting>
  <conditionalFormatting sqref="S6:AB8 S10:AB31 S33:AB33 S35:AB36">
    <cfRule type="cellIs" dxfId="451" priority="175" stopIfTrue="1" operator="lessThan">
      <formula>0</formula>
    </cfRule>
  </conditionalFormatting>
  <conditionalFormatting sqref="AK38">
    <cfRule type="cellIs" dxfId="450" priority="144" stopIfTrue="1" operator="lessThan">
      <formula>0</formula>
    </cfRule>
  </conditionalFormatting>
  <conditionalFormatting sqref="AD6:AM8 AD10:AM31 AD33:AM33 AD35:AM36">
    <cfRule type="cellIs" dxfId="449" priority="143" stopIfTrue="1" operator="lessThan">
      <formula>0</formula>
    </cfRule>
  </conditionalFormatting>
  <conditionalFormatting sqref="AD6:AM36">
    <cfRule type="cellIs" dxfId="448" priority="139" stopIfTrue="1" operator="lessThan">
      <formula>0</formula>
    </cfRule>
  </conditionalFormatting>
  <conditionalFormatting sqref="T8">
    <cfRule type="cellIs" dxfId="447" priority="173" stopIfTrue="1" operator="lessThan">
      <formula>0</formula>
    </cfRule>
  </conditionalFormatting>
  <conditionalFormatting sqref="U6:V36">
    <cfRule type="cellIs" dxfId="446" priority="171" stopIfTrue="1" operator="lessThan">
      <formula>0</formula>
    </cfRule>
  </conditionalFormatting>
  <conditionalFormatting sqref="U6:U8 U10:U31 U33 U35:U36">
    <cfRule type="cellIs" dxfId="445" priority="172" stopIfTrue="1" operator="lessThan">
      <formula>0</formula>
    </cfRule>
  </conditionalFormatting>
  <conditionalFormatting sqref="V8">
    <cfRule type="cellIs" dxfId="444" priority="170" stopIfTrue="1" operator="lessThan">
      <formula>0</formula>
    </cfRule>
  </conditionalFormatting>
  <conditionalFormatting sqref="AY6:AY8 AY10:AY31 AY33 AY35:AY36">
    <cfRule type="cellIs" dxfId="443" priority="93" stopIfTrue="1" operator="lessThan">
      <formula>0</formula>
    </cfRule>
  </conditionalFormatting>
  <conditionalFormatting sqref="AY6:AY36">
    <cfRule type="cellIs" dxfId="442" priority="92" stopIfTrue="1" operator="lessThan">
      <formula>0</formula>
    </cfRule>
  </conditionalFormatting>
  <conditionalFormatting sqref="X6:X36 V6:V36">
    <cfRule type="cellIs" dxfId="441" priority="189" stopIfTrue="1" operator="lessThan">
      <formula>0</formula>
    </cfRule>
  </conditionalFormatting>
  <conditionalFormatting sqref="S6:AB36">
    <cfRule type="cellIs" dxfId="440" priority="196" stopIfTrue="1" operator="lessThan">
      <formula>0</formula>
    </cfRule>
  </conditionalFormatting>
  <conditionalFormatting sqref="T6:T8 T10:T31 T33 T35:T36">
    <cfRule type="cellIs" dxfId="439" priority="195" stopIfTrue="1" operator="lessThan">
      <formula>0</formula>
    </cfRule>
  </conditionalFormatting>
  <conditionalFormatting sqref="V6:V8 V10:V31 V33 V35:V36">
    <cfRule type="cellIs" dxfId="438" priority="192" stopIfTrue="1" operator="lessThan">
      <formula>0</formula>
    </cfRule>
  </conditionalFormatting>
  <conditionalFormatting sqref="T6:U36">
    <cfRule type="cellIs" dxfId="437" priority="194" stopIfTrue="1" operator="lessThan">
      <formula>0</formula>
    </cfRule>
  </conditionalFormatting>
  <conditionalFormatting sqref="U8">
    <cfRule type="cellIs" dxfId="436" priority="193" stopIfTrue="1" operator="lessThan">
      <formula>0</formula>
    </cfRule>
  </conditionalFormatting>
  <conditionalFormatting sqref="X38">
    <cfRule type="cellIs" dxfId="435" priority="190" stopIfTrue="1" operator="lessThan">
      <formula>0</formula>
    </cfRule>
  </conditionalFormatting>
  <conditionalFormatting sqref="X8">
    <cfRule type="cellIs" dxfId="434" priority="191" stopIfTrue="1" operator="lessThan">
      <formula>0</formula>
    </cfRule>
  </conditionalFormatting>
  <conditionalFormatting sqref="S9:AB9 S32:AB32 S34:AB34">
    <cfRule type="cellIs" dxfId="433" priority="187" stopIfTrue="1" operator="equal">
      <formula>"No"</formula>
    </cfRule>
    <cfRule type="cellIs" dxfId="432" priority="188" stopIfTrue="1" operator="equal">
      <formula>"Yes"</formula>
    </cfRule>
  </conditionalFormatting>
  <conditionalFormatting sqref="T8">
    <cfRule type="cellIs" dxfId="431" priority="186" stopIfTrue="1" operator="lessThan">
      <formula>0</formula>
    </cfRule>
  </conditionalFormatting>
  <conditionalFormatting sqref="V6:V8 V10:V31 V33 V35:V36">
    <cfRule type="cellIs" dxfId="430" priority="185" stopIfTrue="1" operator="lessThan">
      <formula>0</formula>
    </cfRule>
  </conditionalFormatting>
  <conditionalFormatting sqref="X38">
    <cfRule type="cellIs" dxfId="429" priority="183" stopIfTrue="1" operator="lessThan">
      <formula>0</formula>
    </cfRule>
  </conditionalFormatting>
  <conditionalFormatting sqref="Y6:Y8 Y10:Y31 Y33 Y35:Y36">
    <cfRule type="cellIs" dxfId="428" priority="182" stopIfTrue="1" operator="lessThan">
      <formula>0</formula>
    </cfRule>
  </conditionalFormatting>
  <conditionalFormatting sqref="X8">
    <cfRule type="cellIs" dxfId="427" priority="184" stopIfTrue="1" operator="lessThan">
      <formula>0</formula>
    </cfRule>
  </conditionalFormatting>
  <conditionalFormatting sqref="Z38">
    <cfRule type="cellIs" dxfId="426" priority="179" stopIfTrue="1" operator="lessThan">
      <formula>0</formula>
    </cfRule>
  </conditionalFormatting>
  <conditionalFormatting sqref="Y6:Z36">
    <cfRule type="cellIs" dxfId="425" priority="181" stopIfTrue="1" operator="lessThan">
      <formula>0</formula>
    </cfRule>
  </conditionalFormatting>
  <conditionalFormatting sqref="Z8">
    <cfRule type="cellIs" dxfId="424" priority="180" stopIfTrue="1" operator="lessThan">
      <formula>0</formula>
    </cfRule>
  </conditionalFormatting>
  <conditionalFormatting sqref="S6:AB8 S10:AB31 S33:AB33 S35:AB36">
    <cfRule type="cellIs" dxfId="423" priority="178" stopIfTrue="1" operator="lessThan">
      <formula>0</formula>
    </cfRule>
  </conditionalFormatting>
  <conditionalFormatting sqref="S6:AB36">
    <cfRule type="cellIs" dxfId="422" priority="174" stopIfTrue="1" operator="lessThan">
      <formula>0</formula>
    </cfRule>
  </conditionalFormatting>
  <conditionalFormatting sqref="AC6:AC8 AC10:AC31 AC33 AC35:AC36">
    <cfRule type="cellIs" dxfId="421" priority="163" stopIfTrue="1" operator="lessThan">
      <formula>0</formula>
    </cfRule>
  </conditionalFormatting>
  <conditionalFormatting sqref="AC6:AC36">
    <cfRule type="cellIs" dxfId="420" priority="162" stopIfTrue="1" operator="lessThan">
      <formula>0</formula>
    </cfRule>
  </conditionalFormatting>
  <conditionalFormatting sqref="S38:AC38">
    <cfRule type="cellIs" dxfId="419" priority="169" stopIfTrue="1" operator="lessThan">
      <formula>0</formula>
    </cfRule>
  </conditionalFormatting>
  <conditionalFormatting sqref="AC6:AC36">
    <cfRule type="cellIs" dxfId="418" priority="168" stopIfTrue="1" operator="lessThan">
      <formula>0</formula>
    </cfRule>
  </conditionalFormatting>
  <conditionalFormatting sqref="AC9 AC32 AC34">
    <cfRule type="cellIs" dxfId="417" priority="166" stopIfTrue="1" operator="equal">
      <formula>"No"</formula>
    </cfRule>
    <cfRule type="cellIs" dxfId="416" priority="167" stopIfTrue="1" operator="equal">
      <formula>"Yes"</formula>
    </cfRule>
  </conditionalFormatting>
  <conditionalFormatting sqref="AC6:AC8 AC10:AC31 AC33 AC35:AC36">
    <cfRule type="cellIs" dxfId="415" priority="165" stopIfTrue="1" operator="lessThan">
      <formula>0</formula>
    </cfRule>
  </conditionalFormatting>
  <conditionalFormatting sqref="AC6:AC36">
    <cfRule type="cellIs" dxfId="414" priority="164" stopIfTrue="1" operator="lessThan">
      <formula>0</formula>
    </cfRule>
  </conditionalFormatting>
  <conditionalFormatting sqref="AD6:AM36">
    <cfRule type="cellIs" dxfId="413" priority="161" stopIfTrue="1" operator="lessThan">
      <formula>0</formula>
    </cfRule>
  </conditionalFormatting>
  <conditionalFormatting sqref="AE6:AE8 AE10:AE31 AE33 AE35:AE36">
    <cfRule type="cellIs" dxfId="412" priority="160" stopIfTrue="1" operator="lessThan">
      <formula>0</formula>
    </cfRule>
  </conditionalFormatting>
  <conditionalFormatting sqref="AE6:AF36">
    <cfRule type="cellIs" dxfId="411" priority="159" stopIfTrue="1" operator="lessThan">
      <formula>0</formula>
    </cfRule>
  </conditionalFormatting>
  <conditionalFormatting sqref="AF8">
    <cfRule type="cellIs" dxfId="410" priority="158" stopIfTrue="1" operator="lessThan">
      <formula>0</formula>
    </cfRule>
  </conditionalFormatting>
  <conditionalFormatting sqref="AD9:AM9 AD32:AM32 AD34:AM34">
    <cfRule type="cellIs" dxfId="409" priority="152" stopIfTrue="1" operator="equal">
      <formula>"No"</formula>
    </cfRule>
    <cfRule type="cellIs" dxfId="408" priority="153" stopIfTrue="1" operator="equal">
      <formula>"Yes"</formula>
    </cfRule>
  </conditionalFormatting>
  <conditionalFormatting sqref="AI38">
    <cfRule type="cellIs" dxfId="407" priority="148" stopIfTrue="1" operator="lessThan">
      <formula>0</formula>
    </cfRule>
  </conditionalFormatting>
  <conditionalFormatting sqref="AJ6:AJ8 AJ10:AJ31 AJ33 AJ35:AJ36">
    <cfRule type="cellIs" dxfId="406" priority="147" stopIfTrue="1" operator="lessThan">
      <formula>0</formula>
    </cfRule>
  </conditionalFormatting>
  <conditionalFormatting sqref="AD6:AM36">
    <cfRule type="cellIs" dxfId="405" priority="142" stopIfTrue="1" operator="lessThan">
      <formula>0</formula>
    </cfRule>
  </conditionalFormatting>
  <conditionalFormatting sqref="AE8">
    <cfRule type="cellIs" dxfId="404" priority="141" stopIfTrue="1" operator="lessThan">
      <formula>0</formula>
    </cfRule>
  </conditionalFormatting>
  <conditionalFormatting sqref="AD6:AM8 AD10:AM31 AD33:AM33 AD35:AM36">
    <cfRule type="cellIs" dxfId="403" priority="140" stopIfTrue="1" operator="lessThan">
      <formula>0</formula>
    </cfRule>
  </conditionalFormatting>
  <conditionalFormatting sqref="AE8">
    <cfRule type="cellIs" dxfId="402" priority="138" stopIfTrue="1" operator="lessThan">
      <formula>0</formula>
    </cfRule>
  </conditionalFormatting>
  <conditionalFormatting sqref="AN9 AN32 AN34">
    <cfRule type="cellIs" dxfId="401" priority="131" stopIfTrue="1" operator="equal">
      <formula>"No"</formula>
    </cfRule>
    <cfRule type="cellIs" dxfId="400" priority="132" stopIfTrue="1" operator="equal">
      <formula>"Yes"</formula>
    </cfRule>
  </conditionalFormatting>
  <conditionalFormatting sqref="AT6:AT36 AR6:AR36">
    <cfRule type="cellIs" dxfId="399" priority="119" stopIfTrue="1" operator="lessThan">
      <formula>0</formula>
    </cfRule>
  </conditionalFormatting>
  <conditionalFormatting sqref="AR6:AR8 AR10:AR31 AR33 AR35:AR36">
    <cfRule type="cellIs" dxfId="398" priority="122" stopIfTrue="1" operator="lessThan">
      <formula>0</formula>
    </cfRule>
  </conditionalFormatting>
  <conditionalFormatting sqref="AT38">
    <cfRule type="cellIs" dxfId="397" priority="120" stopIfTrue="1" operator="lessThan">
      <formula>0</formula>
    </cfRule>
  </conditionalFormatting>
  <conditionalFormatting sqref="AT8">
    <cfRule type="cellIs" dxfId="396" priority="121" stopIfTrue="1" operator="lessThan">
      <formula>0</formula>
    </cfRule>
  </conditionalFormatting>
  <conditionalFormatting sqref="AO9:AX9 AO32:AX32 AO34:AX34">
    <cfRule type="cellIs" dxfId="395" priority="117" stopIfTrue="1" operator="equal">
      <formula>"No"</formula>
    </cfRule>
    <cfRule type="cellIs" dxfId="394" priority="118" stopIfTrue="1" operator="equal">
      <formula>"Yes"</formula>
    </cfRule>
  </conditionalFormatting>
  <conditionalFormatting sqref="AQ6:AQ8 AQ10:AQ31 AQ33 AQ35:AQ36">
    <cfRule type="cellIs" dxfId="393" priority="102" stopIfTrue="1" operator="lessThan">
      <formula>0</formula>
    </cfRule>
  </conditionalFormatting>
  <conditionalFormatting sqref="AQ6:AR36">
    <cfRule type="cellIs" dxfId="392" priority="101" stopIfTrue="1" operator="lessThan">
      <formula>0</formula>
    </cfRule>
  </conditionalFormatting>
  <conditionalFormatting sqref="AR8">
    <cfRule type="cellIs" dxfId="391" priority="100" stopIfTrue="1" operator="lessThan">
      <formula>0</formula>
    </cfRule>
  </conditionalFormatting>
  <conditionalFormatting sqref="AP38:AX38">
    <cfRule type="cellIs" dxfId="390" priority="99" stopIfTrue="1" operator="lessThan">
      <formula>0</formula>
    </cfRule>
  </conditionalFormatting>
  <conditionalFormatting sqref="AY6:AY36">
    <cfRule type="cellIs" dxfId="389" priority="98" stopIfTrue="1" operator="lessThan">
      <formula>0</formula>
    </cfRule>
  </conditionalFormatting>
  <conditionalFormatting sqref="AY9 AY32 AY34">
    <cfRule type="cellIs" dxfId="388" priority="96" stopIfTrue="1" operator="equal">
      <formula>"No"</formula>
    </cfRule>
    <cfRule type="cellIs" dxfId="387" priority="97" stopIfTrue="1" operator="equal">
      <formula>"Yes"</formula>
    </cfRule>
  </conditionalFormatting>
  <conditionalFormatting sqref="AY6:AY8 AY10:AY31 AY33 AY35:AY36">
    <cfRule type="cellIs" dxfId="386" priority="95" stopIfTrue="1" operator="lessThan">
      <formula>0</formula>
    </cfRule>
  </conditionalFormatting>
  <conditionalFormatting sqref="AY6:AY36">
    <cfRule type="cellIs" dxfId="385" priority="94" stopIfTrue="1" operator="lessThan">
      <formula>0</formula>
    </cfRule>
  </conditionalFormatting>
  <conditionalFormatting sqref="BE6:BE36 BC6:BC36">
    <cfRule type="cellIs" dxfId="384" priority="84" stopIfTrue="1" operator="lessThan">
      <formula>0</formula>
    </cfRule>
  </conditionalFormatting>
  <conditionalFormatting sqref="AZ6:BI36">
    <cfRule type="cellIs" dxfId="383" priority="91" stopIfTrue="1" operator="lessThan">
      <formula>0</formula>
    </cfRule>
  </conditionalFormatting>
  <conditionalFormatting sqref="BA6:BA8 BA10:BA31 BA33 BA35:BA36">
    <cfRule type="cellIs" dxfId="382" priority="90" stopIfTrue="1" operator="lessThan">
      <formula>0</formula>
    </cfRule>
  </conditionalFormatting>
  <conditionalFormatting sqref="BC6:BC8 BC10:BC31 BC33 BC35:BC36">
    <cfRule type="cellIs" dxfId="381" priority="87" stopIfTrue="1" operator="lessThan">
      <formula>0</formula>
    </cfRule>
  </conditionalFormatting>
  <conditionalFormatting sqref="BA6:BB36">
    <cfRule type="cellIs" dxfId="380" priority="89" stopIfTrue="1" operator="lessThan">
      <formula>0</formula>
    </cfRule>
  </conditionalFormatting>
  <conditionalFormatting sqref="BB8">
    <cfRule type="cellIs" dxfId="379" priority="88" stopIfTrue="1" operator="lessThan">
      <formula>0</formula>
    </cfRule>
  </conditionalFormatting>
  <conditionalFormatting sqref="BE38">
    <cfRule type="cellIs" dxfId="378" priority="85" stopIfTrue="1" operator="lessThan">
      <formula>0</formula>
    </cfRule>
  </conditionalFormatting>
  <conditionalFormatting sqref="BE8">
    <cfRule type="cellIs" dxfId="377" priority="86" stopIfTrue="1" operator="lessThan">
      <formula>0</formula>
    </cfRule>
  </conditionalFormatting>
  <conditionalFormatting sqref="AZ9:BI9 AZ32:BI32 AZ34:BI34">
    <cfRule type="cellIs" dxfId="376" priority="82" stopIfTrue="1" operator="equal">
      <formula>"No"</formula>
    </cfRule>
    <cfRule type="cellIs" dxfId="375" priority="83" stopIfTrue="1" operator="equal">
      <formula>"Yes"</formula>
    </cfRule>
  </conditionalFormatting>
  <conditionalFormatting sqref="BA8">
    <cfRule type="cellIs" dxfId="374" priority="81" stopIfTrue="1" operator="lessThan">
      <formula>0</formula>
    </cfRule>
  </conditionalFormatting>
  <conditionalFormatting sqref="BC6:BC8 BC10:BC31 BC33 BC35:BC36">
    <cfRule type="cellIs" dxfId="373" priority="80" stopIfTrue="1" operator="lessThan">
      <formula>0</formula>
    </cfRule>
  </conditionalFormatting>
  <conditionalFormatting sqref="BE38">
    <cfRule type="cellIs" dxfId="372" priority="78" stopIfTrue="1" operator="lessThan">
      <formula>0</formula>
    </cfRule>
  </conditionalFormatting>
  <conditionalFormatting sqref="BF6:BF8 BF10:BF31 BF33 BF35:BF36">
    <cfRule type="cellIs" dxfId="371" priority="77" stopIfTrue="1" operator="lessThan">
      <formula>0</formula>
    </cfRule>
  </conditionalFormatting>
  <conditionalFormatting sqref="BE8">
    <cfRule type="cellIs" dxfId="370" priority="79" stopIfTrue="1" operator="lessThan">
      <formula>0</formula>
    </cfRule>
  </conditionalFormatting>
  <conditionalFormatting sqref="BG38">
    <cfRule type="cellIs" dxfId="369" priority="74" stopIfTrue="1" operator="lessThan">
      <formula>0</formula>
    </cfRule>
  </conditionalFormatting>
  <conditionalFormatting sqref="BF6:BG36">
    <cfRule type="cellIs" dxfId="368" priority="76" stopIfTrue="1" operator="lessThan">
      <formula>0</formula>
    </cfRule>
  </conditionalFormatting>
  <conditionalFormatting sqref="BG8">
    <cfRule type="cellIs" dxfId="367" priority="75" stopIfTrue="1" operator="lessThan">
      <formula>0</formula>
    </cfRule>
  </conditionalFormatting>
  <conditionalFormatting sqref="AZ6:BI8 AZ10:BI31 AZ33:BI33 AZ35:BI36">
    <cfRule type="cellIs" dxfId="366" priority="73" stopIfTrue="1" operator="lessThan">
      <formula>0</formula>
    </cfRule>
  </conditionalFormatting>
  <conditionalFormatting sqref="AZ6:BI36">
    <cfRule type="cellIs" dxfId="365" priority="72" stopIfTrue="1" operator="lessThan">
      <formula>0</formula>
    </cfRule>
  </conditionalFormatting>
  <conditionalFormatting sqref="BA8">
    <cfRule type="cellIs" dxfId="364" priority="71" stopIfTrue="1" operator="lessThan">
      <formula>0</formula>
    </cfRule>
  </conditionalFormatting>
  <conditionalFormatting sqref="AZ6:BI8 AZ10:BI31 AZ33:BI33 AZ35:BI36">
    <cfRule type="cellIs" dxfId="363" priority="70" stopIfTrue="1" operator="lessThan">
      <formula>0</formula>
    </cfRule>
  </conditionalFormatting>
  <conditionalFormatting sqref="BB6:BB8 BB10:BB31 BB33 BB35:BB36">
    <cfRule type="cellIs" dxfId="362" priority="67" stopIfTrue="1" operator="lessThan">
      <formula>0</formula>
    </cfRule>
  </conditionalFormatting>
  <conditionalFormatting sqref="AZ6:BI36">
    <cfRule type="cellIs" dxfId="361" priority="69" stopIfTrue="1" operator="lessThan">
      <formula>0</formula>
    </cfRule>
  </conditionalFormatting>
  <conditionalFormatting sqref="BA8">
    <cfRule type="cellIs" dxfId="360" priority="68" stopIfTrue="1" operator="lessThan">
      <formula>0</formula>
    </cfRule>
  </conditionalFormatting>
  <conditionalFormatting sqref="BB6:BC36">
    <cfRule type="cellIs" dxfId="359" priority="66" stopIfTrue="1" operator="lessThan">
      <formula>0</formula>
    </cfRule>
  </conditionalFormatting>
  <conditionalFormatting sqref="BC8">
    <cfRule type="cellIs" dxfId="358" priority="65" stopIfTrue="1" operator="lessThan">
      <formula>0</formula>
    </cfRule>
  </conditionalFormatting>
  <conditionalFormatting sqref="BJ6:BJ8 BJ10:BJ31 BJ33 BJ35:BJ36">
    <cfRule type="cellIs" dxfId="357" priority="58" stopIfTrue="1" operator="lessThan">
      <formula>0</formula>
    </cfRule>
  </conditionalFormatting>
  <conditionalFormatting sqref="BJ6:BJ36">
    <cfRule type="cellIs" dxfId="356" priority="57" stopIfTrue="1" operator="lessThan">
      <formula>0</formula>
    </cfRule>
  </conditionalFormatting>
  <conditionalFormatting sqref="AZ38:BJ38">
    <cfRule type="cellIs" dxfId="355" priority="64" stopIfTrue="1" operator="lessThan">
      <formula>0</formula>
    </cfRule>
  </conditionalFormatting>
  <conditionalFormatting sqref="BJ6:BJ36">
    <cfRule type="cellIs" dxfId="354" priority="63" stopIfTrue="1" operator="lessThan">
      <formula>0</formula>
    </cfRule>
  </conditionalFormatting>
  <conditionalFormatting sqref="BJ9 BJ32 BJ34">
    <cfRule type="cellIs" dxfId="353" priority="61" stopIfTrue="1" operator="equal">
      <formula>"No"</formula>
    </cfRule>
    <cfRule type="cellIs" dxfId="352" priority="62" stopIfTrue="1" operator="equal">
      <formula>"Yes"</formula>
    </cfRule>
  </conditionalFormatting>
  <conditionalFormatting sqref="BJ6:BJ8 BJ10:BJ31 BJ33 BJ35:BJ36">
    <cfRule type="cellIs" dxfId="351" priority="60" stopIfTrue="1" operator="lessThan">
      <formula>0</formula>
    </cfRule>
  </conditionalFormatting>
  <conditionalFormatting sqref="BJ6:BJ36">
    <cfRule type="cellIs" dxfId="350" priority="59" stopIfTrue="1" operator="lessThan">
      <formula>0</formula>
    </cfRule>
  </conditionalFormatting>
  <conditionalFormatting sqref="F72:F83">
    <cfRule type="cellIs" dxfId="349" priority="41" stopIfTrue="1" operator="lessThan">
      <formula>0</formula>
    </cfRule>
  </conditionalFormatting>
  <conditionalFormatting sqref="K72:L82">
    <cfRule type="cellIs" dxfId="348" priority="39" stopIfTrue="1" operator="lessThan">
      <formula>0</formula>
    </cfRule>
  </conditionalFormatting>
  <conditionalFormatting sqref="K72:K82">
    <cfRule type="cellIs" dxfId="347" priority="40" stopIfTrue="1" operator="lessThan">
      <formula>0</formula>
    </cfRule>
  </conditionalFormatting>
  <conditionalFormatting sqref="I72:I82">
    <cfRule type="cellIs" dxfId="346" priority="45" stopIfTrue="1" operator="lessThan">
      <formula>0</formula>
    </cfRule>
  </conditionalFormatting>
  <conditionalFormatting sqref="I72:J82 J83">
    <cfRule type="cellIs" dxfId="345" priority="44" stopIfTrue="1" operator="lessThan">
      <formula>0</formula>
    </cfRule>
  </conditionalFormatting>
  <conditionalFormatting sqref="F71:J71">
    <cfRule type="cellIs" dxfId="344" priority="56" stopIfTrue="1" operator="lessThan">
      <formula>0</formula>
    </cfRule>
  </conditionalFormatting>
  <conditionalFormatting sqref="I71">
    <cfRule type="cellIs" dxfId="343" priority="55" stopIfTrue="1" operator="lessThan">
      <formula>0</formula>
    </cfRule>
  </conditionalFormatting>
  <conditionalFormatting sqref="K71">
    <cfRule type="cellIs" dxfId="342" priority="53" stopIfTrue="1" operator="lessThan">
      <formula>0</formula>
    </cfRule>
  </conditionalFormatting>
  <conditionalFormatting sqref="I71:J71">
    <cfRule type="cellIs" dxfId="341" priority="54" stopIfTrue="1" operator="lessThan">
      <formula>0</formula>
    </cfRule>
  </conditionalFormatting>
  <conditionalFormatting sqref="K71:L71">
    <cfRule type="cellIs" dxfId="340" priority="52" stopIfTrue="1" operator="lessThan">
      <formula>0</formula>
    </cfRule>
  </conditionalFormatting>
  <conditionalFormatting sqref="F71">
    <cfRule type="cellIs" dxfId="339" priority="51" stopIfTrue="1" operator="lessThan">
      <formula>0</formula>
    </cfRule>
  </conditionalFormatting>
  <conditionalFormatting sqref="K71">
    <cfRule type="cellIs" dxfId="338" priority="50" stopIfTrue="1" operator="lessThan">
      <formula>0</formula>
    </cfRule>
  </conditionalFormatting>
  <conditionalFormatting sqref="M71">
    <cfRule type="cellIs" dxfId="337" priority="48" stopIfTrue="1" operator="lessThan">
      <formula>0</formula>
    </cfRule>
  </conditionalFormatting>
  <conditionalFormatting sqref="K71:L71">
    <cfRule type="cellIs" dxfId="336" priority="49" stopIfTrue="1" operator="lessThan">
      <formula>0</formula>
    </cfRule>
  </conditionalFormatting>
  <conditionalFormatting sqref="M71:N71">
    <cfRule type="cellIs" dxfId="335" priority="47" stopIfTrue="1" operator="lessThan">
      <formula>0</formula>
    </cfRule>
  </conditionalFormatting>
  <conditionalFormatting sqref="F72:J82 F83 H83 J83">
    <cfRule type="cellIs" dxfId="334" priority="46" stopIfTrue="1" operator="lessThan">
      <formula>0</formula>
    </cfRule>
  </conditionalFormatting>
  <conditionalFormatting sqref="K72:K82">
    <cfRule type="cellIs" dxfId="333" priority="43" stopIfTrue="1" operator="lessThan">
      <formula>0</formula>
    </cfRule>
  </conditionalFormatting>
  <conditionalFormatting sqref="K72:L82">
    <cfRule type="cellIs" dxfId="332" priority="42" stopIfTrue="1" operator="lessThan">
      <formula>0</formula>
    </cfRule>
  </conditionalFormatting>
  <conditionalFormatting sqref="M72:M83">
    <cfRule type="cellIs" dxfId="331" priority="38" stopIfTrue="1" operator="lessThan">
      <formula>0</formula>
    </cfRule>
  </conditionalFormatting>
  <conditionalFormatting sqref="M72:N82 M83">
    <cfRule type="cellIs" dxfId="330" priority="37" stopIfTrue="1" operator="lessThan">
      <formula>0</formula>
    </cfRule>
  </conditionalFormatting>
  <conditionalFormatting sqref="H85">
    <cfRule type="cellIs" dxfId="329" priority="36" stopIfTrue="1" operator="lessThan">
      <formula>0</formula>
    </cfRule>
  </conditionalFormatting>
  <conditionalFormatting sqref="F87">
    <cfRule type="cellIs" dxfId="328" priority="35" stopIfTrue="1" operator="lessThan">
      <formula>0</formula>
    </cfRule>
  </conditionalFormatting>
  <conditionalFormatting sqref="M72:N82 M83">
    <cfRule type="cellIs" dxfId="327" priority="25" stopIfTrue="1" operator="lessThan">
      <formula>0</formula>
    </cfRule>
  </conditionalFormatting>
  <conditionalFormatting sqref="M72:M83">
    <cfRule type="cellIs" dxfId="326" priority="26" stopIfTrue="1" operator="lessThan">
      <formula>0</formula>
    </cfRule>
  </conditionalFormatting>
  <conditionalFormatting sqref="M71">
    <cfRule type="cellIs" dxfId="325" priority="34" stopIfTrue="1" operator="lessThan">
      <formula>0</formula>
    </cfRule>
  </conditionalFormatting>
  <conditionalFormatting sqref="M71:N71">
    <cfRule type="cellIs" dxfId="324" priority="33" stopIfTrue="1" operator="lessThan">
      <formula>0</formula>
    </cfRule>
  </conditionalFormatting>
  <conditionalFormatting sqref="M71">
    <cfRule type="cellIs" dxfId="323" priority="32" stopIfTrue="1" operator="lessThan">
      <formula>0</formula>
    </cfRule>
  </conditionalFormatting>
  <conditionalFormatting sqref="O71">
    <cfRule type="cellIs" dxfId="322" priority="30" stopIfTrue="1" operator="lessThan">
      <formula>0</formula>
    </cfRule>
  </conditionalFormatting>
  <conditionalFormatting sqref="M71:N71">
    <cfRule type="cellIs" dxfId="321" priority="31" stopIfTrue="1" operator="lessThan">
      <formula>0</formula>
    </cfRule>
  </conditionalFormatting>
  <conditionalFormatting sqref="O71:P71">
    <cfRule type="cellIs" dxfId="320" priority="29" stopIfTrue="1" operator="lessThan">
      <formula>0</formula>
    </cfRule>
  </conditionalFormatting>
  <conditionalFormatting sqref="M72:M83">
    <cfRule type="cellIs" dxfId="319" priority="28" stopIfTrue="1" operator="lessThan">
      <formula>0</formula>
    </cfRule>
  </conditionalFormatting>
  <conditionalFormatting sqref="M72:N82 M83">
    <cfRule type="cellIs" dxfId="318" priority="27" stopIfTrue="1" operator="lessThan">
      <formula>0</formula>
    </cfRule>
  </conditionalFormatting>
  <conditionalFormatting sqref="O72:O83">
    <cfRule type="cellIs" dxfId="317" priority="24" stopIfTrue="1" operator="lessThan">
      <formula>0</formula>
    </cfRule>
  </conditionalFormatting>
  <conditionalFormatting sqref="O72:P82 O83">
    <cfRule type="cellIs" dxfId="316" priority="23" stopIfTrue="1" operator="lessThan">
      <formula>0</formula>
    </cfRule>
  </conditionalFormatting>
  <conditionalFormatting sqref="I83">
    <cfRule type="cellIs" dxfId="315" priority="21" stopIfTrue="1" operator="lessThan">
      <formula>0</formula>
    </cfRule>
  </conditionalFormatting>
  <conditionalFormatting sqref="I83">
    <cfRule type="cellIs" dxfId="314" priority="22" stopIfTrue="1" operator="lessThan">
      <formula>0</formula>
    </cfRule>
  </conditionalFormatting>
  <conditionalFormatting sqref="M85">
    <cfRule type="cellIs" dxfId="313" priority="20" stopIfTrue="1" operator="lessThan">
      <formula>0</formula>
    </cfRule>
  </conditionalFormatting>
  <conditionalFormatting sqref="M85">
    <cfRule type="cellIs" dxfId="312" priority="19" stopIfTrue="1" operator="lessThan">
      <formula>0</formula>
    </cfRule>
  </conditionalFormatting>
  <conditionalFormatting sqref="M85">
    <cfRule type="cellIs" dxfId="311" priority="18" stopIfTrue="1" operator="lessThan">
      <formula>0</formula>
    </cfRule>
  </conditionalFormatting>
  <conditionalFormatting sqref="O85">
    <cfRule type="cellIs" dxfId="310" priority="17" stopIfTrue="1" operator="lessThan">
      <formula>0</formula>
    </cfRule>
  </conditionalFormatting>
  <conditionalFormatting sqref="F85">
    <cfRule type="cellIs" dxfId="309" priority="15" stopIfTrue="1" operator="lessThan">
      <formula>0</formula>
    </cfRule>
  </conditionalFormatting>
  <conditionalFormatting sqref="F85">
    <cfRule type="cellIs" dxfId="308" priority="16" stopIfTrue="1" operator="lessThan">
      <formula>0</formula>
    </cfRule>
  </conditionalFormatting>
  <conditionalFormatting sqref="G85">
    <cfRule type="cellIs" dxfId="307" priority="14" stopIfTrue="1" operator="lessThan">
      <formula>0</formula>
    </cfRule>
  </conditionalFormatting>
  <conditionalFormatting sqref="AD38">
    <cfRule type="cellIs" dxfId="306" priority="12" stopIfTrue="1" operator="lessThan">
      <formula>0</formula>
    </cfRule>
  </conditionalFormatting>
  <conditionalFormatting sqref="AD38">
    <cfRule type="cellIs" dxfId="305" priority="13" stopIfTrue="1" operator="lessThan">
      <formula>0</formula>
    </cfRule>
  </conditionalFormatting>
  <conditionalFormatting sqref="AO38">
    <cfRule type="cellIs" dxfId="304" priority="10" stopIfTrue="1" operator="lessThan">
      <formula>0</formula>
    </cfRule>
  </conditionalFormatting>
  <conditionalFormatting sqref="AO38">
    <cfRule type="cellIs" dxfId="303" priority="11" stopIfTrue="1" operator="lessThan">
      <formula>0</formula>
    </cfRule>
  </conditionalFormatting>
  <conditionalFormatting sqref="AN38">
    <cfRule type="cellIs" dxfId="302" priority="9" stopIfTrue="1" operator="lessThan">
      <formula>0</formula>
    </cfRule>
  </conditionalFormatting>
  <conditionalFormatting sqref="AY38">
    <cfRule type="cellIs" dxfId="301" priority="8" stopIfTrue="1" operator="lessThan">
      <formula>0</formula>
    </cfRule>
  </conditionalFormatting>
  <conditionalFormatting sqref="AH140">
    <cfRule type="cellIs" dxfId="300" priority="5" stopIfTrue="1" operator="lessThan">
      <formula>0</formula>
    </cfRule>
  </conditionalFormatting>
  <conditionalFormatting sqref="AH140">
    <cfRule type="cellIs" dxfId="299" priority="6" stopIfTrue="1" operator="lessThan">
      <formula>0</formula>
    </cfRule>
  </conditionalFormatting>
  <conditionalFormatting sqref="AH140">
    <cfRule type="cellIs" dxfId="298" priority="7" stopIfTrue="1" operator="lessThan">
      <formula>0</formula>
    </cfRule>
  </conditionalFormatting>
  <conditionalFormatting sqref="AJ140">
    <cfRule type="cellIs" dxfId="297" priority="1" stopIfTrue="1" operator="lessThan">
      <formula>0</formula>
    </cfRule>
  </conditionalFormatting>
  <printOptions headings="1"/>
  <pageMargins left="0.70866141732283472" right="0.70866141732283472" top="0.74803149606299213" bottom="0.74803149606299213" header="0.31496062992125984" footer="0.31496062992125984"/>
  <pageSetup paperSize="9" scale="50" pageOrder="overThenDown" orientation="landscape" r:id="rId1"/>
  <headerFooter>
    <oddHeader>&amp;L&amp;"Arial,Bold"&amp;14Basel Committee on Banking Supervision
Basel III monitoring template&amp;C&amp;14&amp;F
&amp;A&amp;R&amp;"Arial,Bold"&amp;14Confidential when completed</oddHeader>
    <oddFooter>&amp;L&amp;14&amp;D  &amp;T&amp;R&amp;14Page &amp;P of &amp;N</oddFooter>
  </headerFooter>
  <rowBreaks count="6" manualBreakCount="6">
    <brk id="41" max="58" man="1"/>
    <brk id="87" max="16" man="1"/>
    <brk id="145" max="58" man="1"/>
    <brk id="185" max="16" man="1"/>
    <brk id="219" max="16" man="1"/>
    <brk id="266" max="58" man="1"/>
  </rowBreaks>
  <colBreaks count="8" manualBreakCount="8">
    <brk id="7" max="40" man="1"/>
    <brk id="17" min="104" max="144" man="1"/>
    <brk id="17" min="266" max="317" man="1"/>
    <brk id="18" max="40" man="1"/>
    <brk id="28" min="104" max="144" man="1"/>
    <brk id="29" max="40" man="1"/>
    <brk id="40" max="40" man="1"/>
    <brk id="51" max="40" man="1"/>
  </colBreaks>
  <ignoredErrors>
    <ignoredError sqref="F40:AF312" emptyCellReferenc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Q107"/>
  <sheetViews>
    <sheetView zoomScale="85" zoomScaleNormal="85" workbookViewId="0">
      <pane ySplit="1" topLeftCell="A2" activePane="bottomLeft" state="frozen"/>
      <selection pane="bottomLeft"/>
    </sheetView>
  </sheetViews>
  <sheetFormatPr defaultColWidth="9.140625" defaultRowHeight="15" customHeight="1" x14ac:dyDescent="0.2"/>
  <cols>
    <col min="1" max="1" width="1.7109375" style="207" customWidth="1"/>
    <col min="2" max="2" width="2.7109375" style="207" customWidth="1"/>
    <col min="3" max="3" width="16.7109375" style="1074" customWidth="1"/>
    <col min="4" max="7" width="16.7109375" style="207" customWidth="1"/>
    <col min="8" max="8" width="2.7109375" style="207" customWidth="1"/>
    <col min="9" max="9" width="8.7109375" style="207" customWidth="1"/>
    <col min="10" max="10" width="2.7109375" style="207" customWidth="1"/>
    <col min="11" max="11" width="16.7109375" style="1074" customWidth="1"/>
    <col min="12" max="15" width="16.7109375" style="207" customWidth="1"/>
    <col min="16" max="16" width="2.7109375" style="207" customWidth="1"/>
    <col min="17" max="17" width="1.7109375" style="1074" customWidth="1"/>
    <col min="18" max="16384" width="9.140625" style="1074"/>
  </cols>
  <sheetData>
    <row r="1" spans="1:17" s="1052" customFormat="1" ht="30" customHeight="1" x14ac:dyDescent="0.4">
      <c r="A1" s="1055" t="s">
        <v>1431</v>
      </c>
      <c r="B1" s="44"/>
      <c r="C1" s="44"/>
      <c r="D1" s="44"/>
      <c r="E1" s="44"/>
      <c r="F1" s="44"/>
      <c r="G1" s="44"/>
      <c r="H1" s="44"/>
      <c r="I1" s="44"/>
      <c r="J1" s="44"/>
      <c r="K1" s="44"/>
      <c r="L1" s="44"/>
      <c r="M1" s="44"/>
      <c r="N1" s="44"/>
      <c r="O1" s="44"/>
      <c r="P1" s="44"/>
      <c r="Q1" s="1454"/>
    </row>
    <row r="2" spans="1:17" s="207" customFormat="1" ht="30" customHeight="1" x14ac:dyDescent="0.25">
      <c r="A2" s="1377" t="s">
        <v>1432</v>
      </c>
      <c r="B2" s="18"/>
      <c r="C2" s="16"/>
      <c r="D2" s="203"/>
      <c r="E2" s="203"/>
      <c r="F2" s="203"/>
      <c r="G2" s="203"/>
      <c r="H2" s="203"/>
      <c r="I2" s="203"/>
      <c r="J2" s="18"/>
      <c r="K2" s="16"/>
      <c r="L2" s="203"/>
      <c r="M2" s="203"/>
      <c r="N2" s="203"/>
      <c r="O2" s="203"/>
      <c r="P2" s="203"/>
      <c r="Q2" s="1075"/>
    </row>
    <row r="3" spans="1:17" ht="15" customHeight="1" x14ac:dyDescent="0.2">
      <c r="A3" s="1076"/>
      <c r="B3" s="1074"/>
      <c r="D3" s="1074"/>
      <c r="E3" s="1074"/>
      <c r="F3" s="1074"/>
      <c r="G3" s="1074"/>
      <c r="H3" s="1074"/>
      <c r="I3" s="1074"/>
      <c r="J3" s="1074"/>
      <c r="L3" s="1074"/>
      <c r="M3" s="1074"/>
      <c r="N3" s="1074"/>
      <c r="O3" s="1074"/>
      <c r="P3" s="1074"/>
      <c r="Q3" s="1075"/>
    </row>
    <row r="4" spans="1:17" ht="15" customHeight="1" x14ac:dyDescent="0.2">
      <c r="A4" s="1076"/>
      <c r="B4" s="1795" t="s">
        <v>1433</v>
      </c>
      <c r="C4" s="1795"/>
      <c r="D4" s="1795"/>
      <c r="E4" s="1795"/>
      <c r="F4" s="1795"/>
      <c r="G4" s="1795"/>
      <c r="H4" s="1795"/>
      <c r="I4" s="1074"/>
      <c r="J4" s="1795" t="s">
        <v>1495</v>
      </c>
      <c r="K4" s="1795"/>
      <c r="L4" s="1795"/>
      <c r="M4" s="1795"/>
      <c r="N4" s="1795"/>
      <c r="O4" s="1795"/>
      <c r="P4" s="1795"/>
      <c r="Q4" s="1075"/>
    </row>
    <row r="5" spans="1:17" ht="15" customHeight="1" x14ac:dyDescent="0.2">
      <c r="A5" s="1076"/>
      <c r="B5" s="1074"/>
      <c r="D5" s="1074"/>
      <c r="E5" s="1074"/>
      <c r="F5" s="1074"/>
      <c r="G5" s="1074"/>
      <c r="H5" s="1074"/>
      <c r="I5" s="1074"/>
      <c r="J5" s="1074"/>
      <c r="L5" s="1074"/>
      <c r="M5" s="1074"/>
      <c r="N5" s="1074"/>
      <c r="O5" s="1074"/>
      <c r="P5" s="1074"/>
      <c r="Q5" s="1075"/>
    </row>
    <row r="6" spans="1:17" ht="15" customHeight="1" x14ac:dyDescent="0.2">
      <c r="A6" s="1076"/>
      <c r="B6" s="1074"/>
      <c r="C6" s="1722" t="s">
        <v>1434</v>
      </c>
      <c r="D6" s="1722"/>
      <c r="E6" s="1722"/>
      <c r="F6" s="1722"/>
      <c r="G6" s="1722"/>
      <c r="H6" s="1074"/>
      <c r="I6" s="1074"/>
      <c r="J6" s="1074"/>
      <c r="K6" s="1722" t="s">
        <v>1440</v>
      </c>
      <c r="L6" s="1722"/>
      <c r="M6" s="1722"/>
      <c r="N6" s="1722"/>
      <c r="O6" s="1722"/>
      <c r="P6" s="1074"/>
      <c r="Q6" s="1075"/>
    </row>
    <row r="7" spans="1:17" ht="15" customHeight="1" x14ac:dyDescent="0.2">
      <c r="A7" s="1076"/>
      <c r="B7" s="1074"/>
      <c r="C7" s="1776" t="s">
        <v>1435</v>
      </c>
      <c r="D7" s="1697" t="s">
        <v>894</v>
      </c>
      <c r="E7" s="1697"/>
      <c r="F7" s="1697" t="s">
        <v>1436</v>
      </c>
      <c r="G7" s="1698"/>
      <c r="H7" s="1074"/>
      <c r="I7" s="1074"/>
      <c r="J7" s="1074"/>
      <c r="K7" s="1776" t="s">
        <v>1435</v>
      </c>
      <c r="L7" s="1697" t="s">
        <v>894</v>
      </c>
      <c r="M7" s="1697"/>
      <c r="N7" s="1697" t="s">
        <v>1436</v>
      </c>
      <c r="O7" s="1698"/>
      <c r="P7" s="1074"/>
      <c r="Q7" s="1075"/>
    </row>
    <row r="8" spans="1:17" ht="15" customHeight="1" x14ac:dyDescent="0.2">
      <c r="A8" s="1076"/>
      <c r="B8" s="1074"/>
      <c r="C8" s="1776"/>
      <c r="D8" s="1235" t="s">
        <v>1437</v>
      </c>
      <c r="E8" s="1235" t="s">
        <v>1438</v>
      </c>
      <c r="F8" s="1235" t="s">
        <v>1437</v>
      </c>
      <c r="G8" s="330" t="s">
        <v>1438</v>
      </c>
      <c r="H8" s="1074"/>
      <c r="I8" s="1074"/>
      <c r="J8" s="1074"/>
      <c r="K8" s="1776"/>
      <c r="L8" s="1235" t="s">
        <v>1437</v>
      </c>
      <c r="M8" s="1235" t="s">
        <v>1438</v>
      </c>
      <c r="N8" s="1235" t="s">
        <v>1437</v>
      </c>
      <c r="O8" s="330" t="s">
        <v>1438</v>
      </c>
      <c r="P8" s="1074"/>
      <c r="Q8" s="1075"/>
    </row>
    <row r="9" spans="1:17" ht="15" customHeight="1" x14ac:dyDescent="0.2">
      <c r="A9" s="1076"/>
      <c r="B9" s="1074"/>
      <c r="C9" s="1524">
        <v>0.03</v>
      </c>
      <c r="D9" s="265"/>
      <c r="E9" s="265"/>
      <c r="F9" s="265"/>
      <c r="G9" s="1424"/>
      <c r="H9" s="1074"/>
      <c r="I9" s="1074"/>
      <c r="J9" s="1074"/>
      <c r="K9" s="1526" t="s">
        <v>447</v>
      </c>
      <c r="L9" s="265"/>
      <c r="M9" s="265"/>
      <c r="N9" s="265"/>
      <c r="O9" s="1424"/>
      <c r="P9" s="1074"/>
      <c r="Q9" s="1075"/>
    </row>
    <row r="10" spans="1:17" ht="15" customHeight="1" x14ac:dyDescent="0.2">
      <c r="A10" s="1076"/>
      <c r="B10" s="1074"/>
      <c r="C10" s="1525">
        <v>7.0000000000000007E-2</v>
      </c>
      <c r="D10" s="265"/>
      <c r="E10" s="265"/>
      <c r="F10" s="265"/>
      <c r="G10" s="273"/>
      <c r="H10" s="1074"/>
      <c r="I10" s="1074"/>
      <c r="J10" s="1074"/>
      <c r="K10" s="1792" t="s">
        <v>1317</v>
      </c>
      <c r="L10" s="265"/>
      <c r="M10" s="265"/>
      <c r="N10" s="265"/>
      <c r="O10" s="273"/>
      <c r="P10" s="1074"/>
      <c r="Q10" s="1075"/>
    </row>
    <row r="11" spans="1:17" ht="15" customHeight="1" x14ac:dyDescent="0.2">
      <c r="A11" s="1076"/>
      <c r="B11" s="1074"/>
      <c r="C11" s="1525">
        <v>0.1</v>
      </c>
      <c r="D11" s="265"/>
      <c r="E11" s="265"/>
      <c r="F11" s="265"/>
      <c r="G11" s="273"/>
      <c r="H11" s="1074"/>
      <c r="I11" s="1074"/>
      <c r="J11" s="1074"/>
      <c r="K11" s="1793"/>
      <c r="L11" s="265"/>
      <c r="M11" s="265"/>
      <c r="N11" s="265"/>
      <c r="O11" s="273"/>
      <c r="P11" s="1074"/>
      <c r="Q11" s="1075"/>
    </row>
    <row r="12" spans="1:17" ht="15" customHeight="1" x14ac:dyDescent="0.2">
      <c r="A12" s="1076"/>
      <c r="B12" s="1074"/>
      <c r="C12" s="1525">
        <v>0.15</v>
      </c>
      <c r="D12" s="265"/>
      <c r="E12" s="265"/>
      <c r="F12" s="265"/>
      <c r="G12" s="273"/>
      <c r="H12" s="1074"/>
      <c r="I12" s="1074"/>
      <c r="J12" s="1074"/>
      <c r="K12" s="1793"/>
      <c r="L12" s="265"/>
      <c r="M12" s="265"/>
      <c r="N12" s="265"/>
      <c r="O12" s="273"/>
      <c r="P12" s="1074"/>
      <c r="Q12" s="1075"/>
    </row>
    <row r="13" spans="1:17" ht="15" customHeight="1" x14ac:dyDescent="0.2">
      <c r="A13" s="1076"/>
      <c r="B13" s="1074"/>
      <c r="C13" s="1525">
        <v>0.3</v>
      </c>
      <c r="D13" s="265"/>
      <c r="E13" s="265"/>
      <c r="F13" s="265"/>
      <c r="G13" s="273"/>
      <c r="H13" s="1074"/>
      <c r="I13" s="1074"/>
      <c r="J13" s="1074"/>
      <c r="K13" s="1794"/>
      <c r="L13" s="265"/>
      <c r="M13" s="265"/>
      <c r="N13" s="265"/>
      <c r="O13" s="273"/>
      <c r="P13" s="1074"/>
      <c r="Q13" s="1075"/>
    </row>
    <row r="14" spans="1:17" ht="15" customHeight="1" x14ac:dyDescent="0.2">
      <c r="A14" s="1076"/>
      <c r="B14" s="1074"/>
      <c r="C14" s="1526">
        <v>1</v>
      </c>
      <c r="D14" s="332"/>
      <c r="E14" s="332"/>
      <c r="F14" s="332"/>
      <c r="G14" s="275"/>
      <c r="H14" s="1074"/>
      <c r="I14" s="1074"/>
      <c r="J14" s="1074"/>
      <c r="K14" s="1526" t="s">
        <v>1316</v>
      </c>
      <c r="L14" s="332"/>
      <c r="M14" s="332"/>
      <c r="N14" s="332"/>
      <c r="O14" s="329"/>
      <c r="P14" s="1074"/>
      <c r="Q14" s="1075"/>
    </row>
    <row r="15" spans="1:17" ht="15" customHeight="1" x14ac:dyDescent="0.2">
      <c r="A15" s="1076"/>
      <c r="B15" s="1074"/>
      <c r="C15" s="1614" t="s">
        <v>483</v>
      </c>
      <c r="D15" s="1615" t="str">
        <f>IF(AND(ISNUMBER(D9),ISNUMBER(D10),ISNUMBER(D11), ISNUMBER(D12), ISNUMBER(D13), ISNUMBER(D14)), SUM(D9:D14), "")</f>
        <v/>
      </c>
      <c r="E15" s="1615" t="str">
        <f>IF(AND(ISNUMBER(E9),ISNUMBER(E10),ISNUMBER(E11), ISNUMBER(E12), ISNUMBER(E13), ISNUMBER(E14)), SUM(E9:E14), "")</f>
        <v/>
      </c>
      <c r="F15" s="1615" t="str">
        <f>IF(AND(ISNUMBER(F9),ISNUMBER(F10),ISNUMBER(F11), ISNUMBER(F12), ISNUMBER(F13), ISNUMBER(F14)), SUM(F9:F14), "")</f>
        <v/>
      </c>
      <c r="G15" s="1616" t="str">
        <f>IF(AND(ISNUMBER(G9),ISNUMBER(G10),ISNUMBER(G11), ISNUMBER(G12), ISNUMBER(G13), ISNUMBER(G14)), SUM(G9:G14), "")</f>
        <v/>
      </c>
      <c r="H15" s="1074"/>
      <c r="I15" s="1074"/>
      <c r="J15" s="1074"/>
      <c r="K15" s="1527" t="s">
        <v>483</v>
      </c>
      <c r="L15" s="1615" t="str">
        <f>IF(AND(ISNUMBER(L9),ISNUMBER(L10),ISNUMBER(L11), ISNUMBER(L12), ISNUMBER(L13), ISNUMBER(L14)), SUM(L9:L14), "")</f>
        <v/>
      </c>
      <c r="M15" s="1615" t="str">
        <f>IF(AND(ISNUMBER(M9),ISNUMBER(M10),ISNUMBER(M11), ISNUMBER(M12), ISNUMBER(M13), ISNUMBER(M14)), SUM(M9:M14), "")</f>
        <v/>
      </c>
      <c r="N15" s="1615" t="str">
        <f>IF(AND(ISNUMBER(N9),ISNUMBER(N10),ISNUMBER(N11), ISNUMBER(N12), ISNUMBER(N13), ISNUMBER(N14)), SUM(N9:N14), "")</f>
        <v/>
      </c>
      <c r="O15" s="1616" t="str">
        <f>IF(AND(ISNUMBER(O9),ISNUMBER(O10),ISNUMBER(O11), ISNUMBER(O12), ISNUMBER(O13), ISNUMBER(O14)), SUM(O9:O14), "")</f>
        <v/>
      </c>
      <c r="P15" s="1074"/>
      <c r="Q15" s="1075"/>
    </row>
    <row r="16" spans="1:17" ht="30" customHeight="1" x14ac:dyDescent="0.2">
      <c r="A16" s="1076"/>
      <c r="B16" s="1074"/>
      <c r="D16" s="1074"/>
      <c r="E16" s="1074"/>
      <c r="F16" s="1074"/>
      <c r="G16" s="1074"/>
      <c r="H16" s="1074"/>
      <c r="I16" s="1074"/>
      <c r="J16" s="1074"/>
      <c r="L16" s="1074"/>
      <c r="M16" s="1074"/>
      <c r="N16" s="1074"/>
      <c r="O16" s="1074"/>
      <c r="P16" s="1074"/>
      <c r="Q16" s="1075"/>
    </row>
    <row r="17" spans="1:17" ht="15" customHeight="1" x14ac:dyDescent="0.2">
      <c r="A17" s="1076"/>
      <c r="B17" s="1074"/>
      <c r="C17" s="1722" t="s">
        <v>1439</v>
      </c>
      <c r="D17" s="1722"/>
      <c r="E17" s="1722"/>
      <c r="F17" s="1722"/>
      <c r="G17" s="1722"/>
      <c r="H17" s="1074"/>
      <c r="I17" s="1074"/>
      <c r="J17" s="1074"/>
      <c r="K17" s="1722" t="s">
        <v>1441</v>
      </c>
      <c r="L17" s="1722"/>
      <c r="M17" s="1722"/>
      <c r="N17" s="1722"/>
      <c r="O17" s="1722"/>
      <c r="P17" s="1074"/>
      <c r="Q17" s="1075"/>
    </row>
    <row r="18" spans="1:17" ht="15" customHeight="1" x14ac:dyDescent="0.2">
      <c r="A18" s="1076"/>
      <c r="B18" s="1074"/>
      <c r="C18" s="1776" t="s">
        <v>1435</v>
      </c>
      <c r="D18" s="1697" t="s">
        <v>894</v>
      </c>
      <c r="E18" s="1697"/>
      <c r="F18" s="1697" t="s">
        <v>1436</v>
      </c>
      <c r="G18" s="1698"/>
      <c r="H18" s="1074"/>
      <c r="I18" s="1074"/>
      <c r="J18" s="1074"/>
      <c r="K18" s="1776" t="s">
        <v>1435</v>
      </c>
      <c r="L18" s="1697" t="s">
        <v>894</v>
      </c>
      <c r="M18" s="1697"/>
      <c r="N18" s="1697" t="s">
        <v>1436</v>
      </c>
      <c r="O18" s="1698"/>
      <c r="P18" s="1074"/>
      <c r="Q18" s="1075"/>
    </row>
    <row r="19" spans="1:17" ht="15" customHeight="1" x14ac:dyDescent="0.2">
      <c r="A19" s="1076"/>
      <c r="B19" s="1074"/>
      <c r="C19" s="1776"/>
      <c r="D19" s="1235" t="s">
        <v>1437</v>
      </c>
      <c r="E19" s="1235" t="s">
        <v>1438</v>
      </c>
      <c r="F19" s="1235" t="s">
        <v>1437</v>
      </c>
      <c r="G19" s="330" t="s">
        <v>1438</v>
      </c>
      <c r="H19" s="1074"/>
      <c r="I19" s="1074"/>
      <c r="J19" s="1074"/>
      <c r="K19" s="1776"/>
      <c r="L19" s="1235" t="s">
        <v>1437</v>
      </c>
      <c r="M19" s="1235" t="s">
        <v>1438</v>
      </c>
      <c r="N19" s="1235" t="s">
        <v>1437</v>
      </c>
      <c r="O19" s="330" t="s">
        <v>1438</v>
      </c>
      <c r="P19" s="1074"/>
      <c r="Q19" s="1075"/>
    </row>
    <row r="20" spans="1:17" ht="15" customHeight="1" x14ac:dyDescent="0.2">
      <c r="A20" s="1076"/>
      <c r="B20" s="1074"/>
      <c r="C20" s="1524">
        <v>0.03</v>
      </c>
      <c r="D20" s="265"/>
      <c r="E20" s="265"/>
      <c r="F20" s="265"/>
      <c r="G20" s="1424"/>
      <c r="H20" s="1074"/>
      <c r="I20" s="1074"/>
      <c r="J20" s="1074"/>
      <c r="K20" s="1526" t="s">
        <v>447</v>
      </c>
      <c r="L20" s="265"/>
      <c r="M20" s="265"/>
      <c r="N20" s="265"/>
      <c r="O20" s="1424"/>
      <c r="P20" s="1074"/>
      <c r="Q20" s="1075"/>
    </row>
    <row r="21" spans="1:17" ht="15" customHeight="1" x14ac:dyDescent="0.2">
      <c r="A21" s="1076"/>
      <c r="B21" s="1074"/>
      <c r="C21" s="1525">
        <v>0.06</v>
      </c>
      <c r="D21" s="265"/>
      <c r="E21" s="265"/>
      <c r="F21" s="265"/>
      <c r="G21" s="273"/>
      <c r="H21" s="1074"/>
      <c r="I21" s="1074"/>
      <c r="J21" s="1074"/>
      <c r="K21" s="1792" t="s">
        <v>1317</v>
      </c>
      <c r="L21" s="265"/>
      <c r="M21" s="265"/>
      <c r="N21" s="265"/>
      <c r="O21" s="273"/>
      <c r="P21" s="1074"/>
      <c r="Q21" s="1075"/>
    </row>
    <row r="22" spans="1:17" ht="15" customHeight="1" x14ac:dyDescent="0.2">
      <c r="A22" s="1076"/>
      <c r="B22" s="1074"/>
      <c r="C22" s="1525">
        <v>0.09</v>
      </c>
      <c r="D22" s="265"/>
      <c r="E22" s="265"/>
      <c r="F22" s="265"/>
      <c r="G22" s="273"/>
      <c r="H22" s="1074"/>
      <c r="I22" s="1074"/>
      <c r="J22" s="1074"/>
      <c r="K22" s="1793"/>
      <c r="L22" s="265"/>
      <c r="M22" s="265"/>
      <c r="N22" s="265"/>
      <c r="O22" s="273"/>
      <c r="P22" s="1074"/>
      <c r="Q22" s="1075"/>
    </row>
    <row r="23" spans="1:17" ht="15" customHeight="1" x14ac:dyDescent="0.2">
      <c r="A23" s="1076"/>
      <c r="B23" s="1074"/>
      <c r="C23" s="1525">
        <v>0.12</v>
      </c>
      <c r="D23" s="265"/>
      <c r="E23" s="265"/>
      <c r="F23" s="265"/>
      <c r="G23" s="273"/>
      <c r="H23" s="1074"/>
      <c r="I23" s="1074"/>
      <c r="J23" s="1074"/>
      <c r="K23" s="1793"/>
      <c r="L23" s="265"/>
      <c r="M23" s="265"/>
      <c r="N23" s="265"/>
      <c r="O23" s="273"/>
      <c r="P23" s="1074"/>
      <c r="Q23" s="1075"/>
    </row>
    <row r="24" spans="1:17" ht="15" customHeight="1" x14ac:dyDescent="0.2">
      <c r="A24" s="1076"/>
      <c r="B24" s="1074"/>
      <c r="C24" s="1525">
        <v>0.22</v>
      </c>
      <c r="D24" s="265"/>
      <c r="E24" s="265"/>
      <c r="F24" s="265"/>
      <c r="G24" s="273"/>
      <c r="H24" s="1074"/>
      <c r="I24" s="1074"/>
      <c r="J24" s="1074"/>
      <c r="K24" s="1794"/>
      <c r="L24" s="265"/>
      <c r="M24" s="265"/>
      <c r="N24" s="265"/>
      <c r="O24" s="273"/>
      <c r="P24" s="1074"/>
      <c r="Q24" s="1075"/>
    </row>
    <row r="25" spans="1:17" ht="15" customHeight="1" x14ac:dyDescent="0.2">
      <c r="A25" s="1076"/>
      <c r="B25" s="1074"/>
      <c r="C25" s="1526">
        <v>1</v>
      </c>
      <c r="D25" s="332"/>
      <c r="E25" s="332"/>
      <c r="F25" s="332"/>
      <c r="G25" s="275"/>
      <c r="H25" s="1074"/>
      <c r="I25" s="1074"/>
      <c r="J25" s="1074"/>
      <c r="K25" s="1526" t="s">
        <v>1316</v>
      </c>
      <c r="L25" s="332"/>
      <c r="M25" s="332"/>
      <c r="N25" s="332"/>
      <c r="O25" s="329"/>
      <c r="P25" s="1074"/>
      <c r="Q25" s="1075"/>
    </row>
    <row r="26" spans="1:17" ht="15" customHeight="1" x14ac:dyDescent="0.2">
      <c r="A26" s="1076"/>
      <c r="B26" s="1074"/>
      <c r="C26" s="1527" t="s">
        <v>483</v>
      </c>
      <c r="D26" s="1615" t="str">
        <f>IF(AND(ISNUMBER(D20),ISNUMBER(D21),ISNUMBER(D22), ISNUMBER(D23), ISNUMBER(D24), ISNUMBER(D25)), SUM(D20:D25), "")</f>
        <v/>
      </c>
      <c r="E26" s="1615" t="str">
        <f>IF(AND(ISNUMBER(E20),ISNUMBER(E21),ISNUMBER(E22), ISNUMBER(E23), ISNUMBER(E24), ISNUMBER(E25)), SUM(E20:E25), "")</f>
        <v/>
      </c>
      <c r="F26" s="1615" t="str">
        <f>IF(AND(ISNUMBER(F20),ISNUMBER(F21),ISNUMBER(F22), ISNUMBER(F23), ISNUMBER(F24), ISNUMBER(F25)), SUM(F20:F25), "")</f>
        <v/>
      </c>
      <c r="G26" s="1616" t="str">
        <f>IF(AND(ISNUMBER(G20),ISNUMBER(G21),ISNUMBER(G22), ISNUMBER(G23), ISNUMBER(G24), ISNUMBER(G25)), SUM(G20:G25), "")</f>
        <v/>
      </c>
      <c r="H26" s="1074"/>
      <c r="I26" s="1074"/>
      <c r="J26" s="1074"/>
      <c r="K26" s="1527" t="s">
        <v>483</v>
      </c>
      <c r="L26" s="1615" t="str">
        <f>IF(AND(ISNUMBER(L20),ISNUMBER(L21),ISNUMBER(L22), ISNUMBER(L23), ISNUMBER(L24), ISNUMBER(L25)), SUM(L20:L25), "")</f>
        <v/>
      </c>
      <c r="M26" s="1615" t="str">
        <f>IF(AND(ISNUMBER(M20),ISNUMBER(M21),ISNUMBER(M22), ISNUMBER(M23), ISNUMBER(M24), ISNUMBER(M25)), SUM(M20:M25), "")</f>
        <v/>
      </c>
      <c r="N26" s="1615" t="str">
        <f>IF(AND(ISNUMBER(N20),ISNUMBER(N21),ISNUMBER(N22), ISNUMBER(N23), ISNUMBER(N24), ISNUMBER(N25)), SUM(N20:N25), "")</f>
        <v/>
      </c>
      <c r="O26" s="1616" t="str">
        <f>IF(AND(ISNUMBER(O20),ISNUMBER(O21),ISNUMBER(O22), ISNUMBER(O23), ISNUMBER(O24), ISNUMBER(O25)), SUM(O20:O25), "")</f>
        <v/>
      </c>
      <c r="P26" s="1074"/>
      <c r="Q26" s="1075"/>
    </row>
    <row r="27" spans="1:17" ht="30" customHeight="1" x14ac:dyDescent="0.2">
      <c r="A27" s="1076"/>
      <c r="B27" s="1074"/>
      <c r="D27" s="1074"/>
      <c r="E27" s="1074"/>
      <c r="F27" s="1074"/>
      <c r="G27" s="1074"/>
      <c r="H27" s="1074"/>
      <c r="I27" s="1074"/>
      <c r="J27" s="1074"/>
      <c r="L27" s="1074"/>
      <c r="M27" s="1074"/>
      <c r="N27" s="1074"/>
      <c r="O27" s="1074"/>
      <c r="P27" s="1074"/>
      <c r="Q27" s="1075"/>
    </row>
    <row r="28" spans="1:17" ht="15" customHeight="1" x14ac:dyDescent="0.2">
      <c r="A28" s="1076"/>
      <c r="B28" s="1074"/>
      <c r="C28" s="1722" t="s">
        <v>1442</v>
      </c>
      <c r="D28" s="1722"/>
      <c r="E28" s="1722"/>
      <c r="F28" s="1722"/>
      <c r="G28" s="1722"/>
      <c r="H28" s="1074"/>
      <c r="I28" s="1074"/>
      <c r="J28" s="1074"/>
      <c r="K28" s="1722" t="s">
        <v>1442</v>
      </c>
      <c r="L28" s="1722"/>
      <c r="M28" s="1722"/>
      <c r="N28" s="1722"/>
      <c r="O28" s="1722"/>
      <c r="P28" s="1074"/>
      <c r="Q28" s="1075"/>
    </row>
    <row r="29" spans="1:17" ht="15" customHeight="1" x14ac:dyDescent="0.2">
      <c r="A29" s="1076"/>
      <c r="B29" s="1074"/>
      <c r="C29" s="1776" t="s">
        <v>1435</v>
      </c>
      <c r="D29" s="1697" t="s">
        <v>894</v>
      </c>
      <c r="E29" s="1697"/>
      <c r="F29" s="1697" t="s">
        <v>1436</v>
      </c>
      <c r="G29" s="1698"/>
      <c r="H29" s="1074"/>
      <c r="I29" s="1074"/>
      <c r="J29" s="1074"/>
      <c r="K29" s="1776" t="s">
        <v>1435</v>
      </c>
      <c r="L29" s="1697" t="s">
        <v>894</v>
      </c>
      <c r="M29" s="1697"/>
      <c r="N29" s="1697" t="s">
        <v>1436</v>
      </c>
      <c r="O29" s="1698"/>
      <c r="P29" s="1074"/>
      <c r="Q29" s="1075"/>
    </row>
    <row r="30" spans="1:17" ht="15" customHeight="1" x14ac:dyDescent="0.2">
      <c r="A30" s="1076"/>
      <c r="B30" s="1074"/>
      <c r="C30" s="1776"/>
      <c r="D30" s="1235" t="s">
        <v>1437</v>
      </c>
      <c r="E30" s="1235" t="s">
        <v>1438</v>
      </c>
      <c r="F30" s="1235" t="s">
        <v>1437</v>
      </c>
      <c r="G30" s="330" t="s">
        <v>1438</v>
      </c>
      <c r="H30" s="1074"/>
      <c r="I30" s="1074"/>
      <c r="J30" s="1074"/>
      <c r="K30" s="1776"/>
      <c r="L30" s="1235" t="s">
        <v>1437</v>
      </c>
      <c r="M30" s="1235" t="s">
        <v>1438</v>
      </c>
      <c r="N30" s="1235" t="s">
        <v>1437</v>
      </c>
      <c r="O30" s="330" t="s">
        <v>1438</v>
      </c>
      <c r="P30" s="1074"/>
      <c r="Q30" s="1075"/>
    </row>
    <row r="31" spans="1:17" ht="15" customHeight="1" x14ac:dyDescent="0.2">
      <c r="A31" s="1076"/>
      <c r="B31" s="1074"/>
      <c r="C31" s="1526" t="s">
        <v>447</v>
      </c>
      <c r="D31" s="265"/>
      <c r="E31" s="265"/>
      <c r="F31" s="265"/>
      <c r="G31" s="1424"/>
      <c r="H31" s="1074"/>
      <c r="I31" s="1074"/>
      <c r="J31" s="1074"/>
      <c r="K31" s="1526" t="s">
        <v>447</v>
      </c>
      <c r="L31" s="265"/>
      <c r="M31" s="265"/>
      <c r="N31" s="265"/>
      <c r="O31" s="1424"/>
      <c r="P31" s="1074"/>
      <c r="Q31" s="1075"/>
    </row>
    <row r="32" spans="1:17" ht="15" customHeight="1" x14ac:dyDescent="0.2">
      <c r="A32" s="1076"/>
      <c r="B32" s="1074"/>
      <c r="C32" s="1526" t="s">
        <v>1317</v>
      </c>
      <c r="D32" s="265"/>
      <c r="E32" s="265"/>
      <c r="F32" s="265"/>
      <c r="G32" s="273"/>
      <c r="H32" s="1074"/>
      <c r="I32" s="1074"/>
      <c r="J32" s="1074"/>
      <c r="K32" s="1526" t="s">
        <v>1317</v>
      </c>
      <c r="L32" s="265"/>
      <c r="M32" s="265"/>
      <c r="N32" s="265"/>
      <c r="O32" s="273"/>
      <c r="P32" s="1074"/>
      <c r="Q32" s="1075"/>
    </row>
    <row r="33" spans="1:17" ht="15" customHeight="1" x14ac:dyDescent="0.2">
      <c r="A33" s="1076"/>
      <c r="B33" s="1074"/>
      <c r="C33" s="1526" t="s">
        <v>1316</v>
      </c>
      <c r="D33" s="332"/>
      <c r="E33" s="332"/>
      <c r="F33" s="332"/>
      <c r="G33" s="275"/>
      <c r="H33" s="1074"/>
      <c r="I33" s="1074"/>
      <c r="J33" s="1074"/>
      <c r="K33" s="1526" t="s">
        <v>1316</v>
      </c>
      <c r="L33" s="332"/>
      <c r="M33" s="332"/>
      <c r="N33" s="332"/>
      <c r="O33" s="329"/>
      <c r="P33" s="1074"/>
      <c r="Q33" s="1075"/>
    </row>
    <row r="34" spans="1:17" ht="15" customHeight="1" x14ac:dyDescent="0.2">
      <c r="A34" s="1076"/>
      <c r="B34" s="1074"/>
      <c r="C34" s="1527" t="s">
        <v>483</v>
      </c>
      <c r="D34" s="1615" t="str">
        <f>IF(AND(ISNUMBER(D31),ISNUMBER(D32),ISNUMBER(D33)), SUM(D31:D33), "")</f>
        <v/>
      </c>
      <c r="E34" s="1615" t="str">
        <f>IF(AND(ISNUMBER(E31),ISNUMBER(E32),ISNUMBER(E33)), SUM(E31:E33), "")</f>
        <v/>
      </c>
      <c r="F34" s="1615" t="str">
        <f>IF(AND(ISNUMBER(F31),ISNUMBER(F32),ISNUMBER(F33)), SUM(F31:F33), "")</f>
        <v/>
      </c>
      <c r="G34" s="1616" t="str">
        <f>IF(AND(ISNUMBER(G31),ISNUMBER(G32),ISNUMBER(G33)), SUM(G31:G33), "")</f>
        <v/>
      </c>
      <c r="H34" s="1074"/>
      <c r="I34" s="1074"/>
      <c r="J34" s="1074"/>
      <c r="K34" s="1527" t="s">
        <v>483</v>
      </c>
      <c r="L34" s="1615" t="str">
        <f>IF(AND(ISNUMBER(L31),ISNUMBER(L32),ISNUMBER(L33)), SUM(L31:L33), "")</f>
        <v/>
      </c>
      <c r="M34" s="1615" t="str">
        <f>IF(AND(ISNUMBER(M31),ISNUMBER(M32),ISNUMBER(M33)), SUM(M31:M33), "")</f>
        <v/>
      </c>
      <c r="N34" s="1615" t="str">
        <f>IF(AND(ISNUMBER(N31),ISNUMBER(N32),ISNUMBER(N33)), SUM(N31:N33), "")</f>
        <v/>
      </c>
      <c r="O34" s="1616" t="str">
        <f>IF(AND(ISNUMBER(O31),ISNUMBER(O32),ISNUMBER(O33)), SUM(O31:O33), "")</f>
        <v/>
      </c>
      <c r="P34" s="1074"/>
      <c r="Q34" s="1075"/>
    </row>
    <row r="35" spans="1:17" ht="30" customHeight="1" x14ac:dyDescent="0.2">
      <c r="A35" s="1076"/>
      <c r="B35" s="1074"/>
      <c r="D35" s="1074"/>
      <c r="E35" s="1074"/>
      <c r="F35" s="1074"/>
      <c r="G35" s="1074"/>
      <c r="H35" s="1074"/>
      <c r="I35" s="1074"/>
      <c r="J35" s="1074"/>
      <c r="L35" s="1074"/>
      <c r="M35" s="1074"/>
      <c r="N35" s="1074"/>
      <c r="O35" s="1074"/>
      <c r="P35" s="1074"/>
      <c r="Q35" s="1075"/>
    </row>
    <row r="36" spans="1:17" ht="15" customHeight="1" x14ac:dyDescent="0.2">
      <c r="A36" s="1076"/>
      <c r="B36" s="1074"/>
      <c r="C36" s="1722" t="s">
        <v>1443</v>
      </c>
      <c r="D36" s="1722"/>
      <c r="E36" s="1722"/>
      <c r="F36" s="1722"/>
      <c r="G36" s="1722"/>
      <c r="H36" s="1074"/>
      <c r="I36" s="1074"/>
      <c r="J36" s="1074"/>
      <c r="K36" s="1722" t="s">
        <v>1444</v>
      </c>
      <c r="L36" s="1722"/>
      <c r="M36" s="1722"/>
      <c r="N36" s="1722"/>
      <c r="O36" s="1722"/>
      <c r="P36" s="1074"/>
      <c r="Q36" s="1075"/>
    </row>
    <row r="37" spans="1:17" ht="15" customHeight="1" x14ac:dyDescent="0.2">
      <c r="A37" s="1076"/>
      <c r="B37" s="1074"/>
      <c r="C37" s="1776" t="s">
        <v>1435</v>
      </c>
      <c r="D37" s="1697" t="s">
        <v>894</v>
      </c>
      <c r="E37" s="1697"/>
      <c r="F37" s="1697" t="s">
        <v>1436</v>
      </c>
      <c r="G37" s="1698"/>
      <c r="H37" s="1074"/>
      <c r="I37" s="1074"/>
      <c r="J37" s="1074"/>
      <c r="K37" s="1776" t="s">
        <v>1435</v>
      </c>
      <c r="L37" s="1697" t="s">
        <v>894</v>
      </c>
      <c r="M37" s="1697"/>
      <c r="N37" s="1697" t="s">
        <v>1436</v>
      </c>
      <c r="O37" s="1698"/>
      <c r="P37" s="1074"/>
      <c r="Q37" s="1075"/>
    </row>
    <row r="38" spans="1:17" ht="15" customHeight="1" x14ac:dyDescent="0.2">
      <c r="A38" s="1076"/>
      <c r="B38" s="1074"/>
      <c r="C38" s="1776"/>
      <c r="D38" s="1235" t="s">
        <v>1437</v>
      </c>
      <c r="E38" s="1235" t="s">
        <v>1438</v>
      </c>
      <c r="F38" s="1235" t="s">
        <v>1437</v>
      </c>
      <c r="G38" s="330" t="s">
        <v>1438</v>
      </c>
      <c r="H38" s="1074"/>
      <c r="I38" s="1074"/>
      <c r="J38" s="1074"/>
      <c r="K38" s="1776"/>
      <c r="L38" s="1235" t="s">
        <v>1437</v>
      </c>
      <c r="M38" s="1235" t="s">
        <v>1438</v>
      </c>
      <c r="N38" s="1235" t="s">
        <v>1437</v>
      </c>
      <c r="O38" s="330" t="s">
        <v>1438</v>
      </c>
      <c r="P38" s="1074"/>
      <c r="Q38" s="1075"/>
    </row>
    <row r="39" spans="1:17" ht="15" customHeight="1" x14ac:dyDescent="0.2">
      <c r="A39" s="1076"/>
      <c r="B39" s="1074"/>
      <c r="C39" s="1526" t="s">
        <v>447</v>
      </c>
      <c r="D39" s="265"/>
      <c r="E39" s="265"/>
      <c r="F39" s="265"/>
      <c r="G39" s="1424"/>
      <c r="H39" s="1074"/>
      <c r="I39" s="1074"/>
      <c r="J39" s="1074"/>
      <c r="K39" s="1526" t="s">
        <v>447</v>
      </c>
      <c r="L39" s="265"/>
      <c r="M39" s="265"/>
      <c r="N39" s="265"/>
      <c r="O39" s="1424"/>
      <c r="P39" s="1074"/>
      <c r="Q39" s="1075"/>
    </row>
    <row r="40" spans="1:17" ht="15" customHeight="1" x14ac:dyDescent="0.2">
      <c r="A40" s="1076"/>
      <c r="B40" s="1074"/>
      <c r="C40" s="1526" t="s">
        <v>1317</v>
      </c>
      <c r="D40" s="265"/>
      <c r="E40" s="265"/>
      <c r="F40" s="265"/>
      <c r="G40" s="273"/>
      <c r="H40" s="1074"/>
      <c r="I40" s="1074"/>
      <c r="J40" s="1074"/>
      <c r="K40" s="1526" t="s">
        <v>1317</v>
      </c>
      <c r="L40" s="265"/>
      <c r="M40" s="265"/>
      <c r="N40" s="265"/>
      <c r="O40" s="273"/>
      <c r="P40" s="1074"/>
      <c r="Q40" s="1075"/>
    </row>
    <row r="41" spans="1:17" ht="15" customHeight="1" x14ac:dyDescent="0.2">
      <c r="A41" s="1076"/>
      <c r="B41" s="1074"/>
      <c r="C41" s="1526" t="s">
        <v>1316</v>
      </c>
      <c r="D41" s="332"/>
      <c r="E41" s="332"/>
      <c r="F41" s="332"/>
      <c r="G41" s="275"/>
      <c r="H41" s="1074"/>
      <c r="I41" s="1074"/>
      <c r="J41" s="1074"/>
      <c r="K41" s="1526" t="s">
        <v>1316</v>
      </c>
      <c r="L41" s="332"/>
      <c r="M41" s="332"/>
      <c r="N41" s="332"/>
      <c r="O41" s="329"/>
      <c r="P41" s="1074"/>
      <c r="Q41" s="1075"/>
    </row>
    <row r="42" spans="1:17" ht="15" customHeight="1" x14ac:dyDescent="0.2">
      <c r="A42" s="1076"/>
      <c r="B42" s="1074"/>
      <c r="C42" s="1527" t="s">
        <v>483</v>
      </c>
      <c r="D42" s="1615" t="str">
        <f>IF(AND(ISNUMBER(D39),ISNUMBER(D40),ISNUMBER(D41)), SUM(D39:D41), "")</f>
        <v/>
      </c>
      <c r="E42" s="1615" t="str">
        <f>IF(AND(ISNUMBER(E39),ISNUMBER(E40),ISNUMBER(E41)), SUM(E39:E41), "")</f>
        <v/>
      </c>
      <c r="F42" s="1615" t="str">
        <f>IF(AND(ISNUMBER(F39),ISNUMBER(F40),ISNUMBER(F41)), SUM(F39:F41), "")</f>
        <v/>
      </c>
      <c r="G42" s="1616" t="str">
        <f>IF(AND(ISNUMBER(G39),ISNUMBER(G40),ISNUMBER(G41)), SUM(G39:G41), "")</f>
        <v/>
      </c>
      <c r="H42" s="1074"/>
      <c r="I42" s="1074"/>
      <c r="J42" s="1074"/>
      <c r="K42" s="1527" t="s">
        <v>483</v>
      </c>
      <c r="L42" s="1615" t="str">
        <f>IF(AND(ISNUMBER(L39),ISNUMBER(L40),ISNUMBER(L41)), SUM(L39:L41), "")</f>
        <v/>
      </c>
      <c r="M42" s="1615" t="str">
        <f>IF(AND(ISNUMBER(M39),ISNUMBER(M40),ISNUMBER(M41)), SUM(M39:M41), "")</f>
        <v/>
      </c>
      <c r="N42" s="1615" t="str">
        <f>IF(AND(ISNUMBER(N39),ISNUMBER(N40),ISNUMBER(N41)), SUM(N39:N41), "")</f>
        <v/>
      </c>
      <c r="O42" s="1616" t="str">
        <f>IF(AND(ISNUMBER(O39),ISNUMBER(O40),ISNUMBER(O41)), SUM(O39:O41), "")</f>
        <v/>
      </c>
      <c r="P42" s="1074"/>
      <c r="Q42" s="1075"/>
    </row>
    <row r="43" spans="1:17" ht="30" customHeight="1" x14ac:dyDescent="0.2">
      <c r="A43" s="1076"/>
      <c r="B43" s="1074"/>
      <c r="D43" s="1074"/>
      <c r="E43" s="1074"/>
      <c r="F43" s="1074"/>
      <c r="G43" s="1074"/>
      <c r="H43" s="1074"/>
      <c r="I43" s="1074"/>
      <c r="J43" s="1074"/>
      <c r="L43" s="1074"/>
      <c r="M43" s="1074"/>
      <c r="N43" s="1074"/>
      <c r="O43" s="1074"/>
      <c r="P43" s="1074"/>
      <c r="Q43" s="1075"/>
    </row>
    <row r="44" spans="1:17" ht="15" customHeight="1" x14ac:dyDescent="0.2">
      <c r="A44" s="1076"/>
      <c r="B44" s="1074"/>
      <c r="C44" s="1722" t="s">
        <v>1445</v>
      </c>
      <c r="D44" s="1722"/>
      <c r="E44" s="1722"/>
      <c r="F44" s="1722"/>
      <c r="G44" s="1722"/>
      <c r="H44" s="1074"/>
      <c r="I44" s="1074"/>
      <c r="J44" s="1074"/>
      <c r="K44" s="1722" t="s">
        <v>72</v>
      </c>
      <c r="L44" s="1722"/>
      <c r="M44" s="1722"/>
      <c r="N44" s="1722"/>
      <c r="O44" s="1722"/>
      <c r="P44" s="1074"/>
      <c r="Q44" s="1075"/>
    </row>
    <row r="45" spans="1:17" ht="15" customHeight="1" x14ac:dyDescent="0.2">
      <c r="A45" s="1076"/>
      <c r="B45" s="1074"/>
      <c r="C45" s="1776" t="s">
        <v>1435</v>
      </c>
      <c r="D45" s="1697" t="s">
        <v>894</v>
      </c>
      <c r="E45" s="1697"/>
      <c r="F45" s="1697" t="s">
        <v>1436</v>
      </c>
      <c r="G45" s="1698"/>
      <c r="H45" s="1074"/>
      <c r="I45" s="1074"/>
      <c r="J45" s="1074"/>
      <c r="K45" s="1776" t="s">
        <v>1435</v>
      </c>
      <c r="L45" s="1697" t="s">
        <v>894</v>
      </c>
      <c r="M45" s="1697"/>
      <c r="N45" s="1697" t="s">
        <v>1436</v>
      </c>
      <c r="O45" s="1698"/>
      <c r="P45" s="1074"/>
      <c r="Q45" s="1075"/>
    </row>
    <row r="46" spans="1:17" ht="15" customHeight="1" x14ac:dyDescent="0.2">
      <c r="A46" s="1076"/>
      <c r="B46" s="1074"/>
      <c r="C46" s="1776"/>
      <c r="D46" s="1235" t="s">
        <v>1437</v>
      </c>
      <c r="E46" s="1235" t="s">
        <v>1438</v>
      </c>
      <c r="F46" s="1235" t="s">
        <v>1437</v>
      </c>
      <c r="G46" s="330" t="s">
        <v>1438</v>
      </c>
      <c r="H46" s="1074"/>
      <c r="I46" s="1074"/>
      <c r="J46" s="1074"/>
      <c r="K46" s="1776"/>
      <c r="L46" s="1235" t="s">
        <v>1437</v>
      </c>
      <c r="M46" s="1235" t="s">
        <v>1438</v>
      </c>
      <c r="N46" s="1235" t="s">
        <v>1437</v>
      </c>
      <c r="O46" s="330" t="s">
        <v>1438</v>
      </c>
      <c r="P46" s="1074"/>
      <c r="Q46" s="1075"/>
    </row>
    <row r="47" spans="1:17" ht="15" customHeight="1" x14ac:dyDescent="0.2">
      <c r="A47" s="1076"/>
      <c r="B47" s="1074"/>
      <c r="C47" s="1526" t="s">
        <v>447</v>
      </c>
      <c r="D47" s="265"/>
      <c r="E47" s="265"/>
      <c r="F47" s="265"/>
      <c r="G47" s="1424"/>
      <c r="H47" s="1074"/>
      <c r="I47" s="1074"/>
      <c r="J47" s="1074"/>
      <c r="K47" s="1526" t="s">
        <v>447</v>
      </c>
      <c r="L47" s="265"/>
      <c r="M47" s="265"/>
      <c r="N47" s="265"/>
      <c r="O47" s="1424"/>
      <c r="P47" s="1074"/>
      <c r="Q47" s="1075"/>
    </row>
    <row r="48" spans="1:17" ht="15" customHeight="1" x14ac:dyDescent="0.2">
      <c r="A48" s="1076"/>
      <c r="B48" s="1074"/>
      <c r="C48" s="1526" t="s">
        <v>1317</v>
      </c>
      <c r="D48" s="265"/>
      <c r="E48" s="265"/>
      <c r="F48" s="265"/>
      <c r="G48" s="273"/>
      <c r="H48" s="1074"/>
      <c r="I48" s="1074"/>
      <c r="J48" s="1074"/>
      <c r="K48" s="1526" t="s">
        <v>1317</v>
      </c>
      <c r="L48" s="265"/>
      <c r="M48" s="265"/>
      <c r="N48" s="265"/>
      <c r="O48" s="273"/>
      <c r="P48" s="1074"/>
      <c r="Q48" s="1075"/>
    </row>
    <row r="49" spans="1:17" ht="15" customHeight="1" x14ac:dyDescent="0.2">
      <c r="A49" s="1076"/>
      <c r="B49" s="1074"/>
      <c r="C49" s="1526" t="s">
        <v>1316</v>
      </c>
      <c r="D49" s="332"/>
      <c r="E49" s="332"/>
      <c r="F49" s="332"/>
      <c r="G49" s="275"/>
      <c r="H49" s="1074"/>
      <c r="I49" s="1074"/>
      <c r="J49" s="1074"/>
      <c r="K49" s="1526" t="s">
        <v>1316</v>
      </c>
      <c r="L49" s="332"/>
      <c r="M49" s="332"/>
      <c r="N49" s="332"/>
      <c r="O49" s="329"/>
      <c r="P49" s="1074"/>
      <c r="Q49" s="1075"/>
    </row>
    <row r="50" spans="1:17" ht="15" customHeight="1" x14ac:dyDescent="0.2">
      <c r="A50" s="1076"/>
      <c r="B50" s="1074"/>
      <c r="C50" s="1527" t="s">
        <v>483</v>
      </c>
      <c r="D50" s="1615" t="str">
        <f>IF(AND(ISNUMBER(D47),ISNUMBER(D48),ISNUMBER(D49)), SUM(D47:D49), "")</f>
        <v/>
      </c>
      <c r="E50" s="1615" t="str">
        <f>IF(AND(ISNUMBER(E47),ISNUMBER(E48),ISNUMBER(E49)), SUM(E47:E49), "")</f>
        <v/>
      </c>
      <c r="F50" s="1615" t="str">
        <f>IF(AND(ISNUMBER(F47),ISNUMBER(F48),ISNUMBER(F49)), SUM(F47:F49), "")</f>
        <v/>
      </c>
      <c r="G50" s="1616" t="str">
        <f>IF(AND(ISNUMBER(G47),ISNUMBER(G48),ISNUMBER(G49)), SUM(G47:G49), "")</f>
        <v/>
      </c>
      <c r="H50" s="1074"/>
      <c r="I50" s="1074"/>
      <c r="J50" s="1074"/>
      <c r="K50" s="1527" t="s">
        <v>483</v>
      </c>
      <c r="L50" s="1615" t="str">
        <f>IF(AND(ISNUMBER(L47),ISNUMBER(L48),ISNUMBER(L49)), SUM(L47:L49), "")</f>
        <v/>
      </c>
      <c r="M50" s="1615" t="str">
        <f>IF(AND(ISNUMBER(M47),ISNUMBER(M48),ISNUMBER(M49)), SUM(M47:M49), "")</f>
        <v/>
      </c>
      <c r="N50" s="1615" t="str">
        <f>IF(AND(ISNUMBER(N47),ISNUMBER(N48),ISNUMBER(N49)), SUM(N47:N49), "")</f>
        <v/>
      </c>
      <c r="O50" s="1616" t="str">
        <f>IF(AND(ISNUMBER(O47),ISNUMBER(O48),ISNUMBER(O49)), SUM(O47:O49), "")</f>
        <v/>
      </c>
      <c r="P50" s="1074"/>
      <c r="Q50" s="1075"/>
    </row>
    <row r="51" spans="1:17" ht="15" customHeight="1" x14ac:dyDescent="0.2">
      <c r="A51" s="1076"/>
      <c r="B51" s="1074"/>
      <c r="D51" s="1074"/>
      <c r="E51" s="1074"/>
      <c r="F51" s="1074"/>
      <c r="G51" s="1074"/>
      <c r="H51" s="1074"/>
      <c r="I51" s="1074"/>
      <c r="J51" s="1074"/>
      <c r="L51" s="1074"/>
      <c r="M51" s="1074"/>
      <c r="N51" s="1074"/>
      <c r="O51" s="1074"/>
      <c r="P51" s="1074"/>
      <c r="Q51" s="1075"/>
    </row>
    <row r="52" spans="1:17" s="207" customFormat="1" ht="30" customHeight="1" x14ac:dyDescent="0.25">
      <c r="A52" s="1377" t="s">
        <v>1446</v>
      </c>
      <c r="B52" s="18"/>
      <c r="C52" s="16"/>
      <c r="D52" s="203"/>
      <c r="E52" s="203"/>
      <c r="F52" s="203"/>
      <c r="G52" s="203"/>
      <c r="H52" s="203"/>
      <c r="I52" s="203"/>
      <c r="J52" s="18"/>
      <c r="K52" s="16"/>
      <c r="L52" s="203"/>
      <c r="M52" s="203"/>
      <c r="N52" s="203"/>
      <c r="O52" s="203"/>
      <c r="P52" s="203"/>
      <c r="Q52" s="1075"/>
    </row>
    <row r="53" spans="1:17" ht="15" customHeight="1" x14ac:dyDescent="0.2">
      <c r="A53" s="1076"/>
      <c r="B53" s="1074"/>
      <c r="D53" s="1074"/>
      <c r="E53" s="1074"/>
      <c r="F53" s="1074"/>
      <c r="G53" s="1074"/>
      <c r="H53" s="1074"/>
      <c r="I53" s="1074"/>
      <c r="J53" s="1074"/>
      <c r="L53" s="1074"/>
      <c r="M53" s="1074"/>
      <c r="N53" s="1074"/>
      <c r="O53" s="1074"/>
      <c r="P53" s="1074"/>
      <c r="Q53" s="1075"/>
    </row>
    <row r="54" spans="1:17" ht="15" customHeight="1" x14ac:dyDescent="0.2">
      <c r="A54" s="1076"/>
      <c r="B54" s="1074"/>
      <c r="C54" s="1722" t="s">
        <v>1447</v>
      </c>
      <c r="D54" s="1722"/>
      <c r="E54" s="1722"/>
      <c r="F54" s="1722"/>
      <c r="G54" s="1722"/>
      <c r="H54" s="1074"/>
      <c r="I54" s="1074"/>
      <c r="J54" s="1074"/>
      <c r="K54" s="1722" t="s">
        <v>1448</v>
      </c>
      <c r="L54" s="1722"/>
      <c r="M54" s="1722"/>
      <c r="N54" s="1722"/>
      <c r="O54" s="1722"/>
      <c r="P54" s="1074"/>
      <c r="Q54" s="1075"/>
    </row>
    <row r="55" spans="1:17" ht="15" customHeight="1" x14ac:dyDescent="0.2">
      <c r="A55" s="1076"/>
      <c r="B55" s="1074"/>
      <c r="C55" s="1776" t="s">
        <v>1435</v>
      </c>
      <c r="D55" s="1697" t="s">
        <v>894</v>
      </c>
      <c r="E55" s="1697"/>
      <c r="F55" s="1697" t="s">
        <v>1436</v>
      </c>
      <c r="G55" s="1698"/>
      <c r="H55" s="1074"/>
      <c r="I55" s="1074"/>
      <c r="J55" s="1074"/>
      <c r="K55" s="1776" t="s">
        <v>1435</v>
      </c>
      <c r="L55" s="1697" t="s">
        <v>894</v>
      </c>
      <c r="M55" s="1697"/>
      <c r="N55" s="1697" t="s">
        <v>1436</v>
      </c>
      <c r="O55" s="1698"/>
      <c r="P55" s="1074"/>
      <c r="Q55" s="1075"/>
    </row>
    <row r="56" spans="1:17" ht="15" customHeight="1" x14ac:dyDescent="0.2">
      <c r="A56" s="1076"/>
      <c r="B56" s="1074"/>
      <c r="C56" s="1776"/>
      <c r="D56" s="1235" t="s">
        <v>1437</v>
      </c>
      <c r="E56" s="1235" t="s">
        <v>1438</v>
      </c>
      <c r="F56" s="1235" t="s">
        <v>1437</v>
      </c>
      <c r="G56" s="330" t="s">
        <v>1438</v>
      </c>
      <c r="H56" s="1074"/>
      <c r="I56" s="1074"/>
      <c r="J56" s="1074"/>
      <c r="K56" s="1776"/>
      <c r="L56" s="1235" t="s">
        <v>1437</v>
      </c>
      <c r="M56" s="1235" t="s">
        <v>1438</v>
      </c>
      <c r="N56" s="1235" t="s">
        <v>1437</v>
      </c>
      <c r="O56" s="330" t="s">
        <v>1438</v>
      </c>
      <c r="P56" s="1074"/>
      <c r="Q56" s="1075"/>
    </row>
    <row r="57" spans="1:17" ht="15" customHeight="1" x14ac:dyDescent="0.2">
      <c r="A57" s="1076"/>
      <c r="B57" s="1074"/>
      <c r="C57" s="1524" t="s">
        <v>1449</v>
      </c>
      <c r="D57" s="265"/>
      <c r="E57" s="265"/>
      <c r="F57" s="265"/>
      <c r="G57" s="1424"/>
      <c r="H57" s="1074"/>
      <c r="I57" s="1074"/>
      <c r="J57" s="1074"/>
      <c r="K57" s="1524" t="s">
        <v>1449</v>
      </c>
      <c r="L57" s="265"/>
      <c r="M57" s="265"/>
      <c r="N57" s="265"/>
      <c r="O57" s="1424"/>
      <c r="P57" s="1074"/>
      <c r="Q57" s="1075"/>
    </row>
    <row r="58" spans="1:17" ht="15" customHeight="1" x14ac:dyDescent="0.2">
      <c r="A58" s="1076"/>
      <c r="B58" s="1074"/>
      <c r="C58" s="1525" t="s">
        <v>1439</v>
      </c>
      <c r="D58" s="265"/>
      <c r="E58" s="265"/>
      <c r="F58" s="265"/>
      <c r="G58" s="273"/>
      <c r="H58" s="1074"/>
      <c r="I58" s="1074"/>
      <c r="J58" s="1074"/>
      <c r="K58" s="1525" t="s">
        <v>1439</v>
      </c>
      <c r="L58" s="265"/>
      <c r="M58" s="265"/>
      <c r="N58" s="265"/>
      <c r="O58" s="273"/>
      <c r="P58" s="1074"/>
      <c r="Q58" s="1075"/>
    </row>
    <row r="59" spans="1:17" ht="15" customHeight="1" x14ac:dyDescent="0.2">
      <c r="A59" s="1076"/>
      <c r="B59" s="1074"/>
      <c r="C59" s="1525" t="s">
        <v>1442</v>
      </c>
      <c r="D59" s="265"/>
      <c r="E59" s="265"/>
      <c r="F59" s="265"/>
      <c r="G59" s="273"/>
      <c r="H59" s="1074"/>
      <c r="I59" s="1074"/>
      <c r="J59" s="1074"/>
      <c r="K59" s="1525" t="s">
        <v>1442</v>
      </c>
      <c r="L59" s="265"/>
      <c r="M59" s="265"/>
      <c r="N59" s="265"/>
      <c r="O59" s="273"/>
      <c r="P59" s="1074"/>
      <c r="Q59" s="1075"/>
    </row>
    <row r="60" spans="1:17" ht="15" customHeight="1" x14ac:dyDescent="0.2">
      <c r="A60" s="1076"/>
      <c r="B60" s="1074"/>
      <c r="C60" s="1525" t="s">
        <v>1443</v>
      </c>
      <c r="D60" s="265"/>
      <c r="E60" s="265"/>
      <c r="F60" s="265"/>
      <c r="G60" s="273"/>
      <c r="H60" s="1074"/>
      <c r="I60" s="1074"/>
      <c r="J60" s="1074"/>
      <c r="K60" s="1525" t="s">
        <v>1443</v>
      </c>
      <c r="L60" s="265"/>
      <c r="M60" s="265"/>
      <c r="N60" s="265"/>
      <c r="O60" s="273"/>
      <c r="P60" s="1074"/>
      <c r="Q60" s="1075"/>
    </row>
    <row r="61" spans="1:17" ht="15" customHeight="1" x14ac:dyDescent="0.2">
      <c r="A61" s="1076"/>
      <c r="B61" s="1074"/>
      <c r="C61" s="1525" t="s">
        <v>1450</v>
      </c>
      <c r="D61" s="332"/>
      <c r="E61" s="332"/>
      <c r="F61" s="332"/>
      <c r="G61" s="275"/>
      <c r="H61" s="1074"/>
      <c r="I61" s="1074"/>
      <c r="J61" s="1074"/>
      <c r="K61" s="1525" t="s">
        <v>1450</v>
      </c>
      <c r="L61" s="332"/>
      <c r="M61" s="332"/>
      <c r="N61" s="332"/>
      <c r="O61" s="329"/>
      <c r="P61" s="1074"/>
      <c r="Q61" s="1075"/>
    </row>
    <row r="62" spans="1:17" ht="15" customHeight="1" x14ac:dyDescent="0.2">
      <c r="A62" s="1076"/>
      <c r="B62" s="1074"/>
      <c r="C62" s="1527" t="s">
        <v>483</v>
      </c>
      <c r="D62" s="1615" t="str">
        <f>IF(AND(ISNUMBER(D57),ISNUMBER(D58), ISNUMBER(D59), ISNUMBER(D60), ISNUMBER(D61)), SUM(D57:D61), "")</f>
        <v/>
      </c>
      <c r="E62" s="1615" t="str">
        <f>IF(AND(ISNUMBER(E57),ISNUMBER(E58), ISNUMBER(E59), ISNUMBER(E60), ISNUMBER(E61)), SUM(E57:E61), "")</f>
        <v/>
      </c>
      <c r="F62" s="1615" t="str">
        <f>IF(AND(ISNUMBER(F57),ISNUMBER(F58), ISNUMBER(F59), ISNUMBER(F60), ISNUMBER(F61)), SUM(F57:F61), "")</f>
        <v/>
      </c>
      <c r="G62" s="1616" t="str">
        <f>IF(AND(ISNUMBER(G57),ISNUMBER(G58), ISNUMBER(G59), ISNUMBER(G60), ISNUMBER(G61)), SUM(G57:G61), "")</f>
        <v/>
      </c>
      <c r="H62" s="1074"/>
      <c r="I62" s="1074"/>
      <c r="J62" s="1074"/>
      <c r="K62" s="1527" t="s">
        <v>483</v>
      </c>
      <c r="L62" s="1615" t="str">
        <f>IF(AND(ISNUMBER(L57),ISNUMBER(L58), ISNUMBER(L59), ISNUMBER(L60), ISNUMBER(L61)), SUM(L57:L61), "")</f>
        <v/>
      </c>
      <c r="M62" s="1615" t="str">
        <f>IF(AND(ISNUMBER(M57),ISNUMBER(M58), ISNUMBER(M59), ISNUMBER(M60), ISNUMBER(M61)), SUM(M57:M61), "")</f>
        <v/>
      </c>
      <c r="N62" s="1615" t="str">
        <f>IF(AND(ISNUMBER(N57),ISNUMBER(N58), ISNUMBER(N59), ISNUMBER(N60), ISNUMBER(N61)), SUM(N57:N61), "")</f>
        <v/>
      </c>
      <c r="O62" s="1616" t="str">
        <f>IF(AND(ISNUMBER(O57),ISNUMBER(O58), ISNUMBER(O59), ISNUMBER(O60), ISNUMBER(O61)), SUM(O57:O61), "")</f>
        <v/>
      </c>
      <c r="P62" s="1074"/>
      <c r="Q62" s="1075"/>
    </row>
    <row r="63" spans="1:17" ht="15" customHeight="1" x14ac:dyDescent="0.2">
      <c r="A63" s="1076"/>
      <c r="B63" s="1074"/>
      <c r="D63" s="1074"/>
      <c r="E63" s="1074"/>
      <c r="F63" s="1074"/>
      <c r="G63" s="1074"/>
      <c r="H63" s="1074"/>
      <c r="I63" s="1074"/>
      <c r="J63" s="1074"/>
      <c r="L63" s="1074"/>
      <c r="M63" s="1074"/>
      <c r="N63" s="1074"/>
      <c r="O63" s="1074"/>
      <c r="P63" s="1074"/>
      <c r="Q63" s="1075"/>
    </row>
    <row r="64" spans="1:17" s="207" customFormat="1" ht="30" customHeight="1" x14ac:dyDescent="0.25">
      <c r="A64" s="1377" t="s">
        <v>1451</v>
      </c>
      <c r="B64" s="18"/>
      <c r="C64" s="16"/>
      <c r="D64" s="203"/>
      <c r="E64" s="203"/>
      <c r="F64" s="203"/>
      <c r="G64" s="203"/>
      <c r="H64" s="203"/>
      <c r="I64" s="203"/>
      <c r="J64" s="18"/>
      <c r="K64" s="16"/>
      <c r="L64" s="203"/>
      <c r="M64" s="203"/>
      <c r="N64" s="203"/>
      <c r="O64" s="203"/>
      <c r="P64" s="203"/>
      <c r="Q64" s="1075"/>
    </row>
    <row r="65" spans="1:17" ht="30" customHeight="1" x14ac:dyDescent="0.25">
      <c r="A65" s="1053" t="s">
        <v>1452</v>
      </c>
      <c r="B65" s="1074"/>
      <c r="D65" s="1074"/>
      <c r="E65" s="1074"/>
      <c r="F65" s="1074"/>
      <c r="G65" s="1074"/>
      <c r="H65" s="1074"/>
      <c r="I65" s="1074"/>
      <c r="J65" s="1074"/>
      <c r="L65" s="1074"/>
      <c r="M65" s="1074"/>
      <c r="N65" s="1074"/>
      <c r="O65" s="1074"/>
      <c r="P65" s="1074"/>
      <c r="Q65" s="1075"/>
    </row>
    <row r="66" spans="1:17" ht="15" customHeight="1" x14ac:dyDescent="0.2">
      <c r="A66" s="1076"/>
      <c r="B66" s="1074"/>
      <c r="D66" s="1074"/>
      <c r="E66" s="1074"/>
      <c r="F66" s="1074"/>
      <c r="G66" s="1074"/>
      <c r="H66" s="1074"/>
      <c r="I66" s="1074"/>
      <c r="J66" s="1074"/>
      <c r="L66" s="1074"/>
      <c r="M66" s="1074"/>
      <c r="N66" s="1074"/>
      <c r="O66" s="1074"/>
      <c r="P66" s="1074"/>
      <c r="Q66" s="1075"/>
    </row>
    <row r="67" spans="1:17" ht="15" customHeight="1" x14ac:dyDescent="0.2">
      <c r="A67" s="1076"/>
      <c r="B67" s="1074"/>
      <c r="C67" s="1776" t="s">
        <v>1250</v>
      </c>
      <c r="D67" s="1697" t="s">
        <v>894</v>
      </c>
      <c r="E67" s="1697"/>
      <c r="F67" s="1697" t="s">
        <v>1436</v>
      </c>
      <c r="G67" s="1698"/>
      <c r="H67" s="1074"/>
      <c r="I67" s="1074"/>
      <c r="J67" s="1074"/>
      <c r="L67" s="1074"/>
      <c r="M67" s="1074"/>
      <c r="N67" s="1074"/>
      <c r="O67" s="1074"/>
      <c r="P67" s="1074"/>
      <c r="Q67" s="1075"/>
    </row>
    <row r="68" spans="1:17" ht="15" customHeight="1" x14ac:dyDescent="0.2">
      <c r="A68" s="1076"/>
      <c r="B68" s="1074"/>
      <c r="C68" s="1776"/>
      <c r="D68" s="1235" t="s">
        <v>1437</v>
      </c>
      <c r="E68" s="1235" t="s">
        <v>1438</v>
      </c>
      <c r="F68" s="1235" t="s">
        <v>1437</v>
      </c>
      <c r="G68" s="330" t="s">
        <v>1438</v>
      </c>
      <c r="H68" s="1074"/>
      <c r="I68" s="1074"/>
      <c r="J68" s="1074"/>
      <c r="L68" s="1074"/>
      <c r="M68" s="1074"/>
      <c r="N68" s="1074"/>
      <c r="O68" s="1074"/>
      <c r="P68" s="1074"/>
      <c r="Q68" s="1075"/>
    </row>
    <row r="69" spans="1:17" ht="15" customHeight="1" x14ac:dyDescent="0.2">
      <c r="A69" s="1076"/>
      <c r="B69" s="1074"/>
      <c r="C69" s="1524" t="s">
        <v>1297</v>
      </c>
      <c r="D69" s="265"/>
      <c r="E69" s="265"/>
      <c r="F69" s="265"/>
      <c r="G69" s="1424"/>
      <c r="H69" s="1074"/>
      <c r="I69" s="1074"/>
      <c r="J69" s="1074"/>
      <c r="L69" s="1074"/>
      <c r="M69" s="1074"/>
      <c r="N69" s="1074"/>
      <c r="O69" s="1074"/>
      <c r="P69" s="1074"/>
      <c r="Q69" s="1075"/>
    </row>
    <row r="70" spans="1:17" ht="15" customHeight="1" x14ac:dyDescent="0.2">
      <c r="A70" s="1076"/>
      <c r="B70" s="1074"/>
      <c r="C70" s="1528" t="s">
        <v>1298</v>
      </c>
      <c r="D70" s="265"/>
      <c r="E70" s="265"/>
      <c r="F70" s="265"/>
      <c r="G70" s="1529"/>
      <c r="H70" s="1074"/>
      <c r="I70" s="1074"/>
      <c r="J70" s="1074"/>
      <c r="L70" s="1074"/>
      <c r="M70" s="1074"/>
      <c r="N70" s="1074"/>
      <c r="O70" s="1074"/>
      <c r="P70" s="1074"/>
      <c r="Q70" s="1075"/>
    </row>
    <row r="71" spans="1:17" ht="15" customHeight="1" x14ac:dyDescent="0.2">
      <c r="A71" s="1076"/>
      <c r="B71" s="1074"/>
      <c r="C71" s="1528" t="s">
        <v>497</v>
      </c>
      <c r="D71" s="265"/>
      <c r="E71" s="265"/>
      <c r="F71" s="265"/>
      <c r="G71" s="1529"/>
      <c r="H71" s="1074"/>
      <c r="I71" s="1074"/>
      <c r="J71" s="1074"/>
      <c r="L71" s="1074"/>
      <c r="M71" s="1074"/>
      <c r="N71" s="1074"/>
      <c r="O71" s="1074"/>
      <c r="P71" s="1074"/>
      <c r="Q71" s="1075"/>
    </row>
    <row r="72" spans="1:17" ht="15" customHeight="1" x14ac:dyDescent="0.2">
      <c r="A72" s="1076"/>
      <c r="B72" s="1074"/>
      <c r="C72" s="1528" t="s">
        <v>1299</v>
      </c>
      <c r="D72" s="265"/>
      <c r="E72" s="265"/>
      <c r="F72" s="265"/>
      <c r="G72" s="1529"/>
      <c r="H72" s="1074"/>
      <c r="I72" s="1074"/>
      <c r="J72" s="1074"/>
      <c r="L72" s="1074"/>
      <c r="M72" s="1074"/>
      <c r="N72" s="1074"/>
      <c r="O72" s="1074"/>
      <c r="P72" s="1074"/>
      <c r="Q72" s="1075"/>
    </row>
    <row r="73" spans="1:17" ht="15" customHeight="1" x14ac:dyDescent="0.2">
      <c r="A73" s="1076"/>
      <c r="B73" s="1074"/>
      <c r="C73" s="1525" t="s">
        <v>1300</v>
      </c>
      <c r="D73" s="265"/>
      <c r="E73" s="265"/>
      <c r="F73" s="265"/>
      <c r="G73" s="273"/>
      <c r="H73" s="1074"/>
      <c r="I73" s="1074"/>
      <c r="J73" s="1074"/>
      <c r="L73" s="1074"/>
      <c r="M73" s="1074"/>
      <c r="N73" s="1074"/>
      <c r="O73" s="1074"/>
      <c r="P73" s="1074"/>
      <c r="Q73" s="1075"/>
    </row>
    <row r="74" spans="1:17" ht="15" customHeight="1" x14ac:dyDescent="0.2">
      <c r="A74" s="1076"/>
      <c r="B74" s="1074"/>
      <c r="C74" s="1525" t="s">
        <v>498</v>
      </c>
      <c r="D74" s="265"/>
      <c r="E74" s="265"/>
      <c r="F74" s="265"/>
      <c r="G74" s="273"/>
      <c r="H74" s="1074"/>
      <c r="I74" s="1074"/>
      <c r="J74" s="1074"/>
      <c r="L74" s="1074"/>
      <c r="M74" s="1074"/>
      <c r="N74" s="1074"/>
      <c r="O74" s="1074"/>
      <c r="P74" s="1074"/>
      <c r="Q74" s="1075"/>
    </row>
    <row r="75" spans="1:17" ht="15" customHeight="1" x14ac:dyDescent="0.2">
      <c r="A75" s="1076"/>
      <c r="B75" s="1074"/>
      <c r="C75" s="1525" t="s">
        <v>1301</v>
      </c>
      <c r="D75" s="265"/>
      <c r="E75" s="265"/>
      <c r="F75" s="265"/>
      <c r="G75" s="273"/>
      <c r="H75" s="1074"/>
      <c r="I75" s="1074"/>
      <c r="J75" s="1074"/>
      <c r="L75" s="1074"/>
      <c r="M75" s="1074"/>
      <c r="N75" s="1074"/>
      <c r="O75" s="1074"/>
      <c r="P75" s="1074"/>
      <c r="Q75" s="1075"/>
    </row>
    <row r="76" spans="1:17" ht="15" customHeight="1" x14ac:dyDescent="0.2">
      <c r="A76" s="1076"/>
      <c r="B76" s="1074"/>
      <c r="C76" s="1525" t="s">
        <v>1302</v>
      </c>
      <c r="D76" s="265"/>
      <c r="E76" s="265"/>
      <c r="F76" s="265"/>
      <c r="G76" s="273"/>
      <c r="H76" s="1074"/>
      <c r="I76" s="1074"/>
      <c r="J76" s="1074"/>
      <c r="L76" s="1074"/>
      <c r="M76" s="1074"/>
      <c r="N76" s="1074"/>
      <c r="O76" s="1074"/>
      <c r="P76" s="1074"/>
      <c r="Q76" s="1075"/>
    </row>
    <row r="77" spans="1:17" ht="15" customHeight="1" x14ac:dyDescent="0.2">
      <c r="A77" s="1076"/>
      <c r="B77" s="1074"/>
      <c r="C77" s="1526" t="s">
        <v>1303</v>
      </c>
      <c r="D77" s="332"/>
      <c r="E77" s="332"/>
      <c r="F77" s="332"/>
      <c r="G77" s="275"/>
      <c r="H77" s="1074"/>
      <c r="I77" s="1074"/>
      <c r="J77" s="1074"/>
      <c r="L77" s="1074"/>
      <c r="M77" s="1074"/>
      <c r="N77" s="1074"/>
      <c r="O77" s="1074"/>
      <c r="P77" s="1074"/>
      <c r="Q77" s="1075"/>
    </row>
    <row r="78" spans="1:17" ht="15" customHeight="1" x14ac:dyDescent="0.2">
      <c r="A78" s="1076"/>
      <c r="B78" s="1074"/>
      <c r="C78" s="1527" t="s">
        <v>483</v>
      </c>
      <c r="D78" s="1615" t="str">
        <f>IF(AND(ISNUMBER(D69),ISNUMBER(D70),ISNUMBER(D71),ISNUMBER(D72),ISNUMBER(D73),ISNUMBER(D74), ISNUMBER(D75), ISNUMBER(D76), ISNUMBER(D77)), SUM(D69:D77), "")</f>
        <v/>
      </c>
      <c r="E78" s="1615" t="str">
        <f>IF(AND(ISNUMBER(E69),ISNUMBER(E70),ISNUMBER(E71),ISNUMBER(E72),ISNUMBER(E73),ISNUMBER(E74), ISNUMBER(E75), ISNUMBER(E76), ISNUMBER(E77)), SUM(E69:E77), "")</f>
        <v/>
      </c>
      <c r="F78" s="1615" t="str">
        <f>IF(AND(ISNUMBER(F69),ISNUMBER(F70),ISNUMBER(F71),ISNUMBER(F72),ISNUMBER(F73),ISNUMBER(F74), ISNUMBER(F75), ISNUMBER(F76), ISNUMBER(F77)), SUM(F69:F77), "")</f>
        <v/>
      </c>
      <c r="G78" s="1616" t="str">
        <f>IF(AND(ISNUMBER(G69),ISNUMBER(G70),ISNUMBER(G71),ISNUMBER(G72),ISNUMBER(G73),ISNUMBER(G74), ISNUMBER(G75), ISNUMBER(G76), ISNUMBER(G77)), SUM(G69:G77), "")</f>
        <v/>
      </c>
      <c r="H78" s="1074"/>
      <c r="I78" s="1074"/>
      <c r="J78" s="1074"/>
      <c r="L78" s="1074"/>
      <c r="M78" s="1074"/>
      <c r="N78" s="1074"/>
      <c r="O78" s="1074"/>
      <c r="P78" s="1074"/>
      <c r="Q78" s="1075"/>
    </row>
    <row r="79" spans="1:17" ht="30" customHeight="1" x14ac:dyDescent="0.25">
      <c r="A79" s="1053" t="s">
        <v>1453</v>
      </c>
      <c r="B79" s="1074"/>
      <c r="D79" s="1074"/>
      <c r="E79" s="1074"/>
      <c r="F79" s="1074"/>
      <c r="G79" s="1074"/>
      <c r="H79" s="1074"/>
      <c r="I79" s="1074"/>
      <c r="J79" s="1074"/>
      <c r="L79" s="1074"/>
      <c r="M79" s="1074"/>
      <c r="N79" s="1074"/>
      <c r="O79" s="1074"/>
      <c r="P79" s="1074"/>
      <c r="Q79" s="1075"/>
    </row>
    <row r="80" spans="1:17" ht="15" customHeight="1" x14ac:dyDescent="0.2">
      <c r="A80" s="1076"/>
      <c r="B80" s="1074"/>
      <c r="D80" s="1074"/>
      <c r="E80" s="1074"/>
      <c r="F80" s="1074"/>
      <c r="G80" s="1074"/>
      <c r="H80" s="1074"/>
      <c r="I80" s="1074"/>
      <c r="J80" s="1074"/>
      <c r="L80" s="1074"/>
      <c r="M80" s="1074"/>
      <c r="N80" s="1074"/>
      <c r="O80" s="1074"/>
      <c r="P80" s="1074"/>
      <c r="Q80" s="1075"/>
    </row>
    <row r="81" spans="1:17" ht="15" customHeight="1" x14ac:dyDescent="0.2">
      <c r="A81" s="1076"/>
      <c r="B81" s="1074"/>
      <c r="C81" s="1776" t="s">
        <v>1250</v>
      </c>
      <c r="D81" s="1697" t="s">
        <v>894</v>
      </c>
      <c r="E81" s="1697"/>
      <c r="F81" s="1697" t="s">
        <v>1436</v>
      </c>
      <c r="G81" s="1698"/>
      <c r="H81" s="1074"/>
      <c r="I81" s="1074"/>
      <c r="J81" s="1074"/>
      <c r="L81" s="1074"/>
      <c r="M81" s="1074"/>
      <c r="N81" s="1074"/>
      <c r="O81" s="1074"/>
      <c r="P81" s="1074"/>
      <c r="Q81" s="1075"/>
    </row>
    <row r="82" spans="1:17" ht="15" customHeight="1" x14ac:dyDescent="0.2">
      <c r="A82" s="1076"/>
      <c r="B82" s="1074"/>
      <c r="C82" s="1776"/>
      <c r="D82" s="1235" t="s">
        <v>1437</v>
      </c>
      <c r="E82" s="1235" t="s">
        <v>1438</v>
      </c>
      <c r="F82" s="1235" t="s">
        <v>1437</v>
      </c>
      <c r="G82" s="330" t="s">
        <v>1438</v>
      </c>
      <c r="H82" s="1074"/>
      <c r="I82" s="1074"/>
      <c r="J82" s="1074"/>
      <c r="L82" s="1074"/>
      <c r="M82" s="1074"/>
      <c r="N82" s="1074"/>
      <c r="O82" s="1074"/>
      <c r="P82" s="1074"/>
      <c r="Q82" s="1075"/>
    </row>
    <row r="83" spans="1:17" ht="15" customHeight="1" x14ac:dyDescent="0.2">
      <c r="A83" s="1076"/>
      <c r="B83" s="1074"/>
      <c r="C83" s="1524" t="s">
        <v>1297</v>
      </c>
      <c r="D83" s="265"/>
      <c r="E83" s="265"/>
      <c r="F83" s="265"/>
      <c r="G83" s="1424"/>
      <c r="H83" s="1074"/>
      <c r="I83" s="1074"/>
      <c r="J83" s="1074"/>
      <c r="L83" s="1074"/>
      <c r="M83" s="1074"/>
      <c r="N83" s="1074"/>
      <c r="O83" s="1074"/>
      <c r="P83" s="1074"/>
      <c r="Q83" s="1075"/>
    </row>
    <row r="84" spans="1:17" ht="15" customHeight="1" x14ac:dyDescent="0.2">
      <c r="A84" s="1076"/>
      <c r="B84" s="1074"/>
      <c r="C84" s="1528" t="s">
        <v>1298</v>
      </c>
      <c r="D84" s="265"/>
      <c r="E84" s="265"/>
      <c r="F84" s="265"/>
      <c r="G84" s="1529"/>
      <c r="H84" s="1074"/>
      <c r="I84" s="1074"/>
      <c r="J84" s="1074"/>
      <c r="L84" s="1074"/>
      <c r="M84" s="1074"/>
      <c r="N84" s="1074"/>
      <c r="O84" s="1074"/>
      <c r="P84" s="1074"/>
      <c r="Q84" s="1075"/>
    </row>
    <row r="85" spans="1:17" ht="15" customHeight="1" x14ac:dyDescent="0.2">
      <c r="A85" s="1076"/>
      <c r="B85" s="1074"/>
      <c r="C85" s="1528" t="s">
        <v>497</v>
      </c>
      <c r="D85" s="265"/>
      <c r="E85" s="265"/>
      <c r="F85" s="265"/>
      <c r="G85" s="1529"/>
      <c r="H85" s="1074"/>
      <c r="I85" s="1074"/>
      <c r="J85" s="1074"/>
      <c r="L85" s="1074"/>
      <c r="M85" s="1074"/>
      <c r="N85" s="1074"/>
      <c r="O85" s="1074"/>
      <c r="P85" s="1074"/>
      <c r="Q85" s="1075"/>
    </row>
    <row r="86" spans="1:17" ht="15" customHeight="1" x14ac:dyDescent="0.2">
      <c r="A86" s="1076"/>
      <c r="B86" s="1074"/>
      <c r="C86" s="1528" t="s">
        <v>1299</v>
      </c>
      <c r="D86" s="265"/>
      <c r="E86" s="265"/>
      <c r="F86" s="265"/>
      <c r="G86" s="1529"/>
      <c r="H86" s="1074"/>
      <c r="I86" s="1074"/>
      <c r="J86" s="1074"/>
      <c r="L86" s="1074"/>
      <c r="M86" s="1074"/>
      <c r="N86" s="1074"/>
      <c r="O86" s="1074"/>
      <c r="P86" s="1074"/>
      <c r="Q86" s="1075"/>
    </row>
    <row r="87" spans="1:17" ht="15" customHeight="1" x14ac:dyDescent="0.2">
      <c r="A87" s="1076"/>
      <c r="B87" s="1074"/>
      <c r="C87" s="1525" t="s">
        <v>1300</v>
      </c>
      <c r="D87" s="265"/>
      <c r="E87" s="265"/>
      <c r="F87" s="265"/>
      <c r="G87" s="273"/>
      <c r="H87" s="1074"/>
      <c r="I87" s="1074"/>
      <c r="J87" s="1074"/>
      <c r="L87" s="1074"/>
      <c r="M87" s="1074"/>
      <c r="N87" s="1074"/>
      <c r="O87" s="1074"/>
      <c r="P87" s="1074"/>
      <c r="Q87" s="1075"/>
    </row>
    <row r="88" spans="1:17" ht="15" customHeight="1" x14ac:dyDescent="0.2">
      <c r="A88" s="1076"/>
      <c r="B88" s="1074"/>
      <c r="C88" s="1525" t="s">
        <v>498</v>
      </c>
      <c r="D88" s="265"/>
      <c r="E88" s="265"/>
      <c r="F88" s="265"/>
      <c r="G88" s="273"/>
      <c r="H88" s="1074"/>
      <c r="I88" s="1074"/>
      <c r="J88" s="1074"/>
      <c r="L88" s="1074"/>
      <c r="M88" s="1074"/>
      <c r="N88" s="1074"/>
      <c r="O88" s="1074"/>
      <c r="P88" s="1074"/>
      <c r="Q88" s="1075"/>
    </row>
    <row r="89" spans="1:17" ht="15" customHeight="1" x14ac:dyDescent="0.2">
      <c r="A89" s="1076"/>
      <c r="B89" s="1074"/>
      <c r="C89" s="1525" t="s">
        <v>1301</v>
      </c>
      <c r="D89" s="265"/>
      <c r="E89" s="265"/>
      <c r="F89" s="265"/>
      <c r="G89" s="273"/>
      <c r="H89" s="1074"/>
      <c r="I89" s="1074"/>
      <c r="J89" s="1074"/>
      <c r="L89" s="1074"/>
      <c r="M89" s="1074"/>
      <c r="N89" s="1074"/>
      <c r="O89" s="1074"/>
      <c r="P89" s="1074"/>
      <c r="Q89" s="1075"/>
    </row>
    <row r="90" spans="1:17" ht="15" customHeight="1" x14ac:dyDescent="0.2">
      <c r="A90" s="1076"/>
      <c r="B90" s="1074"/>
      <c r="C90" s="1525" t="s">
        <v>1302</v>
      </c>
      <c r="D90" s="265"/>
      <c r="E90" s="265"/>
      <c r="F90" s="265"/>
      <c r="G90" s="273"/>
      <c r="H90" s="1074"/>
      <c r="I90" s="1074"/>
      <c r="J90" s="1074"/>
      <c r="L90" s="1074"/>
      <c r="M90" s="1074"/>
      <c r="N90" s="1074"/>
      <c r="O90" s="1074"/>
      <c r="P90" s="1074"/>
      <c r="Q90" s="1075"/>
    </row>
    <row r="91" spans="1:17" ht="15" customHeight="1" x14ac:dyDescent="0.2">
      <c r="A91" s="1076"/>
      <c r="B91" s="1074"/>
      <c r="C91" s="1526" t="s">
        <v>1303</v>
      </c>
      <c r="D91" s="332"/>
      <c r="E91" s="332"/>
      <c r="F91" s="332"/>
      <c r="G91" s="275"/>
      <c r="H91" s="1074"/>
      <c r="I91" s="1074"/>
      <c r="J91" s="1074"/>
      <c r="L91" s="1074"/>
      <c r="M91" s="1074"/>
      <c r="N91" s="1074"/>
      <c r="O91" s="1074"/>
      <c r="P91" s="1074"/>
      <c r="Q91" s="1075"/>
    </row>
    <row r="92" spans="1:17" ht="15" customHeight="1" x14ac:dyDescent="0.2">
      <c r="A92" s="1076"/>
      <c r="B92" s="1074"/>
      <c r="C92" s="1527" t="s">
        <v>483</v>
      </c>
      <c r="D92" s="1615" t="str">
        <f>IF(AND(ISNUMBER(D83),ISNUMBER(D84),ISNUMBER(D85),ISNUMBER(D86),ISNUMBER(D87),ISNUMBER(D88), ISNUMBER(D89), ISNUMBER(D90), ISNUMBER(D91)), SUM(D83:D91), "")</f>
        <v/>
      </c>
      <c r="E92" s="1615" t="str">
        <f>IF(AND(ISNUMBER(E83),ISNUMBER(E84),ISNUMBER(E85),ISNUMBER(E86),ISNUMBER(E87),ISNUMBER(E88), ISNUMBER(E89), ISNUMBER(E90), ISNUMBER(E91)), SUM(E83:E91), "")</f>
        <v/>
      </c>
      <c r="F92" s="1615" t="str">
        <f>IF(AND(ISNUMBER(F83),ISNUMBER(F84),ISNUMBER(F85),ISNUMBER(F86),ISNUMBER(F87),ISNUMBER(F88), ISNUMBER(F89), ISNUMBER(F90), ISNUMBER(F91)), SUM(F83:F91), "")</f>
        <v/>
      </c>
      <c r="G92" s="1616" t="str">
        <f>IF(AND(ISNUMBER(G83),ISNUMBER(G84),ISNUMBER(G85),ISNUMBER(G86),ISNUMBER(G87),ISNUMBER(G88), ISNUMBER(G89), ISNUMBER(G90), ISNUMBER(G91)), SUM(G83:G91), "")</f>
        <v/>
      </c>
      <c r="H92" s="1074"/>
      <c r="I92" s="1074"/>
      <c r="J92" s="1074"/>
      <c r="L92" s="1074"/>
      <c r="M92" s="1074"/>
      <c r="N92" s="1074"/>
      <c r="O92" s="1074"/>
      <c r="P92" s="1074"/>
      <c r="Q92" s="1075"/>
    </row>
    <row r="93" spans="1:17" ht="30" customHeight="1" x14ac:dyDescent="0.25">
      <c r="A93" s="1053" t="s">
        <v>1454</v>
      </c>
      <c r="B93" s="1074"/>
      <c r="D93" s="1074"/>
      <c r="E93" s="1074"/>
      <c r="F93" s="1074"/>
      <c r="G93" s="1074"/>
      <c r="H93" s="1074"/>
      <c r="I93" s="1074"/>
      <c r="J93" s="1074"/>
      <c r="L93" s="1074"/>
      <c r="M93" s="1074"/>
      <c r="N93" s="1074"/>
      <c r="O93" s="1074"/>
      <c r="P93" s="1074"/>
      <c r="Q93" s="1075"/>
    </row>
    <row r="94" spans="1:17" ht="15" customHeight="1" x14ac:dyDescent="0.2">
      <c r="A94" s="1076"/>
      <c r="B94" s="1074"/>
      <c r="D94" s="1074"/>
      <c r="E94" s="1074"/>
      <c r="F94" s="1074"/>
      <c r="G94" s="1074"/>
      <c r="H94" s="1074"/>
      <c r="I94" s="1074"/>
      <c r="J94" s="1074"/>
      <c r="L94" s="1074"/>
      <c r="M94" s="1074"/>
      <c r="N94" s="1074"/>
      <c r="O94" s="1074"/>
      <c r="P94" s="1074"/>
      <c r="Q94" s="1075"/>
    </row>
    <row r="95" spans="1:17" ht="15" customHeight="1" x14ac:dyDescent="0.2">
      <c r="A95" s="1076"/>
      <c r="B95" s="1074"/>
      <c r="C95" s="1776" t="s">
        <v>1250</v>
      </c>
      <c r="D95" s="1697" t="s">
        <v>894</v>
      </c>
      <c r="E95" s="1697"/>
      <c r="F95" s="1697" t="s">
        <v>1436</v>
      </c>
      <c r="G95" s="1698"/>
      <c r="H95" s="1074"/>
      <c r="I95" s="1074"/>
      <c r="J95" s="1074"/>
      <c r="L95" s="1074"/>
      <c r="M95" s="1074"/>
      <c r="N95" s="1074"/>
      <c r="O95" s="1074"/>
      <c r="P95" s="1074"/>
      <c r="Q95" s="1075"/>
    </row>
    <row r="96" spans="1:17" ht="15" customHeight="1" x14ac:dyDescent="0.2">
      <c r="A96" s="1076"/>
      <c r="B96" s="1074"/>
      <c r="C96" s="1776"/>
      <c r="D96" s="1235" t="s">
        <v>1437</v>
      </c>
      <c r="E96" s="1235" t="s">
        <v>1438</v>
      </c>
      <c r="F96" s="1235" t="s">
        <v>1437</v>
      </c>
      <c r="G96" s="330" t="s">
        <v>1438</v>
      </c>
      <c r="H96" s="1074"/>
      <c r="I96" s="1074"/>
      <c r="J96" s="1074"/>
      <c r="L96" s="1074"/>
      <c r="M96" s="1074"/>
      <c r="N96" s="1074"/>
      <c r="O96" s="1074"/>
      <c r="P96" s="1074"/>
      <c r="Q96" s="1075"/>
    </row>
    <row r="97" spans="1:17" ht="15" customHeight="1" x14ac:dyDescent="0.2">
      <c r="A97" s="1076"/>
      <c r="B97" s="1074"/>
      <c r="C97" s="1524" t="s">
        <v>1297</v>
      </c>
      <c r="D97" s="265"/>
      <c r="E97" s="265"/>
      <c r="F97" s="265"/>
      <c r="G97" s="1424"/>
      <c r="H97" s="1074"/>
      <c r="I97" s="1074"/>
      <c r="J97" s="1074"/>
      <c r="L97" s="1074"/>
      <c r="M97" s="1074"/>
      <c r="N97" s="1074"/>
      <c r="O97" s="1074"/>
      <c r="P97" s="1074"/>
      <c r="Q97" s="1075"/>
    </row>
    <row r="98" spans="1:17" ht="15" customHeight="1" x14ac:dyDescent="0.2">
      <c r="A98" s="1076"/>
      <c r="B98" s="1074"/>
      <c r="C98" s="1528" t="s">
        <v>1298</v>
      </c>
      <c r="D98" s="265"/>
      <c r="E98" s="265"/>
      <c r="F98" s="265"/>
      <c r="G98" s="1529"/>
      <c r="H98" s="1074"/>
      <c r="I98" s="1074"/>
      <c r="J98" s="1074"/>
      <c r="L98" s="1074"/>
      <c r="M98" s="1074"/>
      <c r="N98" s="1074"/>
      <c r="O98" s="1074"/>
      <c r="P98" s="1074"/>
      <c r="Q98" s="1075"/>
    </row>
    <row r="99" spans="1:17" ht="15" customHeight="1" x14ac:dyDescent="0.2">
      <c r="A99" s="1076"/>
      <c r="B99" s="1074"/>
      <c r="C99" s="1528" t="s">
        <v>497</v>
      </c>
      <c r="D99" s="265"/>
      <c r="E99" s="265"/>
      <c r="F99" s="265"/>
      <c r="G99" s="1529"/>
      <c r="H99" s="1074"/>
      <c r="I99" s="1074"/>
      <c r="J99" s="1074"/>
      <c r="L99" s="1074"/>
      <c r="M99" s="1074"/>
      <c r="N99" s="1074"/>
      <c r="O99" s="1074"/>
      <c r="P99" s="1074"/>
      <c r="Q99" s="1075"/>
    </row>
    <row r="100" spans="1:17" ht="15" customHeight="1" x14ac:dyDescent="0.2">
      <c r="A100" s="1076"/>
      <c r="B100" s="1074"/>
      <c r="C100" s="1528" t="s">
        <v>1299</v>
      </c>
      <c r="D100" s="265"/>
      <c r="E100" s="265"/>
      <c r="F100" s="265"/>
      <c r="G100" s="1529"/>
      <c r="H100" s="1074"/>
      <c r="I100" s="1074"/>
      <c r="J100" s="1074"/>
      <c r="L100" s="1074"/>
      <c r="M100" s="1074"/>
      <c r="N100" s="1074"/>
      <c r="O100" s="1074"/>
      <c r="P100" s="1074"/>
      <c r="Q100" s="1075"/>
    </row>
    <row r="101" spans="1:17" ht="15" customHeight="1" x14ac:dyDescent="0.2">
      <c r="A101" s="1076"/>
      <c r="B101" s="1074"/>
      <c r="C101" s="1525" t="s">
        <v>1300</v>
      </c>
      <c r="D101" s="265"/>
      <c r="E101" s="265"/>
      <c r="F101" s="265"/>
      <c r="G101" s="273"/>
      <c r="H101" s="1074"/>
      <c r="I101" s="1074"/>
      <c r="J101" s="1074"/>
      <c r="L101" s="1074"/>
      <c r="M101" s="1074"/>
      <c r="N101" s="1074"/>
      <c r="O101" s="1074"/>
      <c r="P101" s="1074"/>
      <c r="Q101" s="1075"/>
    </row>
    <row r="102" spans="1:17" ht="15" customHeight="1" x14ac:dyDescent="0.2">
      <c r="A102" s="1076"/>
      <c r="B102" s="1074"/>
      <c r="C102" s="1525" t="s">
        <v>498</v>
      </c>
      <c r="D102" s="265"/>
      <c r="E102" s="265"/>
      <c r="F102" s="265"/>
      <c r="G102" s="273"/>
      <c r="H102" s="1074"/>
      <c r="I102" s="1074"/>
      <c r="J102" s="1074"/>
      <c r="L102" s="1074"/>
      <c r="M102" s="1074"/>
      <c r="N102" s="1074"/>
      <c r="O102" s="1074"/>
      <c r="P102" s="1074"/>
      <c r="Q102" s="1075"/>
    </row>
    <row r="103" spans="1:17" ht="15" customHeight="1" x14ac:dyDescent="0.2">
      <c r="A103" s="1076"/>
      <c r="B103" s="1074"/>
      <c r="C103" s="1525" t="s">
        <v>1301</v>
      </c>
      <c r="D103" s="265"/>
      <c r="E103" s="265"/>
      <c r="F103" s="265"/>
      <c r="G103" s="273"/>
      <c r="H103" s="1074"/>
      <c r="I103" s="1074"/>
      <c r="J103" s="1074"/>
      <c r="L103" s="1074"/>
      <c r="M103" s="1074"/>
      <c r="N103" s="1074"/>
      <c r="O103" s="1074"/>
      <c r="P103" s="1074"/>
      <c r="Q103" s="1075"/>
    </row>
    <row r="104" spans="1:17" ht="15" customHeight="1" x14ac:dyDescent="0.2">
      <c r="A104" s="1076"/>
      <c r="B104" s="1074"/>
      <c r="C104" s="1525" t="s">
        <v>1302</v>
      </c>
      <c r="D104" s="265"/>
      <c r="E104" s="265"/>
      <c r="F104" s="265"/>
      <c r="G104" s="273"/>
      <c r="H104" s="1074"/>
      <c r="I104" s="1074"/>
      <c r="J104" s="1074"/>
      <c r="L104" s="1074"/>
      <c r="M104" s="1074"/>
      <c r="N104" s="1074"/>
      <c r="O104" s="1074"/>
      <c r="P104" s="1074"/>
      <c r="Q104" s="1075"/>
    </row>
    <row r="105" spans="1:17" ht="15" customHeight="1" x14ac:dyDescent="0.2">
      <c r="A105" s="1076"/>
      <c r="B105" s="1074"/>
      <c r="C105" s="1526" t="s">
        <v>1303</v>
      </c>
      <c r="D105" s="332"/>
      <c r="E105" s="332"/>
      <c r="F105" s="332"/>
      <c r="G105" s="275"/>
      <c r="H105" s="1074"/>
      <c r="I105" s="1074"/>
      <c r="J105" s="1074"/>
      <c r="L105" s="1074"/>
      <c r="M105" s="1074"/>
      <c r="N105" s="1074"/>
      <c r="O105" s="1074"/>
      <c r="P105" s="1074"/>
      <c r="Q105" s="1075"/>
    </row>
    <row r="106" spans="1:17" ht="15" customHeight="1" x14ac:dyDescent="0.2">
      <c r="A106" s="1076"/>
      <c r="B106" s="1074"/>
      <c r="C106" s="1527" t="s">
        <v>483</v>
      </c>
      <c r="D106" s="1615" t="str">
        <f>IF(AND(ISNUMBER(D97),ISNUMBER(D98),ISNUMBER(D99),ISNUMBER(D100),ISNUMBER(D101),ISNUMBER(D102), ISNUMBER(D103), ISNUMBER(D104), ISNUMBER(D105)), SUM(D97:D105), "")</f>
        <v/>
      </c>
      <c r="E106" s="1615" t="str">
        <f>IF(AND(ISNUMBER(E97),ISNUMBER(E98),ISNUMBER(E99),ISNUMBER(E100),ISNUMBER(E101),ISNUMBER(E102), ISNUMBER(E103), ISNUMBER(E104), ISNUMBER(E105)), SUM(E97:E105), "")</f>
        <v/>
      </c>
      <c r="F106" s="1615" t="str">
        <f>IF(AND(ISNUMBER(F97),ISNUMBER(F98),ISNUMBER(F99),ISNUMBER(F100),ISNUMBER(F101),ISNUMBER(F102), ISNUMBER(F103), ISNUMBER(F104), ISNUMBER(F105)), SUM(F97:F105), "")</f>
        <v/>
      </c>
      <c r="G106" s="1616" t="str">
        <f>IF(AND(ISNUMBER(G97),ISNUMBER(G98),ISNUMBER(G99),ISNUMBER(G100),ISNUMBER(G101),ISNUMBER(G102), ISNUMBER(G103), ISNUMBER(G104), ISNUMBER(G105)), SUM(G97:G105), "")</f>
        <v/>
      </c>
      <c r="H106" s="1074"/>
      <c r="I106" s="1074"/>
      <c r="J106" s="1074"/>
      <c r="L106" s="1074"/>
      <c r="M106" s="1074"/>
      <c r="N106" s="1074"/>
      <c r="O106" s="1074"/>
      <c r="P106" s="1074"/>
      <c r="Q106" s="1075"/>
    </row>
    <row r="107" spans="1:17" ht="15" customHeight="1" x14ac:dyDescent="0.2">
      <c r="A107" s="214"/>
      <c r="B107" s="1070"/>
      <c r="C107" s="1070"/>
      <c r="D107" s="1070"/>
      <c r="E107" s="1070"/>
      <c r="F107" s="1070"/>
      <c r="G107" s="1070"/>
      <c r="H107" s="1070"/>
      <c r="I107" s="1070"/>
      <c r="J107" s="1070"/>
      <c r="K107" s="1070"/>
      <c r="L107" s="1070"/>
      <c r="M107" s="1070"/>
      <c r="N107" s="1070"/>
      <c r="O107" s="1070"/>
      <c r="P107" s="1070"/>
      <c r="Q107" s="1071"/>
    </row>
  </sheetData>
  <mergeCells count="61">
    <mergeCell ref="C81:C82"/>
    <mergeCell ref="D81:E81"/>
    <mergeCell ref="F81:G81"/>
    <mergeCell ref="C95:C96"/>
    <mergeCell ref="D95:E95"/>
    <mergeCell ref="F95:G95"/>
    <mergeCell ref="C67:C68"/>
    <mergeCell ref="D67:E67"/>
    <mergeCell ref="F67:G67"/>
    <mergeCell ref="C54:G54"/>
    <mergeCell ref="K54:O54"/>
    <mergeCell ref="C55:C56"/>
    <mergeCell ref="D55:E55"/>
    <mergeCell ref="F55:G55"/>
    <mergeCell ref="K55:K56"/>
    <mergeCell ref="L55:M55"/>
    <mergeCell ref="N55:O55"/>
    <mergeCell ref="N45:O45"/>
    <mergeCell ref="D37:E37"/>
    <mergeCell ref="F37:G37"/>
    <mergeCell ref="K37:K38"/>
    <mergeCell ref="L37:M37"/>
    <mergeCell ref="N37:O37"/>
    <mergeCell ref="C44:G44"/>
    <mergeCell ref="K44:O44"/>
    <mergeCell ref="C37:C38"/>
    <mergeCell ref="C45:C46"/>
    <mergeCell ref="D45:E45"/>
    <mergeCell ref="F45:G45"/>
    <mergeCell ref="K45:K46"/>
    <mergeCell ref="L45:M45"/>
    <mergeCell ref="K29:K30"/>
    <mergeCell ref="L29:M29"/>
    <mergeCell ref="N29:O29"/>
    <mergeCell ref="C36:G36"/>
    <mergeCell ref="K36:O36"/>
    <mergeCell ref="C29:C30"/>
    <mergeCell ref="D29:E29"/>
    <mergeCell ref="F29:G29"/>
    <mergeCell ref="K18:K19"/>
    <mergeCell ref="L18:M18"/>
    <mergeCell ref="N18:O18"/>
    <mergeCell ref="K21:K24"/>
    <mergeCell ref="C28:G28"/>
    <mergeCell ref="K28:O28"/>
    <mergeCell ref="C18:C19"/>
    <mergeCell ref="D18:E18"/>
    <mergeCell ref="F18:G18"/>
    <mergeCell ref="C17:G17"/>
    <mergeCell ref="K10:K13"/>
    <mergeCell ref="K17:O17"/>
    <mergeCell ref="C6:G6"/>
    <mergeCell ref="B4:H4"/>
    <mergeCell ref="D7:E7"/>
    <mergeCell ref="F7:G7"/>
    <mergeCell ref="C7:C8"/>
    <mergeCell ref="J4:P4"/>
    <mergeCell ref="K6:O6"/>
    <mergeCell ref="K7:K8"/>
    <mergeCell ref="L7:M7"/>
    <mergeCell ref="N7:O7"/>
  </mergeCells>
  <conditionalFormatting sqref="D9:G14 D31:G33 L31:O33 D57:G61 L57:O61">
    <cfRule type="cellIs" dxfId="296" priority="72" stopIfTrue="1" operator="lessThan">
      <formula>0</formula>
    </cfRule>
  </conditionalFormatting>
  <conditionalFormatting sqref="D9:G14">
    <cfRule type="cellIs" dxfId="295" priority="71" stopIfTrue="1" operator="lessThan">
      <formula>0</formula>
    </cfRule>
  </conditionalFormatting>
  <conditionalFormatting sqref="D9:G14 D31:G33 L31:O33 D57:G61 L57:O61">
    <cfRule type="cellIs" dxfId="294" priority="69" stopIfTrue="1" operator="equal">
      <formula>"No"</formula>
    </cfRule>
    <cfRule type="cellIs" dxfId="293" priority="70" stopIfTrue="1" operator="equal">
      <formula>"Yes"</formula>
    </cfRule>
  </conditionalFormatting>
  <conditionalFormatting sqref="D9:G14">
    <cfRule type="cellIs" dxfId="292" priority="68" stopIfTrue="1" operator="lessThan">
      <formula>0</formula>
    </cfRule>
  </conditionalFormatting>
  <conditionalFormatting sqref="D9:G14">
    <cfRule type="cellIs" dxfId="291" priority="67" stopIfTrue="1" operator="lessThan">
      <formula>0</formula>
    </cfRule>
  </conditionalFormatting>
  <conditionalFormatting sqref="L9:O14">
    <cfRule type="cellIs" dxfId="290" priority="66" stopIfTrue="1" operator="lessThan">
      <formula>0</formula>
    </cfRule>
  </conditionalFormatting>
  <conditionalFormatting sqref="L9:O14">
    <cfRule type="cellIs" dxfId="289" priority="65" stopIfTrue="1" operator="lessThan">
      <formula>0</formula>
    </cfRule>
  </conditionalFormatting>
  <conditionalFormatting sqref="L9:O14">
    <cfRule type="cellIs" dxfId="288" priority="63" stopIfTrue="1" operator="equal">
      <formula>"No"</formula>
    </cfRule>
    <cfRule type="cellIs" dxfId="287" priority="64" stopIfTrue="1" operator="equal">
      <formula>"Yes"</formula>
    </cfRule>
  </conditionalFormatting>
  <conditionalFormatting sqref="L9:O14">
    <cfRule type="cellIs" dxfId="286" priority="62" stopIfTrue="1" operator="lessThan">
      <formula>0</formula>
    </cfRule>
  </conditionalFormatting>
  <conditionalFormatting sqref="L9:O14">
    <cfRule type="cellIs" dxfId="285" priority="61" stopIfTrue="1" operator="lessThan">
      <formula>0</formula>
    </cfRule>
  </conditionalFormatting>
  <conditionalFormatting sqref="D20:G25">
    <cfRule type="cellIs" dxfId="284" priority="60" stopIfTrue="1" operator="lessThan">
      <formula>0</formula>
    </cfRule>
  </conditionalFormatting>
  <conditionalFormatting sqref="D20:G25">
    <cfRule type="cellIs" dxfId="283" priority="59" stopIfTrue="1" operator="lessThan">
      <formula>0</formula>
    </cfRule>
  </conditionalFormatting>
  <conditionalFormatting sqref="D20:G25">
    <cfRule type="cellIs" dxfId="282" priority="57" stopIfTrue="1" operator="equal">
      <formula>"No"</formula>
    </cfRule>
    <cfRule type="cellIs" dxfId="281" priority="58" stopIfTrue="1" operator="equal">
      <formula>"Yes"</formula>
    </cfRule>
  </conditionalFormatting>
  <conditionalFormatting sqref="D20:G25">
    <cfRule type="cellIs" dxfId="280" priority="56" stopIfTrue="1" operator="lessThan">
      <formula>0</formula>
    </cfRule>
  </conditionalFormatting>
  <conditionalFormatting sqref="D20:G25">
    <cfRule type="cellIs" dxfId="279" priority="55" stopIfTrue="1" operator="lessThan">
      <formula>0</formula>
    </cfRule>
  </conditionalFormatting>
  <conditionalFormatting sqref="L20:O25">
    <cfRule type="cellIs" dxfId="278" priority="54" stopIfTrue="1" operator="lessThan">
      <formula>0</formula>
    </cfRule>
  </conditionalFormatting>
  <conditionalFormatting sqref="L20:O25">
    <cfRule type="cellIs" dxfId="277" priority="53" stopIfTrue="1" operator="lessThan">
      <formula>0</formula>
    </cfRule>
  </conditionalFormatting>
  <conditionalFormatting sqref="L20:O25">
    <cfRule type="cellIs" dxfId="276" priority="51" stopIfTrue="1" operator="equal">
      <formula>"No"</formula>
    </cfRule>
    <cfRule type="cellIs" dxfId="275" priority="52" stopIfTrue="1" operator="equal">
      <formula>"Yes"</formula>
    </cfRule>
  </conditionalFormatting>
  <conditionalFormatting sqref="L20:O25">
    <cfRule type="cellIs" dxfId="274" priority="50" stopIfTrue="1" operator="lessThan">
      <formula>0</formula>
    </cfRule>
  </conditionalFormatting>
  <conditionalFormatting sqref="L20:O25">
    <cfRule type="cellIs" dxfId="273" priority="49" stopIfTrue="1" operator="lessThan">
      <formula>0</formula>
    </cfRule>
  </conditionalFormatting>
  <conditionalFormatting sqref="D39:G41 L39:O41">
    <cfRule type="cellIs" dxfId="272" priority="36" stopIfTrue="1" operator="lessThan">
      <formula>0</formula>
    </cfRule>
  </conditionalFormatting>
  <conditionalFormatting sqref="D39:G41 L39:O41">
    <cfRule type="cellIs" dxfId="271" priority="34" stopIfTrue="1" operator="equal">
      <formula>"No"</formula>
    </cfRule>
    <cfRule type="cellIs" dxfId="270" priority="35" stopIfTrue="1" operator="equal">
      <formula>"Yes"</formula>
    </cfRule>
  </conditionalFormatting>
  <conditionalFormatting sqref="D47:G49 L47:O49">
    <cfRule type="cellIs" dxfId="269" priority="33" stopIfTrue="1" operator="lessThan">
      <formula>0</formula>
    </cfRule>
  </conditionalFormatting>
  <conditionalFormatting sqref="D47:G49 L47:O49">
    <cfRule type="cellIs" dxfId="268" priority="31" stopIfTrue="1" operator="equal">
      <formula>"No"</formula>
    </cfRule>
    <cfRule type="cellIs" dxfId="267" priority="32" stopIfTrue="1" operator="equal">
      <formula>"Yes"</formula>
    </cfRule>
  </conditionalFormatting>
  <conditionalFormatting sqref="D69:G77">
    <cfRule type="cellIs" dxfId="266" priority="18" stopIfTrue="1" operator="lessThan">
      <formula>0</formula>
    </cfRule>
  </conditionalFormatting>
  <conditionalFormatting sqref="D69:G77">
    <cfRule type="cellIs" dxfId="265" priority="17" stopIfTrue="1" operator="lessThan">
      <formula>0</formula>
    </cfRule>
  </conditionalFormatting>
  <conditionalFormatting sqref="D69:G77">
    <cfRule type="cellIs" dxfId="264" priority="15" stopIfTrue="1" operator="equal">
      <formula>"No"</formula>
    </cfRule>
    <cfRule type="cellIs" dxfId="263" priority="16" stopIfTrue="1" operator="equal">
      <formula>"Yes"</formula>
    </cfRule>
  </conditionalFormatting>
  <conditionalFormatting sqref="D69:G77">
    <cfRule type="cellIs" dxfId="262" priority="14" stopIfTrue="1" operator="lessThan">
      <formula>0</formula>
    </cfRule>
  </conditionalFormatting>
  <conditionalFormatting sqref="D69:G77">
    <cfRule type="cellIs" dxfId="261" priority="13" stopIfTrue="1" operator="lessThan">
      <formula>0</formula>
    </cfRule>
  </conditionalFormatting>
  <conditionalFormatting sqref="D83:G91">
    <cfRule type="cellIs" dxfId="260" priority="12" stopIfTrue="1" operator="lessThan">
      <formula>0</formula>
    </cfRule>
  </conditionalFormatting>
  <conditionalFormatting sqref="D83:G91">
    <cfRule type="cellIs" dxfId="259" priority="11" stopIfTrue="1" operator="lessThan">
      <formula>0</formula>
    </cfRule>
  </conditionalFormatting>
  <conditionalFormatting sqref="D83:G91">
    <cfRule type="cellIs" dxfId="258" priority="9" stopIfTrue="1" operator="equal">
      <formula>"No"</formula>
    </cfRule>
    <cfRule type="cellIs" dxfId="257" priority="10" stopIfTrue="1" operator="equal">
      <formula>"Yes"</formula>
    </cfRule>
  </conditionalFormatting>
  <conditionalFormatting sqref="D83:G91">
    <cfRule type="cellIs" dxfId="256" priority="8" stopIfTrue="1" operator="lessThan">
      <formula>0</formula>
    </cfRule>
  </conditionalFormatting>
  <conditionalFormatting sqref="D83:G91">
    <cfRule type="cellIs" dxfId="255" priority="7" stopIfTrue="1" operator="lessThan">
      <formula>0</formula>
    </cfRule>
  </conditionalFormatting>
  <conditionalFormatting sqref="D97:G105">
    <cfRule type="cellIs" dxfId="254" priority="6" stopIfTrue="1" operator="lessThan">
      <formula>0</formula>
    </cfRule>
  </conditionalFormatting>
  <conditionalFormatting sqref="D97:G105">
    <cfRule type="cellIs" dxfId="253" priority="5" stopIfTrue="1" operator="lessThan">
      <formula>0</formula>
    </cfRule>
  </conditionalFormatting>
  <conditionalFormatting sqref="D97:G105">
    <cfRule type="cellIs" dxfId="252" priority="3" stopIfTrue="1" operator="equal">
      <formula>"No"</formula>
    </cfRule>
    <cfRule type="cellIs" dxfId="251" priority="4" stopIfTrue="1" operator="equal">
      <formula>"Yes"</formula>
    </cfRule>
  </conditionalFormatting>
  <conditionalFormatting sqref="D97:G105">
    <cfRule type="cellIs" dxfId="250" priority="2" stopIfTrue="1" operator="lessThan">
      <formula>0</formula>
    </cfRule>
  </conditionalFormatting>
  <conditionalFormatting sqref="D97:G105">
    <cfRule type="cellIs" dxfId="249" priority="1" stopIfTrue="1" operator="lessThan">
      <formula>0</formula>
    </cfRule>
  </conditionalFormatting>
  <printOptions headings="1"/>
  <pageMargins left="0.70866141732283472" right="0.70866141732283472" top="0.74803149606299213" bottom="0.74803149606299213" header="0.31496062992125984" footer="0.31496062992125984"/>
  <pageSetup paperSize="9" scale="50" pageOrder="overThenDown" orientation="landscape" r:id="rId1"/>
  <headerFooter>
    <oddHeader>&amp;L&amp;"Arial,Bold"&amp;14Basel Committee on Banking Supervision
Basel III monitoring template&amp;C&amp;14&amp;F
&amp;A&amp;R&amp;"Arial,Bold"&amp;14Confidential when completed</oddHeader>
    <oddFooter>&amp;L&amp;14&amp;D  &amp;T&amp;R&amp;14Page &amp;P of &amp;N</oddFooter>
  </headerFooter>
  <rowBreaks count="1" manualBreakCount="1">
    <brk id="51" max="16" man="1"/>
  </rowBreaks>
  <ignoredErrors>
    <ignoredError sqref="C15:O106" emptyCellReferenc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M319"/>
  <sheetViews>
    <sheetView zoomScale="75" zoomScaleNormal="75" workbookViewId="0">
      <pane ySplit="1" topLeftCell="A2" activePane="bottomLeft" state="frozen"/>
      <selection pane="bottomLeft"/>
    </sheetView>
  </sheetViews>
  <sheetFormatPr defaultColWidth="9.140625" defaultRowHeight="15" customHeight="1" x14ac:dyDescent="0.2"/>
  <cols>
    <col min="1" max="1" width="1.7109375" style="207" customWidth="1"/>
    <col min="2" max="2" width="80.7109375" style="207" customWidth="1"/>
    <col min="3" max="4" width="16.7109375" style="1074" customWidth="1"/>
    <col min="5" max="6" width="16.7109375" style="207" customWidth="1"/>
    <col min="7" max="7" width="25.7109375" style="207" customWidth="1"/>
    <col min="8" max="8" width="1.7109375" style="207" customWidth="1"/>
    <col min="9" max="16384" width="9.140625" style="1074"/>
  </cols>
  <sheetData>
    <row r="1" spans="1:13" s="1052" customFormat="1" ht="30" customHeight="1" x14ac:dyDescent="0.4">
      <c r="A1" s="1055" t="s">
        <v>1055</v>
      </c>
      <c r="B1" s="44"/>
      <c r="C1" s="44"/>
      <c r="D1" s="44"/>
      <c r="E1" s="44"/>
      <c r="F1" s="44"/>
      <c r="G1" s="44"/>
      <c r="H1" s="1345"/>
    </row>
    <row r="2" spans="1:13" s="207" customFormat="1" ht="30" customHeight="1" x14ac:dyDescent="0.25">
      <c r="A2" s="1377" t="s">
        <v>1488</v>
      </c>
      <c r="B2" s="18"/>
      <c r="C2" s="16"/>
      <c r="D2" s="16"/>
      <c r="E2" s="203"/>
      <c r="F2" s="203"/>
      <c r="G2" s="203"/>
      <c r="H2" s="32"/>
    </row>
    <row r="3" spans="1:13" s="1168" customFormat="1" ht="15" customHeight="1" x14ac:dyDescent="0.2">
      <c r="A3" s="74"/>
      <c r="B3" s="1169"/>
      <c r="C3" s="1169"/>
      <c r="D3" s="1170"/>
      <c r="E3" s="1170"/>
      <c r="F3" s="1170"/>
      <c r="G3" s="204"/>
      <c r="H3" s="1171"/>
      <c r="I3" s="204"/>
      <c r="J3" s="204"/>
      <c r="K3" s="204"/>
      <c r="L3" s="204"/>
      <c r="M3" s="204"/>
    </row>
    <row r="4" spans="1:13" s="1168" customFormat="1" ht="30" customHeight="1" x14ac:dyDescent="0.2">
      <c r="A4" s="63"/>
      <c r="B4" s="1"/>
      <c r="C4" s="1796" t="s">
        <v>1192</v>
      </c>
      <c r="D4" s="1797"/>
      <c r="E4" s="1796" t="s">
        <v>1193</v>
      </c>
      <c r="F4" s="1797"/>
      <c r="G4" s="204"/>
      <c r="H4" s="1171"/>
      <c r="I4" s="204"/>
      <c r="J4" s="204"/>
      <c r="K4" s="204"/>
      <c r="L4" s="204"/>
      <c r="M4" s="204"/>
    </row>
    <row r="5" spans="1:13" s="1168" customFormat="1" ht="30" customHeight="1" x14ac:dyDescent="0.2">
      <c r="A5" s="63"/>
      <c r="B5" s="71"/>
      <c r="C5" s="1409" t="s">
        <v>178</v>
      </c>
      <c r="D5" s="1408" t="s">
        <v>225</v>
      </c>
      <c r="E5" s="1409" t="s">
        <v>178</v>
      </c>
      <c r="F5" s="1507" t="s">
        <v>225</v>
      </c>
      <c r="G5" s="204"/>
      <c r="H5" s="1171"/>
      <c r="I5" s="204"/>
      <c r="J5" s="204"/>
      <c r="K5" s="204"/>
      <c r="L5" s="204"/>
      <c r="M5" s="204"/>
    </row>
    <row r="6" spans="1:13" s="1168" customFormat="1" ht="15" customHeight="1" x14ac:dyDescent="0.2">
      <c r="A6" s="63"/>
      <c r="B6" s="323" t="s">
        <v>55</v>
      </c>
      <c r="C6" s="314"/>
      <c r="D6" s="265"/>
      <c r="E6" s="1401"/>
      <c r="F6" s="273"/>
      <c r="G6" s="204"/>
      <c r="H6" s="1171"/>
      <c r="I6" s="204"/>
      <c r="J6" s="204"/>
      <c r="K6" s="204"/>
      <c r="L6" s="204"/>
      <c r="M6" s="204"/>
    </row>
    <row r="7" spans="1:13" s="1168" customFormat="1" ht="15" customHeight="1" x14ac:dyDescent="0.2">
      <c r="A7" s="63"/>
      <c r="B7" s="1060" t="s">
        <v>56</v>
      </c>
      <c r="C7" s="265"/>
      <c r="D7" s="265"/>
      <c r="E7" s="1402"/>
      <c r="F7" s="273"/>
      <c r="G7" s="204"/>
      <c r="H7" s="1171"/>
      <c r="I7" s="204"/>
      <c r="J7" s="204"/>
      <c r="K7" s="204"/>
      <c r="L7" s="204"/>
      <c r="M7" s="204"/>
    </row>
    <row r="8" spans="1:13" s="1168" customFormat="1" ht="15" customHeight="1" x14ac:dyDescent="0.2">
      <c r="A8" s="63"/>
      <c r="B8" s="232" t="s">
        <v>490</v>
      </c>
      <c r="C8" s="265"/>
      <c r="D8" s="265"/>
      <c r="E8" s="1402"/>
      <c r="F8" s="273"/>
      <c r="G8" s="204"/>
      <c r="H8" s="1171"/>
      <c r="I8" s="204"/>
      <c r="J8" s="204"/>
      <c r="K8" s="204"/>
      <c r="L8" s="204"/>
      <c r="M8" s="204"/>
    </row>
    <row r="9" spans="1:13" s="1168" customFormat="1" ht="15" customHeight="1" x14ac:dyDescent="0.2">
      <c r="A9" s="63"/>
      <c r="B9" s="232" t="s">
        <v>491</v>
      </c>
      <c r="C9" s="265"/>
      <c r="D9" s="265"/>
      <c r="E9" s="1402"/>
      <c r="F9" s="273"/>
      <c r="G9" s="204"/>
      <c r="H9" s="1171"/>
      <c r="I9" s="204"/>
      <c r="J9" s="204"/>
      <c r="K9" s="204"/>
      <c r="L9" s="204"/>
      <c r="M9" s="204"/>
    </row>
    <row r="10" spans="1:13" s="1168" customFormat="1" ht="15" customHeight="1" x14ac:dyDescent="0.2">
      <c r="A10" s="63"/>
      <c r="B10" s="233" t="s">
        <v>1180</v>
      </c>
      <c r="C10" s="265"/>
      <c r="D10" s="265"/>
      <c r="E10" s="1402"/>
      <c r="F10" s="273"/>
      <c r="G10" s="204"/>
      <c r="H10" s="1171"/>
      <c r="I10" s="204"/>
      <c r="J10" s="204"/>
      <c r="K10" s="204"/>
      <c r="L10" s="204"/>
      <c r="M10" s="204"/>
    </row>
    <row r="11" spans="1:13" s="1168" customFormat="1" ht="15" customHeight="1" x14ac:dyDescent="0.2">
      <c r="A11" s="63"/>
      <c r="B11" s="324" t="s">
        <v>1075</v>
      </c>
      <c r="C11" s="265"/>
      <c r="D11" s="265"/>
      <c r="E11" s="1402"/>
      <c r="F11" s="273"/>
      <c r="G11" s="204"/>
      <c r="H11" s="1171"/>
      <c r="I11" s="204"/>
      <c r="J11" s="204"/>
      <c r="K11" s="204"/>
      <c r="L11" s="204"/>
      <c r="M11" s="204"/>
    </row>
    <row r="12" spans="1:13" s="1168" customFormat="1" ht="15" customHeight="1" x14ac:dyDescent="0.2">
      <c r="A12" s="63"/>
      <c r="B12" s="324" t="s">
        <v>1181</v>
      </c>
      <c r="C12" s="265"/>
      <c r="D12" s="265"/>
      <c r="E12" s="1402"/>
      <c r="F12" s="273"/>
      <c r="G12" s="204"/>
      <c r="H12" s="1171"/>
      <c r="I12" s="204"/>
      <c r="J12" s="204"/>
      <c r="K12" s="204"/>
      <c r="L12" s="204"/>
      <c r="M12" s="204"/>
    </row>
    <row r="13" spans="1:13" s="1168" customFormat="1" ht="15" customHeight="1" x14ac:dyDescent="0.2">
      <c r="A13" s="63"/>
      <c r="B13" s="233" t="s">
        <v>845</v>
      </c>
      <c r="C13" s="265"/>
      <c r="D13" s="265"/>
      <c r="E13" s="1402"/>
      <c r="F13" s="273"/>
      <c r="G13" s="204"/>
      <c r="H13" s="1171"/>
      <c r="I13" s="204"/>
      <c r="J13" s="204"/>
      <c r="K13" s="204"/>
      <c r="L13" s="204"/>
      <c r="M13" s="204"/>
    </row>
    <row r="14" spans="1:13" s="1168" customFormat="1" ht="15" customHeight="1" x14ac:dyDescent="0.2">
      <c r="A14" s="63"/>
      <c r="B14" s="324" t="s">
        <v>213</v>
      </c>
      <c r="C14" s="265"/>
      <c r="D14" s="1131"/>
      <c r="E14" s="1402"/>
      <c r="F14" s="316"/>
      <c r="G14" s="204"/>
      <c r="H14" s="1171"/>
      <c r="I14" s="204"/>
      <c r="J14" s="204"/>
      <c r="K14" s="204"/>
      <c r="L14" s="204"/>
      <c r="M14" s="204"/>
    </row>
    <row r="15" spans="1:13" s="1168" customFormat="1" ht="30" customHeight="1" x14ac:dyDescent="0.2">
      <c r="A15" s="63"/>
      <c r="B15" s="331" t="s">
        <v>1035</v>
      </c>
      <c r="C15" s="266" t="str">
        <f>IF(AND(C13&gt;0,ISNUMBER(C14),OR(C14=0,C14&gt;C13)),"No","Yes")</f>
        <v>Yes</v>
      </c>
      <c r="D15" s="1131"/>
      <c r="E15" s="1403" t="str">
        <f>IF(AND(E13&gt;0,ISNUMBER(E14),OR(E14=0,E14&gt;E13)),"No","Yes")</f>
        <v>Yes</v>
      </c>
      <c r="F15" s="316"/>
      <c r="G15" s="204"/>
      <c r="H15" s="1171"/>
      <c r="I15" s="204"/>
      <c r="J15" s="204"/>
      <c r="K15" s="204"/>
      <c r="L15" s="204"/>
      <c r="M15" s="204"/>
    </row>
    <row r="16" spans="1:13" s="1168" customFormat="1" ht="15" customHeight="1" x14ac:dyDescent="0.2">
      <c r="A16" s="63"/>
      <c r="B16" s="324" t="s">
        <v>214</v>
      </c>
      <c r="C16" s="265"/>
      <c r="D16" s="1131"/>
      <c r="E16" s="1402"/>
      <c r="F16" s="316"/>
      <c r="G16" s="204"/>
      <c r="H16" s="1171"/>
      <c r="I16" s="204"/>
      <c r="J16" s="204"/>
      <c r="K16" s="204"/>
      <c r="L16" s="204"/>
      <c r="M16" s="204"/>
    </row>
    <row r="17" spans="1:13" s="1168" customFormat="1" ht="15" customHeight="1" x14ac:dyDescent="0.2">
      <c r="A17" s="63"/>
      <c r="B17" s="331" t="s">
        <v>220</v>
      </c>
      <c r="C17" s="266" t="str">
        <f>IF(OR(AND(C14&gt;0,C16=0),AND(C16&gt;0,C14=0)),"No","Yes")</f>
        <v>Yes</v>
      </c>
      <c r="D17" s="1131"/>
      <c r="E17" s="1403" t="str">
        <f>IF(OR(AND(E14&gt;0,E16=0),AND(E16&gt;0,E14=0)),"No","Yes")</f>
        <v>Yes</v>
      </c>
      <c r="F17" s="316"/>
      <c r="G17" s="204"/>
      <c r="H17" s="1171"/>
      <c r="I17" s="204"/>
      <c r="J17" s="204"/>
      <c r="K17" s="204"/>
      <c r="L17" s="204"/>
      <c r="M17" s="204"/>
    </row>
    <row r="18" spans="1:13" s="1168" customFormat="1" ht="15" customHeight="1" x14ac:dyDescent="0.2">
      <c r="A18" s="63"/>
      <c r="B18" s="233" t="s">
        <v>844</v>
      </c>
      <c r="C18" s="265"/>
      <c r="D18" s="1131"/>
      <c r="E18" s="1402"/>
      <c r="F18" s="316"/>
      <c r="G18" s="204"/>
      <c r="H18" s="1171"/>
      <c r="I18" s="204"/>
      <c r="J18" s="204"/>
      <c r="K18" s="204"/>
      <c r="L18" s="204"/>
      <c r="M18" s="204"/>
    </row>
    <row r="19" spans="1:13" s="1168" customFormat="1" ht="15" customHeight="1" x14ac:dyDescent="0.2">
      <c r="A19" s="63"/>
      <c r="B19" s="1060" t="s">
        <v>86</v>
      </c>
      <c r="C19" s="265"/>
      <c r="D19" s="265"/>
      <c r="E19" s="1402"/>
      <c r="F19" s="273"/>
      <c r="G19" s="204"/>
      <c r="H19" s="1171"/>
      <c r="I19" s="204"/>
      <c r="J19" s="204"/>
      <c r="K19" s="204"/>
      <c r="L19" s="204"/>
      <c r="M19" s="204"/>
    </row>
    <row r="20" spans="1:13" s="1168" customFormat="1" ht="15" customHeight="1" x14ac:dyDescent="0.2">
      <c r="A20" s="63"/>
      <c r="B20" s="1060" t="s">
        <v>87</v>
      </c>
      <c r="C20" s="318" t="str">
        <f>IF(AND(ISNUMBER(C21),ISNUMBER(C22),ISNUMBER(C25)),MAX(C21,0.08*C22)+C25,"")</f>
        <v/>
      </c>
      <c r="D20" s="265"/>
      <c r="E20" s="1404" t="str">
        <f>IF(AND(ISNUMBER(E21),ISNUMBER(E22),ISNUMBER(E25)),MAX(E21,0.08*E22)+E25,"")</f>
        <v/>
      </c>
      <c r="F20" s="273"/>
      <c r="G20" s="204"/>
      <c r="H20" s="1171"/>
      <c r="I20" s="204"/>
      <c r="J20" s="204"/>
      <c r="K20" s="204"/>
      <c r="L20" s="204"/>
      <c r="M20" s="204"/>
    </row>
    <row r="21" spans="1:13" s="1168" customFormat="1" ht="15" customHeight="1" x14ac:dyDescent="0.2">
      <c r="A21" s="63"/>
      <c r="B21" s="324" t="s">
        <v>489</v>
      </c>
      <c r="C21" s="265"/>
      <c r="D21" s="265"/>
      <c r="E21" s="1402"/>
      <c r="F21" s="273"/>
      <c r="G21" s="204"/>
      <c r="H21" s="1171"/>
      <c r="I21" s="204"/>
      <c r="J21" s="204"/>
      <c r="K21" s="204"/>
      <c r="L21" s="204"/>
      <c r="M21" s="204"/>
    </row>
    <row r="22" spans="1:13" s="1168" customFormat="1" ht="15" customHeight="1" x14ac:dyDescent="0.2">
      <c r="A22" s="63"/>
      <c r="B22" s="324" t="s">
        <v>114</v>
      </c>
      <c r="C22" s="318" t="str">
        <f>IF(AND(ISNUMBER(C23),ISNUMBER(C24)),MAX(C23,C24),"")</f>
        <v/>
      </c>
      <c r="D22" s="1131"/>
      <c r="E22" s="1404" t="str">
        <f>IF(AND(ISNUMBER(E23),ISNUMBER(E24)),MAX(E23,E24),"")</f>
        <v/>
      </c>
      <c r="F22" s="316"/>
      <c r="G22" s="204"/>
      <c r="H22" s="1171"/>
      <c r="I22" s="204"/>
      <c r="J22" s="204"/>
      <c r="K22" s="204"/>
      <c r="L22" s="204"/>
      <c r="M22" s="204"/>
    </row>
    <row r="23" spans="1:13" s="1168" customFormat="1" ht="15" customHeight="1" x14ac:dyDescent="0.2">
      <c r="A23" s="63"/>
      <c r="B23" s="325" t="s">
        <v>187</v>
      </c>
      <c r="C23" s="265"/>
      <c r="D23" s="1402"/>
      <c r="E23" s="1402"/>
      <c r="F23" s="273"/>
      <c r="G23" s="204"/>
      <c r="H23" s="1171"/>
      <c r="I23" s="204"/>
      <c r="J23" s="204"/>
      <c r="K23" s="204"/>
      <c r="L23" s="204"/>
      <c r="M23" s="204"/>
    </row>
    <row r="24" spans="1:13" s="1168" customFormat="1" ht="15" customHeight="1" x14ac:dyDescent="0.2">
      <c r="A24" s="63"/>
      <c r="B24" s="325" t="s">
        <v>188</v>
      </c>
      <c r="C24" s="265"/>
      <c r="D24" s="1402"/>
      <c r="E24" s="1402"/>
      <c r="F24" s="273"/>
      <c r="G24" s="204"/>
      <c r="H24" s="1171"/>
      <c r="I24" s="204"/>
      <c r="J24" s="204"/>
      <c r="K24" s="204"/>
      <c r="L24" s="204"/>
      <c r="M24" s="204"/>
    </row>
    <row r="25" spans="1:13" s="1168" customFormat="1" ht="15" customHeight="1" x14ac:dyDescent="0.2">
      <c r="A25" s="63"/>
      <c r="B25" s="324" t="s">
        <v>112</v>
      </c>
      <c r="C25" s="318" t="str">
        <f>IF(AND(ISNUMBER(C26),ISNUMBER(C27)),MAX(C26,C27),"")</f>
        <v/>
      </c>
      <c r="D25" s="1131"/>
      <c r="E25" s="1404" t="str">
        <f>IF(AND(ISNUMBER(E26),ISNUMBER(E27)),MAX(E26,E27),"")</f>
        <v/>
      </c>
      <c r="F25" s="316"/>
      <c r="G25" s="204"/>
      <c r="H25" s="1171"/>
      <c r="I25" s="204"/>
      <c r="J25" s="204"/>
      <c r="K25" s="204"/>
      <c r="L25" s="204"/>
      <c r="M25" s="204"/>
    </row>
    <row r="26" spans="1:13" s="1168" customFormat="1" ht="15" customHeight="1" x14ac:dyDescent="0.2">
      <c r="A26" s="63"/>
      <c r="B26" s="325" t="s">
        <v>187</v>
      </c>
      <c r="C26" s="265"/>
      <c r="D26" s="1402"/>
      <c r="E26" s="1402"/>
      <c r="F26" s="273"/>
      <c r="G26" s="204"/>
      <c r="H26" s="1171"/>
      <c r="I26" s="204"/>
      <c r="J26" s="204"/>
      <c r="K26" s="204"/>
      <c r="L26" s="204"/>
      <c r="M26" s="204"/>
    </row>
    <row r="27" spans="1:13" s="1168" customFormat="1" ht="15" customHeight="1" x14ac:dyDescent="0.2">
      <c r="A27" s="63"/>
      <c r="B27" s="325" t="s">
        <v>188</v>
      </c>
      <c r="C27" s="265"/>
      <c r="D27" s="1402"/>
      <c r="E27" s="1402"/>
      <c r="F27" s="273"/>
      <c r="G27" s="204"/>
      <c r="H27" s="1171"/>
      <c r="I27" s="204"/>
      <c r="J27" s="204"/>
      <c r="K27" s="204"/>
      <c r="L27" s="204"/>
      <c r="M27" s="204"/>
    </row>
    <row r="28" spans="1:13" s="1168" customFormat="1" ht="30" customHeight="1" x14ac:dyDescent="0.2">
      <c r="A28" s="63"/>
      <c r="B28" s="1238" t="s">
        <v>113</v>
      </c>
      <c r="C28" s="265"/>
      <c r="D28" s="1131"/>
      <c r="E28" s="1402"/>
      <c r="F28" s="316"/>
      <c r="G28" s="204"/>
      <c r="H28" s="1171"/>
      <c r="I28" s="204"/>
      <c r="J28" s="204"/>
      <c r="K28" s="204"/>
      <c r="L28" s="204"/>
      <c r="M28" s="204"/>
    </row>
    <row r="29" spans="1:13" s="1168" customFormat="1" ht="15" customHeight="1" x14ac:dyDescent="0.2">
      <c r="A29" s="63"/>
      <c r="B29" s="232" t="s">
        <v>187</v>
      </c>
      <c r="C29" s="265"/>
      <c r="D29" s="1402"/>
      <c r="E29" s="1402"/>
      <c r="F29" s="273"/>
      <c r="G29" s="204"/>
      <c r="H29" s="1171"/>
      <c r="I29" s="204"/>
      <c r="J29" s="204"/>
      <c r="K29" s="204"/>
      <c r="L29" s="204"/>
      <c r="M29" s="204"/>
    </row>
    <row r="30" spans="1:13" s="1168" customFormat="1" ht="15" customHeight="1" x14ac:dyDescent="0.2">
      <c r="A30" s="63"/>
      <c r="B30" s="232" t="s">
        <v>192</v>
      </c>
      <c r="C30" s="265"/>
      <c r="D30" s="1402"/>
      <c r="E30" s="1402"/>
      <c r="F30" s="273"/>
      <c r="G30" s="204"/>
      <c r="H30" s="1171"/>
      <c r="I30" s="204"/>
      <c r="J30" s="204"/>
      <c r="K30" s="204"/>
      <c r="L30" s="204"/>
      <c r="M30" s="204"/>
    </row>
    <row r="31" spans="1:13" s="1168" customFormat="1" ht="15" customHeight="1" x14ac:dyDescent="0.2">
      <c r="A31" s="63"/>
      <c r="B31" s="1060" t="s">
        <v>534</v>
      </c>
      <c r="C31" s="265"/>
      <c r="D31" s="1402"/>
      <c r="E31" s="1402"/>
      <c r="F31" s="273"/>
      <c r="G31" s="204"/>
      <c r="H31" s="1171"/>
      <c r="I31" s="204"/>
      <c r="J31" s="204"/>
      <c r="K31" s="204"/>
      <c r="L31" s="204"/>
      <c r="M31" s="204"/>
    </row>
    <row r="32" spans="1:13" s="1168" customFormat="1" ht="15" customHeight="1" x14ac:dyDescent="0.2">
      <c r="A32" s="63"/>
      <c r="B32" s="295" t="s">
        <v>366</v>
      </c>
      <c r="C32" s="321"/>
      <c r="D32" s="1402"/>
      <c r="E32" s="1402"/>
      <c r="F32" s="273"/>
      <c r="G32" s="204"/>
      <c r="H32" s="1171"/>
      <c r="I32" s="204"/>
      <c r="J32" s="204"/>
      <c r="K32" s="204"/>
      <c r="L32" s="204"/>
      <c r="M32" s="204"/>
    </row>
    <row r="33" spans="1:13" s="1168" customFormat="1" ht="15" customHeight="1" x14ac:dyDescent="0.2">
      <c r="A33" s="63"/>
      <c r="B33" s="300" t="s">
        <v>493</v>
      </c>
      <c r="C33" s="335" t="str">
        <f>IF(AND(ISNUMBER(C6),ISNUMBER(C7),ISNUMBER(C10),ISNUMBER(C13),ISNUMBER(C18),ISNUMBER(C19),ISNUMBER(C20),ISNUMBER(C28),ISNUMBER(C31),ISNUMBER(C32)),C6+C7+C10+C13+C18+C19+C20+C28+C31+C32,"")</f>
        <v/>
      </c>
      <c r="D33" s="336"/>
      <c r="E33" s="1406" t="str">
        <f>IF(AND(ISNUMBER(E6),ISNUMBER(E7),ISNUMBER(E10),ISNUMBER(E13),ISNUMBER(E18),ISNUMBER(E19),ISNUMBER(E20),ISNUMBER(E28),ISNUMBER(E31),ISNUMBER(E32)),E6+E7+E10+E13+E18+E19+E20+E28+E31+E32,"")</f>
        <v/>
      </c>
      <c r="F33" s="337"/>
      <c r="G33" s="204"/>
      <c r="H33" s="1171"/>
      <c r="I33" s="204"/>
      <c r="J33" s="204"/>
      <c r="K33" s="204"/>
      <c r="L33" s="204"/>
      <c r="M33" s="204"/>
    </row>
    <row r="34" spans="1:13" ht="15" customHeight="1" x14ac:dyDescent="0.2">
      <c r="A34" s="1076"/>
      <c r="B34" s="1074"/>
      <c r="E34" s="1074"/>
      <c r="F34" s="1074"/>
      <c r="G34" s="1074"/>
      <c r="H34" s="1075"/>
    </row>
    <row r="35" spans="1:13" s="207" customFormat="1" ht="30" customHeight="1" x14ac:dyDescent="0.25">
      <c r="A35" s="1377" t="s">
        <v>1194</v>
      </c>
      <c r="B35" s="18"/>
      <c r="C35" s="16"/>
      <c r="D35" s="16"/>
      <c r="E35" s="203"/>
      <c r="F35" s="203"/>
      <c r="G35" s="203"/>
      <c r="H35" s="32"/>
    </row>
    <row r="36" spans="1:13" ht="15" customHeight="1" x14ac:dyDescent="0.2">
      <c r="A36" s="1076"/>
      <c r="B36" s="1074"/>
      <c r="E36" s="1074"/>
      <c r="F36" s="1074"/>
      <c r="G36" s="1074"/>
      <c r="H36" s="1075"/>
    </row>
    <row r="37" spans="1:13" ht="15" customHeight="1" x14ac:dyDescent="0.2">
      <c r="A37" s="1076"/>
      <c r="B37" s="180"/>
      <c r="C37" s="1677" t="s">
        <v>178</v>
      </c>
      <c r="D37" s="1678"/>
      <c r="E37" s="1074"/>
      <c r="F37" s="1074"/>
      <c r="G37" s="1074"/>
      <c r="H37" s="1075"/>
    </row>
    <row r="38" spans="1:13" ht="30" customHeight="1" x14ac:dyDescent="0.2">
      <c r="A38" s="1076"/>
      <c r="B38" s="1320"/>
      <c r="C38" s="1400" t="s">
        <v>1191</v>
      </c>
      <c r="D38" s="1398" t="s">
        <v>1190</v>
      </c>
      <c r="E38" s="1074"/>
      <c r="F38" s="1074"/>
      <c r="G38" s="1074"/>
      <c r="H38" s="1075"/>
    </row>
    <row r="39" spans="1:13" ht="15" customHeight="1" x14ac:dyDescent="0.2">
      <c r="A39" s="1076"/>
      <c r="B39" s="1336" t="s">
        <v>1069</v>
      </c>
      <c r="C39" s="1339" t="str">
        <f>IF(AND(ISNUMBER(C40),ISNUMBER(C41),ISNUMBER(C42),ISNUMBER(C43),ISNUMBER(C44),ISNUMBER(C45),ISNUMBER(C46),ISNUMBER(C47)),SUM(C40:C47),"")</f>
        <v/>
      </c>
      <c r="D39" s="1339" t="str">
        <f>IF(AND(ISNUMBER(D40),ISNUMBER(D41),ISNUMBER(D42),ISNUMBER(D43),ISNUMBER(D44),ISNUMBER(D45),ISNUMBER(D46),ISNUMBER(D47)),SUM(D40:D47),"")</f>
        <v/>
      </c>
      <c r="E39" s="1074"/>
      <c r="F39" s="1074"/>
      <c r="G39" s="1074"/>
      <c r="H39" s="1075"/>
    </row>
    <row r="40" spans="1:13" ht="15" customHeight="1" x14ac:dyDescent="0.2">
      <c r="A40" s="1076"/>
      <c r="B40" s="1337" t="s">
        <v>1070</v>
      </c>
      <c r="C40" s="1065"/>
      <c r="D40" s="1065"/>
      <c r="E40" s="1074"/>
      <c r="F40" s="1074"/>
      <c r="G40" s="1074"/>
      <c r="H40" s="1075"/>
    </row>
    <row r="41" spans="1:13" ht="15" customHeight="1" x14ac:dyDescent="0.2">
      <c r="A41" s="1076"/>
      <c r="B41" s="1337" t="s">
        <v>1071</v>
      </c>
      <c r="C41" s="1065"/>
      <c r="D41" s="1065"/>
      <c r="E41" s="1074"/>
      <c r="F41" s="1074"/>
      <c r="G41" s="1074"/>
      <c r="H41" s="1075"/>
    </row>
    <row r="42" spans="1:13" ht="15" customHeight="1" x14ac:dyDescent="0.2">
      <c r="A42" s="1076"/>
      <c r="B42" s="1337" t="s">
        <v>1072</v>
      </c>
      <c r="C42" s="1065"/>
      <c r="D42" s="1065"/>
      <c r="E42" s="1074"/>
      <c r="F42" s="1074"/>
      <c r="G42" s="1074"/>
      <c r="H42" s="1075"/>
    </row>
    <row r="43" spans="1:13" ht="15" customHeight="1" x14ac:dyDescent="0.2">
      <c r="A43" s="1076"/>
      <c r="B43" s="1337" t="s">
        <v>1073</v>
      </c>
      <c r="C43" s="1065"/>
      <c r="D43" s="1065"/>
      <c r="E43" s="1074"/>
      <c r="F43" s="1074"/>
      <c r="G43" s="1074"/>
      <c r="H43" s="1075"/>
    </row>
    <row r="44" spans="1:13" ht="15" customHeight="1" x14ac:dyDescent="0.2">
      <c r="A44" s="1076"/>
      <c r="B44" s="1337" t="s">
        <v>1074</v>
      </c>
      <c r="C44" s="1065"/>
      <c r="D44" s="1065"/>
      <c r="E44" s="1074"/>
      <c r="F44" s="1074"/>
      <c r="G44" s="1074"/>
      <c r="H44" s="1075"/>
    </row>
    <row r="45" spans="1:13" ht="15" customHeight="1" x14ac:dyDescent="0.2">
      <c r="A45" s="1076"/>
      <c r="B45" s="1337" t="s">
        <v>1075</v>
      </c>
      <c r="C45" s="1065"/>
      <c r="D45" s="1065"/>
      <c r="E45" s="1074"/>
      <c r="F45" s="1074"/>
      <c r="G45" s="1074"/>
      <c r="H45" s="1075"/>
    </row>
    <row r="46" spans="1:13" ht="15" customHeight="1" x14ac:dyDescent="0.2">
      <c r="A46" s="1076"/>
      <c r="B46" s="1337" t="s">
        <v>1076</v>
      </c>
      <c r="C46" s="1065"/>
      <c r="D46" s="1065"/>
      <c r="E46" s="1074"/>
      <c r="F46" s="1074"/>
      <c r="G46" s="1074"/>
      <c r="H46" s="1075"/>
    </row>
    <row r="47" spans="1:13" ht="15" customHeight="1" x14ac:dyDescent="0.2">
      <c r="A47" s="1076"/>
      <c r="B47" s="1337" t="s">
        <v>1077</v>
      </c>
      <c r="C47" s="1065"/>
      <c r="D47" s="1065"/>
      <c r="E47" s="1074"/>
      <c r="F47" s="1074"/>
      <c r="G47" s="1074"/>
      <c r="H47" s="1075"/>
    </row>
    <row r="48" spans="1:13" ht="30" customHeight="1" x14ac:dyDescent="0.2">
      <c r="A48" s="1076"/>
      <c r="B48" s="1372" t="s">
        <v>1155</v>
      </c>
      <c r="C48" s="1341" t="str">
        <f>IF(AND(ISNUMBER(C79), ISNUMBER(C49), ISNUMBER(C53), ISNUMBER(C57), ISNUMBER(C61), ISNUMBER(C65), ISNUMBER(C69)),C79*C49+(1-C79)*(C53+C57+C61+C65+C69)," ")</f>
        <v xml:space="preserve"> </v>
      </c>
      <c r="D48" s="1341" t="str">
        <f>IF(AND(ISNUMBER(D79), ISNUMBER(D49), ISNUMBER(D53), ISNUMBER(D57), ISNUMBER(D61), ISNUMBER(D65), ISNUMBER(D69)),D79*D49+(1-D79)*(D53+D57+D61+D65+D69)," ")</f>
        <v xml:space="preserve"> </v>
      </c>
      <c r="E48" s="1074"/>
      <c r="F48" s="1074"/>
      <c r="G48" s="1074"/>
      <c r="H48" s="1075"/>
    </row>
    <row r="49" spans="1:8" ht="15" customHeight="1" x14ac:dyDescent="0.2">
      <c r="A49" s="1076"/>
      <c r="B49" s="1337" t="s">
        <v>1183</v>
      </c>
      <c r="C49" s="1340" t="str">
        <f>IF(AND(ISNUMBER(C50),ISNUMBER(C51),ISNUMBER(C52),C52&lt;&gt;0),C50*C51/C52,"")</f>
        <v/>
      </c>
      <c r="D49" s="1340" t="str">
        <f>IF(AND(ISNUMBER(D50),ISNUMBER(D51),ISNUMBER(D52),D52&lt;&gt;0),D50*D51/D52,"")</f>
        <v/>
      </c>
      <c r="E49" s="1074"/>
      <c r="F49" s="1074"/>
      <c r="G49" s="1074"/>
      <c r="H49" s="1075"/>
    </row>
    <row r="50" spans="1:8" ht="15" customHeight="1" x14ac:dyDescent="0.2">
      <c r="A50" s="1076"/>
      <c r="B50" s="1338" t="s">
        <v>1078</v>
      </c>
      <c r="C50" s="1065"/>
      <c r="D50" s="1065"/>
      <c r="E50" s="1074"/>
      <c r="F50" s="1074"/>
      <c r="G50" s="1074"/>
      <c r="H50" s="1075"/>
    </row>
    <row r="51" spans="1:8" ht="15" customHeight="1" x14ac:dyDescent="0.2">
      <c r="A51" s="1076"/>
      <c r="B51" s="1338" t="s">
        <v>1079</v>
      </c>
      <c r="C51" s="1065"/>
      <c r="D51" s="1065"/>
      <c r="E51" s="1074"/>
      <c r="F51" s="1074"/>
      <c r="G51" s="1074"/>
      <c r="H51" s="1075"/>
    </row>
    <row r="52" spans="1:8" ht="15" customHeight="1" x14ac:dyDescent="0.2">
      <c r="A52" s="1076"/>
      <c r="B52" s="1338" t="s">
        <v>1080</v>
      </c>
      <c r="C52" s="1065"/>
      <c r="D52" s="1065"/>
      <c r="E52" s="1074"/>
      <c r="F52" s="1074"/>
      <c r="G52" s="1074"/>
      <c r="H52" s="1075"/>
    </row>
    <row r="53" spans="1:8" ht="15" customHeight="1" x14ac:dyDescent="0.2">
      <c r="A53" s="1076"/>
      <c r="B53" s="1337" t="s">
        <v>1081</v>
      </c>
      <c r="C53" s="1340" t="str">
        <f>IF(AND(ISNUMBER(C54),ISNUMBER(C55),ISNUMBER(C56),C56&lt;&gt;0),C54*C55/C56,"")</f>
        <v/>
      </c>
      <c r="D53" s="1340" t="str">
        <f>IF(AND(ISNUMBER(D54),ISNUMBER(D55),ISNUMBER(D56),D56&lt;&gt;0),D54*D55/D56,"")</f>
        <v/>
      </c>
      <c r="E53" s="1074"/>
      <c r="F53" s="1074"/>
      <c r="G53" s="1074"/>
      <c r="H53" s="1075"/>
    </row>
    <row r="54" spans="1:8" ht="15" customHeight="1" x14ac:dyDescent="0.2">
      <c r="A54" s="1076"/>
      <c r="B54" s="1338" t="s">
        <v>1078</v>
      </c>
      <c r="C54" s="1065"/>
      <c r="D54" s="1065"/>
      <c r="E54" s="1074"/>
      <c r="F54" s="1074"/>
      <c r="G54" s="1074"/>
      <c r="H54" s="1075"/>
    </row>
    <row r="55" spans="1:8" ht="15" customHeight="1" x14ac:dyDescent="0.2">
      <c r="A55" s="1076"/>
      <c r="B55" s="1338" t="s">
        <v>1079</v>
      </c>
      <c r="C55" s="1065"/>
      <c r="D55" s="1065"/>
      <c r="E55" s="1074"/>
      <c r="F55" s="1074"/>
      <c r="G55" s="1074"/>
      <c r="H55" s="1075"/>
    </row>
    <row r="56" spans="1:8" ht="15" customHeight="1" x14ac:dyDescent="0.2">
      <c r="A56" s="1076"/>
      <c r="B56" s="1338" t="s">
        <v>1080</v>
      </c>
      <c r="C56" s="1065"/>
      <c r="D56" s="1065"/>
      <c r="E56" s="1074"/>
      <c r="F56" s="1074"/>
      <c r="G56" s="1074"/>
      <c r="H56" s="1075"/>
    </row>
    <row r="57" spans="1:8" ht="15" customHeight="1" x14ac:dyDescent="0.2">
      <c r="A57" s="1076"/>
      <c r="B57" s="1337" t="s">
        <v>1082</v>
      </c>
      <c r="C57" s="1340" t="str">
        <f>IF(AND(ISNUMBER(C58),ISNUMBER(C59),ISNUMBER(C60),C60&lt;&gt;0),C58*C59/C60,"")</f>
        <v/>
      </c>
      <c r="D57" s="1340" t="str">
        <f>IF(AND(ISNUMBER(D58),ISNUMBER(D59),ISNUMBER(D60),D60&lt;&gt;0),D58*D59/D60,"")</f>
        <v/>
      </c>
      <c r="E57" s="1074"/>
      <c r="F57" s="1074"/>
      <c r="G57" s="1074"/>
      <c r="H57" s="1075"/>
    </row>
    <row r="58" spans="1:8" ht="15" customHeight="1" x14ac:dyDescent="0.2">
      <c r="A58" s="1076"/>
      <c r="B58" s="1338" t="s">
        <v>1078</v>
      </c>
      <c r="C58" s="1065"/>
      <c r="D58" s="1065"/>
      <c r="E58" s="1074"/>
      <c r="F58" s="1074"/>
      <c r="G58" s="1074"/>
      <c r="H58" s="1075"/>
    </row>
    <row r="59" spans="1:8" ht="15" customHeight="1" x14ac:dyDescent="0.2">
      <c r="A59" s="1076"/>
      <c r="B59" s="1338" t="s">
        <v>1079</v>
      </c>
      <c r="C59" s="1065"/>
      <c r="D59" s="1065"/>
      <c r="E59" s="1074"/>
      <c r="F59" s="1074"/>
      <c r="G59" s="1074"/>
      <c r="H59" s="1075"/>
    </row>
    <row r="60" spans="1:8" ht="15" customHeight="1" x14ac:dyDescent="0.2">
      <c r="A60" s="1076"/>
      <c r="B60" s="1338" t="s">
        <v>1080</v>
      </c>
      <c r="C60" s="1065"/>
      <c r="D60" s="1065"/>
      <c r="E60" s="1074"/>
      <c r="F60" s="1074"/>
      <c r="G60" s="1074"/>
      <c r="H60" s="1075"/>
    </row>
    <row r="61" spans="1:8" ht="15" customHeight="1" x14ac:dyDescent="0.2">
      <c r="A61" s="1076"/>
      <c r="B61" s="1337" t="s">
        <v>1083</v>
      </c>
      <c r="C61" s="1340" t="str">
        <f>IF(AND(ISNUMBER(C62),ISNUMBER(C63),ISNUMBER(C64),C64&lt;&gt;0),C62*C63/C64,"")</f>
        <v/>
      </c>
      <c r="D61" s="1340" t="str">
        <f>IF(AND(ISNUMBER(D62),ISNUMBER(D63),ISNUMBER(D64),D64&lt;&gt;0),D62*D63/D64,"")</f>
        <v/>
      </c>
      <c r="E61" s="1074"/>
      <c r="F61" s="1074"/>
      <c r="G61" s="1074"/>
      <c r="H61" s="1075"/>
    </row>
    <row r="62" spans="1:8" ht="15" customHeight="1" x14ac:dyDescent="0.2">
      <c r="A62" s="1076"/>
      <c r="B62" s="1338" t="s">
        <v>1078</v>
      </c>
      <c r="C62" s="1065"/>
      <c r="D62" s="1065"/>
      <c r="E62" s="1074"/>
      <c r="F62" s="1074"/>
      <c r="G62" s="1074"/>
      <c r="H62" s="1075"/>
    </row>
    <row r="63" spans="1:8" ht="15" customHeight="1" x14ac:dyDescent="0.2">
      <c r="A63" s="1076"/>
      <c r="B63" s="1338" t="s">
        <v>1079</v>
      </c>
      <c r="C63" s="1065"/>
      <c r="D63" s="1065"/>
      <c r="E63" s="1074"/>
      <c r="F63" s="1074"/>
      <c r="G63" s="1074"/>
      <c r="H63" s="1075"/>
    </row>
    <row r="64" spans="1:8" ht="15" customHeight="1" x14ac:dyDescent="0.2">
      <c r="A64" s="1076"/>
      <c r="B64" s="1338" t="s">
        <v>1080</v>
      </c>
      <c r="C64" s="1065"/>
      <c r="D64" s="1065"/>
      <c r="E64" s="1074"/>
      <c r="F64" s="1074"/>
      <c r="G64" s="1074"/>
      <c r="H64" s="1075"/>
    </row>
    <row r="65" spans="1:8" ht="15" customHeight="1" x14ac:dyDescent="0.2">
      <c r="A65" s="1076"/>
      <c r="B65" s="1337" t="s">
        <v>1084</v>
      </c>
      <c r="C65" s="1340" t="str">
        <f>IF(AND(ISNUMBER(C66),ISNUMBER(C67),ISNUMBER(C68),C68&lt;&gt;0),C66*C67/C68,"")</f>
        <v/>
      </c>
      <c r="D65" s="1340" t="str">
        <f>IF(AND(ISNUMBER(D66),ISNUMBER(D67),ISNUMBER(D68),D68&lt;&gt;0),D66*D67/D68,"")</f>
        <v/>
      </c>
      <c r="E65" s="1074"/>
      <c r="F65" s="1074"/>
      <c r="G65" s="1074"/>
      <c r="H65" s="1075"/>
    </row>
    <row r="66" spans="1:8" ht="15" customHeight="1" x14ac:dyDescent="0.2">
      <c r="A66" s="1076"/>
      <c r="B66" s="1338" t="s">
        <v>1078</v>
      </c>
      <c r="C66" s="1065"/>
      <c r="D66" s="1065"/>
      <c r="E66" s="1074"/>
      <c r="F66" s="1074"/>
      <c r="G66" s="1074"/>
      <c r="H66" s="1075"/>
    </row>
    <row r="67" spans="1:8" ht="15" customHeight="1" x14ac:dyDescent="0.2">
      <c r="A67" s="1076"/>
      <c r="B67" s="1338" t="s">
        <v>1079</v>
      </c>
      <c r="C67" s="1065"/>
      <c r="D67" s="1065"/>
      <c r="E67" s="1074"/>
      <c r="F67" s="1074"/>
      <c r="G67" s="1074"/>
      <c r="H67" s="1075"/>
    </row>
    <row r="68" spans="1:8" ht="15" customHeight="1" x14ac:dyDescent="0.2">
      <c r="A68" s="1076"/>
      <c r="B68" s="1338" t="s">
        <v>1080</v>
      </c>
      <c r="C68" s="1065"/>
      <c r="D68" s="1065"/>
      <c r="E68" s="1074"/>
      <c r="F68" s="1074"/>
      <c r="G68" s="1074"/>
      <c r="H68" s="1075"/>
    </row>
    <row r="69" spans="1:8" ht="15" customHeight="1" x14ac:dyDescent="0.2">
      <c r="A69" s="1076"/>
      <c r="B69" s="1337" t="s">
        <v>1085</v>
      </c>
      <c r="C69" s="1340" t="str">
        <f>IF(AND(ISNUMBER(C70),ISNUMBER(C71),ISNUMBER(C72),C72&lt;&gt;0),C70*C71/C72,"")</f>
        <v/>
      </c>
      <c r="D69" s="1340" t="str">
        <f>IF(AND(ISNUMBER(D70),ISNUMBER(D71),ISNUMBER(D72),D72&lt;&gt;0),D70*D71/D72,"")</f>
        <v/>
      </c>
      <c r="E69" s="1074"/>
      <c r="F69" s="1074"/>
      <c r="G69" s="1074"/>
      <c r="H69" s="1075"/>
    </row>
    <row r="70" spans="1:8" ht="15" customHeight="1" x14ac:dyDescent="0.2">
      <c r="A70" s="1076"/>
      <c r="B70" s="1338" t="s">
        <v>1078</v>
      </c>
      <c r="C70" s="1065"/>
      <c r="D70" s="1065"/>
      <c r="E70" s="1074"/>
      <c r="F70" s="1074"/>
      <c r="G70" s="1074"/>
      <c r="H70" s="1075"/>
    </row>
    <row r="71" spans="1:8" ht="15" customHeight="1" x14ac:dyDescent="0.2">
      <c r="A71" s="1076"/>
      <c r="B71" s="1338" t="s">
        <v>1079</v>
      </c>
      <c r="C71" s="1065"/>
      <c r="D71" s="1065"/>
      <c r="E71" s="1074"/>
      <c r="F71" s="1074"/>
      <c r="G71" s="1074"/>
      <c r="H71" s="1075"/>
    </row>
    <row r="72" spans="1:8" ht="15" customHeight="1" x14ac:dyDescent="0.2">
      <c r="A72" s="1076"/>
      <c r="B72" s="1338" t="s">
        <v>1080</v>
      </c>
      <c r="C72" s="1065"/>
      <c r="D72" s="1065"/>
      <c r="E72" s="1074"/>
      <c r="F72" s="1074"/>
      <c r="G72" s="1074"/>
      <c r="H72" s="1075"/>
    </row>
    <row r="73" spans="1:8" ht="15" customHeight="1" x14ac:dyDescent="0.2">
      <c r="A73" s="1076"/>
      <c r="B73" s="317" t="s">
        <v>1086</v>
      </c>
      <c r="C73" s="1340" t="str">
        <f>IF(AND(ISNUMBER(C74),ISNUMBER(C75),ISNUMBER(C76),ISNUMBER(C77),ISNUMBER(C78)),SUM(C74:C78),"")</f>
        <v/>
      </c>
      <c r="D73" s="1340" t="str">
        <f>IF(AND(ISNUMBER(D74),ISNUMBER(D75),ISNUMBER(D76),ISNUMBER(D77),ISNUMBER(D78)),SUM(D74:D78),"")</f>
        <v/>
      </c>
      <c r="E73" s="1074"/>
      <c r="F73" s="1074"/>
      <c r="G73" s="1074"/>
      <c r="H73" s="1075"/>
    </row>
    <row r="74" spans="1:8" ht="15" customHeight="1" x14ac:dyDescent="0.2">
      <c r="A74" s="1076"/>
      <c r="B74" s="1338" t="s">
        <v>1087</v>
      </c>
      <c r="C74" s="1065"/>
      <c r="D74" s="1065"/>
      <c r="E74" s="1074"/>
      <c r="F74" s="1074"/>
      <c r="G74" s="1074"/>
      <c r="H74" s="1075"/>
    </row>
    <row r="75" spans="1:8" ht="15" customHeight="1" x14ac:dyDescent="0.2">
      <c r="A75" s="1076"/>
      <c r="B75" s="1338" t="s">
        <v>1088</v>
      </c>
      <c r="C75" s="1065"/>
      <c r="D75" s="1065"/>
      <c r="E75" s="1074"/>
      <c r="F75" s="1074"/>
      <c r="G75" s="1074"/>
      <c r="H75" s="1075"/>
    </row>
    <row r="76" spans="1:8" ht="15" customHeight="1" x14ac:dyDescent="0.2">
      <c r="A76" s="1076"/>
      <c r="B76" s="1338" t="s">
        <v>1089</v>
      </c>
      <c r="C76" s="1065"/>
      <c r="D76" s="1065"/>
      <c r="E76" s="1074"/>
      <c r="F76" s="1074"/>
      <c r="G76" s="1074"/>
      <c r="H76" s="1075"/>
    </row>
    <row r="77" spans="1:8" ht="15" customHeight="1" x14ac:dyDescent="0.2">
      <c r="A77" s="1076"/>
      <c r="B77" s="1338" t="s">
        <v>1090</v>
      </c>
      <c r="C77" s="1065"/>
      <c r="D77" s="1065"/>
      <c r="E77" s="1074"/>
      <c r="F77" s="1074"/>
      <c r="G77" s="1074"/>
      <c r="H77" s="1075"/>
    </row>
    <row r="78" spans="1:8" ht="15" customHeight="1" x14ac:dyDescent="0.2">
      <c r="A78" s="1076"/>
      <c r="B78" s="1338" t="s">
        <v>1091</v>
      </c>
      <c r="C78" s="1342"/>
      <c r="D78" s="1342"/>
      <c r="E78" s="1074"/>
      <c r="F78" s="1074"/>
      <c r="G78" s="1074"/>
      <c r="H78" s="1075"/>
    </row>
    <row r="79" spans="1:8" ht="15" customHeight="1" x14ac:dyDescent="0.2">
      <c r="A79" s="1076"/>
      <c r="B79" s="324" t="s">
        <v>1092</v>
      </c>
      <c r="C79" s="1421">
        <f>Parameters!F89</f>
        <v>0.5</v>
      </c>
      <c r="D79" s="1422">
        <f>Parameters!F89</f>
        <v>0.5</v>
      </c>
      <c r="E79" s="1074"/>
      <c r="F79" s="1074"/>
      <c r="G79" s="1074"/>
      <c r="H79" s="1075"/>
    </row>
    <row r="80" spans="1:8" ht="15" customHeight="1" x14ac:dyDescent="0.2">
      <c r="A80" s="1076"/>
      <c r="B80" s="1343" t="s">
        <v>1093</v>
      </c>
      <c r="C80" s="1375"/>
      <c r="D80" s="1375"/>
      <c r="E80" s="1074"/>
      <c r="F80" s="1074"/>
      <c r="G80" s="1074"/>
      <c r="H80" s="1075"/>
    </row>
    <row r="81" spans="1:8" ht="15" customHeight="1" x14ac:dyDescent="0.2">
      <c r="A81" s="1076"/>
      <c r="B81" s="356" t="s">
        <v>493</v>
      </c>
      <c r="C81" s="1344" t="str">
        <f>IF(AND(ISNUMBER(C39),ISNUMBER(C48),ISNUMBER(C73),ISNUMBER(C80)),C39+C48+C73+C80,"")</f>
        <v/>
      </c>
      <c r="D81" s="1344" t="str">
        <f>IF(AND(ISNUMBER(D39),ISNUMBER(D48),ISNUMBER(D73),ISNUMBER(D80)),D39+D48+C73+D80,"")</f>
        <v/>
      </c>
      <c r="E81" s="1074"/>
      <c r="F81" s="1074"/>
      <c r="G81" s="1074"/>
      <c r="H81" s="1075"/>
    </row>
    <row r="82" spans="1:8" ht="15" customHeight="1" x14ac:dyDescent="0.2">
      <c r="A82" s="214"/>
      <c r="B82" s="1070"/>
      <c r="C82" s="1070"/>
      <c r="D82" s="1070"/>
      <c r="E82" s="1070"/>
      <c r="F82" s="1070"/>
      <c r="G82" s="1074"/>
      <c r="H82" s="1075"/>
    </row>
    <row r="83" spans="1:8" s="207" customFormat="1" ht="30" customHeight="1" x14ac:dyDescent="0.25">
      <c r="A83" s="1377" t="s">
        <v>1195</v>
      </c>
      <c r="B83" s="18"/>
      <c r="C83" s="16"/>
      <c r="D83" s="16"/>
      <c r="E83" s="203"/>
      <c r="F83" s="203"/>
      <c r="G83" s="203"/>
      <c r="H83" s="32"/>
    </row>
    <row r="84" spans="1:8" s="87" customFormat="1" ht="15" customHeight="1" x14ac:dyDescent="0.2">
      <c r="A84" s="1319"/>
      <c r="B84" s="1320"/>
      <c r="C84" s="1320"/>
      <c r="D84" s="1320"/>
      <c r="E84" s="1320"/>
      <c r="F84" s="1320"/>
      <c r="G84" s="1320"/>
      <c r="H84" s="1321"/>
    </row>
    <row r="85" spans="1:8" s="87" customFormat="1" ht="15" customHeight="1" x14ac:dyDescent="0.2">
      <c r="A85" s="147"/>
      <c r="B85" s="1371" t="s">
        <v>1131</v>
      </c>
      <c r="C85" s="1677" t="s">
        <v>1128</v>
      </c>
      <c r="D85" s="1678"/>
      <c r="E85" s="1679"/>
      <c r="F85" s="1677" t="s">
        <v>1132</v>
      </c>
      <c r="G85" s="1678"/>
      <c r="H85" s="1075"/>
    </row>
    <row r="86" spans="1:8" s="87" customFormat="1" ht="15" customHeight="1" x14ac:dyDescent="0.2">
      <c r="A86" s="147"/>
      <c r="B86" s="1044" t="str">
        <f>"Desk " &amp; (ROW(B86)-ROW(B$85))</f>
        <v>Desk 1</v>
      </c>
      <c r="C86" s="1798"/>
      <c r="D86" s="1798"/>
      <c r="E86" s="1798"/>
      <c r="F86" s="1802"/>
      <c r="G86" s="1803"/>
      <c r="H86" s="1075"/>
    </row>
    <row r="87" spans="1:8" s="87" customFormat="1" ht="15" customHeight="1" x14ac:dyDescent="0.2">
      <c r="A87" s="147"/>
      <c r="B87" s="1045" t="str">
        <f t="shared" ref="B87:B150" si="0">"Desk " &amp; (ROW(B87)-ROW(B$85))</f>
        <v>Desk 2</v>
      </c>
      <c r="C87" s="1798"/>
      <c r="D87" s="1798"/>
      <c r="E87" s="1798"/>
      <c r="F87" s="1800"/>
      <c r="G87" s="1801"/>
      <c r="H87" s="1075"/>
    </row>
    <row r="88" spans="1:8" s="87" customFormat="1" ht="15" customHeight="1" x14ac:dyDescent="0.2">
      <c r="A88" s="147"/>
      <c r="B88" s="1045" t="str">
        <f t="shared" si="0"/>
        <v>Desk 3</v>
      </c>
      <c r="C88" s="1798"/>
      <c r="D88" s="1798"/>
      <c r="E88" s="1798"/>
      <c r="F88" s="1800"/>
      <c r="G88" s="1801"/>
      <c r="H88" s="1075"/>
    </row>
    <row r="89" spans="1:8" s="87" customFormat="1" ht="15" customHeight="1" x14ac:dyDescent="0.2">
      <c r="A89" s="147"/>
      <c r="B89" s="1045" t="str">
        <f t="shared" si="0"/>
        <v>Desk 4</v>
      </c>
      <c r="C89" s="1798"/>
      <c r="D89" s="1798"/>
      <c r="E89" s="1798"/>
      <c r="F89" s="1800"/>
      <c r="G89" s="1801"/>
      <c r="H89" s="1075"/>
    </row>
    <row r="90" spans="1:8" s="87" customFormat="1" ht="15" customHeight="1" x14ac:dyDescent="0.2">
      <c r="A90" s="147"/>
      <c r="B90" s="1045" t="str">
        <f t="shared" si="0"/>
        <v>Desk 5</v>
      </c>
      <c r="C90" s="1798"/>
      <c r="D90" s="1798"/>
      <c r="E90" s="1798"/>
      <c r="F90" s="1800"/>
      <c r="G90" s="1801"/>
      <c r="H90" s="1075"/>
    </row>
    <row r="91" spans="1:8" s="87" customFormat="1" ht="15" customHeight="1" x14ac:dyDescent="0.2">
      <c r="A91" s="147"/>
      <c r="B91" s="1045" t="str">
        <f t="shared" si="0"/>
        <v>Desk 6</v>
      </c>
      <c r="C91" s="1798"/>
      <c r="D91" s="1798"/>
      <c r="E91" s="1798"/>
      <c r="F91" s="1800"/>
      <c r="G91" s="1801"/>
      <c r="H91" s="1075"/>
    </row>
    <row r="92" spans="1:8" s="87" customFormat="1" ht="15" customHeight="1" x14ac:dyDescent="0.2">
      <c r="A92" s="147"/>
      <c r="B92" s="1045" t="str">
        <f t="shared" si="0"/>
        <v>Desk 7</v>
      </c>
      <c r="C92" s="1798"/>
      <c r="D92" s="1798"/>
      <c r="E92" s="1798"/>
      <c r="F92" s="1800"/>
      <c r="G92" s="1801"/>
      <c r="H92" s="1075"/>
    </row>
    <row r="93" spans="1:8" s="87" customFormat="1" ht="15" customHeight="1" x14ac:dyDescent="0.2">
      <c r="A93" s="147"/>
      <c r="B93" s="1045" t="str">
        <f t="shared" si="0"/>
        <v>Desk 8</v>
      </c>
      <c r="C93" s="1798"/>
      <c r="D93" s="1798"/>
      <c r="E93" s="1798"/>
      <c r="F93" s="1800"/>
      <c r="G93" s="1801"/>
      <c r="H93" s="1075"/>
    </row>
    <row r="94" spans="1:8" s="87" customFormat="1" ht="15" customHeight="1" x14ac:dyDescent="0.2">
      <c r="A94" s="147"/>
      <c r="B94" s="1045" t="str">
        <f t="shared" si="0"/>
        <v>Desk 9</v>
      </c>
      <c r="C94" s="1798"/>
      <c r="D94" s="1798"/>
      <c r="E94" s="1798"/>
      <c r="F94" s="1800"/>
      <c r="G94" s="1801"/>
      <c r="H94" s="1075"/>
    </row>
    <row r="95" spans="1:8" s="87" customFormat="1" ht="15" customHeight="1" x14ac:dyDescent="0.2">
      <c r="A95" s="147"/>
      <c r="B95" s="1045" t="str">
        <f t="shared" si="0"/>
        <v>Desk 10</v>
      </c>
      <c r="C95" s="1798"/>
      <c r="D95" s="1798"/>
      <c r="E95" s="1798"/>
      <c r="F95" s="1800"/>
      <c r="G95" s="1801"/>
      <c r="H95" s="1075"/>
    </row>
    <row r="96" spans="1:8" s="87" customFormat="1" ht="15" customHeight="1" x14ac:dyDescent="0.2">
      <c r="A96" s="147"/>
      <c r="B96" s="1045" t="str">
        <f t="shared" si="0"/>
        <v>Desk 11</v>
      </c>
      <c r="C96" s="1798"/>
      <c r="D96" s="1798"/>
      <c r="E96" s="1798"/>
      <c r="F96" s="1800"/>
      <c r="G96" s="1801"/>
      <c r="H96" s="1075"/>
    </row>
    <row r="97" spans="1:8" s="87" customFormat="1" ht="15" customHeight="1" x14ac:dyDescent="0.2">
      <c r="A97" s="147"/>
      <c r="B97" s="1045" t="str">
        <f t="shared" si="0"/>
        <v>Desk 12</v>
      </c>
      <c r="C97" s="1798"/>
      <c r="D97" s="1798"/>
      <c r="E97" s="1798"/>
      <c r="F97" s="1800"/>
      <c r="G97" s="1801"/>
      <c r="H97" s="1075"/>
    </row>
    <row r="98" spans="1:8" s="87" customFormat="1" ht="15" customHeight="1" x14ac:dyDescent="0.2">
      <c r="A98" s="147"/>
      <c r="B98" s="1045" t="str">
        <f t="shared" si="0"/>
        <v>Desk 13</v>
      </c>
      <c r="C98" s="1798"/>
      <c r="D98" s="1798"/>
      <c r="E98" s="1798"/>
      <c r="F98" s="1800"/>
      <c r="G98" s="1801"/>
      <c r="H98" s="1075"/>
    </row>
    <row r="99" spans="1:8" s="87" customFormat="1" ht="15" customHeight="1" x14ac:dyDescent="0.2">
      <c r="A99" s="147"/>
      <c r="B99" s="1045" t="str">
        <f t="shared" si="0"/>
        <v>Desk 14</v>
      </c>
      <c r="C99" s="1798"/>
      <c r="D99" s="1798"/>
      <c r="E99" s="1798"/>
      <c r="F99" s="1800"/>
      <c r="G99" s="1801"/>
      <c r="H99" s="1075"/>
    </row>
    <row r="100" spans="1:8" s="87" customFormat="1" ht="15" customHeight="1" x14ac:dyDescent="0.2">
      <c r="A100" s="147"/>
      <c r="B100" s="1045" t="str">
        <f t="shared" si="0"/>
        <v>Desk 15</v>
      </c>
      <c r="C100" s="1798"/>
      <c r="D100" s="1798"/>
      <c r="E100" s="1798"/>
      <c r="F100" s="1800"/>
      <c r="G100" s="1801"/>
      <c r="H100" s="1075"/>
    </row>
    <row r="101" spans="1:8" s="87" customFormat="1" ht="15" customHeight="1" x14ac:dyDescent="0.2">
      <c r="A101" s="147"/>
      <c r="B101" s="1045" t="str">
        <f t="shared" si="0"/>
        <v>Desk 16</v>
      </c>
      <c r="C101" s="1798"/>
      <c r="D101" s="1798"/>
      <c r="E101" s="1798"/>
      <c r="F101" s="1800"/>
      <c r="G101" s="1801"/>
      <c r="H101" s="1075"/>
    </row>
    <row r="102" spans="1:8" s="87" customFormat="1" ht="15" customHeight="1" x14ac:dyDescent="0.2">
      <c r="A102" s="147"/>
      <c r="B102" s="1045" t="str">
        <f t="shared" si="0"/>
        <v>Desk 17</v>
      </c>
      <c r="C102" s="1798"/>
      <c r="D102" s="1798"/>
      <c r="E102" s="1798"/>
      <c r="F102" s="1800"/>
      <c r="G102" s="1801"/>
      <c r="H102" s="1075"/>
    </row>
    <row r="103" spans="1:8" s="87" customFormat="1" ht="15" customHeight="1" x14ac:dyDescent="0.2">
      <c r="A103" s="147"/>
      <c r="B103" s="1045" t="str">
        <f t="shared" si="0"/>
        <v>Desk 18</v>
      </c>
      <c r="C103" s="1798"/>
      <c r="D103" s="1798"/>
      <c r="E103" s="1798"/>
      <c r="F103" s="1800"/>
      <c r="G103" s="1801"/>
      <c r="H103" s="1075"/>
    </row>
    <row r="104" spans="1:8" s="87" customFormat="1" ht="15" customHeight="1" x14ac:dyDescent="0.2">
      <c r="A104" s="147"/>
      <c r="B104" s="1045" t="str">
        <f t="shared" si="0"/>
        <v>Desk 19</v>
      </c>
      <c r="C104" s="1798"/>
      <c r="D104" s="1798"/>
      <c r="E104" s="1798"/>
      <c r="F104" s="1800"/>
      <c r="G104" s="1801"/>
      <c r="H104" s="1075"/>
    </row>
    <row r="105" spans="1:8" s="87" customFormat="1" ht="15" customHeight="1" x14ac:dyDescent="0.2">
      <c r="A105" s="147"/>
      <c r="B105" s="1045" t="str">
        <f t="shared" si="0"/>
        <v>Desk 20</v>
      </c>
      <c r="C105" s="1798"/>
      <c r="D105" s="1798"/>
      <c r="E105" s="1798"/>
      <c r="F105" s="1800"/>
      <c r="G105" s="1801"/>
      <c r="H105" s="1075"/>
    </row>
    <row r="106" spans="1:8" s="87" customFormat="1" ht="15" customHeight="1" x14ac:dyDescent="0.2">
      <c r="A106" s="147"/>
      <c r="B106" s="1045" t="str">
        <f t="shared" si="0"/>
        <v>Desk 21</v>
      </c>
      <c r="C106" s="1798"/>
      <c r="D106" s="1798"/>
      <c r="E106" s="1798"/>
      <c r="F106" s="1800"/>
      <c r="G106" s="1801"/>
      <c r="H106" s="1075"/>
    </row>
    <row r="107" spans="1:8" s="87" customFormat="1" ht="15" customHeight="1" x14ac:dyDescent="0.2">
      <c r="A107" s="147"/>
      <c r="B107" s="1045" t="str">
        <f t="shared" si="0"/>
        <v>Desk 22</v>
      </c>
      <c r="C107" s="1798"/>
      <c r="D107" s="1798"/>
      <c r="E107" s="1798"/>
      <c r="F107" s="1800"/>
      <c r="G107" s="1801"/>
      <c r="H107" s="1075"/>
    </row>
    <row r="108" spans="1:8" s="87" customFormat="1" ht="15" customHeight="1" x14ac:dyDescent="0.2">
      <c r="A108" s="147"/>
      <c r="B108" s="1045" t="str">
        <f t="shared" si="0"/>
        <v>Desk 23</v>
      </c>
      <c r="C108" s="1798"/>
      <c r="D108" s="1798"/>
      <c r="E108" s="1798"/>
      <c r="F108" s="1800"/>
      <c r="G108" s="1801"/>
      <c r="H108" s="1075"/>
    </row>
    <row r="109" spans="1:8" s="87" customFormat="1" ht="15" customHeight="1" x14ac:dyDescent="0.2">
      <c r="A109" s="147"/>
      <c r="B109" s="1045" t="str">
        <f t="shared" si="0"/>
        <v>Desk 24</v>
      </c>
      <c r="C109" s="1798"/>
      <c r="D109" s="1798"/>
      <c r="E109" s="1798"/>
      <c r="F109" s="1800"/>
      <c r="G109" s="1801"/>
      <c r="H109" s="1075"/>
    </row>
    <row r="110" spans="1:8" s="87" customFormat="1" ht="15" customHeight="1" x14ac:dyDescent="0.2">
      <c r="A110" s="147"/>
      <c r="B110" s="1045" t="str">
        <f t="shared" si="0"/>
        <v>Desk 25</v>
      </c>
      <c r="C110" s="1798"/>
      <c r="D110" s="1798"/>
      <c r="E110" s="1798"/>
      <c r="F110" s="1800"/>
      <c r="G110" s="1801"/>
      <c r="H110" s="1075"/>
    </row>
    <row r="111" spans="1:8" s="87" customFormat="1" ht="15" customHeight="1" x14ac:dyDescent="0.2">
      <c r="A111" s="147"/>
      <c r="B111" s="1045" t="str">
        <f t="shared" si="0"/>
        <v>Desk 26</v>
      </c>
      <c r="C111" s="1798"/>
      <c r="D111" s="1798"/>
      <c r="E111" s="1798"/>
      <c r="F111" s="1800"/>
      <c r="G111" s="1801"/>
      <c r="H111" s="1075"/>
    </row>
    <row r="112" spans="1:8" s="87" customFormat="1" ht="15" customHeight="1" x14ac:dyDescent="0.2">
      <c r="A112" s="147"/>
      <c r="B112" s="1045" t="str">
        <f t="shared" si="0"/>
        <v>Desk 27</v>
      </c>
      <c r="C112" s="1798"/>
      <c r="D112" s="1798"/>
      <c r="E112" s="1798"/>
      <c r="F112" s="1800"/>
      <c r="G112" s="1801"/>
      <c r="H112" s="1075"/>
    </row>
    <row r="113" spans="1:8" s="87" customFormat="1" ht="15" customHeight="1" x14ac:dyDescent="0.2">
      <c r="A113" s="147"/>
      <c r="B113" s="1045" t="str">
        <f t="shared" si="0"/>
        <v>Desk 28</v>
      </c>
      <c r="C113" s="1798"/>
      <c r="D113" s="1798"/>
      <c r="E113" s="1798"/>
      <c r="F113" s="1800"/>
      <c r="G113" s="1801"/>
      <c r="H113" s="1075"/>
    </row>
    <row r="114" spans="1:8" s="87" customFormat="1" ht="15" customHeight="1" x14ac:dyDescent="0.2">
      <c r="A114" s="147"/>
      <c r="B114" s="1045" t="str">
        <f t="shared" si="0"/>
        <v>Desk 29</v>
      </c>
      <c r="C114" s="1798"/>
      <c r="D114" s="1798"/>
      <c r="E114" s="1798"/>
      <c r="F114" s="1800"/>
      <c r="G114" s="1801"/>
      <c r="H114" s="1075"/>
    </row>
    <row r="115" spans="1:8" s="87" customFormat="1" ht="15" customHeight="1" x14ac:dyDescent="0.2">
      <c r="A115" s="147"/>
      <c r="B115" s="1045" t="str">
        <f t="shared" si="0"/>
        <v>Desk 30</v>
      </c>
      <c r="C115" s="1798"/>
      <c r="D115" s="1798"/>
      <c r="E115" s="1798"/>
      <c r="F115" s="1800"/>
      <c r="G115" s="1801"/>
      <c r="H115" s="1075"/>
    </row>
    <row r="116" spans="1:8" s="87" customFormat="1" ht="15" customHeight="1" x14ac:dyDescent="0.2">
      <c r="A116" s="147"/>
      <c r="B116" s="1045" t="str">
        <f t="shared" si="0"/>
        <v>Desk 31</v>
      </c>
      <c r="C116" s="1798"/>
      <c r="D116" s="1798"/>
      <c r="E116" s="1798"/>
      <c r="F116" s="1800"/>
      <c r="G116" s="1801"/>
      <c r="H116" s="1075"/>
    </row>
    <row r="117" spans="1:8" s="87" customFormat="1" ht="15" customHeight="1" x14ac:dyDescent="0.2">
      <c r="A117" s="147"/>
      <c r="B117" s="1045" t="str">
        <f t="shared" si="0"/>
        <v>Desk 32</v>
      </c>
      <c r="C117" s="1798"/>
      <c r="D117" s="1798"/>
      <c r="E117" s="1798"/>
      <c r="F117" s="1800"/>
      <c r="G117" s="1801"/>
      <c r="H117" s="1075"/>
    </row>
    <row r="118" spans="1:8" s="87" customFormat="1" ht="15" customHeight="1" x14ac:dyDescent="0.2">
      <c r="A118" s="147"/>
      <c r="B118" s="1045" t="str">
        <f t="shared" si="0"/>
        <v>Desk 33</v>
      </c>
      <c r="C118" s="1798"/>
      <c r="D118" s="1798"/>
      <c r="E118" s="1798"/>
      <c r="F118" s="1800"/>
      <c r="G118" s="1801"/>
      <c r="H118" s="1075"/>
    </row>
    <row r="119" spans="1:8" s="87" customFormat="1" ht="15" customHeight="1" x14ac:dyDescent="0.2">
      <c r="A119" s="147"/>
      <c r="B119" s="1045" t="str">
        <f t="shared" si="0"/>
        <v>Desk 34</v>
      </c>
      <c r="C119" s="1798"/>
      <c r="D119" s="1798"/>
      <c r="E119" s="1798"/>
      <c r="F119" s="1800"/>
      <c r="G119" s="1801"/>
      <c r="H119" s="1075"/>
    </row>
    <row r="120" spans="1:8" s="87" customFormat="1" ht="15" customHeight="1" x14ac:dyDescent="0.2">
      <c r="A120" s="147"/>
      <c r="B120" s="1045" t="str">
        <f t="shared" si="0"/>
        <v>Desk 35</v>
      </c>
      <c r="C120" s="1798"/>
      <c r="D120" s="1798"/>
      <c r="E120" s="1798"/>
      <c r="F120" s="1800"/>
      <c r="G120" s="1801"/>
      <c r="H120" s="1075"/>
    </row>
    <row r="121" spans="1:8" s="87" customFormat="1" ht="15" customHeight="1" x14ac:dyDescent="0.2">
      <c r="A121" s="147"/>
      <c r="B121" s="1045" t="str">
        <f t="shared" si="0"/>
        <v>Desk 36</v>
      </c>
      <c r="C121" s="1798"/>
      <c r="D121" s="1798"/>
      <c r="E121" s="1798"/>
      <c r="F121" s="1800"/>
      <c r="G121" s="1801"/>
      <c r="H121" s="1075"/>
    </row>
    <row r="122" spans="1:8" s="87" customFormat="1" ht="15" customHeight="1" x14ac:dyDescent="0.2">
      <c r="A122" s="147"/>
      <c r="B122" s="1045" t="str">
        <f t="shared" si="0"/>
        <v>Desk 37</v>
      </c>
      <c r="C122" s="1798"/>
      <c r="D122" s="1798"/>
      <c r="E122" s="1798"/>
      <c r="F122" s="1800"/>
      <c r="G122" s="1801"/>
      <c r="H122" s="1075"/>
    </row>
    <row r="123" spans="1:8" s="87" customFormat="1" ht="15" customHeight="1" x14ac:dyDescent="0.2">
      <c r="A123" s="147"/>
      <c r="B123" s="1045" t="str">
        <f t="shared" si="0"/>
        <v>Desk 38</v>
      </c>
      <c r="C123" s="1798"/>
      <c r="D123" s="1798"/>
      <c r="E123" s="1798"/>
      <c r="F123" s="1800"/>
      <c r="G123" s="1801"/>
      <c r="H123" s="1075"/>
    </row>
    <row r="124" spans="1:8" s="87" customFormat="1" ht="15" customHeight="1" x14ac:dyDescent="0.2">
      <c r="A124" s="147"/>
      <c r="B124" s="1045" t="str">
        <f t="shared" si="0"/>
        <v>Desk 39</v>
      </c>
      <c r="C124" s="1798"/>
      <c r="D124" s="1798"/>
      <c r="E124" s="1798"/>
      <c r="F124" s="1800"/>
      <c r="G124" s="1801"/>
      <c r="H124" s="1075"/>
    </row>
    <row r="125" spans="1:8" s="87" customFormat="1" ht="15" customHeight="1" x14ac:dyDescent="0.2">
      <c r="A125" s="147"/>
      <c r="B125" s="1045" t="str">
        <f t="shared" si="0"/>
        <v>Desk 40</v>
      </c>
      <c r="C125" s="1798"/>
      <c r="D125" s="1798"/>
      <c r="E125" s="1798"/>
      <c r="F125" s="1800"/>
      <c r="G125" s="1801"/>
      <c r="H125" s="1075"/>
    </row>
    <row r="126" spans="1:8" s="87" customFormat="1" ht="15" customHeight="1" x14ac:dyDescent="0.2">
      <c r="A126" s="147"/>
      <c r="B126" s="1045" t="str">
        <f t="shared" si="0"/>
        <v>Desk 41</v>
      </c>
      <c r="C126" s="1798"/>
      <c r="D126" s="1798"/>
      <c r="E126" s="1798"/>
      <c r="F126" s="1800"/>
      <c r="G126" s="1801"/>
      <c r="H126" s="1075"/>
    </row>
    <row r="127" spans="1:8" s="87" customFormat="1" ht="15" customHeight="1" x14ac:dyDescent="0.2">
      <c r="A127" s="147"/>
      <c r="B127" s="1045" t="str">
        <f t="shared" si="0"/>
        <v>Desk 42</v>
      </c>
      <c r="C127" s="1798"/>
      <c r="D127" s="1798"/>
      <c r="E127" s="1798"/>
      <c r="F127" s="1800"/>
      <c r="G127" s="1801"/>
      <c r="H127" s="1075"/>
    </row>
    <row r="128" spans="1:8" s="87" customFormat="1" ht="15" customHeight="1" x14ac:dyDescent="0.2">
      <c r="A128" s="147"/>
      <c r="B128" s="1045" t="str">
        <f t="shared" si="0"/>
        <v>Desk 43</v>
      </c>
      <c r="C128" s="1798"/>
      <c r="D128" s="1798"/>
      <c r="E128" s="1798"/>
      <c r="F128" s="1800"/>
      <c r="G128" s="1801"/>
      <c r="H128" s="1075"/>
    </row>
    <row r="129" spans="1:8" s="87" customFormat="1" ht="15" customHeight="1" x14ac:dyDescent="0.2">
      <c r="A129" s="147"/>
      <c r="B129" s="1045" t="str">
        <f t="shared" si="0"/>
        <v>Desk 44</v>
      </c>
      <c r="C129" s="1798"/>
      <c r="D129" s="1798"/>
      <c r="E129" s="1798"/>
      <c r="F129" s="1800"/>
      <c r="G129" s="1801"/>
      <c r="H129" s="1075"/>
    </row>
    <row r="130" spans="1:8" s="87" customFormat="1" ht="15" customHeight="1" x14ac:dyDescent="0.2">
      <c r="A130" s="147"/>
      <c r="B130" s="1045" t="str">
        <f t="shared" si="0"/>
        <v>Desk 45</v>
      </c>
      <c r="C130" s="1798"/>
      <c r="D130" s="1798"/>
      <c r="E130" s="1798"/>
      <c r="F130" s="1800"/>
      <c r="G130" s="1801"/>
      <c r="H130" s="1075"/>
    </row>
    <row r="131" spans="1:8" s="87" customFormat="1" ht="15" customHeight="1" x14ac:dyDescent="0.2">
      <c r="A131" s="147"/>
      <c r="B131" s="1045" t="str">
        <f t="shared" si="0"/>
        <v>Desk 46</v>
      </c>
      <c r="C131" s="1798"/>
      <c r="D131" s="1798"/>
      <c r="E131" s="1798"/>
      <c r="F131" s="1800"/>
      <c r="G131" s="1801"/>
      <c r="H131" s="1075"/>
    </row>
    <row r="132" spans="1:8" s="87" customFormat="1" ht="15" customHeight="1" x14ac:dyDescent="0.2">
      <c r="A132" s="147"/>
      <c r="B132" s="1045" t="str">
        <f t="shared" si="0"/>
        <v>Desk 47</v>
      </c>
      <c r="C132" s="1798"/>
      <c r="D132" s="1798"/>
      <c r="E132" s="1798"/>
      <c r="F132" s="1800"/>
      <c r="G132" s="1801"/>
      <c r="H132" s="1075"/>
    </row>
    <row r="133" spans="1:8" s="87" customFormat="1" ht="15" customHeight="1" x14ac:dyDescent="0.2">
      <c r="A133" s="147"/>
      <c r="B133" s="1045" t="str">
        <f t="shared" si="0"/>
        <v>Desk 48</v>
      </c>
      <c r="C133" s="1798"/>
      <c r="D133" s="1798"/>
      <c r="E133" s="1798"/>
      <c r="F133" s="1800"/>
      <c r="G133" s="1801"/>
      <c r="H133" s="1075"/>
    </row>
    <row r="134" spans="1:8" s="87" customFormat="1" ht="15" customHeight="1" x14ac:dyDescent="0.2">
      <c r="A134" s="147"/>
      <c r="B134" s="1045" t="str">
        <f t="shared" si="0"/>
        <v>Desk 49</v>
      </c>
      <c r="C134" s="1798"/>
      <c r="D134" s="1798"/>
      <c r="E134" s="1798"/>
      <c r="F134" s="1800"/>
      <c r="G134" s="1801"/>
      <c r="H134" s="1075"/>
    </row>
    <row r="135" spans="1:8" s="87" customFormat="1" ht="15" customHeight="1" x14ac:dyDescent="0.2">
      <c r="A135" s="147"/>
      <c r="B135" s="1045" t="str">
        <f t="shared" si="0"/>
        <v>Desk 50</v>
      </c>
      <c r="C135" s="1798"/>
      <c r="D135" s="1798"/>
      <c r="E135" s="1798"/>
      <c r="F135" s="1800"/>
      <c r="G135" s="1801"/>
      <c r="H135" s="1075"/>
    </row>
    <row r="136" spans="1:8" s="87" customFormat="1" ht="15" customHeight="1" x14ac:dyDescent="0.2">
      <c r="A136" s="147"/>
      <c r="B136" s="1045" t="str">
        <f t="shared" si="0"/>
        <v>Desk 51</v>
      </c>
      <c r="C136" s="1798"/>
      <c r="D136" s="1798"/>
      <c r="E136" s="1798"/>
      <c r="F136" s="1800"/>
      <c r="G136" s="1801"/>
      <c r="H136" s="1075"/>
    </row>
    <row r="137" spans="1:8" s="87" customFormat="1" ht="15" customHeight="1" x14ac:dyDescent="0.2">
      <c r="A137" s="147"/>
      <c r="B137" s="1045" t="str">
        <f t="shared" si="0"/>
        <v>Desk 52</v>
      </c>
      <c r="C137" s="1798"/>
      <c r="D137" s="1798"/>
      <c r="E137" s="1798"/>
      <c r="F137" s="1800"/>
      <c r="G137" s="1801"/>
      <c r="H137" s="1075"/>
    </row>
    <row r="138" spans="1:8" s="87" customFormat="1" ht="15" customHeight="1" x14ac:dyDescent="0.2">
      <c r="A138" s="147"/>
      <c r="B138" s="1045" t="str">
        <f t="shared" si="0"/>
        <v>Desk 53</v>
      </c>
      <c r="C138" s="1798"/>
      <c r="D138" s="1798"/>
      <c r="E138" s="1798"/>
      <c r="F138" s="1800"/>
      <c r="G138" s="1801"/>
      <c r="H138" s="1075"/>
    </row>
    <row r="139" spans="1:8" s="87" customFormat="1" ht="15" customHeight="1" x14ac:dyDescent="0.2">
      <c r="A139" s="147"/>
      <c r="B139" s="1045" t="str">
        <f t="shared" si="0"/>
        <v>Desk 54</v>
      </c>
      <c r="C139" s="1798"/>
      <c r="D139" s="1798"/>
      <c r="E139" s="1798"/>
      <c r="F139" s="1800"/>
      <c r="G139" s="1801"/>
      <c r="H139" s="1075"/>
    </row>
    <row r="140" spans="1:8" s="87" customFormat="1" ht="15" customHeight="1" x14ac:dyDescent="0.2">
      <c r="A140" s="147"/>
      <c r="B140" s="1045" t="str">
        <f t="shared" si="0"/>
        <v>Desk 55</v>
      </c>
      <c r="C140" s="1798"/>
      <c r="D140" s="1798"/>
      <c r="E140" s="1798"/>
      <c r="F140" s="1800"/>
      <c r="G140" s="1801"/>
      <c r="H140" s="1075"/>
    </row>
    <row r="141" spans="1:8" s="87" customFormat="1" ht="15" customHeight="1" x14ac:dyDescent="0.2">
      <c r="A141" s="147"/>
      <c r="B141" s="1045" t="str">
        <f t="shared" si="0"/>
        <v>Desk 56</v>
      </c>
      <c r="C141" s="1798"/>
      <c r="D141" s="1798"/>
      <c r="E141" s="1798"/>
      <c r="F141" s="1800"/>
      <c r="G141" s="1801"/>
      <c r="H141" s="1075"/>
    </row>
    <row r="142" spans="1:8" s="87" customFormat="1" ht="15" customHeight="1" x14ac:dyDescent="0.2">
      <c r="A142" s="147"/>
      <c r="B142" s="1045" t="str">
        <f t="shared" si="0"/>
        <v>Desk 57</v>
      </c>
      <c r="C142" s="1798"/>
      <c r="D142" s="1798"/>
      <c r="E142" s="1798"/>
      <c r="F142" s="1800"/>
      <c r="G142" s="1801"/>
      <c r="H142" s="1075"/>
    </row>
    <row r="143" spans="1:8" s="87" customFormat="1" ht="15" customHeight="1" x14ac:dyDescent="0.2">
      <c r="A143" s="147"/>
      <c r="B143" s="1045" t="str">
        <f t="shared" si="0"/>
        <v>Desk 58</v>
      </c>
      <c r="C143" s="1798"/>
      <c r="D143" s="1798"/>
      <c r="E143" s="1798"/>
      <c r="F143" s="1800"/>
      <c r="G143" s="1801"/>
      <c r="H143" s="1075"/>
    </row>
    <row r="144" spans="1:8" s="87" customFormat="1" ht="15" customHeight="1" x14ac:dyDescent="0.2">
      <c r="A144" s="147"/>
      <c r="B144" s="1045" t="str">
        <f t="shared" si="0"/>
        <v>Desk 59</v>
      </c>
      <c r="C144" s="1798"/>
      <c r="D144" s="1798"/>
      <c r="E144" s="1798"/>
      <c r="F144" s="1800"/>
      <c r="G144" s="1801"/>
      <c r="H144" s="1075"/>
    </row>
    <row r="145" spans="1:8" s="87" customFormat="1" ht="15" customHeight="1" x14ac:dyDescent="0.2">
      <c r="A145" s="147"/>
      <c r="B145" s="1045" t="str">
        <f t="shared" si="0"/>
        <v>Desk 60</v>
      </c>
      <c r="C145" s="1798"/>
      <c r="D145" s="1798"/>
      <c r="E145" s="1798"/>
      <c r="F145" s="1800"/>
      <c r="G145" s="1801"/>
      <c r="H145" s="1075"/>
    </row>
    <row r="146" spans="1:8" s="87" customFormat="1" ht="15" customHeight="1" x14ac:dyDescent="0.2">
      <c r="A146" s="147"/>
      <c r="B146" s="1045" t="str">
        <f t="shared" si="0"/>
        <v>Desk 61</v>
      </c>
      <c r="C146" s="1798"/>
      <c r="D146" s="1798"/>
      <c r="E146" s="1798"/>
      <c r="F146" s="1800"/>
      <c r="G146" s="1801"/>
      <c r="H146" s="1075"/>
    </row>
    <row r="147" spans="1:8" s="87" customFormat="1" ht="15" customHeight="1" x14ac:dyDescent="0.2">
      <c r="A147" s="147"/>
      <c r="B147" s="1045" t="str">
        <f t="shared" si="0"/>
        <v>Desk 62</v>
      </c>
      <c r="C147" s="1798"/>
      <c r="D147" s="1798"/>
      <c r="E147" s="1798"/>
      <c r="F147" s="1800"/>
      <c r="G147" s="1801"/>
      <c r="H147" s="1075"/>
    </row>
    <row r="148" spans="1:8" s="87" customFormat="1" ht="15" customHeight="1" x14ac:dyDescent="0.2">
      <c r="A148" s="147"/>
      <c r="B148" s="1045" t="str">
        <f t="shared" si="0"/>
        <v>Desk 63</v>
      </c>
      <c r="C148" s="1798"/>
      <c r="D148" s="1798"/>
      <c r="E148" s="1798"/>
      <c r="F148" s="1800"/>
      <c r="G148" s="1801"/>
      <c r="H148" s="1075"/>
    </row>
    <row r="149" spans="1:8" s="87" customFormat="1" ht="15" customHeight="1" x14ac:dyDescent="0.2">
      <c r="A149" s="147"/>
      <c r="B149" s="1045" t="str">
        <f t="shared" si="0"/>
        <v>Desk 64</v>
      </c>
      <c r="C149" s="1798"/>
      <c r="D149" s="1798"/>
      <c r="E149" s="1798"/>
      <c r="F149" s="1800"/>
      <c r="G149" s="1801"/>
      <c r="H149" s="1075"/>
    </row>
    <row r="150" spans="1:8" s="87" customFormat="1" ht="15" customHeight="1" x14ac:dyDescent="0.2">
      <c r="A150" s="147"/>
      <c r="B150" s="1045" t="str">
        <f t="shared" si="0"/>
        <v>Desk 65</v>
      </c>
      <c r="C150" s="1798"/>
      <c r="D150" s="1798"/>
      <c r="E150" s="1798"/>
      <c r="F150" s="1800"/>
      <c r="G150" s="1801"/>
      <c r="H150" s="1075"/>
    </row>
    <row r="151" spans="1:8" s="87" customFormat="1" ht="15" customHeight="1" x14ac:dyDescent="0.2">
      <c r="A151" s="147"/>
      <c r="B151" s="1045" t="str">
        <f t="shared" ref="B151:B185" si="1">"Desk " &amp; (ROW(B151)-ROW(B$85))</f>
        <v>Desk 66</v>
      </c>
      <c r="C151" s="1798"/>
      <c r="D151" s="1798"/>
      <c r="E151" s="1798"/>
      <c r="F151" s="1800"/>
      <c r="G151" s="1801"/>
      <c r="H151" s="1075"/>
    </row>
    <row r="152" spans="1:8" s="87" customFormat="1" ht="15" customHeight="1" x14ac:dyDescent="0.2">
      <c r="A152" s="147"/>
      <c r="B152" s="1045" t="str">
        <f t="shared" si="1"/>
        <v>Desk 67</v>
      </c>
      <c r="C152" s="1798"/>
      <c r="D152" s="1798"/>
      <c r="E152" s="1798"/>
      <c r="F152" s="1800"/>
      <c r="G152" s="1801"/>
      <c r="H152" s="1075"/>
    </row>
    <row r="153" spans="1:8" s="87" customFormat="1" ht="15" customHeight="1" x14ac:dyDescent="0.2">
      <c r="A153" s="147"/>
      <c r="B153" s="1045" t="str">
        <f t="shared" si="1"/>
        <v>Desk 68</v>
      </c>
      <c r="C153" s="1798"/>
      <c r="D153" s="1798"/>
      <c r="E153" s="1798"/>
      <c r="F153" s="1800"/>
      <c r="G153" s="1801"/>
      <c r="H153" s="1075"/>
    </row>
    <row r="154" spans="1:8" s="87" customFormat="1" ht="15" customHeight="1" x14ac:dyDescent="0.2">
      <c r="A154" s="147"/>
      <c r="B154" s="1045" t="str">
        <f t="shared" si="1"/>
        <v>Desk 69</v>
      </c>
      <c r="C154" s="1798"/>
      <c r="D154" s="1798"/>
      <c r="E154" s="1798"/>
      <c r="F154" s="1800"/>
      <c r="G154" s="1801"/>
      <c r="H154" s="1075"/>
    </row>
    <row r="155" spans="1:8" s="87" customFormat="1" ht="15" customHeight="1" x14ac:dyDescent="0.2">
      <c r="A155" s="147"/>
      <c r="B155" s="1045" t="str">
        <f t="shared" si="1"/>
        <v>Desk 70</v>
      </c>
      <c r="C155" s="1798"/>
      <c r="D155" s="1798"/>
      <c r="E155" s="1798"/>
      <c r="F155" s="1800"/>
      <c r="G155" s="1801"/>
      <c r="H155" s="1075"/>
    </row>
    <row r="156" spans="1:8" s="87" customFormat="1" ht="15" customHeight="1" x14ac:dyDescent="0.2">
      <c r="A156" s="147"/>
      <c r="B156" s="1045" t="str">
        <f t="shared" si="1"/>
        <v>Desk 71</v>
      </c>
      <c r="C156" s="1798"/>
      <c r="D156" s="1798"/>
      <c r="E156" s="1798"/>
      <c r="F156" s="1800"/>
      <c r="G156" s="1801"/>
      <c r="H156" s="1075"/>
    </row>
    <row r="157" spans="1:8" s="87" customFormat="1" ht="15" customHeight="1" x14ac:dyDescent="0.2">
      <c r="A157" s="147"/>
      <c r="B157" s="1045" t="str">
        <f t="shared" si="1"/>
        <v>Desk 72</v>
      </c>
      <c r="C157" s="1798"/>
      <c r="D157" s="1798"/>
      <c r="E157" s="1798"/>
      <c r="F157" s="1800"/>
      <c r="G157" s="1801"/>
      <c r="H157" s="1075"/>
    </row>
    <row r="158" spans="1:8" s="87" customFormat="1" ht="15" customHeight="1" x14ac:dyDescent="0.2">
      <c r="A158" s="147"/>
      <c r="B158" s="1045" t="str">
        <f t="shared" si="1"/>
        <v>Desk 73</v>
      </c>
      <c r="C158" s="1798"/>
      <c r="D158" s="1798"/>
      <c r="E158" s="1798"/>
      <c r="F158" s="1800"/>
      <c r="G158" s="1801"/>
      <c r="H158" s="1075"/>
    </row>
    <row r="159" spans="1:8" s="87" customFormat="1" ht="15" customHeight="1" x14ac:dyDescent="0.2">
      <c r="A159" s="147"/>
      <c r="B159" s="1045" t="str">
        <f t="shared" si="1"/>
        <v>Desk 74</v>
      </c>
      <c r="C159" s="1798"/>
      <c r="D159" s="1798"/>
      <c r="E159" s="1798"/>
      <c r="F159" s="1800"/>
      <c r="G159" s="1801"/>
      <c r="H159" s="1075"/>
    </row>
    <row r="160" spans="1:8" s="87" customFormat="1" ht="15" customHeight="1" x14ac:dyDescent="0.2">
      <c r="A160" s="147"/>
      <c r="B160" s="1045" t="str">
        <f t="shared" si="1"/>
        <v>Desk 75</v>
      </c>
      <c r="C160" s="1798"/>
      <c r="D160" s="1798"/>
      <c r="E160" s="1798"/>
      <c r="F160" s="1800"/>
      <c r="G160" s="1801"/>
      <c r="H160" s="1075"/>
    </row>
    <row r="161" spans="1:8" s="87" customFormat="1" ht="15" customHeight="1" x14ac:dyDescent="0.2">
      <c r="A161" s="147"/>
      <c r="B161" s="1045" t="str">
        <f t="shared" si="1"/>
        <v>Desk 76</v>
      </c>
      <c r="C161" s="1798"/>
      <c r="D161" s="1798"/>
      <c r="E161" s="1798"/>
      <c r="F161" s="1800"/>
      <c r="G161" s="1801"/>
      <c r="H161" s="1075"/>
    </row>
    <row r="162" spans="1:8" s="87" customFormat="1" ht="15" customHeight="1" x14ac:dyDescent="0.2">
      <c r="A162" s="147"/>
      <c r="B162" s="1045" t="str">
        <f t="shared" si="1"/>
        <v>Desk 77</v>
      </c>
      <c r="C162" s="1798"/>
      <c r="D162" s="1798"/>
      <c r="E162" s="1798"/>
      <c r="F162" s="1800"/>
      <c r="G162" s="1801"/>
      <c r="H162" s="1075"/>
    </row>
    <row r="163" spans="1:8" s="87" customFormat="1" ht="15" customHeight="1" x14ac:dyDescent="0.2">
      <c r="A163" s="147"/>
      <c r="B163" s="1045" t="str">
        <f t="shared" si="1"/>
        <v>Desk 78</v>
      </c>
      <c r="C163" s="1798"/>
      <c r="D163" s="1798"/>
      <c r="E163" s="1798"/>
      <c r="F163" s="1800"/>
      <c r="G163" s="1801"/>
      <c r="H163" s="1075"/>
    </row>
    <row r="164" spans="1:8" s="87" customFormat="1" ht="15" customHeight="1" x14ac:dyDescent="0.2">
      <c r="A164" s="147"/>
      <c r="B164" s="1045" t="str">
        <f t="shared" si="1"/>
        <v>Desk 79</v>
      </c>
      <c r="C164" s="1798"/>
      <c r="D164" s="1798"/>
      <c r="E164" s="1798"/>
      <c r="F164" s="1800"/>
      <c r="G164" s="1801"/>
      <c r="H164" s="1075"/>
    </row>
    <row r="165" spans="1:8" s="87" customFormat="1" ht="15" customHeight="1" x14ac:dyDescent="0.2">
      <c r="A165" s="147"/>
      <c r="B165" s="1045" t="str">
        <f t="shared" si="1"/>
        <v>Desk 80</v>
      </c>
      <c r="C165" s="1798"/>
      <c r="D165" s="1798"/>
      <c r="E165" s="1798"/>
      <c r="F165" s="1800"/>
      <c r="G165" s="1801"/>
      <c r="H165" s="1075"/>
    </row>
    <row r="166" spans="1:8" s="87" customFormat="1" ht="15" customHeight="1" x14ac:dyDescent="0.2">
      <c r="A166" s="147"/>
      <c r="B166" s="1045" t="str">
        <f t="shared" si="1"/>
        <v>Desk 81</v>
      </c>
      <c r="C166" s="1798"/>
      <c r="D166" s="1798"/>
      <c r="E166" s="1798"/>
      <c r="F166" s="1800"/>
      <c r="G166" s="1801"/>
      <c r="H166" s="1075"/>
    </row>
    <row r="167" spans="1:8" s="87" customFormat="1" ht="15" customHeight="1" x14ac:dyDescent="0.2">
      <c r="A167" s="147"/>
      <c r="B167" s="1045" t="str">
        <f t="shared" si="1"/>
        <v>Desk 82</v>
      </c>
      <c r="C167" s="1798"/>
      <c r="D167" s="1798"/>
      <c r="E167" s="1798"/>
      <c r="F167" s="1800"/>
      <c r="G167" s="1801"/>
      <c r="H167" s="1075"/>
    </row>
    <row r="168" spans="1:8" s="87" customFormat="1" ht="15" customHeight="1" x14ac:dyDescent="0.2">
      <c r="A168" s="147"/>
      <c r="B168" s="1045" t="str">
        <f t="shared" si="1"/>
        <v>Desk 83</v>
      </c>
      <c r="C168" s="1798"/>
      <c r="D168" s="1798"/>
      <c r="E168" s="1798"/>
      <c r="F168" s="1800"/>
      <c r="G168" s="1801"/>
      <c r="H168" s="1075"/>
    </row>
    <row r="169" spans="1:8" s="87" customFormat="1" ht="15" customHeight="1" x14ac:dyDescent="0.2">
      <c r="A169" s="147"/>
      <c r="B169" s="1045" t="str">
        <f t="shared" si="1"/>
        <v>Desk 84</v>
      </c>
      <c r="C169" s="1798"/>
      <c r="D169" s="1798"/>
      <c r="E169" s="1798"/>
      <c r="F169" s="1800"/>
      <c r="G169" s="1801"/>
      <c r="H169" s="1075"/>
    </row>
    <row r="170" spans="1:8" s="87" customFormat="1" ht="15" customHeight="1" x14ac:dyDescent="0.2">
      <c r="A170" s="147"/>
      <c r="B170" s="1045" t="str">
        <f t="shared" si="1"/>
        <v>Desk 85</v>
      </c>
      <c r="C170" s="1798"/>
      <c r="D170" s="1798"/>
      <c r="E170" s="1798"/>
      <c r="F170" s="1800"/>
      <c r="G170" s="1801"/>
      <c r="H170" s="1075"/>
    </row>
    <row r="171" spans="1:8" s="87" customFormat="1" ht="15" customHeight="1" x14ac:dyDescent="0.2">
      <c r="A171" s="147"/>
      <c r="B171" s="1045" t="str">
        <f t="shared" si="1"/>
        <v>Desk 86</v>
      </c>
      <c r="C171" s="1798"/>
      <c r="D171" s="1798"/>
      <c r="E171" s="1798"/>
      <c r="F171" s="1800"/>
      <c r="G171" s="1801"/>
      <c r="H171" s="1075"/>
    </row>
    <row r="172" spans="1:8" s="87" customFormat="1" ht="15" customHeight="1" x14ac:dyDescent="0.2">
      <c r="A172" s="147"/>
      <c r="B172" s="1045" t="str">
        <f t="shared" si="1"/>
        <v>Desk 87</v>
      </c>
      <c r="C172" s="1798"/>
      <c r="D172" s="1798"/>
      <c r="E172" s="1798"/>
      <c r="F172" s="1800"/>
      <c r="G172" s="1801"/>
      <c r="H172" s="1075"/>
    </row>
    <row r="173" spans="1:8" s="87" customFormat="1" ht="15" customHeight="1" x14ac:dyDescent="0.2">
      <c r="A173" s="147"/>
      <c r="B173" s="1045" t="str">
        <f t="shared" si="1"/>
        <v>Desk 88</v>
      </c>
      <c r="C173" s="1798"/>
      <c r="D173" s="1798"/>
      <c r="E173" s="1798"/>
      <c r="F173" s="1800"/>
      <c r="G173" s="1801"/>
      <c r="H173" s="1075"/>
    </row>
    <row r="174" spans="1:8" s="87" customFormat="1" ht="15" customHeight="1" x14ac:dyDescent="0.2">
      <c r="A174" s="147"/>
      <c r="B174" s="1045" t="str">
        <f t="shared" si="1"/>
        <v>Desk 89</v>
      </c>
      <c r="C174" s="1798"/>
      <c r="D174" s="1798"/>
      <c r="E174" s="1798"/>
      <c r="F174" s="1800"/>
      <c r="G174" s="1801"/>
      <c r="H174" s="1075"/>
    </row>
    <row r="175" spans="1:8" s="87" customFormat="1" ht="15" customHeight="1" x14ac:dyDescent="0.2">
      <c r="A175" s="147"/>
      <c r="B175" s="1045" t="str">
        <f t="shared" si="1"/>
        <v>Desk 90</v>
      </c>
      <c r="C175" s="1798"/>
      <c r="D175" s="1798"/>
      <c r="E175" s="1798"/>
      <c r="F175" s="1800"/>
      <c r="G175" s="1801"/>
      <c r="H175" s="1075"/>
    </row>
    <row r="176" spans="1:8" s="87" customFormat="1" ht="15" customHeight="1" x14ac:dyDescent="0.2">
      <c r="A176" s="147"/>
      <c r="B176" s="1045" t="str">
        <f t="shared" si="1"/>
        <v>Desk 91</v>
      </c>
      <c r="C176" s="1798"/>
      <c r="D176" s="1798"/>
      <c r="E176" s="1798"/>
      <c r="F176" s="1800"/>
      <c r="G176" s="1801"/>
      <c r="H176" s="1075"/>
    </row>
    <row r="177" spans="1:8" s="87" customFormat="1" ht="15" customHeight="1" x14ac:dyDescent="0.2">
      <c r="A177" s="147"/>
      <c r="B177" s="1045" t="str">
        <f t="shared" si="1"/>
        <v>Desk 92</v>
      </c>
      <c r="C177" s="1798"/>
      <c r="D177" s="1798"/>
      <c r="E177" s="1798"/>
      <c r="F177" s="1800"/>
      <c r="G177" s="1801"/>
      <c r="H177" s="1075"/>
    </row>
    <row r="178" spans="1:8" s="87" customFormat="1" ht="15" customHeight="1" x14ac:dyDescent="0.2">
      <c r="A178" s="147"/>
      <c r="B178" s="1045" t="str">
        <f t="shared" si="1"/>
        <v>Desk 93</v>
      </c>
      <c r="C178" s="1798"/>
      <c r="D178" s="1798"/>
      <c r="E178" s="1798"/>
      <c r="F178" s="1800"/>
      <c r="G178" s="1801"/>
      <c r="H178" s="1075"/>
    </row>
    <row r="179" spans="1:8" s="87" customFormat="1" ht="15" customHeight="1" x14ac:dyDescent="0.2">
      <c r="A179" s="147"/>
      <c r="B179" s="1045" t="str">
        <f t="shared" si="1"/>
        <v>Desk 94</v>
      </c>
      <c r="C179" s="1798"/>
      <c r="D179" s="1798"/>
      <c r="E179" s="1798"/>
      <c r="F179" s="1800"/>
      <c r="G179" s="1801"/>
      <c r="H179" s="1075"/>
    </row>
    <row r="180" spans="1:8" s="87" customFormat="1" ht="15" customHeight="1" x14ac:dyDescent="0.2">
      <c r="A180" s="147"/>
      <c r="B180" s="1045" t="str">
        <f t="shared" si="1"/>
        <v>Desk 95</v>
      </c>
      <c r="C180" s="1798"/>
      <c r="D180" s="1798"/>
      <c r="E180" s="1798"/>
      <c r="F180" s="1800"/>
      <c r="G180" s="1801"/>
      <c r="H180" s="1075"/>
    </row>
    <row r="181" spans="1:8" s="87" customFormat="1" ht="15" customHeight="1" x14ac:dyDescent="0.2">
      <c r="A181" s="147"/>
      <c r="B181" s="1045" t="str">
        <f t="shared" si="1"/>
        <v>Desk 96</v>
      </c>
      <c r="C181" s="1798"/>
      <c r="D181" s="1798"/>
      <c r="E181" s="1798"/>
      <c r="F181" s="1800"/>
      <c r="G181" s="1801"/>
      <c r="H181" s="1075"/>
    </row>
    <row r="182" spans="1:8" s="87" customFormat="1" ht="15" customHeight="1" x14ac:dyDescent="0.2">
      <c r="A182" s="147"/>
      <c r="B182" s="1045" t="str">
        <f t="shared" si="1"/>
        <v>Desk 97</v>
      </c>
      <c r="C182" s="1798"/>
      <c r="D182" s="1798"/>
      <c r="E182" s="1798"/>
      <c r="F182" s="1800"/>
      <c r="G182" s="1801"/>
      <c r="H182" s="1075"/>
    </row>
    <row r="183" spans="1:8" s="87" customFormat="1" ht="15" customHeight="1" x14ac:dyDescent="0.2">
      <c r="A183" s="147"/>
      <c r="B183" s="1045" t="str">
        <f t="shared" si="1"/>
        <v>Desk 98</v>
      </c>
      <c r="C183" s="1798"/>
      <c r="D183" s="1798"/>
      <c r="E183" s="1798"/>
      <c r="F183" s="1800"/>
      <c r="G183" s="1801"/>
      <c r="H183" s="1075"/>
    </row>
    <row r="184" spans="1:8" s="87" customFormat="1" ht="15" customHeight="1" x14ac:dyDescent="0.2">
      <c r="A184" s="147"/>
      <c r="B184" s="1045" t="str">
        <f t="shared" si="1"/>
        <v>Desk 99</v>
      </c>
      <c r="C184" s="1798"/>
      <c r="D184" s="1798"/>
      <c r="E184" s="1798"/>
      <c r="F184" s="1800"/>
      <c r="G184" s="1801"/>
      <c r="H184" s="1075"/>
    </row>
    <row r="185" spans="1:8" s="87" customFormat="1" ht="15" customHeight="1" x14ac:dyDescent="0.2">
      <c r="A185" s="147"/>
      <c r="B185" s="1046" t="str">
        <f t="shared" si="1"/>
        <v>Desk 100</v>
      </c>
      <c r="C185" s="1799"/>
      <c r="D185" s="1799"/>
      <c r="E185" s="1799"/>
      <c r="F185" s="1804"/>
      <c r="G185" s="1805"/>
      <c r="H185" s="1075"/>
    </row>
    <row r="186" spans="1:8" s="87" customFormat="1" ht="15" customHeight="1" x14ac:dyDescent="0.2">
      <c r="A186" s="214"/>
      <c r="B186" s="1070"/>
      <c r="C186" s="1070"/>
      <c r="D186" s="1070"/>
      <c r="E186" s="1070"/>
      <c r="F186" s="1070"/>
      <c r="G186" s="1070"/>
      <c r="H186" s="1071"/>
    </row>
    <row r="187" spans="1:8" s="207" customFormat="1" ht="30" customHeight="1" x14ac:dyDescent="0.25">
      <c r="A187" s="1377" t="s">
        <v>1196</v>
      </c>
      <c r="B187" s="18"/>
      <c r="C187" s="16"/>
      <c r="D187" s="16"/>
      <c r="E187" s="203"/>
      <c r="F187" s="203"/>
      <c r="G187" s="203"/>
      <c r="H187" s="32"/>
    </row>
    <row r="188" spans="1:8" s="1073" customFormat="1" ht="30" customHeight="1" x14ac:dyDescent="0.25">
      <c r="A188" s="1053" t="s">
        <v>1189</v>
      </c>
      <c r="B188" s="46"/>
      <c r="C188" s="46"/>
      <c r="D188" s="46"/>
      <c r="E188" s="46"/>
      <c r="F188" s="46"/>
      <c r="G188" s="46"/>
      <c r="H188" s="1379"/>
    </row>
    <row r="189" spans="1:8" ht="15" customHeight="1" x14ac:dyDescent="0.2">
      <c r="A189" s="1076"/>
      <c r="B189" s="1074"/>
      <c r="E189" s="1074"/>
      <c r="F189" s="1074"/>
      <c r="G189" s="1074"/>
      <c r="H189" s="1075"/>
    </row>
    <row r="190" spans="1:8" ht="15" customHeight="1" x14ac:dyDescent="0.2">
      <c r="A190" s="1076"/>
      <c r="B190" s="1336" t="s">
        <v>1121</v>
      </c>
      <c r="C190" s="1066"/>
      <c r="E190" s="1074"/>
      <c r="F190" s="1074"/>
      <c r="G190" s="1074"/>
      <c r="H190" s="1075"/>
    </row>
    <row r="191" spans="1:8" ht="15" customHeight="1" x14ac:dyDescent="0.2">
      <c r="A191" s="1076"/>
      <c r="B191" s="246" t="s">
        <v>1122</v>
      </c>
      <c r="C191" s="1065"/>
      <c r="E191" s="1074"/>
      <c r="F191" s="1074"/>
      <c r="G191" s="1074"/>
      <c r="H191" s="1075"/>
    </row>
    <row r="192" spans="1:8" ht="15" customHeight="1" x14ac:dyDescent="0.2">
      <c r="A192" s="1076"/>
      <c r="B192" s="246" t="s">
        <v>1123</v>
      </c>
      <c r="C192" s="1065"/>
      <c r="E192" s="1074"/>
      <c r="F192" s="1074"/>
      <c r="G192" s="1074"/>
      <c r="H192" s="1075"/>
    </row>
    <row r="193" spans="1:8" ht="15" customHeight="1" x14ac:dyDescent="0.2">
      <c r="A193" s="1076"/>
      <c r="B193" s="246" t="s">
        <v>1124</v>
      </c>
      <c r="C193" s="1065"/>
      <c r="E193" s="1074"/>
      <c r="F193" s="1074"/>
      <c r="G193" s="1074"/>
      <c r="H193" s="1075"/>
    </row>
    <row r="194" spans="1:8" ht="15" customHeight="1" x14ac:dyDescent="0.2">
      <c r="A194" s="1076"/>
      <c r="B194" s="1376" t="s">
        <v>1093</v>
      </c>
      <c r="C194" s="1067"/>
      <c r="E194" s="1074"/>
      <c r="F194" s="1074"/>
      <c r="G194" s="1074"/>
      <c r="H194" s="1075"/>
    </row>
    <row r="195" spans="1:8" ht="15" customHeight="1" x14ac:dyDescent="0.2">
      <c r="A195" s="1076"/>
      <c r="B195" s="1074"/>
      <c r="E195" s="1074"/>
      <c r="F195" s="1074"/>
      <c r="G195" s="1074"/>
      <c r="H195" s="1075"/>
    </row>
    <row r="196" spans="1:8" s="1073" customFormat="1" ht="30" customHeight="1" x14ac:dyDescent="0.25">
      <c r="A196" s="1053" t="s">
        <v>1125</v>
      </c>
      <c r="B196" s="46"/>
      <c r="C196" s="46"/>
      <c r="D196" s="1074"/>
      <c r="E196" s="46"/>
      <c r="F196" s="46"/>
      <c r="G196" s="46"/>
      <c r="H196" s="1379"/>
    </row>
    <row r="197" spans="1:8" ht="15" customHeight="1" x14ac:dyDescent="0.2">
      <c r="A197" s="1076"/>
      <c r="B197" s="1074"/>
      <c r="E197" s="1074"/>
      <c r="F197" s="1074"/>
      <c r="G197" s="1074"/>
      <c r="H197" s="1075"/>
    </row>
    <row r="198" spans="1:8" ht="15" customHeight="1" x14ac:dyDescent="0.2">
      <c r="A198" s="1076"/>
      <c r="B198" s="1336" t="s">
        <v>1121</v>
      </c>
      <c r="C198" s="1066"/>
      <c r="E198" s="1074"/>
      <c r="F198" s="1074"/>
      <c r="G198" s="1074"/>
      <c r="H198" s="1075"/>
    </row>
    <row r="199" spans="1:8" ht="15" customHeight="1" x14ac:dyDescent="0.2">
      <c r="A199" s="1076"/>
      <c r="B199" s="246" t="s">
        <v>1122</v>
      </c>
      <c r="C199" s="1065"/>
      <c r="E199" s="1074"/>
      <c r="F199" s="1074"/>
      <c r="G199" s="1074"/>
      <c r="H199" s="1075"/>
    </row>
    <row r="200" spans="1:8" ht="15" customHeight="1" x14ac:dyDescent="0.2">
      <c r="A200" s="1076"/>
      <c r="B200" s="246" t="s">
        <v>1123</v>
      </c>
      <c r="C200" s="1065"/>
      <c r="E200" s="1074"/>
      <c r="F200" s="1074"/>
      <c r="G200" s="1074"/>
      <c r="H200" s="1075"/>
    </row>
    <row r="201" spans="1:8" ht="15" customHeight="1" x14ac:dyDescent="0.2">
      <c r="A201" s="1076"/>
      <c r="B201" s="246" t="s">
        <v>1124</v>
      </c>
      <c r="C201" s="1065"/>
      <c r="E201" s="1074"/>
      <c r="F201" s="1074"/>
      <c r="G201" s="1074"/>
      <c r="H201" s="1075"/>
    </row>
    <row r="202" spans="1:8" ht="15" customHeight="1" x14ac:dyDescent="0.2">
      <c r="A202" s="1076"/>
      <c r="B202" s="1376" t="s">
        <v>1093</v>
      </c>
      <c r="C202" s="1067"/>
      <c r="E202" s="1074"/>
      <c r="F202" s="1074"/>
      <c r="G202" s="1074"/>
      <c r="H202" s="1075"/>
    </row>
    <row r="203" spans="1:8" ht="15" customHeight="1" x14ac:dyDescent="0.2">
      <c r="A203" s="1076"/>
      <c r="B203" s="1074"/>
      <c r="E203" s="1074"/>
      <c r="F203" s="1074"/>
      <c r="G203" s="1074"/>
      <c r="H203" s="1075"/>
    </row>
    <row r="204" spans="1:8" s="207" customFormat="1" ht="30" customHeight="1" x14ac:dyDescent="0.25">
      <c r="A204" s="1377" t="s">
        <v>1031</v>
      </c>
      <c r="B204" s="18"/>
      <c r="C204" s="16"/>
      <c r="D204" s="16"/>
      <c r="E204" s="203"/>
      <c r="F204" s="203"/>
      <c r="G204" s="203"/>
      <c r="H204" s="32"/>
    </row>
    <row r="205" spans="1:8" ht="15" customHeight="1" x14ac:dyDescent="0.2">
      <c r="A205" s="1076"/>
      <c r="B205" s="1074"/>
      <c r="E205" s="1074"/>
      <c r="F205" s="1074"/>
      <c r="G205" s="1074"/>
      <c r="H205" s="1075"/>
    </row>
    <row r="206" spans="1:8" ht="15" customHeight="1" x14ac:dyDescent="0.2">
      <c r="A206" s="1076"/>
      <c r="B206" s="1361" t="s">
        <v>1126</v>
      </c>
      <c r="C206" s="1066"/>
      <c r="E206" s="1074"/>
      <c r="F206" s="1074"/>
      <c r="G206" s="1074"/>
      <c r="H206" s="1075"/>
    </row>
    <row r="207" spans="1:8" ht="15" customHeight="1" x14ac:dyDescent="0.2">
      <c r="A207" s="1076"/>
      <c r="B207" s="1363" t="s">
        <v>1127</v>
      </c>
      <c r="C207" s="1067"/>
      <c r="E207" s="1074"/>
      <c r="F207" s="1074"/>
      <c r="G207" s="1074"/>
      <c r="H207" s="1075"/>
    </row>
    <row r="208" spans="1:8" ht="15" customHeight="1" x14ac:dyDescent="0.2">
      <c r="A208" s="1076"/>
      <c r="B208" s="1074"/>
      <c r="E208" s="1074"/>
      <c r="F208" s="1074"/>
      <c r="G208" s="1074"/>
      <c r="H208" s="1075"/>
    </row>
    <row r="209" spans="1:8" ht="45" customHeight="1" x14ac:dyDescent="0.2">
      <c r="A209" s="1076"/>
      <c r="B209" s="180"/>
      <c r="C209" s="1677" t="s">
        <v>1128</v>
      </c>
      <c r="D209" s="1678"/>
      <c r="E209" s="1679"/>
      <c r="F209" s="1368" t="s">
        <v>1129</v>
      </c>
      <c r="G209" s="271" t="s">
        <v>1130</v>
      </c>
      <c r="H209" s="1075"/>
    </row>
    <row r="210" spans="1:8" ht="15" customHeight="1" x14ac:dyDescent="0.2">
      <c r="A210" s="1076"/>
      <c r="B210" s="1336" t="str">
        <f>"Non-modellable risk factor " &amp; (ROW(B210)-ROW(B$209))</f>
        <v>Non-modellable risk factor 1</v>
      </c>
      <c r="C210" s="1798"/>
      <c r="D210" s="1798"/>
      <c r="E210" s="1798"/>
      <c r="F210" s="1066"/>
      <c r="G210" s="1064"/>
      <c r="H210" s="1075"/>
    </row>
    <row r="211" spans="1:8" ht="15" customHeight="1" x14ac:dyDescent="0.2">
      <c r="A211" s="1076"/>
      <c r="B211" s="246" t="str">
        <f>"Non-modellable risk factor " &amp; (ROW(B211)-ROW(B$209))</f>
        <v>Non-modellable risk factor 2</v>
      </c>
      <c r="C211" s="1798"/>
      <c r="D211" s="1798"/>
      <c r="E211" s="1798"/>
      <c r="F211" s="1065"/>
      <c r="G211" s="1063"/>
      <c r="H211" s="1075"/>
    </row>
    <row r="212" spans="1:8" ht="15" customHeight="1" x14ac:dyDescent="0.2">
      <c r="A212" s="1076"/>
      <c r="B212" s="246" t="str">
        <f>"Non-modellable risk factor " &amp; (ROW(B212)-ROW(B$209))</f>
        <v>Non-modellable risk factor 3</v>
      </c>
      <c r="C212" s="1798"/>
      <c r="D212" s="1798"/>
      <c r="E212" s="1798"/>
      <c r="F212" s="1065"/>
      <c r="G212" s="1063"/>
      <c r="H212" s="1075"/>
    </row>
    <row r="213" spans="1:8" ht="15" customHeight="1" x14ac:dyDescent="0.2">
      <c r="A213" s="1076"/>
      <c r="B213" s="246" t="str">
        <f>"Non-modellable risk factor " &amp; (ROW(B213)-ROW(B$209))</f>
        <v>Non-modellable risk factor 4</v>
      </c>
      <c r="C213" s="1798"/>
      <c r="D213" s="1798"/>
      <c r="E213" s="1798"/>
      <c r="F213" s="1065"/>
      <c r="G213" s="1063"/>
      <c r="H213" s="1075"/>
    </row>
    <row r="214" spans="1:8" ht="15" customHeight="1" x14ac:dyDescent="0.2">
      <c r="A214" s="1076"/>
      <c r="B214" s="1376" t="str">
        <f>"Non-modellable risk factor " &amp; (ROW(B214)-ROW(B$209))</f>
        <v>Non-modellable risk factor 5</v>
      </c>
      <c r="C214" s="1799"/>
      <c r="D214" s="1799"/>
      <c r="E214" s="1799"/>
      <c r="F214" s="1067"/>
      <c r="G214" s="1062"/>
      <c r="H214" s="1075"/>
    </row>
    <row r="215" spans="1:8" ht="15" customHeight="1" x14ac:dyDescent="0.2">
      <c r="A215" s="214"/>
      <c r="B215" s="1070"/>
      <c r="C215" s="1070"/>
      <c r="D215" s="1070"/>
      <c r="E215" s="1070"/>
      <c r="F215" s="1070"/>
      <c r="G215" s="1070"/>
      <c r="H215" s="1071"/>
    </row>
    <row r="216" spans="1:8" s="207" customFormat="1" ht="30" customHeight="1" x14ac:dyDescent="0.25">
      <c r="A216" s="1377" t="s">
        <v>1197</v>
      </c>
      <c r="B216" s="18"/>
      <c r="C216" s="16"/>
      <c r="D216" s="16"/>
      <c r="E216" s="203"/>
      <c r="F216" s="203"/>
      <c r="G216" s="203"/>
      <c r="H216" s="32"/>
    </row>
    <row r="217" spans="1:8" ht="15" customHeight="1" x14ac:dyDescent="0.2">
      <c r="A217" s="1319"/>
      <c r="B217" s="1320"/>
      <c r="C217" s="1320"/>
      <c r="D217" s="1320"/>
      <c r="E217" s="1320"/>
      <c r="F217" s="1320"/>
      <c r="G217" s="1320"/>
      <c r="H217" s="1321"/>
    </row>
    <row r="218" spans="1:8" ht="15" customHeight="1" x14ac:dyDescent="0.2">
      <c r="A218" s="147"/>
      <c r="B218" s="1371" t="s">
        <v>1053</v>
      </c>
      <c r="C218" s="1038" t="s">
        <v>985</v>
      </c>
      <c r="D218" s="1399"/>
      <c r="E218" s="87"/>
      <c r="F218" s="87"/>
      <c r="G218" s="87"/>
      <c r="H218" s="1075"/>
    </row>
    <row r="219" spans="1:8" ht="15" customHeight="1" x14ac:dyDescent="0.2">
      <c r="A219" s="147"/>
      <c r="B219" s="1380" t="str">
        <f>"Q" &amp; (ROW(B219)-ROW(B$218))</f>
        <v>Q1</v>
      </c>
      <c r="C219" s="1381"/>
      <c r="E219" s="87"/>
      <c r="F219" s="87"/>
      <c r="G219" s="87"/>
      <c r="H219" s="1075"/>
    </row>
    <row r="220" spans="1:8" s="87" customFormat="1" ht="15" customHeight="1" x14ac:dyDescent="0.2">
      <c r="A220" s="147"/>
      <c r="B220" s="1045" t="str">
        <f t="shared" ref="B220:B283" si="2">"Q" &amp; (ROW(B220)-ROW(B$218))</f>
        <v>Q2</v>
      </c>
      <c r="C220" s="1063"/>
      <c r="D220" s="1074"/>
      <c r="H220" s="1075"/>
    </row>
    <row r="221" spans="1:8" s="87" customFormat="1" ht="15" customHeight="1" x14ac:dyDescent="0.2">
      <c r="A221" s="147"/>
      <c r="B221" s="1045" t="str">
        <f t="shared" si="2"/>
        <v>Q3</v>
      </c>
      <c r="C221" s="1063"/>
      <c r="D221" s="1074"/>
      <c r="H221" s="1075"/>
    </row>
    <row r="222" spans="1:8" s="87" customFormat="1" ht="15" customHeight="1" x14ac:dyDescent="0.2">
      <c r="A222" s="147"/>
      <c r="B222" s="1045" t="str">
        <f t="shared" si="2"/>
        <v>Q4</v>
      </c>
      <c r="C222" s="1063"/>
      <c r="D222" s="1074"/>
      <c r="H222" s="1075"/>
    </row>
    <row r="223" spans="1:8" s="87" customFormat="1" ht="15" customHeight="1" x14ac:dyDescent="0.2">
      <c r="A223" s="147"/>
      <c r="B223" s="1045" t="str">
        <f t="shared" si="2"/>
        <v>Q5</v>
      </c>
      <c r="C223" s="1063"/>
      <c r="D223" s="1074"/>
      <c r="H223" s="1075"/>
    </row>
    <row r="224" spans="1:8" s="87" customFormat="1" ht="15" customHeight="1" x14ac:dyDescent="0.2">
      <c r="A224" s="147"/>
      <c r="B224" s="1045" t="str">
        <f t="shared" si="2"/>
        <v>Q6</v>
      </c>
      <c r="C224" s="1063"/>
      <c r="D224" s="1074"/>
      <c r="H224" s="1075"/>
    </row>
    <row r="225" spans="1:8" s="87" customFormat="1" ht="15" customHeight="1" x14ac:dyDescent="0.2">
      <c r="A225" s="147"/>
      <c r="B225" s="1045" t="str">
        <f t="shared" si="2"/>
        <v>Q7</v>
      </c>
      <c r="C225" s="1063"/>
      <c r="D225" s="1074"/>
      <c r="H225" s="1075"/>
    </row>
    <row r="226" spans="1:8" s="87" customFormat="1" ht="15" customHeight="1" x14ac:dyDescent="0.2">
      <c r="A226" s="147"/>
      <c r="B226" s="1045" t="str">
        <f t="shared" si="2"/>
        <v>Q8</v>
      </c>
      <c r="C226" s="1063"/>
      <c r="D226" s="1074"/>
      <c r="H226" s="1075"/>
    </row>
    <row r="227" spans="1:8" s="87" customFormat="1" ht="15" customHeight="1" x14ac:dyDescent="0.2">
      <c r="A227" s="147"/>
      <c r="B227" s="1045" t="str">
        <f t="shared" si="2"/>
        <v>Q9</v>
      </c>
      <c r="C227" s="1063"/>
      <c r="D227" s="1074"/>
      <c r="H227" s="1075"/>
    </row>
    <row r="228" spans="1:8" s="87" customFormat="1" ht="15" customHeight="1" x14ac:dyDescent="0.2">
      <c r="A228" s="147"/>
      <c r="B228" s="1045" t="str">
        <f t="shared" si="2"/>
        <v>Q10</v>
      </c>
      <c r="C228" s="1063"/>
      <c r="D228" s="1074"/>
      <c r="H228" s="1075"/>
    </row>
    <row r="229" spans="1:8" s="87" customFormat="1" ht="15" customHeight="1" x14ac:dyDescent="0.2">
      <c r="A229" s="147"/>
      <c r="B229" s="1045" t="str">
        <f t="shared" si="2"/>
        <v>Q11</v>
      </c>
      <c r="C229" s="1063"/>
      <c r="D229" s="1074"/>
      <c r="H229" s="1075"/>
    </row>
    <row r="230" spans="1:8" s="87" customFormat="1" ht="15" customHeight="1" x14ac:dyDescent="0.2">
      <c r="A230" s="147"/>
      <c r="B230" s="1045" t="str">
        <f t="shared" si="2"/>
        <v>Q12</v>
      </c>
      <c r="C230" s="1063"/>
      <c r="D230" s="1074"/>
      <c r="H230" s="1075"/>
    </row>
    <row r="231" spans="1:8" s="87" customFormat="1" ht="15" customHeight="1" x14ac:dyDescent="0.2">
      <c r="A231" s="147"/>
      <c r="B231" s="1045" t="str">
        <f t="shared" si="2"/>
        <v>Q13</v>
      </c>
      <c r="C231" s="1063"/>
      <c r="D231" s="1074"/>
      <c r="H231" s="1075"/>
    </row>
    <row r="232" spans="1:8" s="87" customFormat="1" ht="15" customHeight="1" x14ac:dyDescent="0.2">
      <c r="A232" s="147"/>
      <c r="B232" s="1045" t="str">
        <f t="shared" si="2"/>
        <v>Q14</v>
      </c>
      <c r="C232" s="1063"/>
      <c r="D232" s="1074"/>
      <c r="H232" s="1075"/>
    </row>
    <row r="233" spans="1:8" s="87" customFormat="1" ht="15" customHeight="1" x14ac:dyDescent="0.2">
      <c r="A233" s="147"/>
      <c r="B233" s="1045" t="str">
        <f t="shared" si="2"/>
        <v>Q15</v>
      </c>
      <c r="C233" s="1063"/>
      <c r="D233" s="1074"/>
      <c r="H233" s="1075"/>
    </row>
    <row r="234" spans="1:8" s="87" customFormat="1" ht="15" customHeight="1" x14ac:dyDescent="0.2">
      <c r="A234" s="147"/>
      <c r="B234" s="1045" t="str">
        <f t="shared" si="2"/>
        <v>Q16</v>
      </c>
      <c r="C234" s="1063"/>
      <c r="D234" s="1074"/>
      <c r="H234" s="1075"/>
    </row>
    <row r="235" spans="1:8" s="87" customFormat="1" ht="15" customHeight="1" x14ac:dyDescent="0.2">
      <c r="A235" s="147"/>
      <c r="B235" s="1045" t="str">
        <f t="shared" si="2"/>
        <v>Q17</v>
      </c>
      <c r="C235" s="1063"/>
      <c r="D235" s="1074"/>
      <c r="H235" s="1075"/>
    </row>
    <row r="236" spans="1:8" s="87" customFormat="1" ht="15" customHeight="1" x14ac:dyDescent="0.2">
      <c r="A236" s="147"/>
      <c r="B236" s="1045" t="str">
        <f t="shared" si="2"/>
        <v>Q18</v>
      </c>
      <c r="C236" s="1063"/>
      <c r="D236" s="1074"/>
      <c r="H236" s="1075"/>
    </row>
    <row r="237" spans="1:8" s="87" customFormat="1" ht="15" customHeight="1" x14ac:dyDescent="0.2">
      <c r="A237" s="147"/>
      <c r="B237" s="1045" t="str">
        <f t="shared" si="2"/>
        <v>Q19</v>
      </c>
      <c r="C237" s="1063"/>
      <c r="D237" s="1074"/>
      <c r="H237" s="1075"/>
    </row>
    <row r="238" spans="1:8" s="87" customFormat="1" ht="15" customHeight="1" x14ac:dyDescent="0.2">
      <c r="A238" s="147"/>
      <c r="B238" s="1045" t="str">
        <f t="shared" si="2"/>
        <v>Q20</v>
      </c>
      <c r="C238" s="1063"/>
      <c r="D238" s="1074"/>
      <c r="H238" s="1075"/>
    </row>
    <row r="239" spans="1:8" s="87" customFormat="1" ht="15" customHeight="1" x14ac:dyDescent="0.2">
      <c r="A239" s="147"/>
      <c r="B239" s="1045" t="str">
        <f t="shared" si="2"/>
        <v>Q21</v>
      </c>
      <c r="C239" s="1063"/>
      <c r="D239" s="1074"/>
      <c r="H239" s="1075"/>
    </row>
    <row r="240" spans="1:8" s="87" customFormat="1" ht="15" customHeight="1" x14ac:dyDescent="0.2">
      <c r="A240" s="147"/>
      <c r="B240" s="1045" t="str">
        <f t="shared" si="2"/>
        <v>Q22</v>
      </c>
      <c r="C240" s="1063"/>
      <c r="D240" s="1074"/>
      <c r="H240" s="1075"/>
    </row>
    <row r="241" spans="1:8" s="87" customFormat="1" ht="15" customHeight="1" x14ac:dyDescent="0.2">
      <c r="A241" s="147"/>
      <c r="B241" s="1045" t="str">
        <f t="shared" si="2"/>
        <v>Q23</v>
      </c>
      <c r="C241" s="1063"/>
      <c r="D241" s="1074"/>
      <c r="H241" s="1075"/>
    </row>
    <row r="242" spans="1:8" s="87" customFormat="1" ht="15" customHeight="1" x14ac:dyDescent="0.2">
      <c r="A242" s="147"/>
      <c r="B242" s="1045" t="str">
        <f t="shared" si="2"/>
        <v>Q24</v>
      </c>
      <c r="C242" s="1063"/>
      <c r="D242" s="1074"/>
      <c r="H242" s="1075"/>
    </row>
    <row r="243" spans="1:8" s="87" customFormat="1" ht="15" customHeight="1" x14ac:dyDescent="0.2">
      <c r="A243" s="147"/>
      <c r="B243" s="1045" t="str">
        <f t="shared" si="2"/>
        <v>Q25</v>
      </c>
      <c r="C243" s="1063"/>
      <c r="D243" s="1074"/>
      <c r="H243" s="1075"/>
    </row>
    <row r="244" spans="1:8" s="87" customFormat="1" ht="15" customHeight="1" x14ac:dyDescent="0.2">
      <c r="A244" s="147"/>
      <c r="B244" s="1045" t="str">
        <f t="shared" si="2"/>
        <v>Q26</v>
      </c>
      <c r="C244" s="1063"/>
      <c r="D244" s="1074"/>
      <c r="H244" s="1075"/>
    </row>
    <row r="245" spans="1:8" s="87" customFormat="1" ht="15" customHeight="1" x14ac:dyDescent="0.2">
      <c r="A245" s="147"/>
      <c r="B245" s="1045" t="str">
        <f t="shared" si="2"/>
        <v>Q27</v>
      </c>
      <c r="C245" s="1063"/>
      <c r="D245" s="1074"/>
      <c r="H245" s="1075"/>
    </row>
    <row r="246" spans="1:8" s="87" customFormat="1" ht="15" customHeight="1" x14ac:dyDescent="0.2">
      <c r="A246" s="147"/>
      <c r="B246" s="1045" t="str">
        <f t="shared" si="2"/>
        <v>Q28</v>
      </c>
      <c r="C246" s="1063"/>
      <c r="D246" s="1074"/>
      <c r="H246" s="1075"/>
    </row>
    <row r="247" spans="1:8" s="87" customFormat="1" ht="15" customHeight="1" x14ac:dyDescent="0.2">
      <c r="A247" s="147"/>
      <c r="B247" s="1045" t="str">
        <f t="shared" si="2"/>
        <v>Q29</v>
      </c>
      <c r="C247" s="1063"/>
      <c r="D247" s="1074"/>
      <c r="H247" s="1075"/>
    </row>
    <row r="248" spans="1:8" s="87" customFormat="1" ht="15" customHeight="1" x14ac:dyDescent="0.2">
      <c r="A248" s="147"/>
      <c r="B248" s="1045" t="str">
        <f t="shared" si="2"/>
        <v>Q30</v>
      </c>
      <c r="C248" s="1063"/>
      <c r="D248" s="1074"/>
      <c r="H248" s="1075"/>
    </row>
    <row r="249" spans="1:8" s="87" customFormat="1" ht="15" customHeight="1" x14ac:dyDescent="0.2">
      <c r="A249" s="147"/>
      <c r="B249" s="1045" t="str">
        <f t="shared" si="2"/>
        <v>Q31</v>
      </c>
      <c r="C249" s="1063"/>
      <c r="D249" s="1074"/>
      <c r="H249" s="1075"/>
    </row>
    <row r="250" spans="1:8" s="87" customFormat="1" ht="15" customHeight="1" x14ac:dyDescent="0.2">
      <c r="A250" s="147"/>
      <c r="B250" s="1045" t="str">
        <f t="shared" si="2"/>
        <v>Q32</v>
      </c>
      <c r="C250" s="1063"/>
      <c r="D250" s="1074"/>
      <c r="H250" s="1075"/>
    </row>
    <row r="251" spans="1:8" s="87" customFormat="1" ht="15" customHeight="1" x14ac:dyDescent="0.2">
      <c r="A251" s="147"/>
      <c r="B251" s="1045" t="str">
        <f t="shared" si="2"/>
        <v>Q33</v>
      </c>
      <c r="C251" s="1063"/>
      <c r="D251" s="1074"/>
      <c r="H251" s="1075"/>
    </row>
    <row r="252" spans="1:8" s="87" customFormat="1" ht="15" customHeight="1" x14ac:dyDescent="0.2">
      <c r="A252" s="147"/>
      <c r="B252" s="1045" t="str">
        <f t="shared" si="2"/>
        <v>Q34</v>
      </c>
      <c r="C252" s="1063"/>
      <c r="D252" s="1074"/>
      <c r="H252" s="1075"/>
    </row>
    <row r="253" spans="1:8" s="87" customFormat="1" ht="15" customHeight="1" x14ac:dyDescent="0.2">
      <c r="A253" s="147"/>
      <c r="B253" s="1045" t="str">
        <f t="shared" si="2"/>
        <v>Q35</v>
      </c>
      <c r="C253" s="1063"/>
      <c r="D253" s="1074"/>
      <c r="H253" s="1075"/>
    </row>
    <row r="254" spans="1:8" s="87" customFormat="1" ht="15" customHeight="1" x14ac:dyDescent="0.2">
      <c r="A254" s="147"/>
      <c r="B254" s="1045" t="str">
        <f t="shared" si="2"/>
        <v>Q36</v>
      </c>
      <c r="C254" s="1063"/>
      <c r="D254" s="1074"/>
      <c r="H254" s="1075"/>
    </row>
    <row r="255" spans="1:8" s="87" customFormat="1" ht="15" customHeight="1" x14ac:dyDescent="0.2">
      <c r="A255" s="147"/>
      <c r="B255" s="1045" t="str">
        <f t="shared" si="2"/>
        <v>Q37</v>
      </c>
      <c r="C255" s="1063"/>
      <c r="D255" s="1074"/>
      <c r="H255" s="1075"/>
    </row>
    <row r="256" spans="1:8" s="87" customFormat="1" ht="15" customHeight="1" x14ac:dyDescent="0.2">
      <c r="A256" s="147"/>
      <c r="B256" s="1045" t="str">
        <f t="shared" si="2"/>
        <v>Q38</v>
      </c>
      <c r="C256" s="1063"/>
      <c r="D256" s="1074"/>
      <c r="H256" s="1075"/>
    </row>
    <row r="257" spans="1:8" s="87" customFormat="1" ht="15" customHeight="1" x14ac:dyDescent="0.2">
      <c r="A257" s="147"/>
      <c r="B257" s="1045" t="str">
        <f t="shared" si="2"/>
        <v>Q39</v>
      </c>
      <c r="C257" s="1063"/>
      <c r="D257" s="1074"/>
      <c r="H257" s="1075"/>
    </row>
    <row r="258" spans="1:8" s="87" customFormat="1" ht="15" customHeight="1" x14ac:dyDescent="0.2">
      <c r="A258" s="147"/>
      <c r="B258" s="1045" t="str">
        <f t="shared" si="2"/>
        <v>Q40</v>
      </c>
      <c r="C258" s="1063"/>
      <c r="D258" s="1074"/>
      <c r="H258" s="1075"/>
    </row>
    <row r="259" spans="1:8" s="87" customFormat="1" ht="15" customHeight="1" x14ac:dyDescent="0.2">
      <c r="A259" s="147"/>
      <c r="B259" s="1045" t="str">
        <f t="shared" si="2"/>
        <v>Q41</v>
      </c>
      <c r="C259" s="1063"/>
      <c r="D259" s="1074"/>
      <c r="H259" s="1075"/>
    </row>
    <row r="260" spans="1:8" s="87" customFormat="1" ht="15" customHeight="1" x14ac:dyDescent="0.2">
      <c r="A260" s="147"/>
      <c r="B260" s="1045" t="str">
        <f t="shared" si="2"/>
        <v>Q42</v>
      </c>
      <c r="C260" s="1063"/>
      <c r="D260" s="1074"/>
      <c r="H260" s="1075"/>
    </row>
    <row r="261" spans="1:8" s="87" customFormat="1" ht="15" customHeight="1" x14ac:dyDescent="0.2">
      <c r="A261" s="147"/>
      <c r="B261" s="1045" t="str">
        <f t="shared" si="2"/>
        <v>Q43</v>
      </c>
      <c r="C261" s="1063"/>
      <c r="D261" s="1074"/>
      <c r="H261" s="1075"/>
    </row>
    <row r="262" spans="1:8" s="87" customFormat="1" ht="15" customHeight="1" x14ac:dyDescent="0.2">
      <c r="A262" s="147"/>
      <c r="B262" s="1045" t="str">
        <f t="shared" si="2"/>
        <v>Q44</v>
      </c>
      <c r="C262" s="1063"/>
      <c r="D262" s="1074"/>
      <c r="H262" s="1075"/>
    </row>
    <row r="263" spans="1:8" s="87" customFormat="1" ht="15" customHeight="1" x14ac:dyDescent="0.2">
      <c r="A263" s="147"/>
      <c r="B263" s="1045" t="str">
        <f t="shared" si="2"/>
        <v>Q45</v>
      </c>
      <c r="C263" s="1063"/>
      <c r="D263" s="1074"/>
      <c r="H263" s="1075"/>
    </row>
    <row r="264" spans="1:8" s="87" customFormat="1" ht="15" customHeight="1" x14ac:dyDescent="0.2">
      <c r="A264" s="147"/>
      <c r="B264" s="1045" t="str">
        <f t="shared" si="2"/>
        <v>Q46</v>
      </c>
      <c r="C264" s="1063"/>
      <c r="D264" s="1074"/>
      <c r="H264" s="1075"/>
    </row>
    <row r="265" spans="1:8" s="87" customFormat="1" ht="15" customHeight="1" x14ac:dyDescent="0.2">
      <c r="A265" s="147"/>
      <c r="B265" s="1045" t="str">
        <f t="shared" si="2"/>
        <v>Q47</v>
      </c>
      <c r="C265" s="1063"/>
      <c r="D265" s="1074"/>
      <c r="H265" s="1075"/>
    </row>
    <row r="266" spans="1:8" s="87" customFormat="1" ht="15" customHeight="1" x14ac:dyDescent="0.2">
      <c r="A266" s="147"/>
      <c r="B266" s="1045" t="str">
        <f t="shared" si="2"/>
        <v>Q48</v>
      </c>
      <c r="C266" s="1063"/>
      <c r="D266" s="1074"/>
      <c r="H266" s="1075"/>
    </row>
    <row r="267" spans="1:8" s="87" customFormat="1" ht="15" customHeight="1" x14ac:dyDescent="0.2">
      <c r="A267" s="147"/>
      <c r="B267" s="1045" t="str">
        <f t="shared" si="2"/>
        <v>Q49</v>
      </c>
      <c r="C267" s="1063"/>
      <c r="D267" s="1074"/>
      <c r="H267" s="1075"/>
    </row>
    <row r="268" spans="1:8" s="87" customFormat="1" ht="15" customHeight="1" x14ac:dyDescent="0.2">
      <c r="A268" s="147"/>
      <c r="B268" s="1045" t="str">
        <f t="shared" si="2"/>
        <v>Q50</v>
      </c>
      <c r="C268" s="1063"/>
      <c r="D268" s="1074"/>
      <c r="H268" s="1075"/>
    </row>
    <row r="269" spans="1:8" s="87" customFormat="1" ht="15" customHeight="1" x14ac:dyDescent="0.2">
      <c r="A269" s="147"/>
      <c r="B269" s="1045" t="str">
        <f t="shared" si="2"/>
        <v>Q51</v>
      </c>
      <c r="C269" s="1063"/>
      <c r="D269" s="1074"/>
      <c r="H269" s="1075"/>
    </row>
    <row r="270" spans="1:8" s="87" customFormat="1" ht="15" customHeight="1" x14ac:dyDescent="0.2">
      <c r="A270" s="147"/>
      <c r="B270" s="1045" t="str">
        <f t="shared" si="2"/>
        <v>Q52</v>
      </c>
      <c r="C270" s="1063"/>
      <c r="D270" s="1074"/>
      <c r="H270" s="1075"/>
    </row>
    <row r="271" spans="1:8" s="87" customFormat="1" ht="15" customHeight="1" x14ac:dyDescent="0.2">
      <c r="A271" s="147"/>
      <c r="B271" s="1045" t="str">
        <f t="shared" si="2"/>
        <v>Q53</v>
      </c>
      <c r="C271" s="1063"/>
      <c r="D271" s="1074"/>
      <c r="H271" s="1075"/>
    </row>
    <row r="272" spans="1:8" s="87" customFormat="1" ht="15" customHeight="1" x14ac:dyDescent="0.2">
      <c r="A272" s="147"/>
      <c r="B272" s="1045" t="str">
        <f t="shared" si="2"/>
        <v>Q54</v>
      </c>
      <c r="C272" s="1063"/>
      <c r="D272" s="1074"/>
      <c r="H272" s="1075"/>
    </row>
    <row r="273" spans="1:8" s="87" customFormat="1" ht="15" customHeight="1" x14ac:dyDescent="0.2">
      <c r="A273" s="147"/>
      <c r="B273" s="1045" t="str">
        <f t="shared" si="2"/>
        <v>Q55</v>
      </c>
      <c r="C273" s="1063"/>
      <c r="D273" s="1074"/>
      <c r="H273" s="1075"/>
    </row>
    <row r="274" spans="1:8" s="87" customFormat="1" ht="15" customHeight="1" x14ac:dyDescent="0.2">
      <c r="A274" s="147"/>
      <c r="B274" s="1045" t="str">
        <f t="shared" si="2"/>
        <v>Q56</v>
      </c>
      <c r="C274" s="1063"/>
      <c r="D274" s="1074"/>
      <c r="H274" s="1075"/>
    </row>
    <row r="275" spans="1:8" s="87" customFormat="1" ht="15" customHeight="1" x14ac:dyDescent="0.2">
      <c r="A275" s="147"/>
      <c r="B275" s="1045" t="str">
        <f t="shared" si="2"/>
        <v>Q57</v>
      </c>
      <c r="C275" s="1063"/>
      <c r="D275" s="1074"/>
      <c r="H275" s="1075"/>
    </row>
    <row r="276" spans="1:8" s="87" customFormat="1" ht="15" customHeight="1" x14ac:dyDescent="0.2">
      <c r="A276" s="147"/>
      <c r="B276" s="1045" t="str">
        <f t="shared" si="2"/>
        <v>Q58</v>
      </c>
      <c r="C276" s="1063"/>
      <c r="D276" s="1074"/>
      <c r="H276" s="1075"/>
    </row>
    <row r="277" spans="1:8" s="87" customFormat="1" ht="15" customHeight="1" x14ac:dyDescent="0.2">
      <c r="A277" s="147"/>
      <c r="B277" s="1045" t="str">
        <f t="shared" si="2"/>
        <v>Q59</v>
      </c>
      <c r="C277" s="1063"/>
      <c r="D277" s="1074"/>
      <c r="H277" s="1075"/>
    </row>
    <row r="278" spans="1:8" s="87" customFormat="1" ht="15" customHeight="1" x14ac:dyDescent="0.2">
      <c r="A278" s="147"/>
      <c r="B278" s="1045" t="str">
        <f t="shared" si="2"/>
        <v>Q60</v>
      </c>
      <c r="C278" s="1063"/>
      <c r="D278" s="1074"/>
      <c r="H278" s="1075"/>
    </row>
    <row r="279" spans="1:8" s="87" customFormat="1" ht="15" customHeight="1" x14ac:dyDescent="0.2">
      <c r="A279" s="147"/>
      <c r="B279" s="1045" t="str">
        <f t="shared" si="2"/>
        <v>Q61</v>
      </c>
      <c r="C279" s="1063"/>
      <c r="D279" s="1074"/>
      <c r="H279" s="1075"/>
    </row>
    <row r="280" spans="1:8" s="87" customFormat="1" ht="15" customHeight="1" x14ac:dyDescent="0.2">
      <c r="A280" s="147"/>
      <c r="B280" s="1045" t="str">
        <f t="shared" si="2"/>
        <v>Q62</v>
      </c>
      <c r="C280" s="1063"/>
      <c r="D280" s="1074"/>
      <c r="H280" s="1075"/>
    </row>
    <row r="281" spans="1:8" s="87" customFormat="1" ht="15" customHeight="1" x14ac:dyDescent="0.2">
      <c r="A281" s="147"/>
      <c r="B281" s="1045" t="str">
        <f t="shared" si="2"/>
        <v>Q63</v>
      </c>
      <c r="C281" s="1063"/>
      <c r="D281" s="1074"/>
      <c r="H281" s="1075"/>
    </row>
    <row r="282" spans="1:8" s="87" customFormat="1" ht="15" customHeight="1" x14ac:dyDescent="0.2">
      <c r="A282" s="147"/>
      <c r="B282" s="1045" t="str">
        <f t="shared" si="2"/>
        <v>Q64</v>
      </c>
      <c r="C282" s="1063"/>
      <c r="D282" s="1074"/>
      <c r="H282" s="1075"/>
    </row>
    <row r="283" spans="1:8" s="87" customFormat="1" ht="15" customHeight="1" x14ac:dyDescent="0.2">
      <c r="A283" s="147"/>
      <c r="B283" s="1045" t="str">
        <f t="shared" si="2"/>
        <v>Q65</v>
      </c>
      <c r="C283" s="1063"/>
      <c r="D283" s="1074"/>
      <c r="H283" s="1075"/>
    </row>
    <row r="284" spans="1:8" s="87" customFormat="1" ht="15" customHeight="1" x14ac:dyDescent="0.2">
      <c r="A284" s="147"/>
      <c r="B284" s="1045" t="str">
        <f t="shared" ref="B284:B318" si="3">"Q" &amp; (ROW(B284)-ROW(B$218))</f>
        <v>Q66</v>
      </c>
      <c r="C284" s="1063"/>
      <c r="D284" s="1074"/>
      <c r="H284" s="1075"/>
    </row>
    <row r="285" spans="1:8" s="87" customFormat="1" ht="15" customHeight="1" x14ac:dyDescent="0.2">
      <c r="A285" s="147"/>
      <c r="B285" s="1045" t="str">
        <f t="shared" si="3"/>
        <v>Q67</v>
      </c>
      <c r="C285" s="1063"/>
      <c r="D285" s="1074"/>
      <c r="H285" s="1075"/>
    </row>
    <row r="286" spans="1:8" s="87" customFormat="1" ht="15" customHeight="1" x14ac:dyDescent="0.2">
      <c r="A286" s="147"/>
      <c r="B286" s="1045" t="str">
        <f t="shared" si="3"/>
        <v>Q68</v>
      </c>
      <c r="C286" s="1063"/>
      <c r="D286" s="1074"/>
      <c r="H286" s="1075"/>
    </row>
    <row r="287" spans="1:8" s="87" customFormat="1" ht="15" customHeight="1" x14ac:dyDescent="0.2">
      <c r="A287" s="147"/>
      <c r="B287" s="1045" t="str">
        <f t="shared" si="3"/>
        <v>Q69</v>
      </c>
      <c r="C287" s="1063"/>
      <c r="D287" s="1074"/>
      <c r="H287" s="1075"/>
    </row>
    <row r="288" spans="1:8" s="87" customFormat="1" ht="15" customHeight="1" x14ac:dyDescent="0.2">
      <c r="A288" s="147"/>
      <c r="B288" s="1045" t="str">
        <f t="shared" si="3"/>
        <v>Q70</v>
      </c>
      <c r="C288" s="1063"/>
      <c r="D288" s="1074"/>
      <c r="H288" s="1075"/>
    </row>
    <row r="289" spans="1:8" s="87" customFormat="1" ht="15" customHeight="1" x14ac:dyDescent="0.2">
      <c r="A289" s="147"/>
      <c r="B289" s="1045" t="str">
        <f t="shared" si="3"/>
        <v>Q71</v>
      </c>
      <c r="C289" s="1063"/>
      <c r="D289" s="1074"/>
      <c r="H289" s="1075"/>
    </row>
    <row r="290" spans="1:8" s="87" customFormat="1" ht="15" customHeight="1" x14ac:dyDescent="0.2">
      <c r="A290" s="147"/>
      <c r="B290" s="1045" t="str">
        <f t="shared" si="3"/>
        <v>Q72</v>
      </c>
      <c r="C290" s="1063"/>
      <c r="D290" s="1074"/>
      <c r="H290" s="1075"/>
    </row>
    <row r="291" spans="1:8" s="87" customFormat="1" ht="15" customHeight="1" x14ac:dyDescent="0.2">
      <c r="A291" s="147"/>
      <c r="B291" s="1045" t="str">
        <f t="shared" si="3"/>
        <v>Q73</v>
      </c>
      <c r="C291" s="1063"/>
      <c r="D291" s="1074"/>
      <c r="H291" s="1075"/>
    </row>
    <row r="292" spans="1:8" s="87" customFormat="1" ht="15" customHeight="1" x14ac:dyDescent="0.2">
      <c r="A292" s="147"/>
      <c r="B292" s="1045" t="str">
        <f t="shared" si="3"/>
        <v>Q74</v>
      </c>
      <c r="C292" s="1063"/>
      <c r="D292" s="1074"/>
      <c r="H292" s="1075"/>
    </row>
    <row r="293" spans="1:8" s="87" customFormat="1" ht="15" customHeight="1" x14ac:dyDescent="0.2">
      <c r="A293" s="147"/>
      <c r="B293" s="1045" t="str">
        <f t="shared" si="3"/>
        <v>Q75</v>
      </c>
      <c r="C293" s="1063"/>
      <c r="D293" s="1074"/>
      <c r="H293" s="1075"/>
    </row>
    <row r="294" spans="1:8" s="87" customFormat="1" ht="15" customHeight="1" x14ac:dyDescent="0.2">
      <c r="A294" s="147"/>
      <c r="B294" s="1045" t="str">
        <f t="shared" si="3"/>
        <v>Q76</v>
      </c>
      <c r="C294" s="1063"/>
      <c r="D294" s="1074"/>
      <c r="H294" s="1075"/>
    </row>
    <row r="295" spans="1:8" s="87" customFormat="1" ht="15" customHeight="1" x14ac:dyDescent="0.2">
      <c r="A295" s="147"/>
      <c r="B295" s="1045" t="str">
        <f t="shared" si="3"/>
        <v>Q77</v>
      </c>
      <c r="C295" s="1063"/>
      <c r="D295" s="1074"/>
      <c r="H295" s="1075"/>
    </row>
    <row r="296" spans="1:8" s="87" customFormat="1" ht="15" customHeight="1" x14ac:dyDescent="0.2">
      <c r="A296" s="147"/>
      <c r="B296" s="1045" t="str">
        <f t="shared" si="3"/>
        <v>Q78</v>
      </c>
      <c r="C296" s="1063"/>
      <c r="D296" s="1074"/>
      <c r="H296" s="1075"/>
    </row>
    <row r="297" spans="1:8" s="87" customFormat="1" ht="15" customHeight="1" x14ac:dyDescent="0.2">
      <c r="A297" s="147"/>
      <c r="B297" s="1045" t="str">
        <f t="shared" si="3"/>
        <v>Q79</v>
      </c>
      <c r="C297" s="1063"/>
      <c r="D297" s="1074"/>
      <c r="H297" s="1075"/>
    </row>
    <row r="298" spans="1:8" s="87" customFormat="1" ht="15" customHeight="1" x14ac:dyDescent="0.2">
      <c r="A298" s="147"/>
      <c r="B298" s="1045" t="str">
        <f t="shared" si="3"/>
        <v>Q80</v>
      </c>
      <c r="C298" s="1063"/>
      <c r="D298" s="1074"/>
      <c r="H298" s="1075"/>
    </row>
    <row r="299" spans="1:8" s="87" customFormat="1" ht="15" customHeight="1" x14ac:dyDescent="0.2">
      <c r="A299" s="147"/>
      <c r="B299" s="1045" t="str">
        <f t="shared" si="3"/>
        <v>Q81</v>
      </c>
      <c r="C299" s="1063"/>
      <c r="D299" s="1074"/>
      <c r="H299" s="1075"/>
    </row>
    <row r="300" spans="1:8" s="87" customFormat="1" ht="15" customHeight="1" x14ac:dyDescent="0.2">
      <c r="A300" s="147"/>
      <c r="B300" s="1045" t="str">
        <f t="shared" si="3"/>
        <v>Q82</v>
      </c>
      <c r="C300" s="1063"/>
      <c r="D300" s="1074"/>
      <c r="H300" s="1075"/>
    </row>
    <row r="301" spans="1:8" s="87" customFormat="1" ht="15" customHeight="1" x14ac:dyDescent="0.2">
      <c r="A301" s="147"/>
      <c r="B301" s="1045" t="str">
        <f t="shared" si="3"/>
        <v>Q83</v>
      </c>
      <c r="C301" s="1063"/>
      <c r="D301" s="1074"/>
      <c r="H301" s="1075"/>
    </row>
    <row r="302" spans="1:8" s="87" customFormat="1" ht="15" customHeight="1" x14ac:dyDescent="0.2">
      <c r="A302" s="147"/>
      <c r="B302" s="1045" t="str">
        <f t="shared" si="3"/>
        <v>Q84</v>
      </c>
      <c r="C302" s="1063"/>
      <c r="D302" s="1074"/>
      <c r="H302" s="1075"/>
    </row>
    <row r="303" spans="1:8" s="87" customFormat="1" ht="15" customHeight="1" x14ac:dyDescent="0.2">
      <c r="A303" s="147"/>
      <c r="B303" s="1045" t="str">
        <f t="shared" si="3"/>
        <v>Q85</v>
      </c>
      <c r="C303" s="1063"/>
      <c r="D303" s="1074"/>
      <c r="H303" s="1075"/>
    </row>
    <row r="304" spans="1:8" s="87" customFormat="1" ht="15" customHeight="1" x14ac:dyDescent="0.2">
      <c r="A304" s="147"/>
      <c r="B304" s="1045" t="str">
        <f t="shared" si="3"/>
        <v>Q86</v>
      </c>
      <c r="C304" s="1063"/>
      <c r="D304" s="1074"/>
      <c r="H304" s="1075"/>
    </row>
    <row r="305" spans="1:8" s="87" customFormat="1" ht="15" customHeight="1" x14ac:dyDescent="0.2">
      <c r="A305" s="147"/>
      <c r="B305" s="1045" t="str">
        <f t="shared" si="3"/>
        <v>Q87</v>
      </c>
      <c r="C305" s="1063"/>
      <c r="D305" s="1074"/>
      <c r="H305" s="1075"/>
    </row>
    <row r="306" spans="1:8" s="87" customFormat="1" ht="15" customHeight="1" x14ac:dyDescent="0.2">
      <c r="A306" s="147"/>
      <c r="B306" s="1045" t="str">
        <f t="shared" si="3"/>
        <v>Q88</v>
      </c>
      <c r="C306" s="1063"/>
      <c r="D306" s="1074"/>
      <c r="H306" s="1075"/>
    </row>
    <row r="307" spans="1:8" s="87" customFormat="1" ht="15" customHeight="1" x14ac:dyDescent="0.2">
      <c r="A307" s="147"/>
      <c r="B307" s="1045" t="str">
        <f t="shared" si="3"/>
        <v>Q89</v>
      </c>
      <c r="C307" s="1063"/>
      <c r="D307" s="1074"/>
      <c r="H307" s="1075"/>
    </row>
    <row r="308" spans="1:8" s="87" customFormat="1" ht="15" customHeight="1" x14ac:dyDescent="0.2">
      <c r="A308" s="147"/>
      <c r="B308" s="1045" t="str">
        <f t="shared" si="3"/>
        <v>Q90</v>
      </c>
      <c r="C308" s="1063"/>
      <c r="D308" s="1074"/>
      <c r="H308" s="1075"/>
    </row>
    <row r="309" spans="1:8" s="87" customFormat="1" ht="15" customHeight="1" x14ac:dyDescent="0.2">
      <c r="A309" s="147"/>
      <c r="B309" s="1045" t="str">
        <f t="shared" si="3"/>
        <v>Q91</v>
      </c>
      <c r="C309" s="1063"/>
      <c r="D309" s="1074"/>
      <c r="H309" s="1075"/>
    </row>
    <row r="310" spans="1:8" s="87" customFormat="1" ht="15" customHeight="1" x14ac:dyDescent="0.2">
      <c r="A310" s="147"/>
      <c r="B310" s="1045" t="str">
        <f t="shared" si="3"/>
        <v>Q92</v>
      </c>
      <c r="C310" s="1063"/>
      <c r="D310" s="1074"/>
      <c r="H310" s="1075"/>
    </row>
    <row r="311" spans="1:8" s="87" customFormat="1" ht="15" customHeight="1" x14ac:dyDescent="0.2">
      <c r="A311" s="147"/>
      <c r="B311" s="1045" t="str">
        <f t="shared" si="3"/>
        <v>Q93</v>
      </c>
      <c r="C311" s="1063"/>
      <c r="D311" s="1074"/>
      <c r="H311" s="1075"/>
    </row>
    <row r="312" spans="1:8" s="87" customFormat="1" ht="15" customHeight="1" x14ac:dyDescent="0.2">
      <c r="A312" s="147"/>
      <c r="B312" s="1045" t="str">
        <f t="shared" si="3"/>
        <v>Q94</v>
      </c>
      <c r="C312" s="1063"/>
      <c r="D312" s="1074"/>
      <c r="H312" s="1075"/>
    </row>
    <row r="313" spans="1:8" s="87" customFormat="1" ht="15" customHeight="1" x14ac:dyDescent="0.2">
      <c r="A313" s="147"/>
      <c r="B313" s="1045" t="str">
        <f t="shared" si="3"/>
        <v>Q95</v>
      </c>
      <c r="C313" s="1063"/>
      <c r="D313" s="1074"/>
      <c r="H313" s="1075"/>
    </row>
    <row r="314" spans="1:8" s="87" customFormat="1" ht="15" customHeight="1" x14ac:dyDescent="0.2">
      <c r="A314" s="147"/>
      <c r="B314" s="1045" t="str">
        <f t="shared" si="3"/>
        <v>Q96</v>
      </c>
      <c r="C314" s="1063"/>
      <c r="D314" s="1074"/>
      <c r="H314" s="1075"/>
    </row>
    <row r="315" spans="1:8" s="87" customFormat="1" ht="15" customHeight="1" x14ac:dyDescent="0.2">
      <c r="A315" s="147"/>
      <c r="B315" s="1045" t="str">
        <f t="shared" si="3"/>
        <v>Q97</v>
      </c>
      <c r="C315" s="1063"/>
      <c r="D315" s="1074"/>
      <c r="H315" s="1075"/>
    </row>
    <row r="316" spans="1:8" s="87" customFormat="1" ht="15" customHeight="1" x14ac:dyDescent="0.2">
      <c r="A316" s="147"/>
      <c r="B316" s="1045" t="str">
        <f t="shared" si="3"/>
        <v>Q98</v>
      </c>
      <c r="C316" s="1063"/>
      <c r="D316" s="1074"/>
      <c r="H316" s="1075"/>
    </row>
    <row r="317" spans="1:8" s="87" customFormat="1" ht="15" customHeight="1" x14ac:dyDescent="0.2">
      <c r="A317" s="147"/>
      <c r="B317" s="1045" t="str">
        <f t="shared" si="3"/>
        <v>Q99</v>
      </c>
      <c r="C317" s="1063"/>
      <c r="D317" s="1074"/>
      <c r="H317" s="1075"/>
    </row>
    <row r="318" spans="1:8" s="87" customFormat="1" ht="15" customHeight="1" x14ac:dyDescent="0.2">
      <c r="A318" s="147"/>
      <c r="B318" s="1046" t="str">
        <f t="shared" si="3"/>
        <v>Q100</v>
      </c>
      <c r="C318" s="1062"/>
      <c r="D318" s="1074"/>
      <c r="H318" s="1075"/>
    </row>
    <row r="319" spans="1:8" ht="15" customHeight="1" x14ac:dyDescent="0.2">
      <c r="A319" s="214"/>
      <c r="B319" s="1070"/>
      <c r="C319" s="1070"/>
      <c r="D319" s="1070"/>
      <c r="E319" s="1070"/>
      <c r="F319" s="1070"/>
      <c r="G319" s="1070"/>
      <c r="H319" s="1071"/>
    </row>
  </sheetData>
  <mergeCells count="211">
    <mergeCell ref="C184:E184"/>
    <mergeCell ref="F184:G184"/>
    <mergeCell ref="C185:E185"/>
    <mergeCell ref="F185:G185"/>
    <mergeCell ref="C181:E181"/>
    <mergeCell ref="F181:G181"/>
    <mergeCell ref="C182:E182"/>
    <mergeCell ref="F182:G182"/>
    <mergeCell ref="C183:E183"/>
    <mergeCell ref="F183:G183"/>
    <mergeCell ref="C178:E178"/>
    <mergeCell ref="F178:G178"/>
    <mergeCell ref="C179:E179"/>
    <mergeCell ref="F179:G179"/>
    <mergeCell ref="C180:E180"/>
    <mergeCell ref="F180:G180"/>
    <mergeCell ref="C175:E175"/>
    <mergeCell ref="F175:G175"/>
    <mergeCell ref="C176:E176"/>
    <mergeCell ref="F176:G176"/>
    <mergeCell ref="C177:E177"/>
    <mergeCell ref="F177:G177"/>
    <mergeCell ref="C172:E172"/>
    <mergeCell ref="F172:G172"/>
    <mergeCell ref="C173:E173"/>
    <mergeCell ref="F173:G173"/>
    <mergeCell ref="C174:E174"/>
    <mergeCell ref="F174:G174"/>
    <mergeCell ref="C169:E169"/>
    <mergeCell ref="F169:G169"/>
    <mergeCell ref="C170:E170"/>
    <mergeCell ref="F170:G170"/>
    <mergeCell ref="C171:E171"/>
    <mergeCell ref="F171:G171"/>
    <mergeCell ref="C166:E166"/>
    <mergeCell ref="F166:G166"/>
    <mergeCell ref="C167:E167"/>
    <mergeCell ref="F167:G167"/>
    <mergeCell ref="C168:E168"/>
    <mergeCell ref="F168:G168"/>
    <mergeCell ref="C163:E163"/>
    <mergeCell ref="F163:G163"/>
    <mergeCell ref="C164:E164"/>
    <mergeCell ref="F164:G164"/>
    <mergeCell ref="C165:E165"/>
    <mergeCell ref="F165:G165"/>
    <mergeCell ref="C160:E160"/>
    <mergeCell ref="F160:G160"/>
    <mergeCell ref="C161:E161"/>
    <mergeCell ref="F161:G161"/>
    <mergeCell ref="C162:E162"/>
    <mergeCell ref="F162:G162"/>
    <mergeCell ref="C157:E157"/>
    <mergeCell ref="F157:G157"/>
    <mergeCell ref="C158:E158"/>
    <mergeCell ref="F158:G158"/>
    <mergeCell ref="C159:E159"/>
    <mergeCell ref="F159:G159"/>
    <mergeCell ref="C154:E154"/>
    <mergeCell ref="F154:G154"/>
    <mergeCell ref="C155:E155"/>
    <mergeCell ref="F155:G155"/>
    <mergeCell ref="C156:E156"/>
    <mergeCell ref="F156:G156"/>
    <mergeCell ref="C151:E151"/>
    <mergeCell ref="F151:G151"/>
    <mergeCell ref="C152:E152"/>
    <mergeCell ref="F152:G152"/>
    <mergeCell ref="C153:E153"/>
    <mergeCell ref="F153:G153"/>
    <mergeCell ref="C148:E148"/>
    <mergeCell ref="F148:G148"/>
    <mergeCell ref="C149:E149"/>
    <mergeCell ref="F149:G149"/>
    <mergeCell ref="C150:E150"/>
    <mergeCell ref="F150:G150"/>
    <mergeCell ref="C145:E145"/>
    <mergeCell ref="F145:G145"/>
    <mergeCell ref="C146:E146"/>
    <mergeCell ref="F146:G146"/>
    <mergeCell ref="C147:E147"/>
    <mergeCell ref="F147:G147"/>
    <mergeCell ref="C142:E142"/>
    <mergeCell ref="F142:G142"/>
    <mergeCell ref="C143:E143"/>
    <mergeCell ref="F143:G143"/>
    <mergeCell ref="C144:E144"/>
    <mergeCell ref="F144:G144"/>
    <mergeCell ref="C139:E139"/>
    <mergeCell ref="F139:G139"/>
    <mergeCell ref="C140:E140"/>
    <mergeCell ref="F140:G140"/>
    <mergeCell ref="C141:E141"/>
    <mergeCell ref="F141:G141"/>
    <mergeCell ref="C136:E136"/>
    <mergeCell ref="F136:G136"/>
    <mergeCell ref="C137:E137"/>
    <mergeCell ref="F137:G137"/>
    <mergeCell ref="C138:E138"/>
    <mergeCell ref="F138:G138"/>
    <mergeCell ref="C133:E133"/>
    <mergeCell ref="F133:G133"/>
    <mergeCell ref="C134:E134"/>
    <mergeCell ref="F134:G134"/>
    <mergeCell ref="C135:E135"/>
    <mergeCell ref="F135:G135"/>
    <mergeCell ref="C130:E130"/>
    <mergeCell ref="F130:G130"/>
    <mergeCell ref="C131:E131"/>
    <mergeCell ref="F131:G131"/>
    <mergeCell ref="C132:E132"/>
    <mergeCell ref="F132:G132"/>
    <mergeCell ref="C127:E127"/>
    <mergeCell ref="F127:G127"/>
    <mergeCell ref="C128:E128"/>
    <mergeCell ref="F128:G128"/>
    <mergeCell ref="C129:E129"/>
    <mergeCell ref="F129:G129"/>
    <mergeCell ref="C124:E124"/>
    <mergeCell ref="F124:G124"/>
    <mergeCell ref="C125:E125"/>
    <mergeCell ref="F125:G125"/>
    <mergeCell ref="C126:E126"/>
    <mergeCell ref="F126:G126"/>
    <mergeCell ref="C121:E121"/>
    <mergeCell ref="F121:G121"/>
    <mergeCell ref="C122:E122"/>
    <mergeCell ref="F122:G122"/>
    <mergeCell ref="C123:E123"/>
    <mergeCell ref="F123:G123"/>
    <mergeCell ref="C118:E118"/>
    <mergeCell ref="F118:G118"/>
    <mergeCell ref="C119:E119"/>
    <mergeCell ref="F119:G119"/>
    <mergeCell ref="C120:E120"/>
    <mergeCell ref="F120:G120"/>
    <mergeCell ref="C115:E115"/>
    <mergeCell ref="F115:G115"/>
    <mergeCell ref="C116:E116"/>
    <mergeCell ref="F116:G116"/>
    <mergeCell ref="C117:E117"/>
    <mergeCell ref="F117:G117"/>
    <mergeCell ref="C112:E112"/>
    <mergeCell ref="F112:G112"/>
    <mergeCell ref="C113:E113"/>
    <mergeCell ref="F113:G113"/>
    <mergeCell ref="C114:E114"/>
    <mergeCell ref="F114:G114"/>
    <mergeCell ref="C109:E109"/>
    <mergeCell ref="F109:G109"/>
    <mergeCell ref="C110:E110"/>
    <mergeCell ref="F110:G110"/>
    <mergeCell ref="C111:E111"/>
    <mergeCell ref="F111:G111"/>
    <mergeCell ref="C99:E99"/>
    <mergeCell ref="F99:G99"/>
    <mergeCell ref="C106:E106"/>
    <mergeCell ref="F106:G106"/>
    <mergeCell ref="C107:E107"/>
    <mergeCell ref="F107:G107"/>
    <mergeCell ref="C108:E108"/>
    <mergeCell ref="F108:G108"/>
    <mergeCell ref="C103:E103"/>
    <mergeCell ref="F103:G103"/>
    <mergeCell ref="C104:E104"/>
    <mergeCell ref="F104:G104"/>
    <mergeCell ref="C105:E105"/>
    <mergeCell ref="F105:G105"/>
    <mergeCell ref="F97:G97"/>
    <mergeCell ref="C98:E98"/>
    <mergeCell ref="F98:G98"/>
    <mergeCell ref="C85:E85"/>
    <mergeCell ref="C86:E86"/>
    <mergeCell ref="F85:G85"/>
    <mergeCell ref="F86:G86"/>
    <mergeCell ref="C87:E87"/>
    <mergeCell ref="F87:G87"/>
    <mergeCell ref="C94:E94"/>
    <mergeCell ref="F94:G94"/>
    <mergeCell ref="C95:E95"/>
    <mergeCell ref="F95:G95"/>
    <mergeCell ref="C91:E91"/>
    <mergeCell ref="F91:G91"/>
    <mergeCell ref="C92:E92"/>
    <mergeCell ref="F92:G92"/>
    <mergeCell ref="C93:E93"/>
    <mergeCell ref="F93:G93"/>
    <mergeCell ref="C37:D37"/>
    <mergeCell ref="C4:D4"/>
    <mergeCell ref="E4:F4"/>
    <mergeCell ref="C210:E210"/>
    <mergeCell ref="C211:E211"/>
    <mergeCell ref="C212:E212"/>
    <mergeCell ref="C213:E213"/>
    <mergeCell ref="C214:E214"/>
    <mergeCell ref="C209:E209"/>
    <mergeCell ref="C88:E88"/>
    <mergeCell ref="F88:G88"/>
    <mergeCell ref="C89:E89"/>
    <mergeCell ref="F89:G89"/>
    <mergeCell ref="C90:E90"/>
    <mergeCell ref="F90:G90"/>
    <mergeCell ref="C96:E96"/>
    <mergeCell ref="F96:G96"/>
    <mergeCell ref="C100:E100"/>
    <mergeCell ref="F100:G100"/>
    <mergeCell ref="C101:E101"/>
    <mergeCell ref="F101:G101"/>
    <mergeCell ref="C102:E102"/>
    <mergeCell ref="F102:G102"/>
    <mergeCell ref="C97:E97"/>
  </mergeCells>
  <conditionalFormatting sqref="E23:E24 E21 E18:E19 E16 E6:E14 E26:E32">
    <cfRule type="cellIs" dxfId="248" priority="53" stopIfTrue="1" operator="lessThan">
      <formula>0</formula>
    </cfRule>
  </conditionalFormatting>
  <conditionalFormatting sqref="E15 E17">
    <cfRule type="cellIs" dxfId="247" priority="51" stopIfTrue="1" operator="equal">
      <formula>"No"</formula>
    </cfRule>
    <cfRule type="cellIs" dxfId="246" priority="52" stopIfTrue="1" operator="equal">
      <formula>"Yes"</formula>
    </cfRule>
  </conditionalFormatting>
  <conditionalFormatting sqref="F8">
    <cfRule type="cellIs" dxfId="245" priority="50" stopIfTrue="1" operator="lessThan">
      <formula>0</formula>
    </cfRule>
  </conditionalFormatting>
  <conditionalFormatting sqref="C23:C24 C21 C18:C19 C16 C6:C14 C26:C32">
    <cfRule type="cellIs" dxfId="244" priority="40" stopIfTrue="1" operator="lessThan">
      <formula>0</formula>
    </cfRule>
  </conditionalFormatting>
  <conditionalFormatting sqref="D8">
    <cfRule type="cellIs" dxfId="243" priority="37" stopIfTrue="1" operator="lessThan">
      <formula>0</formula>
    </cfRule>
  </conditionalFormatting>
  <conditionalFormatting sqref="C15 C17">
    <cfRule type="cellIs" dxfId="242" priority="38" stopIfTrue="1" operator="equal">
      <formula>"No"</formula>
    </cfRule>
    <cfRule type="cellIs" dxfId="241" priority="39" stopIfTrue="1" operator="equal">
      <formula>"Yes"</formula>
    </cfRule>
  </conditionalFormatting>
  <conditionalFormatting sqref="D9">
    <cfRule type="cellIs" dxfId="240" priority="36" stopIfTrue="1" operator="lessThan">
      <formula>0</formula>
    </cfRule>
  </conditionalFormatting>
  <conditionalFormatting sqref="F9">
    <cfRule type="cellIs" dxfId="239" priority="35" stopIfTrue="1" operator="lessThan">
      <formula>0</formula>
    </cfRule>
  </conditionalFormatting>
  <conditionalFormatting sqref="D10">
    <cfRule type="cellIs" dxfId="238" priority="34" stopIfTrue="1" operator="lessThan">
      <formula>0</formula>
    </cfRule>
  </conditionalFormatting>
  <conditionalFormatting sqref="F6:F7">
    <cfRule type="cellIs" dxfId="237" priority="18" stopIfTrue="1" operator="lessThan">
      <formula>0</formula>
    </cfRule>
  </conditionalFormatting>
  <conditionalFormatting sqref="F10">
    <cfRule type="cellIs" dxfId="236" priority="33" stopIfTrue="1" operator="lessThan">
      <formula>0</formula>
    </cfRule>
  </conditionalFormatting>
  <conditionalFormatting sqref="D11">
    <cfRule type="cellIs" dxfId="235" priority="32" stopIfTrue="1" operator="lessThan">
      <formula>0</formula>
    </cfRule>
  </conditionalFormatting>
  <conditionalFormatting sqref="D12">
    <cfRule type="cellIs" dxfId="234" priority="31" stopIfTrue="1" operator="lessThan">
      <formula>0</formula>
    </cfRule>
  </conditionalFormatting>
  <conditionalFormatting sqref="F12">
    <cfRule type="cellIs" dxfId="233" priority="30" stopIfTrue="1" operator="lessThan">
      <formula>0</formula>
    </cfRule>
  </conditionalFormatting>
  <conditionalFormatting sqref="F11">
    <cfRule type="cellIs" dxfId="232" priority="29" stopIfTrue="1" operator="lessThan">
      <formula>0</formula>
    </cfRule>
  </conditionalFormatting>
  <conditionalFormatting sqref="D13">
    <cfRule type="cellIs" dxfId="231" priority="28" stopIfTrue="1" operator="lessThan">
      <formula>0</formula>
    </cfRule>
  </conditionalFormatting>
  <conditionalFormatting sqref="F13">
    <cfRule type="cellIs" dxfId="230" priority="27" stopIfTrue="1" operator="lessThan">
      <formula>0</formula>
    </cfRule>
  </conditionalFormatting>
  <conditionalFormatting sqref="D19">
    <cfRule type="cellIs" dxfId="229" priority="26" stopIfTrue="1" operator="lessThan">
      <formula>0</formula>
    </cfRule>
  </conditionalFormatting>
  <conditionalFormatting sqref="F19">
    <cfRule type="cellIs" dxfId="228" priority="25" stopIfTrue="1" operator="lessThan">
      <formula>0</formula>
    </cfRule>
  </conditionalFormatting>
  <conditionalFormatting sqref="D20">
    <cfRule type="cellIs" dxfId="227" priority="24" stopIfTrue="1" operator="lessThan">
      <formula>0</formula>
    </cfRule>
  </conditionalFormatting>
  <conditionalFormatting sqref="D21">
    <cfRule type="cellIs" dxfId="226" priority="23" stopIfTrue="1" operator="lessThan">
      <formula>0</formula>
    </cfRule>
  </conditionalFormatting>
  <conditionalFormatting sqref="F21">
    <cfRule type="cellIs" dxfId="225" priority="22" stopIfTrue="1" operator="lessThan">
      <formula>0</formula>
    </cfRule>
  </conditionalFormatting>
  <conditionalFormatting sqref="F20">
    <cfRule type="cellIs" dxfId="224" priority="21" stopIfTrue="1" operator="lessThan">
      <formula>0</formula>
    </cfRule>
  </conditionalFormatting>
  <conditionalFormatting sqref="D6:D7">
    <cfRule type="cellIs" dxfId="223" priority="19" stopIfTrue="1" operator="lessThan">
      <formula>0</formula>
    </cfRule>
  </conditionalFormatting>
  <conditionalFormatting sqref="D23:D24">
    <cfRule type="cellIs" dxfId="222" priority="17" stopIfTrue="1" operator="lessThan">
      <formula>0</formula>
    </cfRule>
  </conditionalFormatting>
  <conditionalFormatting sqref="F23">
    <cfRule type="cellIs" dxfId="221" priority="16" stopIfTrue="1" operator="lessThan">
      <formula>0</formula>
    </cfRule>
  </conditionalFormatting>
  <conditionalFormatting sqref="F24">
    <cfRule type="cellIs" dxfId="220" priority="15" stopIfTrue="1" operator="lessThan">
      <formula>0</formula>
    </cfRule>
  </conditionalFormatting>
  <conditionalFormatting sqref="D26">
    <cfRule type="cellIs" dxfId="219" priority="14" stopIfTrue="1" operator="lessThan">
      <formula>0</formula>
    </cfRule>
  </conditionalFormatting>
  <conditionalFormatting sqref="D27">
    <cfRule type="cellIs" dxfId="218" priority="13" stopIfTrue="1" operator="lessThan">
      <formula>0</formula>
    </cfRule>
  </conditionalFormatting>
  <conditionalFormatting sqref="F27">
    <cfRule type="cellIs" dxfId="217" priority="12" stopIfTrue="1" operator="lessThan">
      <formula>0</formula>
    </cfRule>
  </conditionalFormatting>
  <conditionalFormatting sqref="F26">
    <cfRule type="cellIs" dxfId="216" priority="11" stopIfTrue="1" operator="lessThan">
      <formula>0</formula>
    </cfRule>
  </conditionalFormatting>
  <conditionalFormatting sqref="D29">
    <cfRule type="cellIs" dxfId="215" priority="10" stopIfTrue="1" operator="lessThan">
      <formula>0</formula>
    </cfRule>
  </conditionalFormatting>
  <conditionalFormatting sqref="F29">
    <cfRule type="cellIs" dxfId="214" priority="9" stopIfTrue="1" operator="lessThan">
      <formula>0</formula>
    </cfRule>
  </conditionalFormatting>
  <conditionalFormatting sqref="D30">
    <cfRule type="cellIs" dxfId="213" priority="8" stopIfTrue="1" operator="lessThan">
      <formula>0</formula>
    </cfRule>
  </conditionalFormatting>
  <conditionalFormatting sqref="F30">
    <cfRule type="cellIs" dxfId="212" priority="7" stopIfTrue="1" operator="lessThan">
      <formula>0</formula>
    </cfRule>
  </conditionalFormatting>
  <conditionalFormatting sqref="F31">
    <cfRule type="cellIs" dxfId="211" priority="6" stopIfTrue="1" operator="lessThan">
      <formula>0</formula>
    </cfRule>
  </conditionalFormatting>
  <conditionalFormatting sqref="F32">
    <cfRule type="cellIs" dxfId="210" priority="5" stopIfTrue="1" operator="lessThan">
      <formula>0</formula>
    </cfRule>
  </conditionalFormatting>
  <conditionalFormatting sqref="D31">
    <cfRule type="cellIs" dxfId="209" priority="2" stopIfTrue="1" operator="lessThan">
      <formula>0</formula>
    </cfRule>
  </conditionalFormatting>
  <conditionalFormatting sqref="D32">
    <cfRule type="cellIs" dxfId="208" priority="1" stopIfTrue="1" operator="lessThan">
      <formula>0</formula>
    </cfRule>
  </conditionalFormatting>
  <dataValidations count="3">
    <dataValidation type="list" allowBlank="1" showInputMessage="1" showErrorMessage="1" sqref="G210:G214">
      <formula1>RiskClass</formula1>
    </dataValidation>
    <dataValidation type="list" allowBlank="1" showInputMessage="1" showErrorMessage="1" sqref="C219:C318">
      <formula1>QNumericZ100</formula1>
    </dataValidation>
    <dataValidation type="list" allowBlank="1" showInputMessage="1" showErrorMessage="1" sqref="F86:G185">
      <formula1>RegDesks</formula1>
    </dataValidation>
  </dataValidations>
  <printOptions headings="1"/>
  <pageMargins left="0.70866141732283472" right="0.70866141732283472" top="0.74803149606299213" bottom="0.74803149606299213" header="0.31496062992125984" footer="0.31496062992125984"/>
  <pageSetup paperSize="9" scale="50" pageOrder="overThenDown" orientation="landscape" r:id="rId1"/>
  <headerFooter>
    <oddHeader>&amp;L&amp;"Arial,Bold"&amp;14Basel Committee on Banking Supervision
Basel III monitoring template&amp;C&amp;14&amp;F
&amp;A&amp;R&amp;"Arial,Bold"&amp;14Confidential when completed</oddHeader>
    <oddFooter>&amp;L&amp;14&amp;D  &amp;T&amp;R&amp;14Page &amp;P of &amp;N</oddFooter>
  </headerFooter>
  <rowBreaks count="6" manualBreakCount="6">
    <brk id="34" max="16383" man="1"/>
    <brk id="82" max="16383" man="1"/>
    <brk id="135" max="16383" man="1"/>
    <brk id="186" max="16383" man="1"/>
    <brk id="215" max="16383" man="1"/>
    <brk id="268" max="16383" man="1"/>
  </rowBreaks>
  <ignoredErrors>
    <ignoredError sqref="C15:G318" emptyCellReferenc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Y105"/>
  <sheetViews>
    <sheetView zoomScale="75" zoomScaleNormal="75" workbookViewId="0">
      <pane xSplit="3" ySplit="4" topLeftCell="D5" activePane="bottomRight" state="frozen"/>
      <selection pane="topRight"/>
      <selection pane="bottomLeft"/>
      <selection pane="bottomRight"/>
    </sheetView>
  </sheetViews>
  <sheetFormatPr defaultColWidth="9.140625" defaultRowHeight="15" customHeight="1" x14ac:dyDescent="0.2"/>
  <cols>
    <col min="1" max="1" width="1.7109375" style="207" customWidth="1"/>
    <col min="2" max="2" width="12.7109375" style="207" customWidth="1"/>
    <col min="3" max="3" width="46.7109375" style="87" customWidth="1"/>
    <col min="4" max="5" width="40.7109375" style="207" customWidth="1"/>
    <col min="6" max="6" width="40.7109375" style="87" customWidth="1"/>
    <col min="7" max="9" width="14.7109375" style="87" customWidth="1"/>
    <col min="10" max="14" width="16.7109375" style="87" customWidth="1"/>
    <col min="15" max="21" width="14.7109375" style="87" customWidth="1"/>
    <col min="22" max="22" width="16.7109375" style="87" customWidth="1"/>
    <col min="23" max="23" width="14.7109375" style="87" customWidth="1"/>
    <col min="24" max="24" width="16.7109375" style="87" customWidth="1"/>
    <col min="25" max="25" width="1.7109375" style="87" customWidth="1"/>
    <col min="26" max="16384" width="9.140625" style="87"/>
  </cols>
  <sheetData>
    <row r="1" spans="1:25" s="1052" customFormat="1" ht="30" customHeight="1" x14ac:dyDescent="0.4">
      <c r="A1" s="1055" t="s">
        <v>1168</v>
      </c>
      <c r="B1" s="44"/>
      <c r="C1" s="44"/>
      <c r="D1" s="44"/>
      <c r="E1" s="44"/>
      <c r="F1" s="146"/>
      <c r="G1" s="146"/>
      <c r="H1" s="146"/>
      <c r="I1" s="146"/>
      <c r="J1" s="146"/>
      <c r="K1" s="146"/>
      <c r="L1" s="146"/>
      <c r="M1" s="146"/>
      <c r="N1" s="146"/>
      <c r="O1" s="146"/>
      <c r="P1" s="146"/>
      <c r="Q1" s="146"/>
      <c r="R1" s="146"/>
      <c r="S1" s="146"/>
      <c r="T1" s="146"/>
      <c r="U1" s="146"/>
      <c r="V1" s="146"/>
      <c r="W1" s="146"/>
      <c r="X1" s="146"/>
      <c r="Y1" s="169"/>
    </row>
    <row r="2" spans="1:25" ht="15" customHeight="1" x14ac:dyDescent="0.2">
      <c r="A2" s="147"/>
      <c r="B2" s="87"/>
      <c r="D2" s="87"/>
      <c r="E2" s="87"/>
      <c r="Y2" s="1075"/>
    </row>
    <row r="3" spans="1:25" ht="30" customHeight="1" x14ac:dyDescent="0.2">
      <c r="A3" s="147"/>
      <c r="B3" s="1806" t="s">
        <v>1156</v>
      </c>
      <c r="C3" s="1808" t="s">
        <v>1128</v>
      </c>
      <c r="D3" s="1808" t="s">
        <v>1130</v>
      </c>
      <c r="E3" s="1808" t="s">
        <v>1184</v>
      </c>
      <c r="F3" s="1808" t="s">
        <v>1185</v>
      </c>
      <c r="G3" s="1812" t="s">
        <v>1208</v>
      </c>
      <c r="H3" s="1812"/>
      <c r="I3" s="1812"/>
      <c r="J3" s="1808" t="s">
        <v>1157</v>
      </c>
      <c r="K3" s="1808" t="s">
        <v>1162</v>
      </c>
      <c r="L3" s="1808" t="s">
        <v>397</v>
      </c>
      <c r="M3" s="1808" t="s">
        <v>1163</v>
      </c>
      <c r="N3" s="1808" t="s">
        <v>1164</v>
      </c>
      <c r="O3" s="1812" t="s">
        <v>1209</v>
      </c>
      <c r="P3" s="1812"/>
      <c r="Q3" s="1812"/>
      <c r="R3" s="1808" t="s">
        <v>1160</v>
      </c>
      <c r="S3" s="1812" t="s">
        <v>1210</v>
      </c>
      <c r="T3" s="1812"/>
      <c r="U3" s="1812"/>
      <c r="V3" s="1808" t="s">
        <v>1207</v>
      </c>
      <c r="W3" s="1808" t="s">
        <v>1510</v>
      </c>
      <c r="X3" s="1810" t="s">
        <v>1511</v>
      </c>
      <c r="Y3" s="1075"/>
    </row>
    <row r="4" spans="1:25" ht="45" customHeight="1" x14ac:dyDescent="0.2">
      <c r="A4" s="147"/>
      <c r="B4" s="1807"/>
      <c r="C4" s="1809"/>
      <c r="D4" s="1809"/>
      <c r="E4" s="1809"/>
      <c r="F4" s="1809"/>
      <c r="G4" s="1318" t="s">
        <v>1161</v>
      </c>
      <c r="H4" s="1318" t="s">
        <v>1186</v>
      </c>
      <c r="I4" s="1318" t="s">
        <v>1187</v>
      </c>
      <c r="J4" s="1809"/>
      <c r="K4" s="1809"/>
      <c r="L4" s="1809"/>
      <c r="M4" s="1809"/>
      <c r="N4" s="1809"/>
      <c r="O4" s="1318" t="s">
        <v>280</v>
      </c>
      <c r="P4" s="1318" t="s">
        <v>1158</v>
      </c>
      <c r="Q4" s="1318" t="s">
        <v>1159</v>
      </c>
      <c r="R4" s="1809"/>
      <c r="S4" s="1318" t="s">
        <v>1165</v>
      </c>
      <c r="T4" s="1318" t="s">
        <v>1166</v>
      </c>
      <c r="U4" s="1318" t="s">
        <v>1167</v>
      </c>
      <c r="V4" s="1809"/>
      <c r="W4" s="1809"/>
      <c r="X4" s="1811"/>
      <c r="Y4" s="1075"/>
    </row>
    <row r="5" spans="1:25" ht="15" customHeight="1" x14ac:dyDescent="0.2">
      <c r="A5" s="147"/>
      <c r="B5" s="1049" t="str">
        <f>"Desk " &amp; (ROW(B5)-ROW(B$4))</f>
        <v>Desk 1</v>
      </c>
      <c r="C5" s="1383" t="str">
        <f>IF('TB IMA general'!C86&lt;&gt;"",'TB IMA general'!C86,"")</f>
        <v/>
      </c>
      <c r="D5" s="1384"/>
      <c r="E5" s="1384"/>
      <c r="F5" s="1384"/>
      <c r="G5" s="907"/>
      <c r="H5" s="907"/>
      <c r="I5" s="907"/>
      <c r="J5" s="1126"/>
      <c r="K5" s="1126"/>
      <c r="L5" s="1126"/>
      <c r="M5" s="1126"/>
      <c r="N5" s="1126"/>
      <c r="O5" s="907"/>
      <c r="P5" s="907"/>
      <c r="Q5" s="907"/>
      <c r="R5" s="1126"/>
      <c r="S5" s="907"/>
      <c r="T5" s="907"/>
      <c r="U5" s="907"/>
      <c r="V5" s="1126"/>
      <c r="W5" s="907"/>
      <c r="X5" s="413"/>
      <c r="Y5" s="1075"/>
    </row>
    <row r="6" spans="1:25" ht="15" customHeight="1" x14ac:dyDescent="0.2">
      <c r="A6" s="147"/>
      <c r="B6" s="1050" t="str">
        <f t="shared" ref="B6:B69" si="0">"Desk " &amp; (ROW(B6)-ROW(B$4))</f>
        <v>Desk 2</v>
      </c>
      <c r="C6" s="1385" t="str">
        <f>IF('TB IMA general'!C87&lt;&gt;"",'TB IMA general'!C87,"")</f>
        <v/>
      </c>
      <c r="D6" s="1384"/>
      <c r="E6" s="1384"/>
      <c r="F6" s="1384"/>
      <c r="G6" s="907"/>
      <c r="H6" s="907"/>
      <c r="I6" s="907"/>
      <c r="J6" s="1126"/>
      <c r="K6" s="1126"/>
      <c r="L6" s="1126"/>
      <c r="M6" s="1126"/>
      <c r="N6" s="1126"/>
      <c r="O6" s="907"/>
      <c r="P6" s="907"/>
      <c r="Q6" s="907"/>
      <c r="R6" s="1126"/>
      <c r="S6" s="907"/>
      <c r="T6" s="907"/>
      <c r="U6" s="907"/>
      <c r="V6" s="1126"/>
      <c r="W6" s="907"/>
      <c r="X6" s="413"/>
      <c r="Y6" s="1075"/>
    </row>
    <row r="7" spans="1:25" ht="15" customHeight="1" x14ac:dyDescent="0.2">
      <c r="A7" s="147"/>
      <c r="B7" s="1050" t="str">
        <f t="shared" si="0"/>
        <v>Desk 3</v>
      </c>
      <c r="C7" s="1385" t="str">
        <f>IF('TB IMA general'!C88&lt;&gt;"",'TB IMA general'!C88,"")</f>
        <v/>
      </c>
      <c r="D7" s="1384"/>
      <c r="E7" s="1384"/>
      <c r="F7" s="1384"/>
      <c r="G7" s="907"/>
      <c r="H7" s="907"/>
      <c r="I7" s="907"/>
      <c r="J7" s="1126"/>
      <c r="K7" s="1126"/>
      <c r="L7" s="1126"/>
      <c r="M7" s="1126"/>
      <c r="N7" s="1126"/>
      <c r="O7" s="907"/>
      <c r="P7" s="907"/>
      <c r="Q7" s="907"/>
      <c r="R7" s="1126"/>
      <c r="S7" s="907"/>
      <c r="T7" s="907"/>
      <c r="U7" s="907"/>
      <c r="V7" s="1126"/>
      <c r="W7" s="907"/>
      <c r="X7" s="413"/>
      <c r="Y7" s="1075"/>
    </row>
    <row r="8" spans="1:25" ht="15" customHeight="1" x14ac:dyDescent="0.2">
      <c r="A8" s="147"/>
      <c r="B8" s="1050" t="str">
        <f t="shared" si="0"/>
        <v>Desk 4</v>
      </c>
      <c r="C8" s="1385" t="str">
        <f>IF('TB IMA general'!C89&lt;&gt;"",'TB IMA general'!C89,"")</f>
        <v/>
      </c>
      <c r="D8" s="1384"/>
      <c r="E8" s="1384"/>
      <c r="F8" s="1384"/>
      <c r="G8" s="907"/>
      <c r="H8" s="907"/>
      <c r="I8" s="907"/>
      <c r="J8" s="1126"/>
      <c r="K8" s="1126"/>
      <c r="L8" s="1126"/>
      <c r="M8" s="1126"/>
      <c r="N8" s="1126"/>
      <c r="O8" s="907"/>
      <c r="P8" s="907"/>
      <c r="Q8" s="907"/>
      <c r="R8" s="1126"/>
      <c r="S8" s="907"/>
      <c r="T8" s="907"/>
      <c r="U8" s="907"/>
      <c r="V8" s="1126"/>
      <c r="W8" s="907"/>
      <c r="X8" s="413"/>
      <c r="Y8" s="1075"/>
    </row>
    <row r="9" spans="1:25" ht="15" customHeight="1" x14ac:dyDescent="0.2">
      <c r="A9" s="147"/>
      <c r="B9" s="1050" t="str">
        <f t="shared" si="0"/>
        <v>Desk 5</v>
      </c>
      <c r="C9" s="1385" t="str">
        <f>IF('TB IMA general'!C90&lt;&gt;"",'TB IMA general'!C90,"")</f>
        <v/>
      </c>
      <c r="D9" s="1384"/>
      <c r="E9" s="1384"/>
      <c r="F9" s="1384"/>
      <c r="G9" s="907"/>
      <c r="H9" s="907"/>
      <c r="I9" s="907"/>
      <c r="J9" s="1126"/>
      <c r="K9" s="1126"/>
      <c r="L9" s="1126"/>
      <c r="M9" s="1126"/>
      <c r="N9" s="1126"/>
      <c r="O9" s="907"/>
      <c r="P9" s="907"/>
      <c r="Q9" s="907"/>
      <c r="R9" s="1126"/>
      <c r="S9" s="907"/>
      <c r="T9" s="907"/>
      <c r="U9" s="907"/>
      <c r="V9" s="1126"/>
      <c r="W9" s="907"/>
      <c r="X9" s="413"/>
      <c r="Y9" s="1075"/>
    </row>
    <row r="10" spans="1:25" ht="15" customHeight="1" x14ac:dyDescent="0.2">
      <c r="A10" s="147"/>
      <c r="B10" s="1050" t="str">
        <f t="shared" si="0"/>
        <v>Desk 6</v>
      </c>
      <c r="C10" s="1385" t="str">
        <f>IF('TB IMA general'!C91&lt;&gt;"",'TB IMA general'!C91,"")</f>
        <v/>
      </c>
      <c r="D10" s="1384"/>
      <c r="E10" s="1384"/>
      <c r="F10" s="1384"/>
      <c r="G10" s="907"/>
      <c r="H10" s="907"/>
      <c r="I10" s="907"/>
      <c r="J10" s="1126"/>
      <c r="K10" s="1126"/>
      <c r="L10" s="1126"/>
      <c r="M10" s="1126"/>
      <c r="N10" s="1126"/>
      <c r="O10" s="907"/>
      <c r="P10" s="907"/>
      <c r="Q10" s="907"/>
      <c r="R10" s="1126"/>
      <c r="S10" s="907"/>
      <c r="T10" s="907"/>
      <c r="U10" s="907"/>
      <c r="V10" s="1126"/>
      <c r="W10" s="907"/>
      <c r="X10" s="413"/>
      <c r="Y10" s="1075"/>
    </row>
    <row r="11" spans="1:25" ht="15" customHeight="1" x14ac:dyDescent="0.2">
      <c r="A11" s="147"/>
      <c r="B11" s="1050" t="str">
        <f t="shared" si="0"/>
        <v>Desk 7</v>
      </c>
      <c r="C11" s="1385" t="str">
        <f>IF('TB IMA general'!C92&lt;&gt;"",'TB IMA general'!C92,"")</f>
        <v/>
      </c>
      <c r="D11" s="1384"/>
      <c r="E11" s="1384"/>
      <c r="F11" s="1384"/>
      <c r="G11" s="907"/>
      <c r="H11" s="907"/>
      <c r="I11" s="907"/>
      <c r="J11" s="1126"/>
      <c r="K11" s="1126"/>
      <c r="L11" s="1126"/>
      <c r="M11" s="1126"/>
      <c r="N11" s="1126"/>
      <c r="O11" s="907"/>
      <c r="P11" s="907"/>
      <c r="Q11" s="907"/>
      <c r="R11" s="1126"/>
      <c r="S11" s="907"/>
      <c r="T11" s="907"/>
      <c r="U11" s="907"/>
      <c r="V11" s="1126"/>
      <c r="W11" s="907"/>
      <c r="X11" s="413"/>
      <c r="Y11" s="1075"/>
    </row>
    <row r="12" spans="1:25" ht="15" customHeight="1" x14ac:dyDescent="0.2">
      <c r="A12" s="147"/>
      <c r="B12" s="1050" t="str">
        <f t="shared" si="0"/>
        <v>Desk 8</v>
      </c>
      <c r="C12" s="1385" t="str">
        <f>IF('TB IMA general'!C93&lt;&gt;"",'TB IMA general'!C93,"")</f>
        <v/>
      </c>
      <c r="D12" s="1384"/>
      <c r="E12" s="1384"/>
      <c r="F12" s="1384"/>
      <c r="G12" s="907"/>
      <c r="H12" s="907"/>
      <c r="I12" s="907"/>
      <c r="J12" s="1126"/>
      <c r="K12" s="1126"/>
      <c r="L12" s="1126"/>
      <c r="M12" s="1126"/>
      <c r="N12" s="1126"/>
      <c r="O12" s="907"/>
      <c r="P12" s="907"/>
      <c r="Q12" s="907"/>
      <c r="R12" s="1126"/>
      <c r="S12" s="907"/>
      <c r="T12" s="907"/>
      <c r="U12" s="907"/>
      <c r="V12" s="1126"/>
      <c r="W12" s="907"/>
      <c r="X12" s="413"/>
      <c r="Y12" s="1075"/>
    </row>
    <row r="13" spans="1:25" ht="15" customHeight="1" x14ac:dyDescent="0.2">
      <c r="A13" s="147"/>
      <c r="B13" s="1050" t="str">
        <f t="shared" si="0"/>
        <v>Desk 9</v>
      </c>
      <c r="C13" s="1385" t="str">
        <f>IF('TB IMA general'!C94&lt;&gt;"",'TB IMA general'!C94,"")</f>
        <v/>
      </c>
      <c r="D13" s="1384"/>
      <c r="E13" s="1384"/>
      <c r="F13" s="1384"/>
      <c r="G13" s="907"/>
      <c r="H13" s="907"/>
      <c r="I13" s="907"/>
      <c r="J13" s="1126"/>
      <c r="K13" s="1126"/>
      <c r="L13" s="1126"/>
      <c r="M13" s="1126"/>
      <c r="N13" s="1126"/>
      <c r="O13" s="907"/>
      <c r="P13" s="907"/>
      <c r="Q13" s="907"/>
      <c r="R13" s="1126"/>
      <c r="S13" s="907"/>
      <c r="T13" s="907"/>
      <c r="U13" s="907"/>
      <c r="V13" s="1126"/>
      <c r="W13" s="907"/>
      <c r="X13" s="413"/>
      <c r="Y13" s="1075"/>
    </row>
    <row r="14" spans="1:25" ht="15" customHeight="1" x14ac:dyDescent="0.2">
      <c r="A14" s="147"/>
      <c r="B14" s="1050" t="str">
        <f t="shared" si="0"/>
        <v>Desk 10</v>
      </c>
      <c r="C14" s="1385" t="str">
        <f>IF('TB IMA general'!C95&lt;&gt;"",'TB IMA general'!C95,"")</f>
        <v/>
      </c>
      <c r="D14" s="1384"/>
      <c r="E14" s="1384"/>
      <c r="F14" s="1384"/>
      <c r="G14" s="907"/>
      <c r="H14" s="907"/>
      <c r="I14" s="907"/>
      <c r="J14" s="1126"/>
      <c r="K14" s="1126"/>
      <c r="L14" s="1126"/>
      <c r="M14" s="1126"/>
      <c r="N14" s="1126"/>
      <c r="O14" s="907"/>
      <c r="P14" s="907"/>
      <c r="Q14" s="907"/>
      <c r="R14" s="1126"/>
      <c r="S14" s="907"/>
      <c r="T14" s="907"/>
      <c r="U14" s="907"/>
      <c r="V14" s="1126"/>
      <c r="W14" s="907"/>
      <c r="X14" s="413"/>
      <c r="Y14" s="1075"/>
    </row>
    <row r="15" spans="1:25" ht="15" customHeight="1" x14ac:dyDescent="0.2">
      <c r="A15" s="147"/>
      <c r="B15" s="1050" t="str">
        <f t="shared" si="0"/>
        <v>Desk 11</v>
      </c>
      <c r="C15" s="1385" t="str">
        <f>IF('TB IMA general'!C96&lt;&gt;"",'TB IMA general'!C96,"")</f>
        <v/>
      </c>
      <c r="D15" s="1384"/>
      <c r="E15" s="1384"/>
      <c r="F15" s="1384"/>
      <c r="G15" s="907"/>
      <c r="H15" s="907"/>
      <c r="I15" s="907"/>
      <c r="J15" s="1126"/>
      <c r="K15" s="1126"/>
      <c r="L15" s="1126"/>
      <c r="M15" s="1126"/>
      <c r="N15" s="1126"/>
      <c r="O15" s="907"/>
      <c r="P15" s="907"/>
      <c r="Q15" s="907"/>
      <c r="R15" s="1126"/>
      <c r="S15" s="907"/>
      <c r="T15" s="907"/>
      <c r="U15" s="907"/>
      <c r="V15" s="1126"/>
      <c r="W15" s="907"/>
      <c r="X15" s="413"/>
      <c r="Y15" s="1075"/>
    </row>
    <row r="16" spans="1:25" ht="15" customHeight="1" x14ac:dyDescent="0.2">
      <c r="A16" s="147"/>
      <c r="B16" s="1050" t="str">
        <f t="shared" si="0"/>
        <v>Desk 12</v>
      </c>
      <c r="C16" s="1385" t="str">
        <f>IF('TB IMA general'!C97&lt;&gt;"",'TB IMA general'!C97,"")</f>
        <v/>
      </c>
      <c r="D16" s="1384"/>
      <c r="E16" s="1384"/>
      <c r="F16" s="1384"/>
      <c r="G16" s="907"/>
      <c r="H16" s="907"/>
      <c r="I16" s="907"/>
      <c r="J16" s="1126"/>
      <c r="K16" s="1126"/>
      <c r="L16" s="1126"/>
      <c r="M16" s="1126"/>
      <c r="N16" s="1126"/>
      <c r="O16" s="907"/>
      <c r="P16" s="907"/>
      <c r="Q16" s="907"/>
      <c r="R16" s="1126"/>
      <c r="S16" s="907"/>
      <c r="T16" s="907"/>
      <c r="U16" s="907"/>
      <c r="V16" s="1126"/>
      <c r="W16" s="907"/>
      <c r="X16" s="413"/>
      <c r="Y16" s="1075"/>
    </row>
    <row r="17" spans="1:25" ht="15" customHeight="1" x14ac:dyDescent="0.2">
      <c r="A17" s="147"/>
      <c r="B17" s="1050" t="str">
        <f t="shared" si="0"/>
        <v>Desk 13</v>
      </c>
      <c r="C17" s="1385" t="str">
        <f>IF('TB IMA general'!C98&lt;&gt;"",'TB IMA general'!C98,"")</f>
        <v/>
      </c>
      <c r="D17" s="1384"/>
      <c r="E17" s="1384"/>
      <c r="F17" s="1384"/>
      <c r="G17" s="907"/>
      <c r="H17" s="907"/>
      <c r="I17" s="907"/>
      <c r="J17" s="1126"/>
      <c r="K17" s="1126"/>
      <c r="L17" s="1126"/>
      <c r="M17" s="1126"/>
      <c r="N17" s="1126"/>
      <c r="O17" s="907"/>
      <c r="P17" s="907"/>
      <c r="Q17" s="907"/>
      <c r="R17" s="1126"/>
      <c r="S17" s="907"/>
      <c r="T17" s="907"/>
      <c r="U17" s="907"/>
      <c r="V17" s="1126"/>
      <c r="W17" s="907"/>
      <c r="X17" s="413"/>
      <c r="Y17" s="1075"/>
    </row>
    <row r="18" spans="1:25" ht="15" customHeight="1" x14ac:dyDescent="0.2">
      <c r="A18" s="147"/>
      <c r="B18" s="1050" t="str">
        <f t="shared" si="0"/>
        <v>Desk 14</v>
      </c>
      <c r="C18" s="1385" t="str">
        <f>IF('TB IMA general'!C99&lt;&gt;"",'TB IMA general'!C99,"")</f>
        <v/>
      </c>
      <c r="D18" s="1384"/>
      <c r="E18" s="1384"/>
      <c r="F18" s="1384"/>
      <c r="G18" s="907"/>
      <c r="H18" s="907"/>
      <c r="I18" s="907"/>
      <c r="J18" s="1126"/>
      <c r="K18" s="1126"/>
      <c r="L18" s="1126"/>
      <c r="M18" s="1126"/>
      <c r="N18" s="1126"/>
      <c r="O18" s="907"/>
      <c r="P18" s="907"/>
      <c r="Q18" s="907"/>
      <c r="R18" s="1126"/>
      <c r="S18" s="907"/>
      <c r="T18" s="907"/>
      <c r="U18" s="907"/>
      <c r="V18" s="1126"/>
      <c r="W18" s="907"/>
      <c r="X18" s="413"/>
      <c r="Y18" s="1075"/>
    </row>
    <row r="19" spans="1:25" ht="15" customHeight="1" x14ac:dyDescent="0.2">
      <c r="A19" s="147"/>
      <c r="B19" s="1050" t="str">
        <f t="shared" si="0"/>
        <v>Desk 15</v>
      </c>
      <c r="C19" s="1385" t="str">
        <f>IF('TB IMA general'!C100&lt;&gt;"",'TB IMA general'!C100,"")</f>
        <v/>
      </c>
      <c r="D19" s="1384"/>
      <c r="E19" s="1384"/>
      <c r="F19" s="1384"/>
      <c r="G19" s="907"/>
      <c r="H19" s="907"/>
      <c r="I19" s="907"/>
      <c r="J19" s="1126"/>
      <c r="K19" s="1126"/>
      <c r="L19" s="1126"/>
      <c r="M19" s="1126"/>
      <c r="N19" s="1126"/>
      <c r="O19" s="907"/>
      <c r="P19" s="907"/>
      <c r="Q19" s="907"/>
      <c r="R19" s="1126"/>
      <c r="S19" s="907"/>
      <c r="T19" s="907"/>
      <c r="U19" s="907"/>
      <c r="V19" s="1126"/>
      <c r="W19" s="907"/>
      <c r="X19" s="413"/>
      <c r="Y19" s="1075"/>
    </row>
    <row r="20" spans="1:25" ht="15" customHeight="1" x14ac:dyDescent="0.2">
      <c r="A20" s="147"/>
      <c r="B20" s="1050" t="str">
        <f t="shared" si="0"/>
        <v>Desk 16</v>
      </c>
      <c r="C20" s="1385" t="str">
        <f>IF('TB IMA general'!C101&lt;&gt;"",'TB IMA general'!C101,"")</f>
        <v/>
      </c>
      <c r="D20" s="1384"/>
      <c r="E20" s="1384"/>
      <c r="F20" s="1384"/>
      <c r="G20" s="907"/>
      <c r="H20" s="907"/>
      <c r="I20" s="907"/>
      <c r="J20" s="1126"/>
      <c r="K20" s="1126"/>
      <c r="L20" s="1126"/>
      <c r="M20" s="1126"/>
      <c r="N20" s="1126"/>
      <c r="O20" s="907"/>
      <c r="P20" s="907"/>
      <c r="Q20" s="907"/>
      <c r="R20" s="1126"/>
      <c r="S20" s="907"/>
      <c r="T20" s="907"/>
      <c r="U20" s="907"/>
      <c r="V20" s="1126"/>
      <c r="W20" s="907"/>
      <c r="X20" s="413"/>
      <c r="Y20" s="1075"/>
    </row>
    <row r="21" spans="1:25" ht="15" customHeight="1" x14ac:dyDescent="0.2">
      <c r="A21" s="147"/>
      <c r="B21" s="1050" t="str">
        <f t="shared" si="0"/>
        <v>Desk 17</v>
      </c>
      <c r="C21" s="1385" t="str">
        <f>IF('TB IMA general'!C102&lt;&gt;"",'TB IMA general'!C102,"")</f>
        <v/>
      </c>
      <c r="D21" s="1384"/>
      <c r="E21" s="1384"/>
      <c r="F21" s="1384"/>
      <c r="G21" s="907"/>
      <c r="H21" s="907"/>
      <c r="I21" s="907"/>
      <c r="J21" s="1126"/>
      <c r="K21" s="1126"/>
      <c r="L21" s="1126"/>
      <c r="M21" s="1126"/>
      <c r="N21" s="1126"/>
      <c r="O21" s="907"/>
      <c r="P21" s="907"/>
      <c r="Q21" s="907"/>
      <c r="R21" s="1126"/>
      <c r="S21" s="907"/>
      <c r="T21" s="907"/>
      <c r="U21" s="907"/>
      <c r="V21" s="1126"/>
      <c r="W21" s="907"/>
      <c r="X21" s="413"/>
      <c r="Y21" s="1075"/>
    </row>
    <row r="22" spans="1:25" ht="15" customHeight="1" x14ac:dyDescent="0.2">
      <c r="A22" s="147"/>
      <c r="B22" s="1050" t="str">
        <f t="shared" si="0"/>
        <v>Desk 18</v>
      </c>
      <c r="C22" s="1385" t="str">
        <f>IF('TB IMA general'!C103&lt;&gt;"",'TB IMA general'!C103,"")</f>
        <v/>
      </c>
      <c r="D22" s="1384"/>
      <c r="E22" s="1384"/>
      <c r="F22" s="1384"/>
      <c r="G22" s="907"/>
      <c r="H22" s="907"/>
      <c r="I22" s="907"/>
      <c r="J22" s="1126"/>
      <c r="K22" s="1126"/>
      <c r="L22" s="1126"/>
      <c r="M22" s="1126"/>
      <c r="N22" s="1126"/>
      <c r="O22" s="907"/>
      <c r="P22" s="907"/>
      <c r="Q22" s="907"/>
      <c r="R22" s="1126"/>
      <c r="S22" s="907"/>
      <c r="T22" s="907"/>
      <c r="U22" s="907"/>
      <c r="V22" s="1126"/>
      <c r="W22" s="907"/>
      <c r="X22" s="413"/>
      <c r="Y22" s="1075"/>
    </row>
    <row r="23" spans="1:25" ht="15" customHeight="1" x14ac:dyDescent="0.2">
      <c r="A23" s="147"/>
      <c r="B23" s="1050" t="str">
        <f t="shared" si="0"/>
        <v>Desk 19</v>
      </c>
      <c r="C23" s="1385" t="str">
        <f>IF('TB IMA general'!C104&lt;&gt;"",'TB IMA general'!C104,"")</f>
        <v/>
      </c>
      <c r="D23" s="1384"/>
      <c r="E23" s="1384"/>
      <c r="F23" s="1384"/>
      <c r="G23" s="907"/>
      <c r="H23" s="907"/>
      <c r="I23" s="907"/>
      <c r="J23" s="1126"/>
      <c r="K23" s="1126"/>
      <c r="L23" s="1126"/>
      <c r="M23" s="1126"/>
      <c r="N23" s="1126"/>
      <c r="O23" s="907"/>
      <c r="P23" s="907"/>
      <c r="Q23" s="907"/>
      <c r="R23" s="1126"/>
      <c r="S23" s="907"/>
      <c r="T23" s="907"/>
      <c r="U23" s="907"/>
      <c r="V23" s="1126"/>
      <c r="W23" s="907"/>
      <c r="X23" s="413"/>
      <c r="Y23" s="1075"/>
    </row>
    <row r="24" spans="1:25" ht="15" customHeight="1" x14ac:dyDescent="0.2">
      <c r="A24" s="147"/>
      <c r="B24" s="1050" t="str">
        <f t="shared" si="0"/>
        <v>Desk 20</v>
      </c>
      <c r="C24" s="1385" t="str">
        <f>IF('TB IMA general'!C105&lt;&gt;"",'TB IMA general'!C105,"")</f>
        <v/>
      </c>
      <c r="D24" s="1384"/>
      <c r="E24" s="1384"/>
      <c r="F24" s="1384"/>
      <c r="G24" s="907"/>
      <c r="H24" s="907"/>
      <c r="I24" s="907"/>
      <c r="J24" s="1126"/>
      <c r="K24" s="1126"/>
      <c r="L24" s="1126"/>
      <c r="M24" s="1126"/>
      <c r="N24" s="1126"/>
      <c r="O24" s="907"/>
      <c r="P24" s="907"/>
      <c r="Q24" s="907"/>
      <c r="R24" s="1126"/>
      <c r="S24" s="907"/>
      <c r="T24" s="907"/>
      <c r="U24" s="907"/>
      <c r="V24" s="1126"/>
      <c r="W24" s="907"/>
      <c r="X24" s="413"/>
      <c r="Y24" s="1075"/>
    </row>
    <row r="25" spans="1:25" ht="15" customHeight="1" x14ac:dyDescent="0.2">
      <c r="A25" s="147"/>
      <c r="B25" s="1050" t="str">
        <f t="shared" si="0"/>
        <v>Desk 21</v>
      </c>
      <c r="C25" s="1385" t="str">
        <f>IF('TB IMA general'!C106&lt;&gt;"",'TB IMA general'!C106,"")</f>
        <v/>
      </c>
      <c r="D25" s="1384"/>
      <c r="E25" s="1384"/>
      <c r="F25" s="1384"/>
      <c r="G25" s="907"/>
      <c r="H25" s="907"/>
      <c r="I25" s="907"/>
      <c r="J25" s="1126"/>
      <c r="K25" s="1126"/>
      <c r="L25" s="1126"/>
      <c r="M25" s="1126"/>
      <c r="N25" s="1126"/>
      <c r="O25" s="907"/>
      <c r="P25" s="907"/>
      <c r="Q25" s="907"/>
      <c r="R25" s="1126"/>
      <c r="S25" s="907"/>
      <c r="T25" s="907"/>
      <c r="U25" s="907"/>
      <c r="V25" s="1126"/>
      <c r="W25" s="907"/>
      <c r="X25" s="413"/>
      <c r="Y25" s="1075"/>
    </row>
    <row r="26" spans="1:25" ht="15" customHeight="1" x14ac:dyDescent="0.2">
      <c r="A26" s="147"/>
      <c r="B26" s="1050" t="str">
        <f t="shared" si="0"/>
        <v>Desk 22</v>
      </c>
      <c r="C26" s="1385" t="str">
        <f>IF('TB IMA general'!C107&lt;&gt;"",'TB IMA general'!C107,"")</f>
        <v/>
      </c>
      <c r="D26" s="1384"/>
      <c r="E26" s="1384"/>
      <c r="F26" s="1384"/>
      <c r="G26" s="907"/>
      <c r="H26" s="907"/>
      <c r="I26" s="907"/>
      <c r="J26" s="1126"/>
      <c r="K26" s="1126"/>
      <c r="L26" s="1126"/>
      <c r="M26" s="1126"/>
      <c r="N26" s="1126"/>
      <c r="O26" s="907"/>
      <c r="P26" s="907"/>
      <c r="Q26" s="907"/>
      <c r="R26" s="1126"/>
      <c r="S26" s="907"/>
      <c r="T26" s="907"/>
      <c r="U26" s="907"/>
      <c r="V26" s="1126"/>
      <c r="W26" s="907"/>
      <c r="X26" s="413"/>
      <c r="Y26" s="1075"/>
    </row>
    <row r="27" spans="1:25" ht="15" customHeight="1" x14ac:dyDescent="0.2">
      <c r="A27" s="147"/>
      <c r="B27" s="1050" t="str">
        <f t="shared" si="0"/>
        <v>Desk 23</v>
      </c>
      <c r="C27" s="1385" t="str">
        <f>IF('TB IMA general'!C108&lt;&gt;"",'TB IMA general'!C108,"")</f>
        <v/>
      </c>
      <c r="D27" s="1384"/>
      <c r="E27" s="1384"/>
      <c r="F27" s="1384"/>
      <c r="G27" s="907"/>
      <c r="H27" s="907"/>
      <c r="I27" s="907"/>
      <c r="J27" s="1126"/>
      <c r="K27" s="1126"/>
      <c r="L27" s="1126"/>
      <c r="M27" s="1126"/>
      <c r="N27" s="1126"/>
      <c r="O27" s="907"/>
      <c r="P27" s="907"/>
      <c r="Q27" s="907"/>
      <c r="R27" s="1126"/>
      <c r="S27" s="907"/>
      <c r="T27" s="907"/>
      <c r="U27" s="907"/>
      <c r="V27" s="1126"/>
      <c r="W27" s="907"/>
      <c r="X27" s="413"/>
      <c r="Y27" s="1075"/>
    </row>
    <row r="28" spans="1:25" ht="15" customHeight="1" x14ac:dyDescent="0.2">
      <c r="A28" s="147"/>
      <c r="B28" s="1050" t="str">
        <f t="shared" si="0"/>
        <v>Desk 24</v>
      </c>
      <c r="C28" s="1385" t="str">
        <f>IF('TB IMA general'!C109&lt;&gt;"",'TB IMA general'!C109,"")</f>
        <v/>
      </c>
      <c r="D28" s="1384"/>
      <c r="E28" s="1384"/>
      <c r="F28" s="1384"/>
      <c r="G28" s="907"/>
      <c r="H28" s="907"/>
      <c r="I28" s="907"/>
      <c r="J28" s="1126"/>
      <c r="K28" s="1126"/>
      <c r="L28" s="1126"/>
      <c r="M28" s="1126"/>
      <c r="N28" s="1126"/>
      <c r="O28" s="907"/>
      <c r="P28" s="907"/>
      <c r="Q28" s="907"/>
      <c r="R28" s="1126"/>
      <c r="S28" s="907"/>
      <c r="T28" s="907"/>
      <c r="U28" s="907"/>
      <c r="V28" s="1126"/>
      <c r="W28" s="907"/>
      <c r="X28" s="413"/>
      <c r="Y28" s="1075"/>
    </row>
    <row r="29" spans="1:25" ht="15" customHeight="1" x14ac:dyDescent="0.2">
      <c r="A29" s="147"/>
      <c r="B29" s="1050" t="str">
        <f t="shared" si="0"/>
        <v>Desk 25</v>
      </c>
      <c r="C29" s="1385" t="str">
        <f>IF('TB IMA general'!C110&lt;&gt;"",'TB IMA general'!C110,"")</f>
        <v/>
      </c>
      <c r="D29" s="1384"/>
      <c r="E29" s="1384"/>
      <c r="F29" s="1384"/>
      <c r="G29" s="907"/>
      <c r="H29" s="907"/>
      <c r="I29" s="907"/>
      <c r="J29" s="1126"/>
      <c r="K29" s="1126"/>
      <c r="L29" s="1126"/>
      <c r="M29" s="1126"/>
      <c r="N29" s="1126"/>
      <c r="O29" s="907"/>
      <c r="P29" s="907"/>
      <c r="Q29" s="907"/>
      <c r="R29" s="1126"/>
      <c r="S29" s="907"/>
      <c r="T29" s="907"/>
      <c r="U29" s="907"/>
      <c r="V29" s="1126"/>
      <c r="W29" s="907"/>
      <c r="X29" s="413"/>
      <c r="Y29" s="1075"/>
    </row>
    <row r="30" spans="1:25" ht="15" customHeight="1" x14ac:dyDescent="0.2">
      <c r="A30" s="147"/>
      <c r="B30" s="1050" t="str">
        <f t="shared" si="0"/>
        <v>Desk 26</v>
      </c>
      <c r="C30" s="1385" t="str">
        <f>IF('TB IMA general'!C111&lt;&gt;"",'TB IMA general'!C111,"")</f>
        <v/>
      </c>
      <c r="D30" s="1384"/>
      <c r="E30" s="1384"/>
      <c r="F30" s="1384"/>
      <c r="G30" s="907"/>
      <c r="H30" s="907"/>
      <c r="I30" s="907"/>
      <c r="J30" s="1126"/>
      <c r="K30" s="1126"/>
      <c r="L30" s="1126"/>
      <c r="M30" s="1126"/>
      <c r="N30" s="1126"/>
      <c r="O30" s="907"/>
      <c r="P30" s="907"/>
      <c r="Q30" s="907"/>
      <c r="R30" s="1126"/>
      <c r="S30" s="907"/>
      <c r="T30" s="907"/>
      <c r="U30" s="907"/>
      <c r="V30" s="1126"/>
      <c r="W30" s="907"/>
      <c r="X30" s="413"/>
      <c r="Y30" s="1075"/>
    </row>
    <row r="31" spans="1:25" ht="15" customHeight="1" x14ac:dyDescent="0.2">
      <c r="A31" s="147"/>
      <c r="B31" s="1050" t="str">
        <f t="shared" si="0"/>
        <v>Desk 27</v>
      </c>
      <c r="C31" s="1385" t="str">
        <f>IF('TB IMA general'!C112&lt;&gt;"",'TB IMA general'!C112,"")</f>
        <v/>
      </c>
      <c r="D31" s="1384"/>
      <c r="E31" s="1384"/>
      <c r="F31" s="1384"/>
      <c r="G31" s="907"/>
      <c r="H31" s="907"/>
      <c r="I31" s="907"/>
      <c r="J31" s="1126"/>
      <c r="K31" s="1126"/>
      <c r="L31" s="1126"/>
      <c r="M31" s="1126"/>
      <c r="N31" s="1126"/>
      <c r="O31" s="907"/>
      <c r="P31" s="907"/>
      <c r="Q31" s="907"/>
      <c r="R31" s="1126"/>
      <c r="S31" s="907"/>
      <c r="T31" s="907"/>
      <c r="U31" s="907"/>
      <c r="V31" s="1126"/>
      <c r="W31" s="907"/>
      <c r="X31" s="413"/>
      <c r="Y31" s="1075"/>
    </row>
    <row r="32" spans="1:25" ht="15" customHeight="1" x14ac:dyDescent="0.2">
      <c r="A32" s="147"/>
      <c r="B32" s="1050" t="str">
        <f t="shared" si="0"/>
        <v>Desk 28</v>
      </c>
      <c r="C32" s="1385" t="str">
        <f>IF('TB IMA general'!C113&lt;&gt;"",'TB IMA general'!C113,"")</f>
        <v/>
      </c>
      <c r="D32" s="1384"/>
      <c r="E32" s="1384"/>
      <c r="F32" s="1384"/>
      <c r="G32" s="907"/>
      <c r="H32" s="907"/>
      <c r="I32" s="907"/>
      <c r="J32" s="1126"/>
      <c r="K32" s="1126"/>
      <c r="L32" s="1126"/>
      <c r="M32" s="1126"/>
      <c r="N32" s="1126"/>
      <c r="O32" s="907"/>
      <c r="P32" s="907"/>
      <c r="Q32" s="907"/>
      <c r="R32" s="1126"/>
      <c r="S32" s="907"/>
      <c r="T32" s="907"/>
      <c r="U32" s="907"/>
      <c r="V32" s="1126"/>
      <c r="W32" s="907"/>
      <c r="X32" s="413"/>
      <c r="Y32" s="1075"/>
    </row>
    <row r="33" spans="1:25" ht="15" customHeight="1" x14ac:dyDescent="0.2">
      <c r="A33" s="147"/>
      <c r="B33" s="1050" t="str">
        <f t="shared" si="0"/>
        <v>Desk 29</v>
      </c>
      <c r="C33" s="1385" t="str">
        <f>IF('TB IMA general'!C114&lt;&gt;"",'TB IMA general'!C114,"")</f>
        <v/>
      </c>
      <c r="D33" s="1384"/>
      <c r="E33" s="1384"/>
      <c r="F33" s="1384"/>
      <c r="G33" s="907"/>
      <c r="H33" s="907"/>
      <c r="I33" s="907"/>
      <c r="J33" s="1126"/>
      <c r="K33" s="1126"/>
      <c r="L33" s="1126"/>
      <c r="M33" s="1126"/>
      <c r="N33" s="1126"/>
      <c r="O33" s="907"/>
      <c r="P33" s="907"/>
      <c r="Q33" s="907"/>
      <c r="R33" s="1126"/>
      <c r="S33" s="907"/>
      <c r="T33" s="907"/>
      <c r="U33" s="907"/>
      <c r="V33" s="1126"/>
      <c r="W33" s="907"/>
      <c r="X33" s="413"/>
      <c r="Y33" s="1075"/>
    </row>
    <row r="34" spans="1:25" ht="15" customHeight="1" x14ac:dyDescent="0.2">
      <c r="A34" s="147"/>
      <c r="B34" s="1050" t="str">
        <f t="shared" si="0"/>
        <v>Desk 30</v>
      </c>
      <c r="C34" s="1385" t="str">
        <f>IF('TB IMA general'!C115&lt;&gt;"",'TB IMA general'!C115,"")</f>
        <v/>
      </c>
      <c r="D34" s="1384"/>
      <c r="E34" s="1384"/>
      <c r="F34" s="1384"/>
      <c r="G34" s="907"/>
      <c r="H34" s="907"/>
      <c r="I34" s="907"/>
      <c r="J34" s="1126"/>
      <c r="K34" s="1126"/>
      <c r="L34" s="1126"/>
      <c r="M34" s="1126"/>
      <c r="N34" s="1126"/>
      <c r="O34" s="907"/>
      <c r="P34" s="907"/>
      <c r="Q34" s="907"/>
      <c r="R34" s="1126"/>
      <c r="S34" s="907"/>
      <c r="T34" s="907"/>
      <c r="U34" s="907"/>
      <c r="V34" s="1126"/>
      <c r="W34" s="907"/>
      <c r="X34" s="413"/>
      <c r="Y34" s="1075"/>
    </row>
    <row r="35" spans="1:25" ht="15" customHeight="1" x14ac:dyDescent="0.2">
      <c r="A35" s="147"/>
      <c r="B35" s="1050" t="str">
        <f t="shared" si="0"/>
        <v>Desk 31</v>
      </c>
      <c r="C35" s="1385" t="str">
        <f>IF('TB IMA general'!C116&lt;&gt;"",'TB IMA general'!C116,"")</f>
        <v/>
      </c>
      <c r="D35" s="1384"/>
      <c r="E35" s="1384"/>
      <c r="F35" s="1384"/>
      <c r="G35" s="907"/>
      <c r="H35" s="907"/>
      <c r="I35" s="907"/>
      <c r="J35" s="1126"/>
      <c r="K35" s="1126"/>
      <c r="L35" s="1126"/>
      <c r="M35" s="1126"/>
      <c r="N35" s="1126"/>
      <c r="O35" s="907"/>
      <c r="P35" s="907"/>
      <c r="Q35" s="907"/>
      <c r="R35" s="1126"/>
      <c r="S35" s="907"/>
      <c r="T35" s="907"/>
      <c r="U35" s="907"/>
      <c r="V35" s="1126"/>
      <c r="W35" s="907"/>
      <c r="X35" s="413"/>
      <c r="Y35" s="1075"/>
    </row>
    <row r="36" spans="1:25" ht="15" customHeight="1" x14ac:dyDescent="0.2">
      <c r="A36" s="147"/>
      <c r="B36" s="1050" t="str">
        <f t="shared" si="0"/>
        <v>Desk 32</v>
      </c>
      <c r="C36" s="1385" t="str">
        <f>IF('TB IMA general'!C117&lt;&gt;"",'TB IMA general'!C117,"")</f>
        <v/>
      </c>
      <c r="D36" s="1384"/>
      <c r="E36" s="1384"/>
      <c r="F36" s="1384"/>
      <c r="G36" s="907"/>
      <c r="H36" s="907"/>
      <c r="I36" s="907"/>
      <c r="J36" s="1126"/>
      <c r="K36" s="1126"/>
      <c r="L36" s="1126"/>
      <c r="M36" s="1126"/>
      <c r="N36" s="1126"/>
      <c r="O36" s="907"/>
      <c r="P36" s="907"/>
      <c r="Q36" s="907"/>
      <c r="R36" s="1126"/>
      <c r="S36" s="907"/>
      <c r="T36" s="907"/>
      <c r="U36" s="907"/>
      <c r="V36" s="1126"/>
      <c r="W36" s="907"/>
      <c r="X36" s="413"/>
      <c r="Y36" s="1075"/>
    </row>
    <row r="37" spans="1:25" ht="15" customHeight="1" x14ac:dyDescent="0.2">
      <c r="A37" s="147"/>
      <c r="B37" s="1050" t="str">
        <f t="shared" si="0"/>
        <v>Desk 33</v>
      </c>
      <c r="C37" s="1385" t="str">
        <f>IF('TB IMA general'!C118&lt;&gt;"",'TB IMA general'!C118,"")</f>
        <v/>
      </c>
      <c r="D37" s="1384"/>
      <c r="E37" s="1384"/>
      <c r="F37" s="1384"/>
      <c r="G37" s="907"/>
      <c r="H37" s="907"/>
      <c r="I37" s="907"/>
      <c r="J37" s="1126"/>
      <c r="K37" s="1126"/>
      <c r="L37" s="1126"/>
      <c r="M37" s="1126"/>
      <c r="N37" s="1126"/>
      <c r="O37" s="907"/>
      <c r="P37" s="907"/>
      <c r="Q37" s="907"/>
      <c r="R37" s="1126"/>
      <c r="S37" s="907"/>
      <c r="T37" s="907"/>
      <c r="U37" s="907"/>
      <c r="V37" s="1126"/>
      <c r="W37" s="907"/>
      <c r="X37" s="413"/>
      <c r="Y37" s="1075"/>
    </row>
    <row r="38" spans="1:25" ht="15" customHeight="1" x14ac:dyDescent="0.2">
      <c r="A38" s="147"/>
      <c r="B38" s="1050" t="str">
        <f t="shared" si="0"/>
        <v>Desk 34</v>
      </c>
      <c r="C38" s="1385" t="str">
        <f>IF('TB IMA general'!C119&lt;&gt;"",'TB IMA general'!C119,"")</f>
        <v/>
      </c>
      <c r="D38" s="1384"/>
      <c r="E38" s="1384"/>
      <c r="F38" s="1384"/>
      <c r="G38" s="907"/>
      <c r="H38" s="907"/>
      <c r="I38" s="907"/>
      <c r="J38" s="1126"/>
      <c r="K38" s="1126"/>
      <c r="L38" s="1126"/>
      <c r="M38" s="1126"/>
      <c r="N38" s="1126"/>
      <c r="O38" s="907"/>
      <c r="P38" s="907"/>
      <c r="Q38" s="907"/>
      <c r="R38" s="1126"/>
      <c r="S38" s="907"/>
      <c r="T38" s="907"/>
      <c r="U38" s="907"/>
      <c r="V38" s="1126"/>
      <c r="W38" s="907"/>
      <c r="X38" s="413"/>
      <c r="Y38" s="1075"/>
    </row>
    <row r="39" spans="1:25" ht="15" customHeight="1" x14ac:dyDescent="0.2">
      <c r="A39" s="147"/>
      <c r="B39" s="1050" t="str">
        <f t="shared" si="0"/>
        <v>Desk 35</v>
      </c>
      <c r="C39" s="1385" t="str">
        <f>IF('TB IMA general'!C120&lt;&gt;"",'TB IMA general'!C120,"")</f>
        <v/>
      </c>
      <c r="D39" s="1384"/>
      <c r="E39" s="1384"/>
      <c r="F39" s="1384"/>
      <c r="G39" s="907"/>
      <c r="H39" s="907"/>
      <c r="I39" s="907"/>
      <c r="J39" s="1126"/>
      <c r="K39" s="1126"/>
      <c r="L39" s="1126"/>
      <c r="M39" s="1126"/>
      <c r="N39" s="1126"/>
      <c r="O39" s="907"/>
      <c r="P39" s="907"/>
      <c r="Q39" s="907"/>
      <c r="R39" s="1126"/>
      <c r="S39" s="907"/>
      <c r="T39" s="907"/>
      <c r="U39" s="907"/>
      <c r="V39" s="1126"/>
      <c r="W39" s="907"/>
      <c r="X39" s="413"/>
      <c r="Y39" s="1075"/>
    </row>
    <row r="40" spans="1:25" ht="15" customHeight="1" x14ac:dyDescent="0.2">
      <c r="A40" s="147"/>
      <c r="B40" s="1050" t="str">
        <f t="shared" si="0"/>
        <v>Desk 36</v>
      </c>
      <c r="C40" s="1385" t="str">
        <f>IF('TB IMA general'!C121&lt;&gt;"",'TB IMA general'!C121,"")</f>
        <v/>
      </c>
      <c r="D40" s="1384"/>
      <c r="E40" s="1384"/>
      <c r="F40" s="1384"/>
      <c r="G40" s="907"/>
      <c r="H40" s="907"/>
      <c r="I40" s="907"/>
      <c r="J40" s="1126"/>
      <c r="K40" s="1126"/>
      <c r="L40" s="1126"/>
      <c r="M40" s="1126"/>
      <c r="N40" s="1126"/>
      <c r="O40" s="907"/>
      <c r="P40" s="907"/>
      <c r="Q40" s="907"/>
      <c r="R40" s="1126"/>
      <c r="S40" s="907"/>
      <c r="T40" s="907"/>
      <c r="U40" s="907"/>
      <c r="V40" s="1126"/>
      <c r="W40" s="907"/>
      <c r="X40" s="413"/>
      <c r="Y40" s="1075"/>
    </row>
    <row r="41" spans="1:25" ht="15" customHeight="1" x14ac:dyDescent="0.2">
      <c r="A41" s="147"/>
      <c r="B41" s="1050" t="str">
        <f t="shared" si="0"/>
        <v>Desk 37</v>
      </c>
      <c r="C41" s="1385" t="str">
        <f>IF('TB IMA general'!C122&lt;&gt;"",'TB IMA general'!C122,"")</f>
        <v/>
      </c>
      <c r="D41" s="1384"/>
      <c r="E41" s="1384"/>
      <c r="F41" s="1384"/>
      <c r="G41" s="907"/>
      <c r="H41" s="907"/>
      <c r="I41" s="907"/>
      <c r="J41" s="1126"/>
      <c r="K41" s="1126"/>
      <c r="L41" s="1126"/>
      <c r="M41" s="1126"/>
      <c r="N41" s="1126"/>
      <c r="O41" s="907"/>
      <c r="P41" s="907"/>
      <c r="Q41" s="907"/>
      <c r="R41" s="1126"/>
      <c r="S41" s="907"/>
      <c r="T41" s="907"/>
      <c r="U41" s="907"/>
      <c r="V41" s="1126"/>
      <c r="W41" s="907"/>
      <c r="X41" s="413"/>
      <c r="Y41" s="1075"/>
    </row>
    <row r="42" spans="1:25" ht="15" customHeight="1" x14ac:dyDescent="0.2">
      <c r="A42" s="147"/>
      <c r="B42" s="1050" t="str">
        <f t="shared" si="0"/>
        <v>Desk 38</v>
      </c>
      <c r="C42" s="1385" t="str">
        <f>IF('TB IMA general'!C123&lt;&gt;"",'TB IMA general'!C123,"")</f>
        <v/>
      </c>
      <c r="D42" s="1384"/>
      <c r="E42" s="1384"/>
      <c r="F42" s="1384"/>
      <c r="G42" s="907"/>
      <c r="H42" s="907"/>
      <c r="I42" s="907"/>
      <c r="J42" s="1126"/>
      <c r="K42" s="1126"/>
      <c r="L42" s="1126"/>
      <c r="M42" s="1126"/>
      <c r="N42" s="1126"/>
      <c r="O42" s="907"/>
      <c r="P42" s="907"/>
      <c r="Q42" s="907"/>
      <c r="R42" s="1126"/>
      <c r="S42" s="907"/>
      <c r="T42" s="907"/>
      <c r="U42" s="907"/>
      <c r="V42" s="1126"/>
      <c r="W42" s="907"/>
      <c r="X42" s="413"/>
      <c r="Y42" s="1075"/>
    </row>
    <row r="43" spans="1:25" ht="15" customHeight="1" x14ac:dyDescent="0.2">
      <c r="A43" s="147"/>
      <c r="B43" s="1050" t="str">
        <f t="shared" si="0"/>
        <v>Desk 39</v>
      </c>
      <c r="C43" s="1385" t="str">
        <f>IF('TB IMA general'!C124&lt;&gt;"",'TB IMA general'!C124,"")</f>
        <v/>
      </c>
      <c r="D43" s="1384"/>
      <c r="E43" s="1384"/>
      <c r="F43" s="1384"/>
      <c r="G43" s="907"/>
      <c r="H43" s="907"/>
      <c r="I43" s="907"/>
      <c r="J43" s="1126"/>
      <c r="K43" s="1126"/>
      <c r="L43" s="1126"/>
      <c r="M43" s="1126"/>
      <c r="N43" s="1126"/>
      <c r="O43" s="907"/>
      <c r="P43" s="907"/>
      <c r="Q43" s="907"/>
      <c r="R43" s="1126"/>
      <c r="S43" s="907"/>
      <c r="T43" s="907"/>
      <c r="U43" s="907"/>
      <c r="V43" s="1126"/>
      <c r="W43" s="907"/>
      <c r="X43" s="413"/>
      <c r="Y43" s="1075"/>
    </row>
    <row r="44" spans="1:25" ht="15" customHeight="1" x14ac:dyDescent="0.2">
      <c r="A44" s="147"/>
      <c r="B44" s="1050" t="str">
        <f t="shared" si="0"/>
        <v>Desk 40</v>
      </c>
      <c r="C44" s="1385" t="str">
        <f>IF('TB IMA general'!C125&lt;&gt;"",'TB IMA general'!C125,"")</f>
        <v/>
      </c>
      <c r="D44" s="1384"/>
      <c r="E44" s="1384"/>
      <c r="F44" s="1384"/>
      <c r="G44" s="907"/>
      <c r="H44" s="907"/>
      <c r="I44" s="907"/>
      <c r="J44" s="1126"/>
      <c r="K44" s="1126"/>
      <c r="L44" s="1126"/>
      <c r="M44" s="1126"/>
      <c r="N44" s="1126"/>
      <c r="O44" s="907"/>
      <c r="P44" s="907"/>
      <c r="Q44" s="907"/>
      <c r="R44" s="1126"/>
      <c r="S44" s="907"/>
      <c r="T44" s="907"/>
      <c r="U44" s="907"/>
      <c r="V44" s="1126"/>
      <c r="W44" s="907"/>
      <c r="X44" s="413"/>
      <c r="Y44" s="1075"/>
    </row>
    <row r="45" spans="1:25" ht="15" customHeight="1" x14ac:dyDescent="0.2">
      <c r="A45" s="147"/>
      <c r="B45" s="1050" t="str">
        <f t="shared" si="0"/>
        <v>Desk 41</v>
      </c>
      <c r="C45" s="1385" t="str">
        <f>IF('TB IMA general'!C126&lt;&gt;"",'TB IMA general'!C126,"")</f>
        <v/>
      </c>
      <c r="D45" s="1384"/>
      <c r="E45" s="1384"/>
      <c r="F45" s="1384"/>
      <c r="G45" s="907"/>
      <c r="H45" s="907"/>
      <c r="I45" s="907"/>
      <c r="J45" s="1126"/>
      <c r="K45" s="1126"/>
      <c r="L45" s="1126"/>
      <c r="M45" s="1126"/>
      <c r="N45" s="1126"/>
      <c r="O45" s="907"/>
      <c r="P45" s="907"/>
      <c r="Q45" s="907"/>
      <c r="R45" s="1126"/>
      <c r="S45" s="907"/>
      <c r="T45" s="907"/>
      <c r="U45" s="907"/>
      <c r="V45" s="1126"/>
      <c r="W45" s="907"/>
      <c r="X45" s="413"/>
      <c r="Y45" s="1075"/>
    </row>
    <row r="46" spans="1:25" ht="15" customHeight="1" x14ac:dyDescent="0.2">
      <c r="A46" s="147"/>
      <c r="B46" s="1050" t="str">
        <f t="shared" si="0"/>
        <v>Desk 42</v>
      </c>
      <c r="C46" s="1385" t="str">
        <f>IF('TB IMA general'!C127&lt;&gt;"",'TB IMA general'!C127,"")</f>
        <v/>
      </c>
      <c r="D46" s="1384"/>
      <c r="E46" s="1384"/>
      <c r="F46" s="1384"/>
      <c r="G46" s="907"/>
      <c r="H46" s="907"/>
      <c r="I46" s="907"/>
      <c r="J46" s="1126"/>
      <c r="K46" s="1126"/>
      <c r="L46" s="1126"/>
      <c r="M46" s="1126"/>
      <c r="N46" s="1126"/>
      <c r="O46" s="907"/>
      <c r="P46" s="907"/>
      <c r="Q46" s="907"/>
      <c r="R46" s="1126"/>
      <c r="S46" s="907"/>
      <c r="T46" s="907"/>
      <c r="U46" s="907"/>
      <c r="V46" s="1126"/>
      <c r="W46" s="907"/>
      <c r="X46" s="413"/>
      <c r="Y46" s="1075"/>
    </row>
    <row r="47" spans="1:25" ht="15" customHeight="1" x14ac:dyDescent="0.2">
      <c r="A47" s="147"/>
      <c r="B47" s="1050" t="str">
        <f t="shared" si="0"/>
        <v>Desk 43</v>
      </c>
      <c r="C47" s="1385" t="str">
        <f>IF('TB IMA general'!C128&lt;&gt;"",'TB IMA general'!C128,"")</f>
        <v/>
      </c>
      <c r="D47" s="1384"/>
      <c r="E47" s="1384"/>
      <c r="F47" s="1384"/>
      <c r="G47" s="907"/>
      <c r="H47" s="907"/>
      <c r="I47" s="907"/>
      <c r="J47" s="1126"/>
      <c r="K47" s="1126"/>
      <c r="L47" s="1126"/>
      <c r="M47" s="1126"/>
      <c r="N47" s="1126"/>
      <c r="O47" s="907"/>
      <c r="P47" s="907"/>
      <c r="Q47" s="907"/>
      <c r="R47" s="1126"/>
      <c r="S47" s="907"/>
      <c r="T47" s="907"/>
      <c r="U47" s="907"/>
      <c r="V47" s="1126"/>
      <c r="W47" s="907"/>
      <c r="X47" s="413"/>
      <c r="Y47" s="1075"/>
    </row>
    <row r="48" spans="1:25" ht="15" customHeight="1" x14ac:dyDescent="0.2">
      <c r="A48" s="147"/>
      <c r="B48" s="1050" t="str">
        <f t="shared" si="0"/>
        <v>Desk 44</v>
      </c>
      <c r="C48" s="1385" t="str">
        <f>IF('TB IMA general'!C129&lt;&gt;"",'TB IMA general'!C129,"")</f>
        <v/>
      </c>
      <c r="D48" s="1384"/>
      <c r="E48" s="1384"/>
      <c r="F48" s="1384"/>
      <c r="G48" s="907"/>
      <c r="H48" s="907"/>
      <c r="I48" s="907"/>
      <c r="J48" s="1126"/>
      <c r="K48" s="1126"/>
      <c r="L48" s="1126"/>
      <c r="M48" s="1126"/>
      <c r="N48" s="1126"/>
      <c r="O48" s="907"/>
      <c r="P48" s="907"/>
      <c r="Q48" s="907"/>
      <c r="R48" s="1126"/>
      <c r="S48" s="907"/>
      <c r="T48" s="907"/>
      <c r="U48" s="907"/>
      <c r="V48" s="1126"/>
      <c r="W48" s="907"/>
      <c r="X48" s="413"/>
      <c r="Y48" s="1075"/>
    </row>
    <row r="49" spans="1:25" ht="15" customHeight="1" x14ac:dyDescent="0.2">
      <c r="A49" s="147"/>
      <c r="B49" s="1050" t="str">
        <f t="shared" si="0"/>
        <v>Desk 45</v>
      </c>
      <c r="C49" s="1385" t="str">
        <f>IF('TB IMA general'!C130&lt;&gt;"",'TB IMA general'!C130,"")</f>
        <v/>
      </c>
      <c r="D49" s="1384"/>
      <c r="E49" s="1384"/>
      <c r="F49" s="1384"/>
      <c r="G49" s="907"/>
      <c r="H49" s="907"/>
      <c r="I49" s="907"/>
      <c r="J49" s="1126"/>
      <c r="K49" s="1126"/>
      <c r="L49" s="1126"/>
      <c r="M49" s="1126"/>
      <c r="N49" s="1126"/>
      <c r="O49" s="907"/>
      <c r="P49" s="907"/>
      <c r="Q49" s="907"/>
      <c r="R49" s="1126"/>
      <c r="S49" s="907"/>
      <c r="T49" s="907"/>
      <c r="U49" s="907"/>
      <c r="V49" s="1126"/>
      <c r="W49" s="907"/>
      <c r="X49" s="413"/>
      <c r="Y49" s="1075"/>
    </row>
    <row r="50" spans="1:25" ht="15" customHeight="1" x14ac:dyDescent="0.2">
      <c r="A50" s="147"/>
      <c r="B50" s="1050" t="str">
        <f t="shared" si="0"/>
        <v>Desk 46</v>
      </c>
      <c r="C50" s="1385" t="str">
        <f>IF('TB IMA general'!C131&lt;&gt;"",'TB IMA general'!C131,"")</f>
        <v/>
      </c>
      <c r="D50" s="1384"/>
      <c r="E50" s="1384"/>
      <c r="F50" s="1384"/>
      <c r="G50" s="907"/>
      <c r="H50" s="907"/>
      <c r="I50" s="907"/>
      <c r="J50" s="1126"/>
      <c r="K50" s="1126"/>
      <c r="L50" s="1126"/>
      <c r="M50" s="1126"/>
      <c r="N50" s="1126"/>
      <c r="O50" s="907"/>
      <c r="P50" s="907"/>
      <c r="Q50" s="907"/>
      <c r="R50" s="1126"/>
      <c r="S50" s="907"/>
      <c r="T50" s="907"/>
      <c r="U50" s="907"/>
      <c r="V50" s="1126"/>
      <c r="W50" s="907"/>
      <c r="X50" s="413"/>
      <c r="Y50" s="1075"/>
    </row>
    <row r="51" spans="1:25" ht="15" customHeight="1" x14ac:dyDescent="0.2">
      <c r="A51" s="147"/>
      <c r="B51" s="1050" t="str">
        <f t="shared" si="0"/>
        <v>Desk 47</v>
      </c>
      <c r="C51" s="1385" t="str">
        <f>IF('TB IMA general'!C132&lt;&gt;"",'TB IMA general'!C132,"")</f>
        <v/>
      </c>
      <c r="D51" s="1384"/>
      <c r="E51" s="1384"/>
      <c r="F51" s="1384"/>
      <c r="G51" s="907"/>
      <c r="H51" s="907"/>
      <c r="I51" s="907"/>
      <c r="J51" s="1126"/>
      <c r="K51" s="1126"/>
      <c r="L51" s="1126"/>
      <c r="M51" s="1126"/>
      <c r="N51" s="1126"/>
      <c r="O51" s="907"/>
      <c r="P51" s="907"/>
      <c r="Q51" s="907"/>
      <c r="R51" s="1126"/>
      <c r="S51" s="907"/>
      <c r="T51" s="907"/>
      <c r="U51" s="907"/>
      <c r="V51" s="1126"/>
      <c r="W51" s="907"/>
      <c r="X51" s="413"/>
      <c r="Y51" s="1075"/>
    </row>
    <row r="52" spans="1:25" ht="15" customHeight="1" x14ac:dyDescent="0.2">
      <c r="A52" s="147"/>
      <c r="B52" s="1050" t="str">
        <f t="shared" si="0"/>
        <v>Desk 48</v>
      </c>
      <c r="C52" s="1385" t="str">
        <f>IF('TB IMA general'!C133&lt;&gt;"",'TB IMA general'!C133,"")</f>
        <v/>
      </c>
      <c r="D52" s="1384"/>
      <c r="E52" s="1384"/>
      <c r="F52" s="1384"/>
      <c r="G52" s="907"/>
      <c r="H52" s="907"/>
      <c r="I52" s="907"/>
      <c r="J52" s="1126"/>
      <c r="K52" s="1126"/>
      <c r="L52" s="1126"/>
      <c r="M52" s="1126"/>
      <c r="N52" s="1126"/>
      <c r="O52" s="907"/>
      <c r="P52" s="907"/>
      <c r="Q52" s="907"/>
      <c r="R52" s="1126"/>
      <c r="S52" s="907"/>
      <c r="T52" s="907"/>
      <c r="U52" s="907"/>
      <c r="V52" s="1126"/>
      <c r="W52" s="907"/>
      <c r="X52" s="413"/>
      <c r="Y52" s="1075"/>
    </row>
    <row r="53" spans="1:25" ht="15" customHeight="1" x14ac:dyDescent="0.2">
      <c r="A53" s="147"/>
      <c r="B53" s="1050" t="str">
        <f t="shared" si="0"/>
        <v>Desk 49</v>
      </c>
      <c r="C53" s="1385" t="str">
        <f>IF('TB IMA general'!C134&lt;&gt;"",'TB IMA general'!C134,"")</f>
        <v/>
      </c>
      <c r="D53" s="1384"/>
      <c r="E53" s="1384"/>
      <c r="F53" s="1384"/>
      <c r="G53" s="907"/>
      <c r="H53" s="907"/>
      <c r="I53" s="907"/>
      <c r="J53" s="1126"/>
      <c r="K53" s="1126"/>
      <c r="L53" s="1126"/>
      <c r="M53" s="1126"/>
      <c r="N53" s="1126"/>
      <c r="O53" s="907"/>
      <c r="P53" s="907"/>
      <c r="Q53" s="907"/>
      <c r="R53" s="1126"/>
      <c r="S53" s="907"/>
      <c r="T53" s="907"/>
      <c r="U53" s="907"/>
      <c r="V53" s="1126"/>
      <c r="W53" s="907"/>
      <c r="X53" s="413"/>
      <c r="Y53" s="1075"/>
    </row>
    <row r="54" spans="1:25" ht="15" customHeight="1" x14ac:dyDescent="0.2">
      <c r="A54" s="147"/>
      <c r="B54" s="1050" t="str">
        <f t="shared" si="0"/>
        <v>Desk 50</v>
      </c>
      <c r="C54" s="1385" t="str">
        <f>IF('TB IMA general'!C135&lt;&gt;"",'TB IMA general'!C135,"")</f>
        <v/>
      </c>
      <c r="D54" s="1384"/>
      <c r="E54" s="1384"/>
      <c r="F54" s="1384"/>
      <c r="G54" s="907"/>
      <c r="H54" s="907"/>
      <c r="I54" s="907"/>
      <c r="J54" s="1126"/>
      <c r="K54" s="1126"/>
      <c r="L54" s="1126"/>
      <c r="M54" s="1126"/>
      <c r="N54" s="1126"/>
      <c r="O54" s="907"/>
      <c r="P54" s="907"/>
      <c r="Q54" s="907"/>
      <c r="R54" s="1126"/>
      <c r="S54" s="907"/>
      <c r="T54" s="907"/>
      <c r="U54" s="907"/>
      <c r="V54" s="1126"/>
      <c r="W54" s="907"/>
      <c r="X54" s="413"/>
      <c r="Y54" s="1075"/>
    </row>
    <row r="55" spans="1:25" ht="15" customHeight="1" x14ac:dyDescent="0.2">
      <c r="A55" s="147"/>
      <c r="B55" s="1050" t="str">
        <f t="shared" si="0"/>
        <v>Desk 51</v>
      </c>
      <c r="C55" s="1385" t="str">
        <f>IF('TB IMA general'!C136&lt;&gt;"",'TB IMA general'!C136,"")</f>
        <v/>
      </c>
      <c r="D55" s="1384"/>
      <c r="E55" s="1384"/>
      <c r="F55" s="1384"/>
      <c r="G55" s="907"/>
      <c r="H55" s="907"/>
      <c r="I55" s="907"/>
      <c r="J55" s="1126"/>
      <c r="K55" s="1126"/>
      <c r="L55" s="1126"/>
      <c r="M55" s="1126"/>
      <c r="N55" s="1126"/>
      <c r="O55" s="907"/>
      <c r="P55" s="907"/>
      <c r="Q55" s="907"/>
      <c r="R55" s="1126"/>
      <c r="S55" s="907"/>
      <c r="T55" s="907"/>
      <c r="U55" s="907"/>
      <c r="V55" s="1126"/>
      <c r="W55" s="907"/>
      <c r="X55" s="413"/>
      <c r="Y55" s="1075"/>
    </row>
    <row r="56" spans="1:25" ht="15" customHeight="1" x14ac:dyDescent="0.2">
      <c r="A56" s="147"/>
      <c r="B56" s="1050" t="str">
        <f t="shared" si="0"/>
        <v>Desk 52</v>
      </c>
      <c r="C56" s="1385" t="str">
        <f>IF('TB IMA general'!C137&lt;&gt;"",'TB IMA general'!C137,"")</f>
        <v/>
      </c>
      <c r="D56" s="1384"/>
      <c r="E56" s="1384"/>
      <c r="F56" s="1384"/>
      <c r="G56" s="907"/>
      <c r="H56" s="907"/>
      <c r="I56" s="907"/>
      <c r="J56" s="1126"/>
      <c r="K56" s="1126"/>
      <c r="L56" s="1126"/>
      <c r="M56" s="1126"/>
      <c r="N56" s="1126"/>
      <c r="O56" s="907"/>
      <c r="P56" s="907"/>
      <c r="Q56" s="907"/>
      <c r="R56" s="1126"/>
      <c r="S56" s="907"/>
      <c r="T56" s="907"/>
      <c r="U56" s="907"/>
      <c r="V56" s="1126"/>
      <c r="W56" s="907"/>
      <c r="X56" s="413"/>
      <c r="Y56" s="1075"/>
    </row>
    <row r="57" spans="1:25" ht="15" customHeight="1" x14ac:dyDescent="0.2">
      <c r="A57" s="147"/>
      <c r="B57" s="1050" t="str">
        <f t="shared" si="0"/>
        <v>Desk 53</v>
      </c>
      <c r="C57" s="1385" t="str">
        <f>IF('TB IMA general'!C138&lt;&gt;"",'TB IMA general'!C138,"")</f>
        <v/>
      </c>
      <c r="D57" s="1384"/>
      <c r="E57" s="1384"/>
      <c r="F57" s="1384"/>
      <c r="G57" s="907"/>
      <c r="H57" s="907"/>
      <c r="I57" s="907"/>
      <c r="J57" s="1126"/>
      <c r="K57" s="1126"/>
      <c r="L57" s="1126"/>
      <c r="M57" s="1126"/>
      <c r="N57" s="1126"/>
      <c r="O57" s="907"/>
      <c r="P57" s="907"/>
      <c r="Q57" s="907"/>
      <c r="R57" s="1126"/>
      <c r="S57" s="907"/>
      <c r="T57" s="907"/>
      <c r="U57" s="907"/>
      <c r="V57" s="1126"/>
      <c r="W57" s="907"/>
      <c r="X57" s="413"/>
      <c r="Y57" s="1075"/>
    </row>
    <row r="58" spans="1:25" ht="15" customHeight="1" x14ac:dyDescent="0.2">
      <c r="A58" s="147"/>
      <c r="B58" s="1050" t="str">
        <f t="shared" si="0"/>
        <v>Desk 54</v>
      </c>
      <c r="C58" s="1385" t="str">
        <f>IF('TB IMA general'!C139&lt;&gt;"",'TB IMA general'!C139,"")</f>
        <v/>
      </c>
      <c r="D58" s="1384"/>
      <c r="E58" s="1384"/>
      <c r="F58" s="1384"/>
      <c r="G58" s="907"/>
      <c r="H58" s="907"/>
      <c r="I58" s="907"/>
      <c r="J58" s="1126"/>
      <c r="K58" s="1126"/>
      <c r="L58" s="1126"/>
      <c r="M58" s="1126"/>
      <c r="N58" s="1126"/>
      <c r="O58" s="907"/>
      <c r="P58" s="907"/>
      <c r="Q58" s="907"/>
      <c r="R58" s="1126"/>
      <c r="S58" s="907"/>
      <c r="T58" s="907"/>
      <c r="U58" s="907"/>
      <c r="V58" s="1126"/>
      <c r="W58" s="907"/>
      <c r="X58" s="413"/>
      <c r="Y58" s="1075"/>
    </row>
    <row r="59" spans="1:25" ht="15" customHeight="1" x14ac:dyDescent="0.2">
      <c r="A59" s="147"/>
      <c r="B59" s="1050" t="str">
        <f t="shared" si="0"/>
        <v>Desk 55</v>
      </c>
      <c r="C59" s="1385" t="str">
        <f>IF('TB IMA general'!C140&lt;&gt;"",'TB IMA general'!C140,"")</f>
        <v/>
      </c>
      <c r="D59" s="1384"/>
      <c r="E59" s="1384"/>
      <c r="F59" s="1384"/>
      <c r="G59" s="907"/>
      <c r="H59" s="907"/>
      <c r="I59" s="907"/>
      <c r="J59" s="1126"/>
      <c r="K59" s="1126"/>
      <c r="L59" s="1126"/>
      <c r="M59" s="1126"/>
      <c r="N59" s="1126"/>
      <c r="O59" s="907"/>
      <c r="P59" s="907"/>
      <c r="Q59" s="907"/>
      <c r="R59" s="1126"/>
      <c r="S59" s="907"/>
      <c r="T59" s="907"/>
      <c r="U59" s="907"/>
      <c r="V59" s="1126"/>
      <c r="W59" s="907"/>
      <c r="X59" s="413"/>
      <c r="Y59" s="1075"/>
    </row>
    <row r="60" spans="1:25" ht="15" customHeight="1" x14ac:dyDescent="0.2">
      <c r="A60" s="147"/>
      <c r="B60" s="1050" t="str">
        <f t="shared" si="0"/>
        <v>Desk 56</v>
      </c>
      <c r="C60" s="1385" t="str">
        <f>IF('TB IMA general'!C141&lt;&gt;"",'TB IMA general'!C141,"")</f>
        <v/>
      </c>
      <c r="D60" s="1384"/>
      <c r="E60" s="1384"/>
      <c r="F60" s="1384"/>
      <c r="G60" s="907"/>
      <c r="H60" s="907"/>
      <c r="I60" s="907"/>
      <c r="J60" s="1126"/>
      <c r="K60" s="1126"/>
      <c r="L60" s="1126"/>
      <c r="M60" s="1126"/>
      <c r="N60" s="1126"/>
      <c r="O60" s="907"/>
      <c r="P60" s="907"/>
      <c r="Q60" s="907"/>
      <c r="R60" s="1126"/>
      <c r="S60" s="907"/>
      <c r="T60" s="907"/>
      <c r="U60" s="907"/>
      <c r="V60" s="1126"/>
      <c r="W60" s="907"/>
      <c r="X60" s="413"/>
      <c r="Y60" s="1075"/>
    </row>
    <row r="61" spans="1:25" ht="15" customHeight="1" x14ac:dyDescent="0.2">
      <c r="A61" s="147"/>
      <c r="B61" s="1050" t="str">
        <f t="shared" si="0"/>
        <v>Desk 57</v>
      </c>
      <c r="C61" s="1385" t="str">
        <f>IF('TB IMA general'!C142&lt;&gt;"",'TB IMA general'!C142,"")</f>
        <v/>
      </c>
      <c r="D61" s="1384"/>
      <c r="E61" s="1384"/>
      <c r="F61" s="1384"/>
      <c r="G61" s="907"/>
      <c r="H61" s="907"/>
      <c r="I61" s="907"/>
      <c r="J61" s="1126"/>
      <c r="K61" s="1126"/>
      <c r="L61" s="1126"/>
      <c r="M61" s="1126"/>
      <c r="N61" s="1126"/>
      <c r="O61" s="907"/>
      <c r="P61" s="907"/>
      <c r="Q61" s="907"/>
      <c r="R61" s="1126"/>
      <c r="S61" s="907"/>
      <c r="T61" s="907"/>
      <c r="U61" s="907"/>
      <c r="V61" s="1126"/>
      <c r="W61" s="907"/>
      <c r="X61" s="413"/>
      <c r="Y61" s="1075"/>
    </row>
    <row r="62" spans="1:25" ht="15" customHeight="1" x14ac:dyDescent="0.2">
      <c r="A62" s="147"/>
      <c r="B62" s="1050" t="str">
        <f t="shared" si="0"/>
        <v>Desk 58</v>
      </c>
      <c r="C62" s="1385" t="str">
        <f>IF('TB IMA general'!C143&lt;&gt;"",'TB IMA general'!C143,"")</f>
        <v/>
      </c>
      <c r="D62" s="1384"/>
      <c r="E62" s="1384"/>
      <c r="F62" s="1384"/>
      <c r="G62" s="907"/>
      <c r="H62" s="907"/>
      <c r="I62" s="907"/>
      <c r="J62" s="1126"/>
      <c r="K62" s="1126"/>
      <c r="L62" s="1126"/>
      <c r="M62" s="1126"/>
      <c r="N62" s="1126"/>
      <c r="O62" s="907"/>
      <c r="P62" s="907"/>
      <c r="Q62" s="907"/>
      <c r="R62" s="1126"/>
      <c r="S62" s="907"/>
      <c r="T62" s="907"/>
      <c r="U62" s="907"/>
      <c r="V62" s="1126"/>
      <c r="W62" s="907"/>
      <c r="X62" s="413"/>
      <c r="Y62" s="1075"/>
    </row>
    <row r="63" spans="1:25" ht="15" customHeight="1" x14ac:dyDescent="0.2">
      <c r="A63" s="147"/>
      <c r="B63" s="1050" t="str">
        <f t="shared" si="0"/>
        <v>Desk 59</v>
      </c>
      <c r="C63" s="1385" t="str">
        <f>IF('TB IMA general'!C144&lt;&gt;"",'TB IMA general'!C144,"")</f>
        <v/>
      </c>
      <c r="D63" s="1384"/>
      <c r="E63" s="1384"/>
      <c r="F63" s="1384"/>
      <c r="G63" s="907"/>
      <c r="H63" s="907"/>
      <c r="I63" s="907"/>
      <c r="J63" s="1126"/>
      <c r="K63" s="1126"/>
      <c r="L63" s="1126"/>
      <c r="M63" s="1126"/>
      <c r="N63" s="1126"/>
      <c r="O63" s="907"/>
      <c r="P63" s="907"/>
      <c r="Q63" s="907"/>
      <c r="R63" s="1126"/>
      <c r="S63" s="907"/>
      <c r="T63" s="907"/>
      <c r="U63" s="907"/>
      <c r="V63" s="1126"/>
      <c r="W63" s="907"/>
      <c r="X63" s="413"/>
      <c r="Y63" s="1075"/>
    </row>
    <row r="64" spans="1:25" ht="15" customHeight="1" x14ac:dyDescent="0.2">
      <c r="A64" s="147"/>
      <c r="B64" s="1050" t="str">
        <f t="shared" si="0"/>
        <v>Desk 60</v>
      </c>
      <c r="C64" s="1385" t="str">
        <f>IF('TB IMA general'!C145&lt;&gt;"",'TB IMA general'!C145,"")</f>
        <v/>
      </c>
      <c r="D64" s="1384"/>
      <c r="E64" s="1384"/>
      <c r="F64" s="1384"/>
      <c r="G64" s="907"/>
      <c r="H64" s="907"/>
      <c r="I64" s="907"/>
      <c r="J64" s="1126"/>
      <c r="K64" s="1126"/>
      <c r="L64" s="1126"/>
      <c r="M64" s="1126"/>
      <c r="N64" s="1126"/>
      <c r="O64" s="907"/>
      <c r="P64" s="907"/>
      <c r="Q64" s="907"/>
      <c r="R64" s="1126"/>
      <c r="S64" s="907"/>
      <c r="T64" s="907"/>
      <c r="U64" s="907"/>
      <c r="V64" s="1126"/>
      <c r="W64" s="907"/>
      <c r="X64" s="413"/>
      <c r="Y64" s="1075"/>
    </row>
    <row r="65" spans="1:25" ht="15" customHeight="1" x14ac:dyDescent="0.2">
      <c r="A65" s="147"/>
      <c r="B65" s="1050" t="str">
        <f t="shared" si="0"/>
        <v>Desk 61</v>
      </c>
      <c r="C65" s="1385" t="str">
        <f>IF('TB IMA general'!C146&lt;&gt;"",'TB IMA general'!C146,"")</f>
        <v/>
      </c>
      <c r="D65" s="1384"/>
      <c r="E65" s="1384"/>
      <c r="F65" s="1384"/>
      <c r="G65" s="907"/>
      <c r="H65" s="907"/>
      <c r="I65" s="907"/>
      <c r="J65" s="1126"/>
      <c r="K65" s="1126"/>
      <c r="L65" s="1126"/>
      <c r="M65" s="1126"/>
      <c r="N65" s="1126"/>
      <c r="O65" s="907"/>
      <c r="P65" s="907"/>
      <c r="Q65" s="907"/>
      <c r="R65" s="1126"/>
      <c r="S65" s="907"/>
      <c r="T65" s="907"/>
      <c r="U65" s="907"/>
      <c r="V65" s="1126"/>
      <c r="W65" s="907"/>
      <c r="X65" s="413"/>
      <c r="Y65" s="1075"/>
    </row>
    <row r="66" spans="1:25" ht="15" customHeight="1" x14ac:dyDescent="0.2">
      <c r="A66" s="147"/>
      <c r="B66" s="1050" t="str">
        <f t="shared" si="0"/>
        <v>Desk 62</v>
      </c>
      <c r="C66" s="1385" t="str">
        <f>IF('TB IMA general'!C147&lt;&gt;"",'TB IMA general'!C147,"")</f>
        <v/>
      </c>
      <c r="D66" s="1384"/>
      <c r="E66" s="1384"/>
      <c r="F66" s="1384"/>
      <c r="G66" s="907"/>
      <c r="H66" s="907"/>
      <c r="I66" s="907"/>
      <c r="J66" s="1126"/>
      <c r="K66" s="1126"/>
      <c r="L66" s="1126"/>
      <c r="M66" s="1126"/>
      <c r="N66" s="1126"/>
      <c r="O66" s="907"/>
      <c r="P66" s="907"/>
      <c r="Q66" s="907"/>
      <c r="R66" s="1126"/>
      <c r="S66" s="907"/>
      <c r="T66" s="907"/>
      <c r="U66" s="907"/>
      <c r="V66" s="1126"/>
      <c r="W66" s="907"/>
      <c r="X66" s="413"/>
      <c r="Y66" s="1075"/>
    </row>
    <row r="67" spans="1:25" ht="15" customHeight="1" x14ac:dyDescent="0.2">
      <c r="A67" s="147"/>
      <c r="B67" s="1050" t="str">
        <f t="shared" si="0"/>
        <v>Desk 63</v>
      </c>
      <c r="C67" s="1385" t="str">
        <f>IF('TB IMA general'!C148&lt;&gt;"",'TB IMA general'!C148,"")</f>
        <v/>
      </c>
      <c r="D67" s="1384"/>
      <c r="E67" s="1384"/>
      <c r="F67" s="1384"/>
      <c r="G67" s="907"/>
      <c r="H67" s="907"/>
      <c r="I67" s="907"/>
      <c r="J67" s="1126"/>
      <c r="K67" s="1126"/>
      <c r="L67" s="1126"/>
      <c r="M67" s="1126"/>
      <c r="N67" s="1126"/>
      <c r="O67" s="907"/>
      <c r="P67" s="907"/>
      <c r="Q67" s="907"/>
      <c r="R67" s="1126"/>
      <c r="S67" s="907"/>
      <c r="T67" s="907"/>
      <c r="U67" s="907"/>
      <c r="V67" s="1126"/>
      <c r="W67" s="907"/>
      <c r="X67" s="413"/>
      <c r="Y67" s="1075"/>
    </row>
    <row r="68" spans="1:25" ht="15" customHeight="1" x14ac:dyDescent="0.2">
      <c r="A68" s="147"/>
      <c r="B68" s="1050" t="str">
        <f t="shared" si="0"/>
        <v>Desk 64</v>
      </c>
      <c r="C68" s="1385" t="str">
        <f>IF('TB IMA general'!C149&lt;&gt;"",'TB IMA general'!C149,"")</f>
        <v/>
      </c>
      <c r="D68" s="1384"/>
      <c r="E68" s="1384"/>
      <c r="F68" s="1384"/>
      <c r="G68" s="907"/>
      <c r="H68" s="907"/>
      <c r="I68" s="907"/>
      <c r="J68" s="1126"/>
      <c r="K68" s="1126"/>
      <c r="L68" s="1126"/>
      <c r="M68" s="1126"/>
      <c r="N68" s="1126"/>
      <c r="O68" s="907"/>
      <c r="P68" s="907"/>
      <c r="Q68" s="907"/>
      <c r="R68" s="1126"/>
      <c r="S68" s="907"/>
      <c r="T68" s="907"/>
      <c r="U68" s="907"/>
      <c r="V68" s="1126"/>
      <c r="W68" s="907"/>
      <c r="X68" s="413"/>
      <c r="Y68" s="1075"/>
    </row>
    <row r="69" spans="1:25" ht="15" customHeight="1" x14ac:dyDescent="0.2">
      <c r="A69" s="147"/>
      <c r="B69" s="1050" t="str">
        <f t="shared" si="0"/>
        <v>Desk 65</v>
      </c>
      <c r="C69" s="1385" t="str">
        <f>IF('TB IMA general'!C150&lt;&gt;"",'TB IMA general'!C150,"")</f>
        <v/>
      </c>
      <c r="D69" s="1384"/>
      <c r="E69" s="1384"/>
      <c r="F69" s="1384"/>
      <c r="G69" s="907"/>
      <c r="H69" s="907"/>
      <c r="I69" s="907"/>
      <c r="J69" s="1126"/>
      <c r="K69" s="1126"/>
      <c r="L69" s="1126"/>
      <c r="M69" s="1126"/>
      <c r="N69" s="1126"/>
      <c r="O69" s="907"/>
      <c r="P69" s="907"/>
      <c r="Q69" s="907"/>
      <c r="R69" s="1126"/>
      <c r="S69" s="907"/>
      <c r="T69" s="907"/>
      <c r="U69" s="907"/>
      <c r="V69" s="1126"/>
      <c r="W69" s="907"/>
      <c r="X69" s="413"/>
      <c r="Y69" s="1075"/>
    </row>
    <row r="70" spans="1:25" ht="15" customHeight="1" x14ac:dyDescent="0.2">
      <c r="A70" s="147"/>
      <c r="B70" s="1050" t="str">
        <f t="shared" ref="B70:B104" si="1">"Desk " &amp; (ROW(B70)-ROW(B$4))</f>
        <v>Desk 66</v>
      </c>
      <c r="C70" s="1385" t="str">
        <f>IF('TB IMA general'!C151&lt;&gt;"",'TB IMA general'!C151,"")</f>
        <v/>
      </c>
      <c r="D70" s="1384"/>
      <c r="E70" s="1384"/>
      <c r="F70" s="1384"/>
      <c r="G70" s="907"/>
      <c r="H70" s="907"/>
      <c r="I70" s="907"/>
      <c r="J70" s="1126"/>
      <c r="K70" s="1126"/>
      <c r="L70" s="1126"/>
      <c r="M70" s="1126"/>
      <c r="N70" s="1126"/>
      <c r="O70" s="907"/>
      <c r="P70" s="907"/>
      <c r="Q70" s="907"/>
      <c r="R70" s="1126"/>
      <c r="S70" s="907"/>
      <c r="T70" s="907"/>
      <c r="U70" s="907"/>
      <c r="V70" s="1126"/>
      <c r="W70" s="907"/>
      <c r="X70" s="413"/>
      <c r="Y70" s="1075"/>
    </row>
    <row r="71" spans="1:25" ht="15" customHeight="1" x14ac:dyDescent="0.2">
      <c r="A71" s="147"/>
      <c r="B71" s="1050" t="str">
        <f t="shared" si="1"/>
        <v>Desk 67</v>
      </c>
      <c r="C71" s="1385" t="str">
        <f>IF('TB IMA general'!C152&lt;&gt;"",'TB IMA general'!C152,"")</f>
        <v/>
      </c>
      <c r="D71" s="1384"/>
      <c r="E71" s="1384"/>
      <c r="F71" s="1384"/>
      <c r="G71" s="907"/>
      <c r="H71" s="907"/>
      <c r="I71" s="907"/>
      <c r="J71" s="1126"/>
      <c r="K71" s="1126"/>
      <c r="L71" s="1126"/>
      <c r="M71" s="1126"/>
      <c r="N71" s="1126"/>
      <c r="O71" s="907"/>
      <c r="P71" s="907"/>
      <c r="Q71" s="907"/>
      <c r="R71" s="1126"/>
      <c r="S71" s="907"/>
      <c r="T71" s="907"/>
      <c r="U71" s="907"/>
      <c r="V71" s="1126"/>
      <c r="W71" s="907"/>
      <c r="X71" s="413"/>
      <c r="Y71" s="1075"/>
    </row>
    <row r="72" spans="1:25" ht="15" customHeight="1" x14ac:dyDescent="0.2">
      <c r="A72" s="147"/>
      <c r="B72" s="1050" t="str">
        <f t="shared" si="1"/>
        <v>Desk 68</v>
      </c>
      <c r="C72" s="1385" t="str">
        <f>IF('TB IMA general'!C153&lt;&gt;"",'TB IMA general'!C153,"")</f>
        <v/>
      </c>
      <c r="D72" s="1384"/>
      <c r="E72" s="1384"/>
      <c r="F72" s="1384"/>
      <c r="G72" s="907"/>
      <c r="H72" s="907"/>
      <c r="I72" s="907"/>
      <c r="J72" s="1126"/>
      <c r="K72" s="1126"/>
      <c r="L72" s="1126"/>
      <c r="M72" s="1126"/>
      <c r="N72" s="1126"/>
      <c r="O72" s="907"/>
      <c r="P72" s="907"/>
      <c r="Q72" s="907"/>
      <c r="R72" s="1126"/>
      <c r="S72" s="907"/>
      <c r="T72" s="907"/>
      <c r="U72" s="907"/>
      <c r="V72" s="1126"/>
      <c r="W72" s="907"/>
      <c r="X72" s="413"/>
      <c r="Y72" s="1075"/>
    </row>
    <row r="73" spans="1:25" ht="15" customHeight="1" x14ac:dyDescent="0.2">
      <c r="A73" s="147"/>
      <c r="B73" s="1050" t="str">
        <f t="shared" si="1"/>
        <v>Desk 69</v>
      </c>
      <c r="C73" s="1385" t="str">
        <f>IF('TB IMA general'!C154&lt;&gt;"",'TB IMA general'!C154,"")</f>
        <v/>
      </c>
      <c r="D73" s="1384"/>
      <c r="E73" s="1384"/>
      <c r="F73" s="1384"/>
      <c r="G73" s="907"/>
      <c r="H73" s="907"/>
      <c r="I73" s="907"/>
      <c r="J73" s="1126"/>
      <c r="K73" s="1126"/>
      <c r="L73" s="1126"/>
      <c r="M73" s="1126"/>
      <c r="N73" s="1126"/>
      <c r="O73" s="907"/>
      <c r="P73" s="907"/>
      <c r="Q73" s="907"/>
      <c r="R73" s="1126"/>
      <c r="S73" s="907"/>
      <c r="T73" s="907"/>
      <c r="U73" s="907"/>
      <c r="V73" s="1126"/>
      <c r="W73" s="907"/>
      <c r="X73" s="413"/>
      <c r="Y73" s="1075"/>
    </row>
    <row r="74" spans="1:25" ht="15" customHeight="1" x14ac:dyDescent="0.2">
      <c r="A74" s="147"/>
      <c r="B74" s="1050" t="str">
        <f t="shared" si="1"/>
        <v>Desk 70</v>
      </c>
      <c r="C74" s="1385" t="str">
        <f>IF('TB IMA general'!C155&lt;&gt;"",'TB IMA general'!C155,"")</f>
        <v/>
      </c>
      <c r="D74" s="1384"/>
      <c r="E74" s="1384"/>
      <c r="F74" s="1384"/>
      <c r="G74" s="907"/>
      <c r="H74" s="907"/>
      <c r="I74" s="907"/>
      <c r="J74" s="1126"/>
      <c r="K74" s="1126"/>
      <c r="L74" s="1126"/>
      <c r="M74" s="1126"/>
      <c r="N74" s="1126"/>
      <c r="O74" s="907"/>
      <c r="P74" s="907"/>
      <c r="Q74" s="907"/>
      <c r="R74" s="1126"/>
      <c r="S74" s="907"/>
      <c r="T74" s="907"/>
      <c r="U74" s="907"/>
      <c r="V74" s="1126"/>
      <c r="W74" s="907"/>
      <c r="X74" s="413"/>
      <c r="Y74" s="1075"/>
    </row>
    <row r="75" spans="1:25" ht="15" customHeight="1" x14ac:dyDescent="0.2">
      <c r="A75" s="147"/>
      <c r="B75" s="1050" t="str">
        <f t="shared" si="1"/>
        <v>Desk 71</v>
      </c>
      <c r="C75" s="1385" t="str">
        <f>IF('TB IMA general'!C156&lt;&gt;"",'TB IMA general'!C156,"")</f>
        <v/>
      </c>
      <c r="D75" s="1384"/>
      <c r="E75" s="1384"/>
      <c r="F75" s="1384"/>
      <c r="G75" s="907"/>
      <c r="H75" s="907"/>
      <c r="I75" s="907"/>
      <c r="J75" s="1126"/>
      <c r="K75" s="1126"/>
      <c r="L75" s="1126"/>
      <c r="M75" s="1126"/>
      <c r="N75" s="1126"/>
      <c r="O75" s="907"/>
      <c r="P75" s="907"/>
      <c r="Q75" s="907"/>
      <c r="R75" s="1126"/>
      <c r="S75" s="907"/>
      <c r="T75" s="907"/>
      <c r="U75" s="907"/>
      <c r="V75" s="1126"/>
      <c r="W75" s="907"/>
      <c r="X75" s="413"/>
      <c r="Y75" s="1075"/>
    </row>
    <row r="76" spans="1:25" ht="15" customHeight="1" x14ac:dyDescent="0.2">
      <c r="A76" s="147"/>
      <c r="B76" s="1050" t="str">
        <f t="shared" si="1"/>
        <v>Desk 72</v>
      </c>
      <c r="C76" s="1385" t="str">
        <f>IF('TB IMA general'!C157&lt;&gt;"",'TB IMA general'!C157,"")</f>
        <v/>
      </c>
      <c r="D76" s="1384"/>
      <c r="E76" s="1384"/>
      <c r="F76" s="1384"/>
      <c r="G76" s="907"/>
      <c r="H76" s="907"/>
      <c r="I76" s="907"/>
      <c r="J76" s="1126"/>
      <c r="K76" s="1126"/>
      <c r="L76" s="1126"/>
      <c r="M76" s="1126"/>
      <c r="N76" s="1126"/>
      <c r="O76" s="907"/>
      <c r="P76" s="907"/>
      <c r="Q76" s="907"/>
      <c r="R76" s="1126"/>
      <c r="S76" s="907"/>
      <c r="T76" s="907"/>
      <c r="U76" s="907"/>
      <c r="V76" s="1126"/>
      <c r="W76" s="907"/>
      <c r="X76" s="413"/>
      <c r="Y76" s="1075"/>
    </row>
    <row r="77" spans="1:25" ht="15" customHeight="1" x14ac:dyDescent="0.2">
      <c r="A77" s="147"/>
      <c r="B77" s="1050" t="str">
        <f t="shared" si="1"/>
        <v>Desk 73</v>
      </c>
      <c r="C77" s="1385" t="str">
        <f>IF('TB IMA general'!C158&lt;&gt;"",'TB IMA general'!C158,"")</f>
        <v/>
      </c>
      <c r="D77" s="1384"/>
      <c r="E77" s="1384"/>
      <c r="F77" s="1384"/>
      <c r="G77" s="907"/>
      <c r="H77" s="907"/>
      <c r="I77" s="907"/>
      <c r="J77" s="1126"/>
      <c r="K77" s="1126"/>
      <c r="L77" s="1126"/>
      <c r="M77" s="1126"/>
      <c r="N77" s="1126"/>
      <c r="O77" s="907"/>
      <c r="P77" s="907"/>
      <c r="Q77" s="907"/>
      <c r="R77" s="1126"/>
      <c r="S77" s="907"/>
      <c r="T77" s="907"/>
      <c r="U77" s="907"/>
      <c r="V77" s="1126"/>
      <c r="W77" s="907"/>
      <c r="X77" s="413"/>
      <c r="Y77" s="1075"/>
    </row>
    <row r="78" spans="1:25" ht="15" customHeight="1" x14ac:dyDescent="0.2">
      <c r="A78" s="147"/>
      <c r="B78" s="1050" t="str">
        <f t="shared" si="1"/>
        <v>Desk 74</v>
      </c>
      <c r="C78" s="1385" t="str">
        <f>IF('TB IMA general'!C159&lt;&gt;"",'TB IMA general'!C159,"")</f>
        <v/>
      </c>
      <c r="D78" s="1384"/>
      <c r="E78" s="1384"/>
      <c r="F78" s="1384"/>
      <c r="G78" s="907"/>
      <c r="H78" s="907"/>
      <c r="I78" s="907"/>
      <c r="J78" s="1126"/>
      <c r="K78" s="1126"/>
      <c r="L78" s="1126"/>
      <c r="M78" s="1126"/>
      <c r="N78" s="1126"/>
      <c r="O78" s="907"/>
      <c r="P78" s="907"/>
      <c r="Q78" s="907"/>
      <c r="R78" s="1126"/>
      <c r="S78" s="907"/>
      <c r="T78" s="907"/>
      <c r="U78" s="907"/>
      <c r="V78" s="1126"/>
      <c r="W78" s="907"/>
      <c r="X78" s="413"/>
      <c r="Y78" s="1075"/>
    </row>
    <row r="79" spans="1:25" ht="15" customHeight="1" x14ac:dyDescent="0.2">
      <c r="A79" s="147"/>
      <c r="B79" s="1050" t="str">
        <f t="shared" si="1"/>
        <v>Desk 75</v>
      </c>
      <c r="C79" s="1385" t="str">
        <f>IF('TB IMA general'!C160&lt;&gt;"",'TB IMA general'!C160,"")</f>
        <v/>
      </c>
      <c r="D79" s="1384"/>
      <c r="E79" s="1384"/>
      <c r="F79" s="1384"/>
      <c r="G79" s="907"/>
      <c r="H79" s="907"/>
      <c r="I79" s="907"/>
      <c r="J79" s="1126"/>
      <c r="K79" s="1126"/>
      <c r="L79" s="1126"/>
      <c r="M79" s="1126"/>
      <c r="N79" s="1126"/>
      <c r="O79" s="907"/>
      <c r="P79" s="907"/>
      <c r="Q79" s="907"/>
      <c r="R79" s="1126"/>
      <c r="S79" s="907"/>
      <c r="T79" s="907"/>
      <c r="U79" s="907"/>
      <c r="V79" s="1126"/>
      <c r="W79" s="907"/>
      <c r="X79" s="413"/>
      <c r="Y79" s="1075"/>
    </row>
    <row r="80" spans="1:25" ht="15" customHeight="1" x14ac:dyDescent="0.2">
      <c r="A80" s="147"/>
      <c r="B80" s="1050" t="str">
        <f t="shared" si="1"/>
        <v>Desk 76</v>
      </c>
      <c r="C80" s="1385" t="str">
        <f>IF('TB IMA general'!C161&lt;&gt;"",'TB IMA general'!C161,"")</f>
        <v/>
      </c>
      <c r="D80" s="1384"/>
      <c r="E80" s="1384"/>
      <c r="F80" s="1384"/>
      <c r="G80" s="907"/>
      <c r="H80" s="907"/>
      <c r="I80" s="907"/>
      <c r="J80" s="1126"/>
      <c r="K80" s="1126"/>
      <c r="L80" s="1126"/>
      <c r="M80" s="1126"/>
      <c r="N80" s="1126"/>
      <c r="O80" s="907"/>
      <c r="P80" s="907"/>
      <c r="Q80" s="907"/>
      <c r="R80" s="1126"/>
      <c r="S80" s="907"/>
      <c r="T80" s="907"/>
      <c r="U80" s="907"/>
      <c r="V80" s="1126"/>
      <c r="W80" s="907"/>
      <c r="X80" s="413"/>
      <c r="Y80" s="1075"/>
    </row>
    <row r="81" spans="1:25" ht="15" customHeight="1" x14ac:dyDescent="0.2">
      <c r="A81" s="147"/>
      <c r="B81" s="1050" t="str">
        <f t="shared" si="1"/>
        <v>Desk 77</v>
      </c>
      <c r="C81" s="1385" t="str">
        <f>IF('TB IMA general'!C162&lt;&gt;"",'TB IMA general'!C162,"")</f>
        <v/>
      </c>
      <c r="D81" s="1384"/>
      <c r="E81" s="1384"/>
      <c r="F81" s="1384"/>
      <c r="G81" s="907"/>
      <c r="H81" s="907"/>
      <c r="I81" s="907"/>
      <c r="J81" s="1126"/>
      <c r="K81" s="1126"/>
      <c r="L81" s="1126"/>
      <c r="M81" s="1126"/>
      <c r="N81" s="1126"/>
      <c r="O81" s="907"/>
      <c r="P81" s="907"/>
      <c r="Q81" s="907"/>
      <c r="R81" s="1126"/>
      <c r="S81" s="907"/>
      <c r="T81" s="907"/>
      <c r="U81" s="907"/>
      <c r="V81" s="1126"/>
      <c r="W81" s="907"/>
      <c r="X81" s="413"/>
      <c r="Y81" s="1075"/>
    </row>
    <row r="82" spans="1:25" ht="15" customHeight="1" x14ac:dyDescent="0.2">
      <c r="A82" s="147"/>
      <c r="B82" s="1050" t="str">
        <f t="shared" si="1"/>
        <v>Desk 78</v>
      </c>
      <c r="C82" s="1385" t="str">
        <f>IF('TB IMA general'!C163&lt;&gt;"",'TB IMA general'!C163,"")</f>
        <v/>
      </c>
      <c r="D82" s="1384"/>
      <c r="E82" s="1384"/>
      <c r="F82" s="1384"/>
      <c r="G82" s="907"/>
      <c r="H82" s="907"/>
      <c r="I82" s="907"/>
      <c r="J82" s="1126"/>
      <c r="K82" s="1126"/>
      <c r="L82" s="1126"/>
      <c r="M82" s="1126"/>
      <c r="N82" s="1126"/>
      <c r="O82" s="907"/>
      <c r="P82" s="907"/>
      <c r="Q82" s="907"/>
      <c r="R82" s="1126"/>
      <c r="S82" s="907"/>
      <c r="T82" s="907"/>
      <c r="U82" s="907"/>
      <c r="V82" s="1126"/>
      <c r="W82" s="907"/>
      <c r="X82" s="413"/>
      <c r="Y82" s="1075"/>
    </row>
    <row r="83" spans="1:25" ht="15" customHeight="1" x14ac:dyDescent="0.2">
      <c r="A83" s="147"/>
      <c r="B83" s="1050" t="str">
        <f t="shared" si="1"/>
        <v>Desk 79</v>
      </c>
      <c r="C83" s="1385" t="str">
        <f>IF('TB IMA general'!C164&lt;&gt;"",'TB IMA general'!C164,"")</f>
        <v/>
      </c>
      <c r="D83" s="1384"/>
      <c r="E83" s="1384"/>
      <c r="F83" s="1384"/>
      <c r="G83" s="907"/>
      <c r="H83" s="907"/>
      <c r="I83" s="907"/>
      <c r="J83" s="1126"/>
      <c r="K83" s="1126"/>
      <c r="L83" s="1126"/>
      <c r="M83" s="1126"/>
      <c r="N83" s="1126"/>
      <c r="O83" s="907"/>
      <c r="P83" s="907"/>
      <c r="Q83" s="907"/>
      <c r="R83" s="1126"/>
      <c r="S83" s="907"/>
      <c r="T83" s="907"/>
      <c r="U83" s="907"/>
      <c r="V83" s="1126"/>
      <c r="W83" s="907"/>
      <c r="X83" s="413"/>
      <c r="Y83" s="1075"/>
    </row>
    <row r="84" spans="1:25" ht="15" customHeight="1" x14ac:dyDescent="0.2">
      <c r="A84" s="147"/>
      <c r="B84" s="1050" t="str">
        <f t="shared" si="1"/>
        <v>Desk 80</v>
      </c>
      <c r="C84" s="1385" t="str">
        <f>IF('TB IMA general'!C165&lt;&gt;"",'TB IMA general'!C165,"")</f>
        <v/>
      </c>
      <c r="D84" s="1384"/>
      <c r="E84" s="1384"/>
      <c r="F84" s="1384"/>
      <c r="G84" s="907"/>
      <c r="H84" s="907"/>
      <c r="I84" s="907"/>
      <c r="J84" s="1126"/>
      <c r="K84" s="1126"/>
      <c r="L84" s="1126"/>
      <c r="M84" s="1126"/>
      <c r="N84" s="1126"/>
      <c r="O84" s="907"/>
      <c r="P84" s="907"/>
      <c r="Q84" s="907"/>
      <c r="R84" s="1126"/>
      <c r="S84" s="907"/>
      <c r="T84" s="907"/>
      <c r="U84" s="907"/>
      <c r="V84" s="1126"/>
      <c r="W84" s="907"/>
      <c r="X84" s="413"/>
      <c r="Y84" s="1075"/>
    </row>
    <row r="85" spans="1:25" ht="15" customHeight="1" x14ac:dyDescent="0.2">
      <c r="A85" s="147"/>
      <c r="B85" s="1050" t="str">
        <f t="shared" si="1"/>
        <v>Desk 81</v>
      </c>
      <c r="C85" s="1385" t="str">
        <f>IF('TB IMA general'!C166&lt;&gt;"",'TB IMA general'!C166,"")</f>
        <v/>
      </c>
      <c r="D85" s="1384"/>
      <c r="E85" s="1384"/>
      <c r="F85" s="1384"/>
      <c r="G85" s="907"/>
      <c r="H85" s="907"/>
      <c r="I85" s="907"/>
      <c r="J85" s="1126"/>
      <c r="K85" s="1126"/>
      <c r="L85" s="1126"/>
      <c r="M85" s="1126"/>
      <c r="N85" s="1126"/>
      <c r="O85" s="907"/>
      <c r="P85" s="907"/>
      <c r="Q85" s="907"/>
      <c r="R85" s="1126"/>
      <c r="S85" s="907"/>
      <c r="T85" s="907"/>
      <c r="U85" s="907"/>
      <c r="V85" s="1126"/>
      <c r="W85" s="907"/>
      <c r="X85" s="413"/>
      <c r="Y85" s="1075"/>
    </row>
    <row r="86" spans="1:25" ht="15" customHeight="1" x14ac:dyDescent="0.2">
      <c r="A86" s="147"/>
      <c r="B86" s="1050" t="str">
        <f t="shared" si="1"/>
        <v>Desk 82</v>
      </c>
      <c r="C86" s="1385" t="str">
        <f>IF('TB IMA general'!C167&lt;&gt;"",'TB IMA general'!C167,"")</f>
        <v/>
      </c>
      <c r="D86" s="1384"/>
      <c r="E86" s="1384"/>
      <c r="F86" s="1384"/>
      <c r="G86" s="907"/>
      <c r="H86" s="907"/>
      <c r="I86" s="907"/>
      <c r="J86" s="1126"/>
      <c r="K86" s="1126"/>
      <c r="L86" s="1126"/>
      <c r="M86" s="1126"/>
      <c r="N86" s="1126"/>
      <c r="O86" s="907"/>
      <c r="P86" s="907"/>
      <c r="Q86" s="907"/>
      <c r="R86" s="1126"/>
      <c r="S86" s="907"/>
      <c r="T86" s="907"/>
      <c r="U86" s="907"/>
      <c r="V86" s="1126"/>
      <c r="W86" s="907"/>
      <c r="X86" s="413"/>
      <c r="Y86" s="1075"/>
    </row>
    <row r="87" spans="1:25" ht="15" customHeight="1" x14ac:dyDescent="0.2">
      <c r="A87" s="147"/>
      <c r="B87" s="1050" t="str">
        <f t="shared" si="1"/>
        <v>Desk 83</v>
      </c>
      <c r="C87" s="1385" t="str">
        <f>IF('TB IMA general'!C168&lt;&gt;"",'TB IMA general'!C168,"")</f>
        <v/>
      </c>
      <c r="D87" s="1384"/>
      <c r="E87" s="1384"/>
      <c r="F87" s="1384"/>
      <c r="G87" s="907"/>
      <c r="H87" s="907"/>
      <c r="I87" s="907"/>
      <c r="J87" s="1126"/>
      <c r="K87" s="1126"/>
      <c r="L87" s="1126"/>
      <c r="M87" s="1126"/>
      <c r="N87" s="1126"/>
      <c r="O87" s="907"/>
      <c r="P87" s="907"/>
      <c r="Q87" s="907"/>
      <c r="R87" s="1126"/>
      <c r="S87" s="907"/>
      <c r="T87" s="907"/>
      <c r="U87" s="907"/>
      <c r="V87" s="1126"/>
      <c r="W87" s="907"/>
      <c r="X87" s="413"/>
      <c r="Y87" s="1075"/>
    </row>
    <row r="88" spans="1:25" ht="15" customHeight="1" x14ac:dyDescent="0.2">
      <c r="A88" s="147"/>
      <c r="B88" s="1050" t="str">
        <f t="shared" si="1"/>
        <v>Desk 84</v>
      </c>
      <c r="C88" s="1385" t="str">
        <f>IF('TB IMA general'!C169&lt;&gt;"",'TB IMA general'!C169,"")</f>
        <v/>
      </c>
      <c r="D88" s="1384"/>
      <c r="E88" s="1384"/>
      <c r="F88" s="1384"/>
      <c r="G88" s="907"/>
      <c r="H88" s="907"/>
      <c r="I88" s="907"/>
      <c r="J88" s="1126"/>
      <c r="K88" s="1126"/>
      <c r="L88" s="1126"/>
      <c r="M88" s="1126"/>
      <c r="N88" s="1126"/>
      <c r="O88" s="907"/>
      <c r="P88" s="907"/>
      <c r="Q88" s="907"/>
      <c r="R88" s="1126"/>
      <c r="S88" s="907"/>
      <c r="T88" s="907"/>
      <c r="U88" s="907"/>
      <c r="V88" s="1126"/>
      <c r="W88" s="907"/>
      <c r="X88" s="413"/>
      <c r="Y88" s="1075"/>
    </row>
    <row r="89" spans="1:25" ht="15" customHeight="1" x14ac:dyDescent="0.2">
      <c r="A89" s="147"/>
      <c r="B89" s="1050" t="str">
        <f t="shared" si="1"/>
        <v>Desk 85</v>
      </c>
      <c r="C89" s="1385" t="str">
        <f>IF('TB IMA general'!C170&lt;&gt;"",'TB IMA general'!C170,"")</f>
        <v/>
      </c>
      <c r="D89" s="1384"/>
      <c r="E89" s="1384"/>
      <c r="F89" s="1384"/>
      <c r="G89" s="907"/>
      <c r="H89" s="907"/>
      <c r="I89" s="907"/>
      <c r="J89" s="1126"/>
      <c r="K89" s="1126"/>
      <c r="L89" s="1126"/>
      <c r="M89" s="1126"/>
      <c r="N89" s="1126"/>
      <c r="O89" s="907"/>
      <c r="P89" s="907"/>
      <c r="Q89" s="907"/>
      <c r="R89" s="1126"/>
      <c r="S89" s="907"/>
      <c r="T89" s="907"/>
      <c r="U89" s="907"/>
      <c r="V89" s="1126"/>
      <c r="W89" s="907"/>
      <c r="X89" s="413"/>
      <c r="Y89" s="1075"/>
    </row>
    <row r="90" spans="1:25" ht="15" customHeight="1" x14ac:dyDescent="0.2">
      <c r="A90" s="147"/>
      <c r="B90" s="1050" t="str">
        <f t="shared" si="1"/>
        <v>Desk 86</v>
      </c>
      <c r="C90" s="1385" t="str">
        <f>IF('TB IMA general'!C171&lt;&gt;"",'TB IMA general'!C171,"")</f>
        <v/>
      </c>
      <c r="D90" s="1384"/>
      <c r="E90" s="1384"/>
      <c r="F90" s="1384"/>
      <c r="G90" s="907"/>
      <c r="H90" s="907"/>
      <c r="I90" s="907"/>
      <c r="J90" s="1126"/>
      <c r="K90" s="1126"/>
      <c r="L90" s="1126"/>
      <c r="M90" s="1126"/>
      <c r="N90" s="1126"/>
      <c r="O90" s="907"/>
      <c r="P90" s="907"/>
      <c r="Q90" s="907"/>
      <c r="R90" s="1126"/>
      <c r="S90" s="907"/>
      <c r="T90" s="907"/>
      <c r="U90" s="907"/>
      <c r="V90" s="1126"/>
      <c r="W90" s="907"/>
      <c r="X90" s="413"/>
      <c r="Y90" s="1075"/>
    </row>
    <row r="91" spans="1:25" ht="15" customHeight="1" x14ac:dyDescent="0.2">
      <c r="A91" s="147"/>
      <c r="B91" s="1050" t="str">
        <f t="shared" si="1"/>
        <v>Desk 87</v>
      </c>
      <c r="C91" s="1385" t="str">
        <f>IF('TB IMA general'!C172&lt;&gt;"",'TB IMA general'!C172,"")</f>
        <v/>
      </c>
      <c r="D91" s="1384"/>
      <c r="E91" s="1384"/>
      <c r="F91" s="1384"/>
      <c r="G91" s="907"/>
      <c r="H91" s="907"/>
      <c r="I91" s="907"/>
      <c r="J91" s="1126"/>
      <c r="K91" s="1126"/>
      <c r="L91" s="1126"/>
      <c r="M91" s="1126"/>
      <c r="N91" s="1126"/>
      <c r="O91" s="907"/>
      <c r="P91" s="907"/>
      <c r="Q91" s="907"/>
      <c r="R91" s="1126"/>
      <c r="S91" s="907"/>
      <c r="T91" s="907"/>
      <c r="U91" s="907"/>
      <c r="V91" s="1126"/>
      <c r="W91" s="907"/>
      <c r="X91" s="413"/>
      <c r="Y91" s="1075"/>
    </row>
    <row r="92" spans="1:25" ht="15" customHeight="1" x14ac:dyDescent="0.2">
      <c r="A92" s="147"/>
      <c r="B92" s="1050" t="str">
        <f t="shared" si="1"/>
        <v>Desk 88</v>
      </c>
      <c r="C92" s="1385" t="str">
        <f>IF('TB IMA general'!C173&lt;&gt;"",'TB IMA general'!C173,"")</f>
        <v/>
      </c>
      <c r="D92" s="1384"/>
      <c r="E92" s="1384"/>
      <c r="F92" s="1384"/>
      <c r="G92" s="907"/>
      <c r="H92" s="907"/>
      <c r="I92" s="907"/>
      <c r="J92" s="1126"/>
      <c r="K92" s="1126"/>
      <c r="L92" s="1126"/>
      <c r="M92" s="1126"/>
      <c r="N92" s="1126"/>
      <c r="O92" s="907"/>
      <c r="P92" s="907"/>
      <c r="Q92" s="907"/>
      <c r="R92" s="1126"/>
      <c r="S92" s="907"/>
      <c r="T92" s="907"/>
      <c r="U92" s="907"/>
      <c r="V92" s="1126"/>
      <c r="W92" s="907"/>
      <c r="X92" s="413"/>
      <c r="Y92" s="1075"/>
    </row>
    <row r="93" spans="1:25" ht="15" customHeight="1" x14ac:dyDescent="0.2">
      <c r="A93" s="147"/>
      <c r="B93" s="1050" t="str">
        <f t="shared" si="1"/>
        <v>Desk 89</v>
      </c>
      <c r="C93" s="1385" t="str">
        <f>IF('TB IMA general'!C174&lt;&gt;"",'TB IMA general'!C174,"")</f>
        <v/>
      </c>
      <c r="D93" s="1384"/>
      <c r="E93" s="1384"/>
      <c r="F93" s="1384"/>
      <c r="G93" s="907"/>
      <c r="H93" s="907"/>
      <c r="I93" s="907"/>
      <c r="J93" s="1126"/>
      <c r="K93" s="1126"/>
      <c r="L93" s="1126"/>
      <c r="M93" s="1126"/>
      <c r="N93" s="1126"/>
      <c r="O93" s="907"/>
      <c r="P93" s="907"/>
      <c r="Q93" s="907"/>
      <c r="R93" s="1126"/>
      <c r="S93" s="907"/>
      <c r="T93" s="907"/>
      <c r="U93" s="907"/>
      <c r="V93" s="1126"/>
      <c r="W93" s="907"/>
      <c r="X93" s="413"/>
      <c r="Y93" s="1075"/>
    </row>
    <row r="94" spans="1:25" ht="15" customHeight="1" x14ac:dyDescent="0.2">
      <c r="A94" s="147"/>
      <c r="B94" s="1050" t="str">
        <f t="shared" si="1"/>
        <v>Desk 90</v>
      </c>
      <c r="C94" s="1385" t="str">
        <f>IF('TB IMA general'!C175&lt;&gt;"",'TB IMA general'!C175,"")</f>
        <v/>
      </c>
      <c r="D94" s="1384"/>
      <c r="E94" s="1384"/>
      <c r="F94" s="1384"/>
      <c r="G94" s="907"/>
      <c r="H94" s="907"/>
      <c r="I94" s="907"/>
      <c r="J94" s="1126"/>
      <c r="K94" s="1126"/>
      <c r="L94" s="1126"/>
      <c r="M94" s="1126"/>
      <c r="N94" s="1126"/>
      <c r="O94" s="907"/>
      <c r="P94" s="907"/>
      <c r="Q94" s="907"/>
      <c r="R94" s="1126"/>
      <c r="S94" s="907"/>
      <c r="T94" s="907"/>
      <c r="U94" s="907"/>
      <c r="V94" s="1126"/>
      <c r="W94" s="907"/>
      <c r="X94" s="413"/>
      <c r="Y94" s="1075"/>
    </row>
    <row r="95" spans="1:25" ht="15" customHeight="1" x14ac:dyDescent="0.2">
      <c r="A95" s="147"/>
      <c r="B95" s="1050" t="str">
        <f t="shared" si="1"/>
        <v>Desk 91</v>
      </c>
      <c r="C95" s="1385" t="str">
        <f>IF('TB IMA general'!C176&lt;&gt;"",'TB IMA general'!C176,"")</f>
        <v/>
      </c>
      <c r="D95" s="1384"/>
      <c r="E95" s="1384"/>
      <c r="F95" s="1384"/>
      <c r="G95" s="907"/>
      <c r="H95" s="907"/>
      <c r="I95" s="907"/>
      <c r="J95" s="1126"/>
      <c r="K95" s="1126"/>
      <c r="L95" s="1126"/>
      <c r="M95" s="1126"/>
      <c r="N95" s="1126"/>
      <c r="O95" s="907"/>
      <c r="P95" s="907"/>
      <c r="Q95" s="907"/>
      <c r="R95" s="1126"/>
      <c r="S95" s="907"/>
      <c r="T95" s="907"/>
      <c r="U95" s="907"/>
      <c r="V95" s="1126"/>
      <c r="W95" s="907"/>
      <c r="X95" s="413"/>
      <c r="Y95" s="1075"/>
    </row>
    <row r="96" spans="1:25" ht="15" customHeight="1" x14ac:dyDescent="0.2">
      <c r="A96" s="147"/>
      <c r="B96" s="1050" t="str">
        <f t="shared" si="1"/>
        <v>Desk 92</v>
      </c>
      <c r="C96" s="1385" t="str">
        <f>IF('TB IMA general'!C177&lt;&gt;"",'TB IMA general'!C177,"")</f>
        <v/>
      </c>
      <c r="D96" s="1384"/>
      <c r="E96" s="1384"/>
      <c r="F96" s="1384"/>
      <c r="G96" s="907"/>
      <c r="H96" s="907"/>
      <c r="I96" s="907"/>
      <c r="J96" s="1126"/>
      <c r="K96" s="1126"/>
      <c r="L96" s="1126"/>
      <c r="M96" s="1126"/>
      <c r="N96" s="1126"/>
      <c r="O96" s="907"/>
      <c r="P96" s="907"/>
      <c r="Q96" s="907"/>
      <c r="R96" s="1126"/>
      <c r="S96" s="907"/>
      <c r="T96" s="907"/>
      <c r="U96" s="907"/>
      <c r="V96" s="1126"/>
      <c r="W96" s="907"/>
      <c r="X96" s="413"/>
      <c r="Y96" s="1075"/>
    </row>
    <row r="97" spans="1:25" ht="15" customHeight="1" x14ac:dyDescent="0.2">
      <c r="A97" s="147"/>
      <c r="B97" s="1050" t="str">
        <f t="shared" si="1"/>
        <v>Desk 93</v>
      </c>
      <c r="C97" s="1385" t="str">
        <f>IF('TB IMA general'!C178&lt;&gt;"",'TB IMA general'!C178,"")</f>
        <v/>
      </c>
      <c r="D97" s="1384"/>
      <c r="E97" s="1384"/>
      <c r="F97" s="1384"/>
      <c r="G97" s="907"/>
      <c r="H97" s="907"/>
      <c r="I97" s="907"/>
      <c r="J97" s="1126"/>
      <c r="K97" s="1126"/>
      <c r="L97" s="1126"/>
      <c r="M97" s="1126"/>
      <c r="N97" s="1126"/>
      <c r="O97" s="907"/>
      <c r="P97" s="907"/>
      <c r="Q97" s="907"/>
      <c r="R97" s="1126"/>
      <c r="S97" s="907"/>
      <c r="T97" s="907"/>
      <c r="U97" s="907"/>
      <c r="V97" s="1126"/>
      <c r="W97" s="907"/>
      <c r="X97" s="413"/>
      <c r="Y97" s="1075"/>
    </row>
    <row r="98" spans="1:25" ht="15" customHeight="1" x14ac:dyDescent="0.2">
      <c r="A98" s="147"/>
      <c r="B98" s="1050" t="str">
        <f t="shared" si="1"/>
        <v>Desk 94</v>
      </c>
      <c r="C98" s="1385" t="str">
        <f>IF('TB IMA general'!C179&lt;&gt;"",'TB IMA general'!C179,"")</f>
        <v/>
      </c>
      <c r="D98" s="1384"/>
      <c r="E98" s="1384"/>
      <c r="F98" s="1384"/>
      <c r="G98" s="907"/>
      <c r="H98" s="907"/>
      <c r="I98" s="907"/>
      <c r="J98" s="1126"/>
      <c r="K98" s="1126"/>
      <c r="L98" s="1126"/>
      <c r="M98" s="1126"/>
      <c r="N98" s="1126"/>
      <c r="O98" s="907"/>
      <c r="P98" s="907"/>
      <c r="Q98" s="907"/>
      <c r="R98" s="1126"/>
      <c r="S98" s="907"/>
      <c r="T98" s="907"/>
      <c r="U98" s="907"/>
      <c r="V98" s="1126"/>
      <c r="W98" s="907"/>
      <c r="X98" s="413"/>
      <c r="Y98" s="1075"/>
    </row>
    <row r="99" spans="1:25" ht="15" customHeight="1" x14ac:dyDescent="0.2">
      <c r="A99" s="147"/>
      <c r="B99" s="1050" t="str">
        <f t="shared" si="1"/>
        <v>Desk 95</v>
      </c>
      <c r="C99" s="1385" t="str">
        <f>IF('TB IMA general'!C180&lt;&gt;"",'TB IMA general'!C180,"")</f>
        <v/>
      </c>
      <c r="D99" s="1384"/>
      <c r="E99" s="1384"/>
      <c r="F99" s="1384"/>
      <c r="G99" s="907"/>
      <c r="H99" s="907"/>
      <c r="I99" s="907"/>
      <c r="J99" s="1126"/>
      <c r="K99" s="1126"/>
      <c r="L99" s="1126"/>
      <c r="M99" s="1126"/>
      <c r="N99" s="1126"/>
      <c r="O99" s="907"/>
      <c r="P99" s="907"/>
      <c r="Q99" s="907"/>
      <c r="R99" s="1126"/>
      <c r="S99" s="907"/>
      <c r="T99" s="907"/>
      <c r="U99" s="907"/>
      <c r="V99" s="1126"/>
      <c r="W99" s="907"/>
      <c r="X99" s="413"/>
      <c r="Y99" s="1075"/>
    </row>
    <row r="100" spans="1:25" ht="15" customHeight="1" x14ac:dyDescent="0.2">
      <c r="A100" s="147"/>
      <c r="B100" s="1050" t="str">
        <f t="shared" si="1"/>
        <v>Desk 96</v>
      </c>
      <c r="C100" s="1385" t="str">
        <f>IF('TB IMA general'!C181&lt;&gt;"",'TB IMA general'!C181,"")</f>
        <v/>
      </c>
      <c r="D100" s="1384"/>
      <c r="E100" s="1384"/>
      <c r="F100" s="1384"/>
      <c r="G100" s="907"/>
      <c r="H100" s="907"/>
      <c r="I100" s="907"/>
      <c r="J100" s="1126"/>
      <c r="K100" s="1126"/>
      <c r="L100" s="1126"/>
      <c r="M100" s="1126"/>
      <c r="N100" s="1126"/>
      <c r="O100" s="907"/>
      <c r="P100" s="907"/>
      <c r="Q100" s="907"/>
      <c r="R100" s="1126"/>
      <c r="S100" s="907"/>
      <c r="T100" s="907"/>
      <c r="U100" s="907"/>
      <c r="V100" s="1126"/>
      <c r="W100" s="907"/>
      <c r="X100" s="413"/>
      <c r="Y100" s="1075"/>
    </row>
    <row r="101" spans="1:25" ht="15" customHeight="1" x14ac:dyDescent="0.2">
      <c r="A101" s="147"/>
      <c r="B101" s="1050" t="str">
        <f t="shared" si="1"/>
        <v>Desk 97</v>
      </c>
      <c r="C101" s="1385" t="str">
        <f>IF('TB IMA general'!C182&lt;&gt;"",'TB IMA general'!C182,"")</f>
        <v/>
      </c>
      <c r="D101" s="1384"/>
      <c r="E101" s="1384"/>
      <c r="F101" s="1384"/>
      <c r="G101" s="907"/>
      <c r="H101" s="907"/>
      <c r="I101" s="907"/>
      <c r="J101" s="1126"/>
      <c r="K101" s="1126"/>
      <c r="L101" s="1126"/>
      <c r="M101" s="1126"/>
      <c r="N101" s="1126"/>
      <c r="O101" s="907"/>
      <c r="P101" s="907"/>
      <c r="Q101" s="907"/>
      <c r="R101" s="1126"/>
      <c r="S101" s="907"/>
      <c r="T101" s="907"/>
      <c r="U101" s="907"/>
      <c r="V101" s="1126"/>
      <c r="W101" s="907"/>
      <c r="X101" s="413"/>
      <c r="Y101" s="1075"/>
    </row>
    <row r="102" spans="1:25" ht="15" customHeight="1" x14ac:dyDescent="0.2">
      <c r="A102" s="147"/>
      <c r="B102" s="1050" t="str">
        <f t="shared" si="1"/>
        <v>Desk 98</v>
      </c>
      <c r="C102" s="1385" t="str">
        <f>IF('TB IMA general'!C183&lt;&gt;"",'TB IMA general'!C183,"")</f>
        <v/>
      </c>
      <c r="D102" s="1384"/>
      <c r="E102" s="1384"/>
      <c r="F102" s="1384"/>
      <c r="G102" s="907"/>
      <c r="H102" s="907"/>
      <c r="I102" s="907"/>
      <c r="J102" s="1126"/>
      <c r="K102" s="1126"/>
      <c r="L102" s="1126"/>
      <c r="M102" s="1126"/>
      <c r="N102" s="1126"/>
      <c r="O102" s="907"/>
      <c r="P102" s="907"/>
      <c r="Q102" s="907"/>
      <c r="R102" s="1126"/>
      <c r="S102" s="907"/>
      <c r="T102" s="907"/>
      <c r="U102" s="907"/>
      <c r="V102" s="1126"/>
      <c r="W102" s="907"/>
      <c r="X102" s="413"/>
      <c r="Y102" s="1075"/>
    </row>
    <row r="103" spans="1:25" ht="15" customHeight="1" x14ac:dyDescent="0.2">
      <c r="A103" s="147"/>
      <c r="B103" s="1050" t="str">
        <f t="shared" si="1"/>
        <v>Desk 99</v>
      </c>
      <c r="C103" s="1385" t="str">
        <f>IF('TB IMA general'!C184&lt;&gt;"",'TB IMA general'!C184,"")</f>
        <v/>
      </c>
      <c r="D103" s="1384"/>
      <c r="E103" s="1384"/>
      <c r="F103" s="1384"/>
      <c r="G103" s="907"/>
      <c r="H103" s="907"/>
      <c r="I103" s="907"/>
      <c r="J103" s="1126"/>
      <c r="K103" s="1126"/>
      <c r="L103" s="1126"/>
      <c r="M103" s="1126"/>
      <c r="N103" s="1126"/>
      <c r="O103" s="907"/>
      <c r="P103" s="907"/>
      <c r="Q103" s="907"/>
      <c r="R103" s="1126"/>
      <c r="S103" s="907"/>
      <c r="T103" s="907"/>
      <c r="U103" s="907"/>
      <c r="V103" s="1126"/>
      <c r="W103" s="907"/>
      <c r="X103" s="413"/>
      <c r="Y103" s="1075"/>
    </row>
    <row r="104" spans="1:25" ht="15" customHeight="1" x14ac:dyDescent="0.2">
      <c r="A104" s="147"/>
      <c r="B104" s="1051" t="str">
        <f t="shared" si="1"/>
        <v>Desk 100</v>
      </c>
      <c r="C104" s="1386" t="str">
        <f>IF('TB IMA general'!C185&lt;&gt;"",'TB IMA general'!C185,"")</f>
        <v/>
      </c>
      <c r="D104" s="1387"/>
      <c r="E104" s="1387"/>
      <c r="F104" s="1387"/>
      <c r="G104" s="909"/>
      <c r="H104" s="909"/>
      <c r="I104" s="909"/>
      <c r="J104" s="1388"/>
      <c r="K104" s="1388"/>
      <c r="L104" s="1388"/>
      <c r="M104" s="1388"/>
      <c r="N104" s="1388"/>
      <c r="O104" s="909"/>
      <c r="P104" s="909"/>
      <c r="Q104" s="909"/>
      <c r="R104" s="1388"/>
      <c r="S104" s="909"/>
      <c r="T104" s="909"/>
      <c r="U104" s="909"/>
      <c r="V104" s="1388"/>
      <c r="W104" s="909"/>
      <c r="X104" s="1389"/>
      <c r="Y104" s="1075"/>
    </row>
    <row r="105" spans="1:25" ht="15" customHeight="1" x14ac:dyDescent="0.2">
      <c r="A105" s="214"/>
      <c r="B105" s="1070"/>
      <c r="C105" s="1070"/>
      <c r="D105" s="1070"/>
      <c r="E105" s="1070"/>
      <c r="F105" s="1070"/>
      <c r="G105" s="1070"/>
      <c r="H105" s="1070"/>
      <c r="I105" s="1070"/>
      <c r="J105" s="1070"/>
      <c r="K105" s="1070"/>
      <c r="L105" s="1070"/>
      <c r="M105" s="1070"/>
      <c r="N105" s="1070"/>
      <c r="O105" s="1070"/>
      <c r="P105" s="1070"/>
      <c r="Q105" s="1070"/>
      <c r="R105" s="1070"/>
      <c r="S105" s="1070"/>
      <c r="T105" s="1070"/>
      <c r="U105" s="1070"/>
      <c r="V105" s="1070"/>
      <c r="W105" s="1070"/>
      <c r="X105" s="1070"/>
      <c r="Y105" s="1071"/>
    </row>
  </sheetData>
  <mergeCells count="17">
    <mergeCell ref="V3:V4"/>
    <mergeCell ref="W3:W4"/>
    <mergeCell ref="X3:X4"/>
    <mergeCell ref="G3:I3"/>
    <mergeCell ref="S3:U3"/>
    <mergeCell ref="M3:M4"/>
    <mergeCell ref="N3:N4"/>
    <mergeCell ref="R3:R4"/>
    <mergeCell ref="J3:J4"/>
    <mergeCell ref="K3:K4"/>
    <mergeCell ref="L3:L4"/>
    <mergeCell ref="O3:Q3"/>
    <mergeCell ref="B3:B4"/>
    <mergeCell ref="C3:C4"/>
    <mergeCell ref="D3:D4"/>
    <mergeCell ref="E3:E4"/>
    <mergeCell ref="F3:F4"/>
  </mergeCells>
  <dataValidations count="1">
    <dataValidation type="list" allowBlank="1" showInputMessage="1" showErrorMessage="1" sqref="D5:F104">
      <formula1>RiskClass</formula1>
    </dataValidation>
  </dataValidations>
  <printOptions headings="1"/>
  <pageMargins left="0.70866141732283472" right="0.70866141732283472" top="0.74803149606299213" bottom="0.74803149606299213" header="0.31496062992125984" footer="0.31496062992125984"/>
  <pageSetup paperSize="9" scale="50" pageOrder="overThenDown" orientation="landscape" r:id="rId1"/>
  <headerFooter>
    <oddHeader>&amp;L&amp;"Arial,Bold"&amp;14Basel Committee on Banking Supervision
Basel III monitoring template&amp;C&amp;14&amp;F
&amp;A&amp;R&amp;"Arial,Bold"&amp;14Confidential when completed</oddHeader>
    <oddFooter>&amp;L&amp;14&amp;D  &amp;T&amp;R&amp;14Page &amp;P of &amp;N</oddFooter>
  </headerFooter>
  <rowBreaks count="1" manualBreakCount="1">
    <brk id="54" max="24" man="1"/>
  </rowBreaks>
  <ignoredErrors>
    <ignoredError sqref="C5:C104 B5:B104" emptyCellReferenc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O361"/>
  <sheetViews>
    <sheetView zoomScale="75" zoomScaleNormal="75" workbookViewId="0">
      <pane xSplit="3" ySplit="5" topLeftCell="D6" activePane="bottomRight" state="frozen"/>
      <selection pane="topRight"/>
      <selection pane="bottomLeft"/>
      <selection pane="bottomRight"/>
    </sheetView>
  </sheetViews>
  <sheetFormatPr defaultColWidth="9.140625" defaultRowHeight="15" customHeight="1" x14ac:dyDescent="0.2"/>
  <cols>
    <col min="1" max="1" width="1.7109375" style="207" customWidth="1"/>
    <col min="2" max="2" width="12.7109375" style="207" customWidth="1"/>
    <col min="3" max="3" width="46.7109375" style="1074" customWidth="1"/>
    <col min="4" max="13" width="16.7109375" style="207" customWidth="1"/>
    <col min="14" max="14" width="16.7109375" style="1074" customWidth="1"/>
    <col min="15" max="15" width="1.7109375" style="1074" customWidth="1"/>
    <col min="16" max="16384" width="9.140625" style="1074"/>
  </cols>
  <sheetData>
    <row r="1" spans="1:15" s="1052" customFormat="1" ht="30" customHeight="1" x14ac:dyDescent="0.4">
      <c r="A1" s="1055" t="s">
        <v>1188</v>
      </c>
      <c r="B1" s="44"/>
      <c r="C1" s="44"/>
      <c r="D1" s="44"/>
      <c r="E1" s="44"/>
      <c r="F1" s="44"/>
      <c r="G1" s="44"/>
      <c r="H1" s="44"/>
      <c r="I1" s="44"/>
      <c r="J1" s="44"/>
      <c r="K1" s="44"/>
      <c r="L1" s="44"/>
      <c r="M1" s="44"/>
      <c r="N1" s="146"/>
      <c r="O1" s="169"/>
    </row>
    <row r="2" spans="1:15" ht="15" customHeight="1" x14ac:dyDescent="0.2">
      <c r="A2" s="1076"/>
      <c r="B2" s="1074"/>
      <c r="D2" s="1074"/>
      <c r="E2" s="1074"/>
      <c r="F2" s="1074"/>
      <c r="G2" s="1074"/>
      <c r="H2" s="1074"/>
      <c r="I2" s="1074"/>
      <c r="J2" s="1074"/>
      <c r="K2" s="1074"/>
      <c r="L2" s="1074"/>
      <c r="M2" s="1074"/>
      <c r="O2" s="1075"/>
    </row>
    <row r="3" spans="1:15" ht="15" customHeight="1" x14ac:dyDescent="0.2">
      <c r="A3" s="1076"/>
      <c r="B3" s="1374" t="s">
        <v>1156</v>
      </c>
      <c r="C3" s="1382" t="s">
        <v>1128</v>
      </c>
      <c r="D3" s="1382" t="s">
        <v>1170</v>
      </c>
      <c r="E3" s="1382" t="str">
        <f>"T+" &amp; (COLUMN(E3)-COLUMN($D3))</f>
        <v>T+1</v>
      </c>
      <c r="F3" s="1382" t="str">
        <f t="shared" ref="F3:N3" si="0">"T+" &amp; (COLUMN(F3)-COLUMN($D3))</f>
        <v>T+2</v>
      </c>
      <c r="G3" s="1382" t="str">
        <f t="shared" si="0"/>
        <v>T+3</v>
      </c>
      <c r="H3" s="1382" t="str">
        <f t="shared" si="0"/>
        <v>T+4</v>
      </c>
      <c r="I3" s="1382" t="str">
        <f t="shared" si="0"/>
        <v>T+5</v>
      </c>
      <c r="J3" s="1382" t="str">
        <f t="shared" si="0"/>
        <v>T+6</v>
      </c>
      <c r="K3" s="1382" t="str">
        <f t="shared" si="0"/>
        <v>T+7</v>
      </c>
      <c r="L3" s="1382" t="str">
        <f t="shared" si="0"/>
        <v>T+8</v>
      </c>
      <c r="M3" s="1382" t="str">
        <f t="shared" si="0"/>
        <v>T+9</v>
      </c>
      <c r="N3" s="1373" t="str">
        <f t="shared" si="0"/>
        <v>T+10</v>
      </c>
      <c r="O3" s="1075"/>
    </row>
    <row r="4" spans="1:15" ht="15" customHeight="1" x14ac:dyDescent="0.2">
      <c r="A4" s="1076"/>
      <c r="B4" s="1391" t="s">
        <v>1169</v>
      </c>
      <c r="C4" s="333"/>
      <c r="D4" s="1618" t="str">
        <f>IF(ISBLANK('General Info'!$C$42),"",'General Info'!$C$42)</f>
        <v/>
      </c>
      <c r="E4" s="1617"/>
      <c r="F4" s="1412"/>
      <c r="G4" s="1412"/>
      <c r="H4" s="1412"/>
      <c r="I4" s="1412"/>
      <c r="J4" s="1412"/>
      <c r="K4" s="1412"/>
      <c r="L4" s="1412"/>
      <c r="M4" s="1412"/>
      <c r="N4" s="1413"/>
      <c r="O4" s="1075"/>
    </row>
    <row r="5" spans="1:15" ht="15" customHeight="1" x14ac:dyDescent="0.2">
      <c r="A5" s="1076"/>
      <c r="B5" s="1374"/>
      <c r="C5" s="1374"/>
      <c r="D5" s="1374"/>
      <c r="E5" s="1374"/>
      <c r="F5" s="1374"/>
      <c r="G5" s="1374"/>
      <c r="H5" s="1374"/>
      <c r="I5" s="1374"/>
      <c r="J5" s="1374"/>
      <c r="K5" s="1374"/>
      <c r="L5" s="1374"/>
      <c r="M5" s="1374"/>
      <c r="N5" s="1374"/>
      <c r="O5" s="1075"/>
    </row>
    <row r="6" spans="1:15" s="207" customFormat="1" ht="30" customHeight="1" x14ac:dyDescent="0.25">
      <c r="A6" s="1377" t="s">
        <v>1198</v>
      </c>
      <c r="B6" s="18"/>
      <c r="C6" s="16"/>
      <c r="D6" s="203"/>
      <c r="E6" s="203"/>
      <c r="F6" s="203"/>
      <c r="G6" s="203"/>
      <c r="H6" s="180"/>
      <c r="I6" s="1074"/>
      <c r="J6" s="1074"/>
      <c r="K6" s="1074"/>
      <c r="L6" s="1074"/>
      <c r="M6" s="1074"/>
      <c r="N6" s="1074"/>
      <c r="O6" s="1075"/>
    </row>
    <row r="7" spans="1:15" ht="15" customHeight="1" x14ac:dyDescent="0.2">
      <c r="A7" s="1076"/>
      <c r="B7" s="1374"/>
      <c r="C7" s="1374"/>
      <c r="D7" s="1374"/>
      <c r="E7" s="1374"/>
      <c r="F7" s="1374"/>
      <c r="G7" s="1374"/>
      <c r="H7" s="1374"/>
      <c r="I7" s="1374"/>
      <c r="J7" s="1374"/>
      <c r="K7" s="1374"/>
      <c r="L7" s="1374"/>
      <c r="M7" s="1374"/>
      <c r="N7" s="1374"/>
      <c r="O7" s="1075"/>
    </row>
    <row r="8" spans="1:15" ht="15" customHeight="1" x14ac:dyDescent="0.2">
      <c r="A8" s="1076"/>
      <c r="B8" s="1044" t="str">
        <f>"Desk " &amp; (ROW(B8)-ROW(B$7))</f>
        <v>Desk 1</v>
      </c>
      <c r="C8" s="1383" t="str">
        <f>IF('TB IMA general'!C86&lt;&gt;"",'TB IMA general'!C86,"")</f>
        <v/>
      </c>
      <c r="D8" s="1043"/>
      <c r="E8" s="1410"/>
      <c r="F8" s="1410"/>
      <c r="G8" s="1410"/>
      <c r="H8" s="1410"/>
      <c r="I8" s="1410"/>
      <c r="J8" s="1410"/>
      <c r="K8" s="1410"/>
      <c r="L8" s="1410"/>
      <c r="M8" s="1411"/>
      <c r="N8" s="1411"/>
      <c r="O8" s="1075"/>
    </row>
    <row r="9" spans="1:15" ht="15" customHeight="1" x14ac:dyDescent="0.2">
      <c r="A9" s="1076"/>
      <c r="B9" s="1045" t="str">
        <f t="shared" ref="B9:B72" si="1">"Desk " &amp; (ROW(B9)-ROW(B$7))</f>
        <v>Desk 2</v>
      </c>
      <c r="C9" s="1385" t="str">
        <f>IF('TB IMA general'!C87&lt;&gt;"",'TB IMA general'!C87,"")</f>
        <v/>
      </c>
      <c r="D9" s="1126"/>
      <c r="E9" s="1154"/>
      <c r="F9" s="1154"/>
      <c r="G9" s="1154"/>
      <c r="H9" s="1154"/>
      <c r="I9" s="1154"/>
      <c r="J9" s="1154"/>
      <c r="K9" s="1154"/>
      <c r="L9" s="1154"/>
      <c r="M9" s="554"/>
      <c r="N9" s="554"/>
      <c r="O9" s="1075"/>
    </row>
    <row r="10" spans="1:15" ht="15" customHeight="1" x14ac:dyDescent="0.2">
      <c r="A10" s="1076"/>
      <c r="B10" s="1045" t="str">
        <f t="shared" si="1"/>
        <v>Desk 3</v>
      </c>
      <c r="C10" s="1385" t="str">
        <f>IF('TB IMA general'!C88&lt;&gt;"",'TB IMA general'!C88,"")</f>
        <v/>
      </c>
      <c r="D10" s="1126"/>
      <c r="E10" s="1154"/>
      <c r="F10" s="1154"/>
      <c r="G10" s="1154"/>
      <c r="H10" s="1154"/>
      <c r="I10" s="1154"/>
      <c r="J10" s="1154"/>
      <c r="K10" s="1154"/>
      <c r="L10" s="1154"/>
      <c r="M10" s="554"/>
      <c r="N10" s="554"/>
      <c r="O10" s="1075"/>
    </row>
    <row r="11" spans="1:15" ht="15" customHeight="1" x14ac:dyDescent="0.2">
      <c r="A11" s="1076"/>
      <c r="B11" s="1045" t="str">
        <f t="shared" si="1"/>
        <v>Desk 4</v>
      </c>
      <c r="C11" s="1385" t="str">
        <f>IF('TB IMA general'!C89&lt;&gt;"",'TB IMA general'!C89,"")</f>
        <v/>
      </c>
      <c r="D11" s="1126"/>
      <c r="E11" s="1154"/>
      <c r="F11" s="1154"/>
      <c r="G11" s="1154"/>
      <c r="H11" s="1154"/>
      <c r="I11" s="1154"/>
      <c r="J11" s="1154"/>
      <c r="K11" s="1154"/>
      <c r="L11" s="1154"/>
      <c r="M11" s="554"/>
      <c r="N11" s="554"/>
      <c r="O11" s="1075"/>
    </row>
    <row r="12" spans="1:15" ht="15" customHeight="1" x14ac:dyDescent="0.2">
      <c r="A12" s="1076"/>
      <c r="B12" s="1045" t="str">
        <f t="shared" si="1"/>
        <v>Desk 5</v>
      </c>
      <c r="C12" s="1385" t="str">
        <f>IF('TB IMA general'!C90&lt;&gt;"",'TB IMA general'!C90,"")</f>
        <v/>
      </c>
      <c r="D12" s="1126"/>
      <c r="E12" s="1154"/>
      <c r="F12" s="1154"/>
      <c r="G12" s="1154"/>
      <c r="H12" s="1154"/>
      <c r="I12" s="1154"/>
      <c r="J12" s="1154"/>
      <c r="K12" s="1154"/>
      <c r="L12" s="1154"/>
      <c r="M12" s="554"/>
      <c r="N12" s="554"/>
      <c r="O12" s="1075"/>
    </row>
    <row r="13" spans="1:15" ht="15" customHeight="1" x14ac:dyDescent="0.2">
      <c r="A13" s="1076"/>
      <c r="B13" s="1045" t="str">
        <f t="shared" si="1"/>
        <v>Desk 6</v>
      </c>
      <c r="C13" s="1385" t="str">
        <f>IF('TB IMA general'!C91&lt;&gt;"",'TB IMA general'!C91,"")</f>
        <v/>
      </c>
      <c r="D13" s="1126"/>
      <c r="E13" s="1154"/>
      <c r="F13" s="1154"/>
      <c r="G13" s="1154"/>
      <c r="H13" s="1154"/>
      <c r="I13" s="1154"/>
      <c r="J13" s="1154"/>
      <c r="K13" s="1154"/>
      <c r="L13" s="1154"/>
      <c r="M13" s="554"/>
      <c r="N13" s="554"/>
      <c r="O13" s="1075"/>
    </row>
    <row r="14" spans="1:15" ht="15" customHeight="1" x14ac:dyDescent="0.2">
      <c r="A14" s="1076"/>
      <c r="B14" s="1045" t="str">
        <f t="shared" si="1"/>
        <v>Desk 7</v>
      </c>
      <c r="C14" s="1385" t="str">
        <f>IF('TB IMA general'!C92&lt;&gt;"",'TB IMA general'!C92,"")</f>
        <v/>
      </c>
      <c r="D14" s="1126"/>
      <c r="E14" s="1154"/>
      <c r="F14" s="1154"/>
      <c r="G14" s="1154"/>
      <c r="H14" s="1154"/>
      <c r="I14" s="1154"/>
      <c r="J14" s="1154"/>
      <c r="K14" s="1154"/>
      <c r="L14" s="1154"/>
      <c r="M14" s="554"/>
      <c r="N14" s="554"/>
      <c r="O14" s="1075"/>
    </row>
    <row r="15" spans="1:15" ht="15" customHeight="1" x14ac:dyDescent="0.2">
      <c r="A15" s="1076"/>
      <c r="B15" s="1045" t="str">
        <f t="shared" si="1"/>
        <v>Desk 8</v>
      </c>
      <c r="C15" s="1385" t="str">
        <f>IF('TB IMA general'!C93&lt;&gt;"",'TB IMA general'!C93,"")</f>
        <v/>
      </c>
      <c r="D15" s="1126"/>
      <c r="E15" s="1154"/>
      <c r="F15" s="1154"/>
      <c r="G15" s="1154"/>
      <c r="H15" s="1154"/>
      <c r="I15" s="1154"/>
      <c r="J15" s="1154"/>
      <c r="K15" s="1154"/>
      <c r="L15" s="1154"/>
      <c r="M15" s="554"/>
      <c r="N15" s="554"/>
      <c r="O15" s="1075"/>
    </row>
    <row r="16" spans="1:15" ht="15" customHeight="1" x14ac:dyDescent="0.2">
      <c r="A16" s="1076"/>
      <c r="B16" s="1045" t="str">
        <f t="shared" si="1"/>
        <v>Desk 9</v>
      </c>
      <c r="C16" s="1385" t="str">
        <f>IF('TB IMA general'!C94&lt;&gt;"",'TB IMA general'!C94,"")</f>
        <v/>
      </c>
      <c r="D16" s="1126"/>
      <c r="E16" s="1154"/>
      <c r="F16" s="1154"/>
      <c r="G16" s="1154"/>
      <c r="H16" s="1154"/>
      <c r="I16" s="1154"/>
      <c r="J16" s="1154"/>
      <c r="K16" s="1154"/>
      <c r="L16" s="1154"/>
      <c r="M16" s="554"/>
      <c r="N16" s="554"/>
      <c r="O16" s="1075"/>
    </row>
    <row r="17" spans="1:15" ht="15" customHeight="1" x14ac:dyDescent="0.2">
      <c r="A17" s="1076"/>
      <c r="B17" s="1045" t="str">
        <f t="shared" si="1"/>
        <v>Desk 10</v>
      </c>
      <c r="C17" s="1385" t="str">
        <f>IF('TB IMA general'!C95&lt;&gt;"",'TB IMA general'!C95,"")</f>
        <v/>
      </c>
      <c r="D17" s="1126"/>
      <c r="E17" s="1154"/>
      <c r="F17" s="1154"/>
      <c r="G17" s="1154"/>
      <c r="H17" s="1154"/>
      <c r="I17" s="1154"/>
      <c r="J17" s="1154"/>
      <c r="K17" s="1154"/>
      <c r="L17" s="1154"/>
      <c r="M17" s="554"/>
      <c r="N17" s="554"/>
      <c r="O17" s="1075"/>
    </row>
    <row r="18" spans="1:15" ht="15" customHeight="1" x14ac:dyDescent="0.2">
      <c r="A18" s="1076"/>
      <c r="B18" s="1045" t="str">
        <f t="shared" si="1"/>
        <v>Desk 11</v>
      </c>
      <c r="C18" s="1385" t="str">
        <f>IF('TB IMA general'!C96&lt;&gt;"",'TB IMA general'!C96,"")</f>
        <v/>
      </c>
      <c r="D18" s="1126"/>
      <c r="E18" s="1154"/>
      <c r="F18" s="1154"/>
      <c r="G18" s="1154"/>
      <c r="H18" s="1154"/>
      <c r="I18" s="1154"/>
      <c r="J18" s="1154"/>
      <c r="K18" s="1154"/>
      <c r="L18" s="1154"/>
      <c r="M18" s="554"/>
      <c r="N18" s="554"/>
      <c r="O18" s="1075"/>
    </row>
    <row r="19" spans="1:15" ht="15" customHeight="1" x14ac:dyDescent="0.2">
      <c r="A19" s="1076"/>
      <c r="B19" s="1045" t="str">
        <f t="shared" si="1"/>
        <v>Desk 12</v>
      </c>
      <c r="C19" s="1385" t="str">
        <f>IF('TB IMA general'!C97&lt;&gt;"",'TB IMA general'!C97,"")</f>
        <v/>
      </c>
      <c r="D19" s="1126"/>
      <c r="E19" s="1154"/>
      <c r="F19" s="1154"/>
      <c r="G19" s="1154"/>
      <c r="H19" s="1154"/>
      <c r="I19" s="1154"/>
      <c r="J19" s="1154"/>
      <c r="K19" s="1154"/>
      <c r="L19" s="1154"/>
      <c r="M19" s="554"/>
      <c r="N19" s="554"/>
      <c r="O19" s="1075"/>
    </row>
    <row r="20" spans="1:15" ht="15" customHeight="1" x14ac:dyDescent="0.2">
      <c r="A20" s="1076"/>
      <c r="B20" s="1045" t="str">
        <f t="shared" si="1"/>
        <v>Desk 13</v>
      </c>
      <c r="C20" s="1385" t="str">
        <f>IF('TB IMA general'!C98&lt;&gt;"",'TB IMA general'!C98,"")</f>
        <v/>
      </c>
      <c r="D20" s="1126"/>
      <c r="E20" s="1154"/>
      <c r="F20" s="1154"/>
      <c r="G20" s="1154"/>
      <c r="H20" s="1154"/>
      <c r="I20" s="1154"/>
      <c r="J20" s="1154"/>
      <c r="K20" s="1154"/>
      <c r="L20" s="1154"/>
      <c r="M20" s="554"/>
      <c r="N20" s="554"/>
      <c r="O20" s="1075"/>
    </row>
    <row r="21" spans="1:15" ht="15" customHeight="1" x14ac:dyDescent="0.2">
      <c r="A21" s="1076"/>
      <c r="B21" s="1045" t="str">
        <f t="shared" si="1"/>
        <v>Desk 14</v>
      </c>
      <c r="C21" s="1385" t="str">
        <f>IF('TB IMA general'!C99&lt;&gt;"",'TB IMA general'!C99,"")</f>
        <v/>
      </c>
      <c r="D21" s="1126"/>
      <c r="E21" s="1154"/>
      <c r="F21" s="1154"/>
      <c r="G21" s="1154"/>
      <c r="H21" s="1154"/>
      <c r="I21" s="1154"/>
      <c r="J21" s="1154"/>
      <c r="K21" s="1154"/>
      <c r="L21" s="1154"/>
      <c r="M21" s="554"/>
      <c r="N21" s="554"/>
      <c r="O21" s="1075"/>
    </row>
    <row r="22" spans="1:15" ht="15" customHeight="1" x14ac:dyDescent="0.2">
      <c r="A22" s="1076"/>
      <c r="B22" s="1045" t="str">
        <f t="shared" si="1"/>
        <v>Desk 15</v>
      </c>
      <c r="C22" s="1385" t="str">
        <f>IF('TB IMA general'!C100&lt;&gt;"",'TB IMA general'!C100,"")</f>
        <v/>
      </c>
      <c r="D22" s="1126"/>
      <c r="E22" s="1154"/>
      <c r="F22" s="1154"/>
      <c r="G22" s="1154"/>
      <c r="H22" s="1154"/>
      <c r="I22" s="1154"/>
      <c r="J22" s="1154"/>
      <c r="K22" s="1154"/>
      <c r="L22" s="1154"/>
      <c r="M22" s="554"/>
      <c r="N22" s="554"/>
      <c r="O22" s="1075"/>
    </row>
    <row r="23" spans="1:15" ht="15" customHeight="1" x14ac:dyDescent="0.2">
      <c r="A23" s="1076"/>
      <c r="B23" s="1045" t="str">
        <f t="shared" si="1"/>
        <v>Desk 16</v>
      </c>
      <c r="C23" s="1385" t="str">
        <f>IF('TB IMA general'!C101&lt;&gt;"",'TB IMA general'!C101,"")</f>
        <v/>
      </c>
      <c r="D23" s="1126"/>
      <c r="E23" s="1154"/>
      <c r="F23" s="1154"/>
      <c r="G23" s="1154"/>
      <c r="H23" s="1154"/>
      <c r="I23" s="1154"/>
      <c r="J23" s="1154"/>
      <c r="K23" s="1154"/>
      <c r="L23" s="1154"/>
      <c r="M23" s="554"/>
      <c r="N23" s="554"/>
      <c r="O23" s="1075"/>
    </row>
    <row r="24" spans="1:15" ht="15" customHeight="1" x14ac:dyDescent="0.2">
      <c r="A24" s="1076"/>
      <c r="B24" s="1045" t="str">
        <f t="shared" si="1"/>
        <v>Desk 17</v>
      </c>
      <c r="C24" s="1385" t="str">
        <f>IF('TB IMA general'!C102&lt;&gt;"",'TB IMA general'!C102,"")</f>
        <v/>
      </c>
      <c r="D24" s="1126"/>
      <c r="E24" s="1154"/>
      <c r="F24" s="1154"/>
      <c r="G24" s="1154"/>
      <c r="H24" s="1154"/>
      <c r="I24" s="1154"/>
      <c r="J24" s="1154"/>
      <c r="K24" s="1154"/>
      <c r="L24" s="1154"/>
      <c r="M24" s="554"/>
      <c r="N24" s="554"/>
      <c r="O24" s="1075"/>
    </row>
    <row r="25" spans="1:15" ht="15" customHeight="1" x14ac:dyDescent="0.2">
      <c r="A25" s="1076"/>
      <c r="B25" s="1045" t="str">
        <f t="shared" si="1"/>
        <v>Desk 18</v>
      </c>
      <c r="C25" s="1385" t="str">
        <f>IF('TB IMA general'!C103&lt;&gt;"",'TB IMA general'!C103,"")</f>
        <v/>
      </c>
      <c r="D25" s="1126"/>
      <c r="E25" s="1154"/>
      <c r="F25" s="1154"/>
      <c r="G25" s="1154"/>
      <c r="H25" s="1154"/>
      <c r="I25" s="1154"/>
      <c r="J25" s="1154"/>
      <c r="K25" s="1154"/>
      <c r="L25" s="1154"/>
      <c r="M25" s="554"/>
      <c r="N25" s="554"/>
      <c r="O25" s="1075"/>
    </row>
    <row r="26" spans="1:15" ht="15" customHeight="1" x14ac:dyDescent="0.2">
      <c r="A26" s="1076"/>
      <c r="B26" s="1045" t="str">
        <f t="shared" si="1"/>
        <v>Desk 19</v>
      </c>
      <c r="C26" s="1385" t="str">
        <f>IF('TB IMA general'!C104&lt;&gt;"",'TB IMA general'!C104,"")</f>
        <v/>
      </c>
      <c r="D26" s="1126"/>
      <c r="E26" s="1154"/>
      <c r="F26" s="1154"/>
      <c r="G26" s="1154"/>
      <c r="H26" s="1154"/>
      <c r="I26" s="1154"/>
      <c r="J26" s="1154"/>
      <c r="K26" s="1154"/>
      <c r="L26" s="1154"/>
      <c r="M26" s="554"/>
      <c r="N26" s="554"/>
      <c r="O26" s="1075"/>
    </row>
    <row r="27" spans="1:15" ht="15" customHeight="1" x14ac:dyDescent="0.2">
      <c r="A27" s="1076"/>
      <c r="B27" s="1045" t="str">
        <f t="shared" si="1"/>
        <v>Desk 20</v>
      </c>
      <c r="C27" s="1385" t="str">
        <f>IF('TB IMA general'!C105&lt;&gt;"",'TB IMA general'!C105,"")</f>
        <v/>
      </c>
      <c r="D27" s="1126"/>
      <c r="E27" s="1154"/>
      <c r="F27" s="1154"/>
      <c r="G27" s="1154"/>
      <c r="H27" s="1154"/>
      <c r="I27" s="1154"/>
      <c r="J27" s="1154"/>
      <c r="K27" s="1154"/>
      <c r="L27" s="1154"/>
      <c r="M27" s="554"/>
      <c r="N27" s="554"/>
      <c r="O27" s="1075"/>
    </row>
    <row r="28" spans="1:15" ht="15" customHeight="1" x14ac:dyDescent="0.2">
      <c r="A28" s="1076"/>
      <c r="B28" s="1045" t="str">
        <f t="shared" si="1"/>
        <v>Desk 21</v>
      </c>
      <c r="C28" s="1385" t="str">
        <f>IF('TB IMA general'!C106&lt;&gt;"",'TB IMA general'!C106,"")</f>
        <v/>
      </c>
      <c r="D28" s="1126"/>
      <c r="E28" s="1154"/>
      <c r="F28" s="1154"/>
      <c r="G28" s="1154"/>
      <c r="H28" s="1154"/>
      <c r="I28" s="1154"/>
      <c r="J28" s="1154"/>
      <c r="K28" s="1154"/>
      <c r="L28" s="1154"/>
      <c r="M28" s="554"/>
      <c r="N28" s="554"/>
      <c r="O28" s="1075"/>
    </row>
    <row r="29" spans="1:15" ht="15" customHeight="1" x14ac:dyDescent="0.2">
      <c r="A29" s="1076"/>
      <c r="B29" s="1045" t="str">
        <f t="shared" si="1"/>
        <v>Desk 22</v>
      </c>
      <c r="C29" s="1385" t="str">
        <f>IF('TB IMA general'!C107&lt;&gt;"",'TB IMA general'!C107,"")</f>
        <v/>
      </c>
      <c r="D29" s="1126"/>
      <c r="E29" s="1154"/>
      <c r="F29" s="1154"/>
      <c r="G29" s="1154"/>
      <c r="H29" s="1154"/>
      <c r="I29" s="1154"/>
      <c r="J29" s="1154"/>
      <c r="K29" s="1154"/>
      <c r="L29" s="1154"/>
      <c r="M29" s="554"/>
      <c r="N29" s="554"/>
      <c r="O29" s="1075"/>
    </row>
    <row r="30" spans="1:15" ht="15" customHeight="1" x14ac:dyDescent="0.2">
      <c r="A30" s="1076"/>
      <c r="B30" s="1045" t="str">
        <f t="shared" si="1"/>
        <v>Desk 23</v>
      </c>
      <c r="C30" s="1385" t="str">
        <f>IF('TB IMA general'!C108&lt;&gt;"",'TB IMA general'!C108,"")</f>
        <v/>
      </c>
      <c r="D30" s="1126"/>
      <c r="E30" s="1154"/>
      <c r="F30" s="1154"/>
      <c r="G30" s="1154"/>
      <c r="H30" s="1154"/>
      <c r="I30" s="1154"/>
      <c r="J30" s="1154"/>
      <c r="K30" s="1154"/>
      <c r="L30" s="1154"/>
      <c r="M30" s="554"/>
      <c r="N30" s="554"/>
      <c r="O30" s="1075"/>
    </row>
    <row r="31" spans="1:15" ht="15" customHeight="1" x14ac:dyDescent="0.2">
      <c r="A31" s="1076"/>
      <c r="B31" s="1045" t="str">
        <f t="shared" si="1"/>
        <v>Desk 24</v>
      </c>
      <c r="C31" s="1385" t="str">
        <f>IF('TB IMA general'!C109&lt;&gt;"",'TB IMA general'!C109,"")</f>
        <v/>
      </c>
      <c r="D31" s="1126"/>
      <c r="E31" s="1154"/>
      <c r="F31" s="1154"/>
      <c r="G31" s="1154"/>
      <c r="H31" s="1154"/>
      <c r="I31" s="1154"/>
      <c r="J31" s="1154"/>
      <c r="K31" s="1154"/>
      <c r="L31" s="1154"/>
      <c r="M31" s="554"/>
      <c r="N31" s="554"/>
      <c r="O31" s="1075"/>
    </row>
    <row r="32" spans="1:15" ht="15" customHeight="1" x14ac:dyDescent="0.2">
      <c r="A32" s="1076"/>
      <c r="B32" s="1045" t="str">
        <f t="shared" si="1"/>
        <v>Desk 25</v>
      </c>
      <c r="C32" s="1385" t="str">
        <f>IF('TB IMA general'!C110&lt;&gt;"",'TB IMA general'!C110,"")</f>
        <v/>
      </c>
      <c r="D32" s="1126"/>
      <c r="E32" s="1154"/>
      <c r="F32" s="1154"/>
      <c r="G32" s="1154"/>
      <c r="H32" s="1154"/>
      <c r="I32" s="1154"/>
      <c r="J32" s="1154"/>
      <c r="K32" s="1154"/>
      <c r="L32" s="1154"/>
      <c r="M32" s="554"/>
      <c r="N32" s="554"/>
      <c r="O32" s="1075"/>
    </row>
    <row r="33" spans="1:15" ht="15" customHeight="1" x14ac:dyDescent="0.2">
      <c r="A33" s="1076"/>
      <c r="B33" s="1045" t="str">
        <f t="shared" si="1"/>
        <v>Desk 26</v>
      </c>
      <c r="C33" s="1385" t="str">
        <f>IF('TB IMA general'!C111&lt;&gt;"",'TB IMA general'!C111,"")</f>
        <v/>
      </c>
      <c r="D33" s="1126"/>
      <c r="E33" s="1154"/>
      <c r="F33" s="1154"/>
      <c r="G33" s="1154"/>
      <c r="H33" s="1154"/>
      <c r="I33" s="1154"/>
      <c r="J33" s="1154"/>
      <c r="K33" s="1154"/>
      <c r="L33" s="1154"/>
      <c r="M33" s="554"/>
      <c r="N33" s="554"/>
      <c r="O33" s="1075"/>
    </row>
    <row r="34" spans="1:15" ht="15" customHeight="1" x14ac:dyDescent="0.2">
      <c r="A34" s="1076"/>
      <c r="B34" s="1045" t="str">
        <f t="shared" si="1"/>
        <v>Desk 27</v>
      </c>
      <c r="C34" s="1385" t="str">
        <f>IF('TB IMA general'!C112&lt;&gt;"",'TB IMA general'!C112,"")</f>
        <v/>
      </c>
      <c r="D34" s="1126"/>
      <c r="E34" s="1154"/>
      <c r="F34" s="1154"/>
      <c r="G34" s="1154"/>
      <c r="H34" s="1154"/>
      <c r="I34" s="1154"/>
      <c r="J34" s="1154"/>
      <c r="K34" s="1154"/>
      <c r="L34" s="1154"/>
      <c r="M34" s="554"/>
      <c r="N34" s="554"/>
      <c r="O34" s="1075"/>
    </row>
    <row r="35" spans="1:15" ht="15" customHeight="1" x14ac:dyDescent="0.2">
      <c r="A35" s="1076"/>
      <c r="B35" s="1045" t="str">
        <f t="shared" si="1"/>
        <v>Desk 28</v>
      </c>
      <c r="C35" s="1385" t="str">
        <f>IF('TB IMA general'!C113&lt;&gt;"",'TB IMA general'!C113,"")</f>
        <v/>
      </c>
      <c r="D35" s="1126"/>
      <c r="E35" s="1154"/>
      <c r="F35" s="1154"/>
      <c r="G35" s="1154"/>
      <c r="H35" s="1154"/>
      <c r="I35" s="1154"/>
      <c r="J35" s="1154"/>
      <c r="K35" s="1154"/>
      <c r="L35" s="1154"/>
      <c r="M35" s="554"/>
      <c r="N35" s="554"/>
      <c r="O35" s="1075"/>
    </row>
    <row r="36" spans="1:15" ht="15" customHeight="1" x14ac:dyDescent="0.2">
      <c r="A36" s="1076"/>
      <c r="B36" s="1045" t="str">
        <f t="shared" si="1"/>
        <v>Desk 29</v>
      </c>
      <c r="C36" s="1385" t="str">
        <f>IF('TB IMA general'!C114&lt;&gt;"",'TB IMA general'!C114,"")</f>
        <v/>
      </c>
      <c r="D36" s="1126"/>
      <c r="E36" s="1154"/>
      <c r="F36" s="1154"/>
      <c r="G36" s="1154"/>
      <c r="H36" s="1154"/>
      <c r="I36" s="1154"/>
      <c r="J36" s="1154"/>
      <c r="K36" s="1154"/>
      <c r="L36" s="1154"/>
      <c r="M36" s="554"/>
      <c r="N36" s="554"/>
      <c r="O36" s="1075"/>
    </row>
    <row r="37" spans="1:15" ht="15" customHeight="1" x14ac:dyDescent="0.2">
      <c r="A37" s="1076"/>
      <c r="B37" s="1045" t="str">
        <f t="shared" si="1"/>
        <v>Desk 30</v>
      </c>
      <c r="C37" s="1385" t="str">
        <f>IF('TB IMA general'!C115&lt;&gt;"",'TB IMA general'!C115,"")</f>
        <v/>
      </c>
      <c r="D37" s="1126"/>
      <c r="E37" s="1154"/>
      <c r="F37" s="1154"/>
      <c r="G37" s="1154"/>
      <c r="H37" s="1154"/>
      <c r="I37" s="1154"/>
      <c r="J37" s="1154"/>
      <c r="K37" s="1154"/>
      <c r="L37" s="1154"/>
      <c r="M37" s="554"/>
      <c r="N37" s="554"/>
      <c r="O37" s="1075"/>
    </row>
    <row r="38" spans="1:15" ht="15" customHeight="1" x14ac:dyDescent="0.2">
      <c r="A38" s="1076"/>
      <c r="B38" s="1045" t="str">
        <f t="shared" si="1"/>
        <v>Desk 31</v>
      </c>
      <c r="C38" s="1385" t="str">
        <f>IF('TB IMA general'!C116&lt;&gt;"",'TB IMA general'!C116,"")</f>
        <v/>
      </c>
      <c r="D38" s="1126"/>
      <c r="E38" s="1154"/>
      <c r="F38" s="1154"/>
      <c r="G38" s="1154"/>
      <c r="H38" s="1154"/>
      <c r="I38" s="1154"/>
      <c r="J38" s="1154"/>
      <c r="K38" s="1154"/>
      <c r="L38" s="1154"/>
      <c r="M38" s="554"/>
      <c r="N38" s="554"/>
      <c r="O38" s="1075"/>
    </row>
    <row r="39" spans="1:15" ht="15" customHeight="1" x14ac:dyDescent="0.2">
      <c r="A39" s="1076"/>
      <c r="B39" s="1045" t="str">
        <f t="shared" si="1"/>
        <v>Desk 32</v>
      </c>
      <c r="C39" s="1385" t="str">
        <f>IF('TB IMA general'!C117&lt;&gt;"",'TB IMA general'!C117,"")</f>
        <v/>
      </c>
      <c r="D39" s="1126"/>
      <c r="E39" s="1154"/>
      <c r="F39" s="1154"/>
      <c r="G39" s="1154"/>
      <c r="H39" s="1154"/>
      <c r="I39" s="1154"/>
      <c r="J39" s="1154"/>
      <c r="K39" s="1154"/>
      <c r="L39" s="1154"/>
      <c r="M39" s="554"/>
      <c r="N39" s="554"/>
      <c r="O39" s="1075"/>
    </row>
    <row r="40" spans="1:15" ht="15" customHeight="1" x14ac:dyDescent="0.2">
      <c r="A40" s="1076"/>
      <c r="B40" s="1045" t="str">
        <f t="shared" si="1"/>
        <v>Desk 33</v>
      </c>
      <c r="C40" s="1385" t="str">
        <f>IF('TB IMA general'!C118&lt;&gt;"",'TB IMA general'!C118,"")</f>
        <v/>
      </c>
      <c r="D40" s="1126"/>
      <c r="E40" s="1154"/>
      <c r="F40" s="1154"/>
      <c r="G40" s="1154"/>
      <c r="H40" s="1154"/>
      <c r="I40" s="1154"/>
      <c r="J40" s="1154"/>
      <c r="K40" s="1154"/>
      <c r="L40" s="1154"/>
      <c r="M40" s="554"/>
      <c r="N40" s="554"/>
      <c r="O40" s="1075"/>
    </row>
    <row r="41" spans="1:15" ht="15" customHeight="1" x14ac:dyDescent="0.2">
      <c r="A41" s="1076"/>
      <c r="B41" s="1045" t="str">
        <f t="shared" si="1"/>
        <v>Desk 34</v>
      </c>
      <c r="C41" s="1385" t="str">
        <f>IF('TB IMA general'!C119&lt;&gt;"",'TB IMA general'!C119,"")</f>
        <v/>
      </c>
      <c r="D41" s="1126"/>
      <c r="E41" s="1154"/>
      <c r="F41" s="1154"/>
      <c r="G41" s="1154"/>
      <c r="H41" s="1154"/>
      <c r="I41" s="1154"/>
      <c r="J41" s="1154"/>
      <c r="K41" s="1154"/>
      <c r="L41" s="1154"/>
      <c r="M41" s="554"/>
      <c r="N41" s="554"/>
      <c r="O41" s="1075"/>
    </row>
    <row r="42" spans="1:15" ht="15" customHeight="1" x14ac:dyDescent="0.2">
      <c r="A42" s="1076"/>
      <c r="B42" s="1045" t="str">
        <f t="shared" si="1"/>
        <v>Desk 35</v>
      </c>
      <c r="C42" s="1385" t="str">
        <f>IF('TB IMA general'!C120&lt;&gt;"",'TB IMA general'!C120,"")</f>
        <v/>
      </c>
      <c r="D42" s="1126"/>
      <c r="E42" s="1154"/>
      <c r="F42" s="1154"/>
      <c r="G42" s="1154"/>
      <c r="H42" s="1154"/>
      <c r="I42" s="1154"/>
      <c r="J42" s="1154"/>
      <c r="K42" s="1154"/>
      <c r="L42" s="1154"/>
      <c r="M42" s="554"/>
      <c r="N42" s="554"/>
      <c r="O42" s="1075"/>
    </row>
    <row r="43" spans="1:15" ht="15" customHeight="1" x14ac:dyDescent="0.2">
      <c r="A43" s="1076"/>
      <c r="B43" s="1045" t="str">
        <f t="shared" si="1"/>
        <v>Desk 36</v>
      </c>
      <c r="C43" s="1385" t="str">
        <f>IF('TB IMA general'!C121&lt;&gt;"",'TB IMA general'!C121,"")</f>
        <v/>
      </c>
      <c r="D43" s="1126"/>
      <c r="E43" s="1154"/>
      <c r="F43" s="1154"/>
      <c r="G43" s="1154"/>
      <c r="H43" s="1154"/>
      <c r="I43" s="1154"/>
      <c r="J43" s="1154"/>
      <c r="K43" s="1154"/>
      <c r="L43" s="1154"/>
      <c r="M43" s="554"/>
      <c r="N43" s="554"/>
      <c r="O43" s="1075"/>
    </row>
    <row r="44" spans="1:15" ht="15" customHeight="1" x14ac:dyDescent="0.2">
      <c r="A44" s="1076"/>
      <c r="B44" s="1045" t="str">
        <f t="shared" si="1"/>
        <v>Desk 37</v>
      </c>
      <c r="C44" s="1385" t="str">
        <f>IF('TB IMA general'!C122&lt;&gt;"",'TB IMA general'!C122,"")</f>
        <v/>
      </c>
      <c r="D44" s="1126"/>
      <c r="E44" s="1154"/>
      <c r="F44" s="1154"/>
      <c r="G44" s="1154"/>
      <c r="H44" s="1154"/>
      <c r="I44" s="1154"/>
      <c r="J44" s="1154"/>
      <c r="K44" s="1154"/>
      <c r="L44" s="1154"/>
      <c r="M44" s="554"/>
      <c r="N44" s="554"/>
      <c r="O44" s="1075"/>
    </row>
    <row r="45" spans="1:15" ht="15" customHeight="1" x14ac:dyDescent="0.2">
      <c r="A45" s="1076"/>
      <c r="B45" s="1045" t="str">
        <f t="shared" si="1"/>
        <v>Desk 38</v>
      </c>
      <c r="C45" s="1385" t="str">
        <f>IF('TB IMA general'!C123&lt;&gt;"",'TB IMA general'!C123,"")</f>
        <v/>
      </c>
      <c r="D45" s="1126"/>
      <c r="E45" s="1154"/>
      <c r="F45" s="1154"/>
      <c r="G45" s="1154"/>
      <c r="H45" s="1154"/>
      <c r="I45" s="1154"/>
      <c r="J45" s="1154"/>
      <c r="K45" s="1154"/>
      <c r="L45" s="1154"/>
      <c r="M45" s="554"/>
      <c r="N45" s="554"/>
      <c r="O45" s="1075"/>
    </row>
    <row r="46" spans="1:15" ht="15" customHeight="1" x14ac:dyDescent="0.2">
      <c r="A46" s="1076"/>
      <c r="B46" s="1045" t="str">
        <f t="shared" si="1"/>
        <v>Desk 39</v>
      </c>
      <c r="C46" s="1385" t="str">
        <f>IF('TB IMA general'!C124&lt;&gt;"",'TB IMA general'!C124,"")</f>
        <v/>
      </c>
      <c r="D46" s="1126"/>
      <c r="E46" s="1154"/>
      <c r="F46" s="1154"/>
      <c r="G46" s="1154"/>
      <c r="H46" s="1154"/>
      <c r="I46" s="1154"/>
      <c r="J46" s="1154"/>
      <c r="K46" s="1154"/>
      <c r="L46" s="1154"/>
      <c r="M46" s="554"/>
      <c r="N46" s="554"/>
      <c r="O46" s="1075"/>
    </row>
    <row r="47" spans="1:15" ht="15" customHeight="1" x14ac:dyDescent="0.2">
      <c r="A47" s="1076"/>
      <c r="B47" s="1045" t="str">
        <f t="shared" si="1"/>
        <v>Desk 40</v>
      </c>
      <c r="C47" s="1385" t="str">
        <f>IF('TB IMA general'!C125&lt;&gt;"",'TB IMA general'!C125,"")</f>
        <v/>
      </c>
      <c r="D47" s="1126"/>
      <c r="E47" s="1154"/>
      <c r="F47" s="1154"/>
      <c r="G47" s="1154"/>
      <c r="H47" s="1154"/>
      <c r="I47" s="1154"/>
      <c r="J47" s="1154"/>
      <c r="K47" s="1154"/>
      <c r="L47" s="1154"/>
      <c r="M47" s="554"/>
      <c r="N47" s="554"/>
      <c r="O47" s="1075"/>
    </row>
    <row r="48" spans="1:15" ht="15" customHeight="1" x14ac:dyDescent="0.2">
      <c r="A48" s="1076"/>
      <c r="B48" s="1045" t="str">
        <f t="shared" si="1"/>
        <v>Desk 41</v>
      </c>
      <c r="C48" s="1385" t="str">
        <f>IF('TB IMA general'!C126&lt;&gt;"",'TB IMA general'!C126,"")</f>
        <v/>
      </c>
      <c r="D48" s="1126"/>
      <c r="E48" s="1154"/>
      <c r="F48" s="1154"/>
      <c r="G48" s="1154"/>
      <c r="H48" s="1154"/>
      <c r="I48" s="1154"/>
      <c r="J48" s="1154"/>
      <c r="K48" s="1154"/>
      <c r="L48" s="1154"/>
      <c r="M48" s="554"/>
      <c r="N48" s="554"/>
      <c r="O48" s="1075"/>
    </row>
    <row r="49" spans="1:15" ht="15" customHeight="1" x14ac:dyDescent="0.2">
      <c r="A49" s="1076"/>
      <c r="B49" s="1045" t="str">
        <f t="shared" si="1"/>
        <v>Desk 42</v>
      </c>
      <c r="C49" s="1385" t="str">
        <f>IF('TB IMA general'!C127&lt;&gt;"",'TB IMA general'!C127,"")</f>
        <v/>
      </c>
      <c r="D49" s="1126"/>
      <c r="E49" s="1154"/>
      <c r="F49" s="1154"/>
      <c r="G49" s="1154"/>
      <c r="H49" s="1154"/>
      <c r="I49" s="1154"/>
      <c r="J49" s="1154"/>
      <c r="K49" s="1154"/>
      <c r="L49" s="1154"/>
      <c r="M49" s="554"/>
      <c r="N49" s="554"/>
      <c r="O49" s="1075"/>
    </row>
    <row r="50" spans="1:15" ht="15" customHeight="1" x14ac:dyDescent="0.2">
      <c r="A50" s="1076"/>
      <c r="B50" s="1045" t="str">
        <f t="shared" si="1"/>
        <v>Desk 43</v>
      </c>
      <c r="C50" s="1385" t="str">
        <f>IF('TB IMA general'!C128&lt;&gt;"",'TB IMA general'!C128,"")</f>
        <v/>
      </c>
      <c r="D50" s="1126"/>
      <c r="E50" s="1154"/>
      <c r="F50" s="1154"/>
      <c r="G50" s="1154"/>
      <c r="H50" s="1154"/>
      <c r="I50" s="1154"/>
      <c r="J50" s="1154"/>
      <c r="K50" s="1154"/>
      <c r="L50" s="1154"/>
      <c r="M50" s="554"/>
      <c r="N50" s="554"/>
      <c r="O50" s="1075"/>
    </row>
    <row r="51" spans="1:15" ht="15" customHeight="1" x14ac:dyDescent="0.2">
      <c r="A51" s="1076"/>
      <c r="B51" s="1045" t="str">
        <f t="shared" si="1"/>
        <v>Desk 44</v>
      </c>
      <c r="C51" s="1385" t="str">
        <f>IF('TB IMA general'!C129&lt;&gt;"",'TB IMA general'!C129,"")</f>
        <v/>
      </c>
      <c r="D51" s="1126"/>
      <c r="E51" s="1154"/>
      <c r="F51" s="1154"/>
      <c r="G51" s="1154"/>
      <c r="H51" s="1154"/>
      <c r="I51" s="1154"/>
      <c r="J51" s="1154"/>
      <c r="K51" s="1154"/>
      <c r="L51" s="1154"/>
      <c r="M51" s="554"/>
      <c r="N51" s="554"/>
      <c r="O51" s="1075"/>
    </row>
    <row r="52" spans="1:15" ht="15" customHeight="1" x14ac:dyDescent="0.2">
      <c r="A52" s="1076"/>
      <c r="B52" s="1045" t="str">
        <f t="shared" si="1"/>
        <v>Desk 45</v>
      </c>
      <c r="C52" s="1385" t="str">
        <f>IF('TB IMA general'!C130&lt;&gt;"",'TB IMA general'!C130,"")</f>
        <v/>
      </c>
      <c r="D52" s="1126"/>
      <c r="E52" s="1154"/>
      <c r="F52" s="1154"/>
      <c r="G52" s="1154"/>
      <c r="H52" s="1154"/>
      <c r="I52" s="1154"/>
      <c r="J52" s="1154"/>
      <c r="K52" s="1154"/>
      <c r="L52" s="1154"/>
      <c r="M52" s="554"/>
      <c r="N52" s="554"/>
      <c r="O52" s="1075"/>
    </row>
    <row r="53" spans="1:15" ht="15" customHeight="1" x14ac:dyDescent="0.2">
      <c r="A53" s="1076"/>
      <c r="B53" s="1045" t="str">
        <f t="shared" si="1"/>
        <v>Desk 46</v>
      </c>
      <c r="C53" s="1385" t="str">
        <f>IF('TB IMA general'!C131&lt;&gt;"",'TB IMA general'!C131,"")</f>
        <v/>
      </c>
      <c r="D53" s="1126"/>
      <c r="E53" s="1154"/>
      <c r="F53" s="1154"/>
      <c r="G53" s="1154"/>
      <c r="H53" s="1154"/>
      <c r="I53" s="1154"/>
      <c r="J53" s="1154"/>
      <c r="K53" s="1154"/>
      <c r="L53" s="1154"/>
      <c r="M53" s="554"/>
      <c r="N53" s="554"/>
      <c r="O53" s="1075"/>
    </row>
    <row r="54" spans="1:15" ht="15" customHeight="1" x14ac:dyDescent="0.2">
      <c r="A54" s="1076"/>
      <c r="B54" s="1045" t="str">
        <f t="shared" si="1"/>
        <v>Desk 47</v>
      </c>
      <c r="C54" s="1385" t="str">
        <f>IF('TB IMA general'!C132&lt;&gt;"",'TB IMA general'!C132,"")</f>
        <v/>
      </c>
      <c r="D54" s="1126"/>
      <c r="E54" s="1154"/>
      <c r="F54" s="1154"/>
      <c r="G54" s="1154"/>
      <c r="H54" s="1154"/>
      <c r="I54" s="1154"/>
      <c r="J54" s="1154"/>
      <c r="K54" s="1154"/>
      <c r="L54" s="1154"/>
      <c r="M54" s="554"/>
      <c r="N54" s="554"/>
      <c r="O54" s="1075"/>
    </row>
    <row r="55" spans="1:15" ht="15" customHeight="1" x14ac:dyDescent="0.2">
      <c r="A55" s="1076"/>
      <c r="B55" s="1045" t="str">
        <f t="shared" si="1"/>
        <v>Desk 48</v>
      </c>
      <c r="C55" s="1385" t="str">
        <f>IF('TB IMA general'!C133&lt;&gt;"",'TB IMA general'!C133,"")</f>
        <v/>
      </c>
      <c r="D55" s="1126"/>
      <c r="E55" s="1154"/>
      <c r="F55" s="1154"/>
      <c r="G55" s="1154"/>
      <c r="H55" s="1154"/>
      <c r="I55" s="1154"/>
      <c r="J55" s="1154"/>
      <c r="K55" s="1154"/>
      <c r="L55" s="1154"/>
      <c r="M55" s="554"/>
      <c r="N55" s="554"/>
      <c r="O55" s="1075"/>
    </row>
    <row r="56" spans="1:15" ht="15" customHeight="1" x14ac:dyDescent="0.2">
      <c r="A56" s="1076"/>
      <c r="B56" s="1045" t="str">
        <f t="shared" si="1"/>
        <v>Desk 49</v>
      </c>
      <c r="C56" s="1385" t="str">
        <f>IF('TB IMA general'!C134&lt;&gt;"",'TB IMA general'!C134,"")</f>
        <v/>
      </c>
      <c r="D56" s="1126"/>
      <c r="E56" s="1154"/>
      <c r="F56" s="1154"/>
      <c r="G56" s="1154"/>
      <c r="H56" s="1154"/>
      <c r="I56" s="1154"/>
      <c r="J56" s="1154"/>
      <c r="K56" s="1154"/>
      <c r="L56" s="1154"/>
      <c r="M56" s="554"/>
      <c r="N56" s="554"/>
      <c r="O56" s="1075"/>
    </row>
    <row r="57" spans="1:15" ht="15" customHeight="1" x14ac:dyDescent="0.2">
      <c r="A57" s="1076"/>
      <c r="B57" s="1045" t="str">
        <f t="shared" si="1"/>
        <v>Desk 50</v>
      </c>
      <c r="C57" s="1385" t="str">
        <f>IF('TB IMA general'!C135&lt;&gt;"",'TB IMA general'!C135,"")</f>
        <v/>
      </c>
      <c r="D57" s="1126"/>
      <c r="E57" s="1154"/>
      <c r="F57" s="1154"/>
      <c r="G57" s="1154"/>
      <c r="H57" s="1154"/>
      <c r="I57" s="1154"/>
      <c r="J57" s="1154"/>
      <c r="K57" s="1154"/>
      <c r="L57" s="1154"/>
      <c r="M57" s="554"/>
      <c r="N57" s="554"/>
      <c r="O57" s="1075"/>
    </row>
    <row r="58" spans="1:15" ht="15" customHeight="1" x14ac:dyDescent="0.2">
      <c r="A58" s="1076"/>
      <c r="B58" s="1045" t="str">
        <f t="shared" si="1"/>
        <v>Desk 51</v>
      </c>
      <c r="C58" s="1385" t="str">
        <f>IF('TB IMA general'!C136&lt;&gt;"",'TB IMA general'!C136,"")</f>
        <v/>
      </c>
      <c r="D58" s="1126"/>
      <c r="E58" s="1154"/>
      <c r="F58" s="1154"/>
      <c r="G58" s="1154"/>
      <c r="H58" s="1154"/>
      <c r="I58" s="1154"/>
      <c r="J58" s="1154"/>
      <c r="K58" s="1154"/>
      <c r="L58" s="1154"/>
      <c r="M58" s="554"/>
      <c r="N58" s="554"/>
      <c r="O58" s="1075"/>
    </row>
    <row r="59" spans="1:15" ht="15" customHeight="1" x14ac:dyDescent="0.2">
      <c r="A59" s="1076"/>
      <c r="B59" s="1045" t="str">
        <f t="shared" si="1"/>
        <v>Desk 52</v>
      </c>
      <c r="C59" s="1385" t="str">
        <f>IF('TB IMA general'!C137&lt;&gt;"",'TB IMA general'!C137,"")</f>
        <v/>
      </c>
      <c r="D59" s="1126"/>
      <c r="E59" s="1154"/>
      <c r="F59" s="1154"/>
      <c r="G59" s="1154"/>
      <c r="H59" s="1154"/>
      <c r="I59" s="1154"/>
      <c r="J59" s="1154"/>
      <c r="K59" s="1154"/>
      <c r="L59" s="1154"/>
      <c r="M59" s="554"/>
      <c r="N59" s="554"/>
      <c r="O59" s="1075"/>
    </row>
    <row r="60" spans="1:15" ht="15" customHeight="1" x14ac:dyDescent="0.2">
      <c r="A60" s="1076"/>
      <c r="B60" s="1045" t="str">
        <f t="shared" si="1"/>
        <v>Desk 53</v>
      </c>
      <c r="C60" s="1385" t="str">
        <f>IF('TB IMA general'!C138&lt;&gt;"",'TB IMA general'!C138,"")</f>
        <v/>
      </c>
      <c r="D60" s="1126"/>
      <c r="E60" s="1154"/>
      <c r="F60" s="1154"/>
      <c r="G60" s="1154"/>
      <c r="H60" s="1154"/>
      <c r="I60" s="1154"/>
      <c r="J60" s="1154"/>
      <c r="K60" s="1154"/>
      <c r="L60" s="1154"/>
      <c r="M60" s="554"/>
      <c r="N60" s="554"/>
      <c r="O60" s="1075"/>
    </row>
    <row r="61" spans="1:15" ht="15" customHeight="1" x14ac:dyDescent="0.2">
      <c r="A61" s="1076"/>
      <c r="B61" s="1045" t="str">
        <f t="shared" si="1"/>
        <v>Desk 54</v>
      </c>
      <c r="C61" s="1385" t="str">
        <f>IF('TB IMA general'!C139&lt;&gt;"",'TB IMA general'!C139,"")</f>
        <v/>
      </c>
      <c r="D61" s="1126"/>
      <c r="E61" s="1154"/>
      <c r="F61" s="1154"/>
      <c r="G61" s="1154"/>
      <c r="H61" s="1154"/>
      <c r="I61" s="1154"/>
      <c r="J61" s="1154"/>
      <c r="K61" s="1154"/>
      <c r="L61" s="1154"/>
      <c r="M61" s="554"/>
      <c r="N61" s="554"/>
      <c r="O61" s="1075"/>
    </row>
    <row r="62" spans="1:15" ht="15" customHeight="1" x14ac:dyDescent="0.2">
      <c r="A62" s="1076"/>
      <c r="B62" s="1045" t="str">
        <f t="shared" si="1"/>
        <v>Desk 55</v>
      </c>
      <c r="C62" s="1385" t="str">
        <f>IF('TB IMA general'!C140&lt;&gt;"",'TB IMA general'!C140,"")</f>
        <v/>
      </c>
      <c r="D62" s="1126"/>
      <c r="E62" s="1154"/>
      <c r="F62" s="1154"/>
      <c r="G62" s="1154"/>
      <c r="H62" s="1154"/>
      <c r="I62" s="1154"/>
      <c r="J62" s="1154"/>
      <c r="K62" s="1154"/>
      <c r="L62" s="1154"/>
      <c r="M62" s="554"/>
      <c r="N62" s="554"/>
      <c r="O62" s="1075"/>
    </row>
    <row r="63" spans="1:15" ht="15" customHeight="1" x14ac:dyDescent="0.2">
      <c r="A63" s="1076"/>
      <c r="B63" s="1045" t="str">
        <f t="shared" si="1"/>
        <v>Desk 56</v>
      </c>
      <c r="C63" s="1385" t="str">
        <f>IF('TB IMA general'!C141&lt;&gt;"",'TB IMA general'!C141,"")</f>
        <v/>
      </c>
      <c r="D63" s="1126"/>
      <c r="E63" s="1154"/>
      <c r="F63" s="1154"/>
      <c r="G63" s="1154"/>
      <c r="H63" s="1154"/>
      <c r="I63" s="1154"/>
      <c r="J63" s="1154"/>
      <c r="K63" s="1154"/>
      <c r="L63" s="1154"/>
      <c r="M63" s="554"/>
      <c r="N63" s="554"/>
      <c r="O63" s="1075"/>
    </row>
    <row r="64" spans="1:15" ht="15" customHeight="1" x14ac:dyDescent="0.2">
      <c r="A64" s="1076"/>
      <c r="B64" s="1045" t="str">
        <f t="shared" si="1"/>
        <v>Desk 57</v>
      </c>
      <c r="C64" s="1385" t="str">
        <f>IF('TB IMA general'!C142&lt;&gt;"",'TB IMA general'!C142,"")</f>
        <v/>
      </c>
      <c r="D64" s="1126"/>
      <c r="E64" s="1154"/>
      <c r="F64" s="1154"/>
      <c r="G64" s="1154"/>
      <c r="H64" s="1154"/>
      <c r="I64" s="1154"/>
      <c r="J64" s="1154"/>
      <c r="K64" s="1154"/>
      <c r="L64" s="1154"/>
      <c r="M64" s="554"/>
      <c r="N64" s="554"/>
      <c r="O64" s="1075"/>
    </row>
    <row r="65" spans="1:15" ht="15" customHeight="1" x14ac:dyDescent="0.2">
      <c r="A65" s="1076"/>
      <c r="B65" s="1045" t="str">
        <f t="shared" si="1"/>
        <v>Desk 58</v>
      </c>
      <c r="C65" s="1385" t="str">
        <f>IF('TB IMA general'!C143&lt;&gt;"",'TB IMA general'!C143,"")</f>
        <v/>
      </c>
      <c r="D65" s="1126"/>
      <c r="E65" s="1154"/>
      <c r="F65" s="1154"/>
      <c r="G65" s="1154"/>
      <c r="H65" s="1154"/>
      <c r="I65" s="1154"/>
      <c r="J65" s="1154"/>
      <c r="K65" s="1154"/>
      <c r="L65" s="1154"/>
      <c r="M65" s="554"/>
      <c r="N65" s="554"/>
      <c r="O65" s="1075"/>
    </row>
    <row r="66" spans="1:15" ht="15" customHeight="1" x14ac:dyDescent="0.2">
      <c r="A66" s="1076"/>
      <c r="B66" s="1045" t="str">
        <f t="shared" si="1"/>
        <v>Desk 59</v>
      </c>
      <c r="C66" s="1385" t="str">
        <f>IF('TB IMA general'!C144&lt;&gt;"",'TB IMA general'!C144,"")</f>
        <v/>
      </c>
      <c r="D66" s="1126"/>
      <c r="E66" s="1154"/>
      <c r="F66" s="1154"/>
      <c r="G66" s="1154"/>
      <c r="H66" s="1154"/>
      <c r="I66" s="1154"/>
      <c r="J66" s="1154"/>
      <c r="K66" s="1154"/>
      <c r="L66" s="1154"/>
      <c r="M66" s="554"/>
      <c r="N66" s="554"/>
      <c r="O66" s="1075"/>
    </row>
    <row r="67" spans="1:15" ht="15" customHeight="1" x14ac:dyDescent="0.2">
      <c r="A67" s="1076"/>
      <c r="B67" s="1045" t="str">
        <f t="shared" si="1"/>
        <v>Desk 60</v>
      </c>
      <c r="C67" s="1385" t="str">
        <f>IF('TB IMA general'!C145&lt;&gt;"",'TB IMA general'!C145,"")</f>
        <v/>
      </c>
      <c r="D67" s="1126"/>
      <c r="E67" s="1154"/>
      <c r="F67" s="1154"/>
      <c r="G67" s="1154"/>
      <c r="H67" s="1154"/>
      <c r="I67" s="1154"/>
      <c r="J67" s="1154"/>
      <c r="K67" s="1154"/>
      <c r="L67" s="1154"/>
      <c r="M67" s="554"/>
      <c r="N67" s="554"/>
      <c r="O67" s="1075"/>
    </row>
    <row r="68" spans="1:15" ht="15" customHeight="1" x14ac:dyDescent="0.2">
      <c r="A68" s="1076"/>
      <c r="B68" s="1045" t="str">
        <f t="shared" si="1"/>
        <v>Desk 61</v>
      </c>
      <c r="C68" s="1385" t="str">
        <f>IF('TB IMA general'!C146&lt;&gt;"",'TB IMA general'!C146,"")</f>
        <v/>
      </c>
      <c r="D68" s="1126"/>
      <c r="E68" s="1154"/>
      <c r="F68" s="1154"/>
      <c r="G68" s="1154"/>
      <c r="H68" s="1154"/>
      <c r="I68" s="1154"/>
      <c r="J68" s="1154"/>
      <c r="K68" s="1154"/>
      <c r="L68" s="1154"/>
      <c r="M68" s="554"/>
      <c r="N68" s="554"/>
      <c r="O68" s="1075"/>
    </row>
    <row r="69" spans="1:15" ht="15" customHeight="1" x14ac:dyDescent="0.2">
      <c r="A69" s="1076"/>
      <c r="B69" s="1045" t="str">
        <f t="shared" si="1"/>
        <v>Desk 62</v>
      </c>
      <c r="C69" s="1385" t="str">
        <f>IF('TB IMA general'!C147&lt;&gt;"",'TB IMA general'!C147,"")</f>
        <v/>
      </c>
      <c r="D69" s="1126"/>
      <c r="E69" s="1154"/>
      <c r="F69" s="1154"/>
      <c r="G69" s="1154"/>
      <c r="H69" s="1154"/>
      <c r="I69" s="1154"/>
      <c r="J69" s="1154"/>
      <c r="K69" s="1154"/>
      <c r="L69" s="1154"/>
      <c r="M69" s="554"/>
      <c r="N69" s="554"/>
      <c r="O69" s="1075"/>
    </row>
    <row r="70" spans="1:15" ht="15" customHeight="1" x14ac:dyDescent="0.2">
      <c r="A70" s="1076"/>
      <c r="B70" s="1045" t="str">
        <f t="shared" si="1"/>
        <v>Desk 63</v>
      </c>
      <c r="C70" s="1385" t="str">
        <f>IF('TB IMA general'!C148&lt;&gt;"",'TB IMA general'!C148,"")</f>
        <v/>
      </c>
      <c r="D70" s="1126"/>
      <c r="E70" s="1154"/>
      <c r="F70" s="1154"/>
      <c r="G70" s="1154"/>
      <c r="H70" s="1154"/>
      <c r="I70" s="1154"/>
      <c r="J70" s="1154"/>
      <c r="K70" s="1154"/>
      <c r="L70" s="1154"/>
      <c r="M70" s="554"/>
      <c r="N70" s="554"/>
      <c r="O70" s="1075"/>
    </row>
    <row r="71" spans="1:15" ht="15" customHeight="1" x14ac:dyDescent="0.2">
      <c r="A71" s="1076"/>
      <c r="B71" s="1045" t="str">
        <f t="shared" si="1"/>
        <v>Desk 64</v>
      </c>
      <c r="C71" s="1385" t="str">
        <f>IF('TB IMA general'!C149&lt;&gt;"",'TB IMA general'!C149,"")</f>
        <v/>
      </c>
      <c r="D71" s="1126"/>
      <c r="E71" s="1154"/>
      <c r="F71" s="1154"/>
      <c r="G71" s="1154"/>
      <c r="H71" s="1154"/>
      <c r="I71" s="1154"/>
      <c r="J71" s="1154"/>
      <c r="K71" s="1154"/>
      <c r="L71" s="1154"/>
      <c r="M71" s="554"/>
      <c r="N71" s="554"/>
      <c r="O71" s="1075"/>
    </row>
    <row r="72" spans="1:15" ht="15" customHeight="1" x14ac:dyDescent="0.2">
      <c r="A72" s="1076"/>
      <c r="B72" s="1045" t="str">
        <f t="shared" si="1"/>
        <v>Desk 65</v>
      </c>
      <c r="C72" s="1385" t="str">
        <f>IF('TB IMA general'!C150&lt;&gt;"",'TB IMA general'!C150,"")</f>
        <v/>
      </c>
      <c r="D72" s="1126"/>
      <c r="E72" s="1154"/>
      <c r="F72" s="1154"/>
      <c r="G72" s="1154"/>
      <c r="H72" s="1154"/>
      <c r="I72" s="1154"/>
      <c r="J72" s="1154"/>
      <c r="K72" s="1154"/>
      <c r="L72" s="1154"/>
      <c r="M72" s="554"/>
      <c r="N72" s="554"/>
      <c r="O72" s="1075"/>
    </row>
    <row r="73" spans="1:15" ht="15" customHeight="1" x14ac:dyDescent="0.2">
      <c r="A73" s="1076"/>
      <c r="B73" s="1045" t="str">
        <f t="shared" ref="B73:B107" si="2">"Desk " &amp; (ROW(B73)-ROW(B$7))</f>
        <v>Desk 66</v>
      </c>
      <c r="C73" s="1385" t="str">
        <f>IF('TB IMA general'!C151&lt;&gt;"",'TB IMA general'!C151,"")</f>
        <v/>
      </c>
      <c r="D73" s="1126"/>
      <c r="E73" s="1154"/>
      <c r="F73" s="1154"/>
      <c r="G73" s="1154"/>
      <c r="H73" s="1154"/>
      <c r="I73" s="1154"/>
      <c r="J73" s="1154"/>
      <c r="K73" s="1154"/>
      <c r="L73" s="1154"/>
      <c r="M73" s="554"/>
      <c r="N73" s="554"/>
      <c r="O73" s="1075"/>
    </row>
    <row r="74" spans="1:15" ht="15" customHeight="1" x14ac:dyDescent="0.2">
      <c r="A74" s="1076"/>
      <c r="B74" s="1045" t="str">
        <f t="shared" si="2"/>
        <v>Desk 67</v>
      </c>
      <c r="C74" s="1385" t="str">
        <f>IF('TB IMA general'!C152&lt;&gt;"",'TB IMA general'!C152,"")</f>
        <v/>
      </c>
      <c r="D74" s="1126"/>
      <c r="E74" s="1154"/>
      <c r="F74" s="1154"/>
      <c r="G74" s="1154"/>
      <c r="H74" s="1154"/>
      <c r="I74" s="1154"/>
      <c r="J74" s="1154"/>
      <c r="K74" s="1154"/>
      <c r="L74" s="1154"/>
      <c r="M74" s="554"/>
      <c r="N74" s="554"/>
      <c r="O74" s="1075"/>
    </row>
    <row r="75" spans="1:15" ht="15" customHeight="1" x14ac:dyDescent="0.2">
      <c r="A75" s="1076"/>
      <c r="B75" s="1045" t="str">
        <f t="shared" si="2"/>
        <v>Desk 68</v>
      </c>
      <c r="C75" s="1385" t="str">
        <f>IF('TB IMA general'!C153&lt;&gt;"",'TB IMA general'!C153,"")</f>
        <v/>
      </c>
      <c r="D75" s="1126"/>
      <c r="E75" s="1154"/>
      <c r="F75" s="1154"/>
      <c r="G75" s="1154"/>
      <c r="H75" s="1154"/>
      <c r="I75" s="1154"/>
      <c r="J75" s="1154"/>
      <c r="K75" s="1154"/>
      <c r="L75" s="1154"/>
      <c r="M75" s="554"/>
      <c r="N75" s="554"/>
      <c r="O75" s="1075"/>
    </row>
    <row r="76" spans="1:15" ht="15" customHeight="1" x14ac:dyDescent="0.2">
      <c r="A76" s="1076"/>
      <c r="B76" s="1045" t="str">
        <f t="shared" si="2"/>
        <v>Desk 69</v>
      </c>
      <c r="C76" s="1385" t="str">
        <f>IF('TB IMA general'!C154&lt;&gt;"",'TB IMA general'!C154,"")</f>
        <v/>
      </c>
      <c r="D76" s="1126"/>
      <c r="E76" s="1154"/>
      <c r="F76" s="1154"/>
      <c r="G76" s="1154"/>
      <c r="H76" s="1154"/>
      <c r="I76" s="1154"/>
      <c r="J76" s="1154"/>
      <c r="K76" s="1154"/>
      <c r="L76" s="1154"/>
      <c r="M76" s="554"/>
      <c r="N76" s="554"/>
      <c r="O76" s="1075"/>
    </row>
    <row r="77" spans="1:15" ht="15" customHeight="1" x14ac:dyDescent="0.2">
      <c r="A77" s="1076"/>
      <c r="B77" s="1045" t="str">
        <f t="shared" si="2"/>
        <v>Desk 70</v>
      </c>
      <c r="C77" s="1385" t="str">
        <f>IF('TB IMA general'!C155&lt;&gt;"",'TB IMA general'!C155,"")</f>
        <v/>
      </c>
      <c r="D77" s="1126"/>
      <c r="E77" s="1154"/>
      <c r="F77" s="1154"/>
      <c r="G77" s="1154"/>
      <c r="H77" s="1154"/>
      <c r="I77" s="1154"/>
      <c r="J77" s="1154"/>
      <c r="K77" s="1154"/>
      <c r="L77" s="1154"/>
      <c r="M77" s="554"/>
      <c r="N77" s="554"/>
      <c r="O77" s="1075"/>
    </row>
    <row r="78" spans="1:15" ht="15" customHeight="1" x14ac:dyDescent="0.2">
      <c r="A78" s="1076"/>
      <c r="B78" s="1045" t="str">
        <f t="shared" si="2"/>
        <v>Desk 71</v>
      </c>
      <c r="C78" s="1385" t="str">
        <f>IF('TB IMA general'!C156&lt;&gt;"",'TB IMA general'!C156,"")</f>
        <v/>
      </c>
      <c r="D78" s="1126"/>
      <c r="E78" s="1154"/>
      <c r="F78" s="1154"/>
      <c r="G78" s="1154"/>
      <c r="H78" s="1154"/>
      <c r="I78" s="1154"/>
      <c r="J78" s="1154"/>
      <c r="K78" s="1154"/>
      <c r="L78" s="1154"/>
      <c r="M78" s="554"/>
      <c r="N78" s="554"/>
      <c r="O78" s="1075"/>
    </row>
    <row r="79" spans="1:15" ht="15" customHeight="1" x14ac:dyDescent="0.2">
      <c r="A79" s="1076"/>
      <c r="B79" s="1045" t="str">
        <f t="shared" si="2"/>
        <v>Desk 72</v>
      </c>
      <c r="C79" s="1385" t="str">
        <f>IF('TB IMA general'!C157&lt;&gt;"",'TB IMA general'!C157,"")</f>
        <v/>
      </c>
      <c r="D79" s="1126"/>
      <c r="E79" s="1154"/>
      <c r="F79" s="1154"/>
      <c r="G79" s="1154"/>
      <c r="H79" s="1154"/>
      <c r="I79" s="1154"/>
      <c r="J79" s="1154"/>
      <c r="K79" s="1154"/>
      <c r="L79" s="1154"/>
      <c r="M79" s="554"/>
      <c r="N79" s="554"/>
      <c r="O79" s="1075"/>
    </row>
    <row r="80" spans="1:15" ht="15" customHeight="1" x14ac:dyDescent="0.2">
      <c r="A80" s="1076"/>
      <c r="B80" s="1045" t="str">
        <f t="shared" si="2"/>
        <v>Desk 73</v>
      </c>
      <c r="C80" s="1385" t="str">
        <f>IF('TB IMA general'!C158&lt;&gt;"",'TB IMA general'!C158,"")</f>
        <v/>
      </c>
      <c r="D80" s="1126"/>
      <c r="E80" s="1154"/>
      <c r="F80" s="1154"/>
      <c r="G80" s="1154"/>
      <c r="H80" s="1154"/>
      <c r="I80" s="1154"/>
      <c r="J80" s="1154"/>
      <c r="K80" s="1154"/>
      <c r="L80" s="1154"/>
      <c r="M80" s="554"/>
      <c r="N80" s="554"/>
      <c r="O80" s="1075"/>
    </row>
    <row r="81" spans="1:15" ht="15" customHeight="1" x14ac:dyDescent="0.2">
      <c r="A81" s="1076"/>
      <c r="B81" s="1045" t="str">
        <f t="shared" si="2"/>
        <v>Desk 74</v>
      </c>
      <c r="C81" s="1385" t="str">
        <f>IF('TB IMA general'!C159&lt;&gt;"",'TB IMA general'!C159,"")</f>
        <v/>
      </c>
      <c r="D81" s="1126"/>
      <c r="E81" s="1154"/>
      <c r="F81" s="1154"/>
      <c r="G81" s="1154"/>
      <c r="H81" s="1154"/>
      <c r="I81" s="1154"/>
      <c r="J81" s="1154"/>
      <c r="K81" s="1154"/>
      <c r="L81" s="1154"/>
      <c r="M81" s="554"/>
      <c r="N81" s="554"/>
      <c r="O81" s="1075"/>
    </row>
    <row r="82" spans="1:15" ht="15" customHeight="1" x14ac:dyDescent="0.2">
      <c r="A82" s="1076"/>
      <c r="B82" s="1045" t="str">
        <f t="shared" si="2"/>
        <v>Desk 75</v>
      </c>
      <c r="C82" s="1385" t="str">
        <f>IF('TB IMA general'!C160&lt;&gt;"",'TB IMA general'!C160,"")</f>
        <v/>
      </c>
      <c r="D82" s="1126"/>
      <c r="E82" s="1154"/>
      <c r="F82" s="1154"/>
      <c r="G82" s="1154"/>
      <c r="H82" s="1154"/>
      <c r="I82" s="1154"/>
      <c r="J82" s="1154"/>
      <c r="K82" s="1154"/>
      <c r="L82" s="1154"/>
      <c r="M82" s="554"/>
      <c r="N82" s="554"/>
      <c r="O82" s="1075"/>
    </row>
    <row r="83" spans="1:15" ht="15" customHeight="1" x14ac:dyDescent="0.2">
      <c r="A83" s="1076"/>
      <c r="B83" s="1045" t="str">
        <f t="shared" si="2"/>
        <v>Desk 76</v>
      </c>
      <c r="C83" s="1385" t="str">
        <f>IF('TB IMA general'!C161&lt;&gt;"",'TB IMA general'!C161,"")</f>
        <v/>
      </c>
      <c r="D83" s="1126"/>
      <c r="E83" s="1154"/>
      <c r="F83" s="1154"/>
      <c r="G83" s="1154"/>
      <c r="H83" s="1154"/>
      <c r="I83" s="1154"/>
      <c r="J83" s="1154"/>
      <c r="K83" s="1154"/>
      <c r="L83" s="1154"/>
      <c r="M83" s="554"/>
      <c r="N83" s="554"/>
      <c r="O83" s="1075"/>
    </row>
    <row r="84" spans="1:15" ht="15" customHeight="1" x14ac:dyDescent="0.2">
      <c r="A84" s="1076"/>
      <c r="B84" s="1045" t="str">
        <f t="shared" si="2"/>
        <v>Desk 77</v>
      </c>
      <c r="C84" s="1385" t="str">
        <f>IF('TB IMA general'!C162&lt;&gt;"",'TB IMA general'!C162,"")</f>
        <v/>
      </c>
      <c r="D84" s="1126"/>
      <c r="E84" s="1154"/>
      <c r="F84" s="1154"/>
      <c r="G84" s="1154"/>
      <c r="H84" s="1154"/>
      <c r="I84" s="1154"/>
      <c r="J84" s="1154"/>
      <c r="K84" s="1154"/>
      <c r="L84" s="1154"/>
      <c r="M84" s="554"/>
      <c r="N84" s="554"/>
      <c r="O84" s="1075"/>
    </row>
    <row r="85" spans="1:15" ht="15" customHeight="1" x14ac:dyDescent="0.2">
      <c r="A85" s="1076"/>
      <c r="B85" s="1045" t="str">
        <f t="shared" si="2"/>
        <v>Desk 78</v>
      </c>
      <c r="C85" s="1385" t="str">
        <f>IF('TB IMA general'!C163&lt;&gt;"",'TB IMA general'!C163,"")</f>
        <v/>
      </c>
      <c r="D85" s="1126"/>
      <c r="E85" s="1154"/>
      <c r="F85" s="1154"/>
      <c r="G85" s="1154"/>
      <c r="H85" s="1154"/>
      <c r="I85" s="1154"/>
      <c r="J85" s="1154"/>
      <c r="K85" s="1154"/>
      <c r="L85" s="1154"/>
      <c r="M85" s="554"/>
      <c r="N85" s="554"/>
      <c r="O85" s="1075"/>
    </row>
    <row r="86" spans="1:15" ht="15" customHeight="1" x14ac:dyDescent="0.2">
      <c r="A86" s="1076"/>
      <c r="B86" s="1045" t="str">
        <f t="shared" si="2"/>
        <v>Desk 79</v>
      </c>
      <c r="C86" s="1385" t="str">
        <f>IF('TB IMA general'!C164&lt;&gt;"",'TB IMA general'!C164,"")</f>
        <v/>
      </c>
      <c r="D86" s="1126"/>
      <c r="E86" s="1154"/>
      <c r="F86" s="1154"/>
      <c r="G86" s="1154"/>
      <c r="H86" s="1154"/>
      <c r="I86" s="1154"/>
      <c r="J86" s="1154"/>
      <c r="K86" s="1154"/>
      <c r="L86" s="1154"/>
      <c r="M86" s="554"/>
      <c r="N86" s="554"/>
      <c r="O86" s="1075"/>
    </row>
    <row r="87" spans="1:15" ht="15" customHeight="1" x14ac:dyDescent="0.2">
      <c r="A87" s="1076"/>
      <c r="B87" s="1045" t="str">
        <f t="shared" si="2"/>
        <v>Desk 80</v>
      </c>
      <c r="C87" s="1385" t="str">
        <f>IF('TB IMA general'!C165&lt;&gt;"",'TB IMA general'!C165,"")</f>
        <v/>
      </c>
      <c r="D87" s="1126"/>
      <c r="E87" s="1154"/>
      <c r="F87" s="1154"/>
      <c r="G87" s="1154"/>
      <c r="H87" s="1154"/>
      <c r="I87" s="1154"/>
      <c r="J87" s="1154"/>
      <c r="K87" s="1154"/>
      <c r="L87" s="1154"/>
      <c r="M87" s="554"/>
      <c r="N87" s="554"/>
      <c r="O87" s="1075"/>
    </row>
    <row r="88" spans="1:15" ht="15" customHeight="1" x14ac:dyDescent="0.2">
      <c r="A88" s="1076"/>
      <c r="B88" s="1045" t="str">
        <f t="shared" si="2"/>
        <v>Desk 81</v>
      </c>
      <c r="C88" s="1385" t="str">
        <f>IF('TB IMA general'!C166&lt;&gt;"",'TB IMA general'!C166,"")</f>
        <v/>
      </c>
      <c r="D88" s="1126"/>
      <c r="E88" s="1154"/>
      <c r="F88" s="1154"/>
      <c r="G88" s="1154"/>
      <c r="H88" s="1154"/>
      <c r="I88" s="1154"/>
      <c r="J88" s="1154"/>
      <c r="K88" s="1154"/>
      <c r="L88" s="1154"/>
      <c r="M88" s="554"/>
      <c r="N88" s="554"/>
      <c r="O88" s="1075"/>
    </row>
    <row r="89" spans="1:15" ht="15" customHeight="1" x14ac:dyDescent="0.2">
      <c r="A89" s="1076"/>
      <c r="B89" s="1045" t="str">
        <f t="shared" si="2"/>
        <v>Desk 82</v>
      </c>
      <c r="C89" s="1385" t="str">
        <f>IF('TB IMA general'!C167&lt;&gt;"",'TB IMA general'!C167,"")</f>
        <v/>
      </c>
      <c r="D89" s="1126"/>
      <c r="E89" s="1154"/>
      <c r="F89" s="1154"/>
      <c r="G89" s="1154"/>
      <c r="H89" s="1154"/>
      <c r="I89" s="1154"/>
      <c r="J89" s="1154"/>
      <c r="K89" s="1154"/>
      <c r="L89" s="1154"/>
      <c r="M89" s="554"/>
      <c r="N89" s="554"/>
      <c r="O89" s="1075"/>
    </row>
    <row r="90" spans="1:15" ht="15" customHeight="1" x14ac:dyDescent="0.2">
      <c r="A90" s="1076"/>
      <c r="B90" s="1045" t="str">
        <f t="shared" si="2"/>
        <v>Desk 83</v>
      </c>
      <c r="C90" s="1385" t="str">
        <f>IF('TB IMA general'!C168&lt;&gt;"",'TB IMA general'!C168,"")</f>
        <v/>
      </c>
      <c r="D90" s="1126"/>
      <c r="E90" s="1154"/>
      <c r="F90" s="1154"/>
      <c r="G90" s="1154"/>
      <c r="H90" s="1154"/>
      <c r="I90" s="1154"/>
      <c r="J90" s="1154"/>
      <c r="K90" s="1154"/>
      <c r="L90" s="1154"/>
      <c r="M90" s="554"/>
      <c r="N90" s="554"/>
      <c r="O90" s="1075"/>
    </row>
    <row r="91" spans="1:15" ht="15" customHeight="1" x14ac:dyDescent="0.2">
      <c r="A91" s="1076"/>
      <c r="B91" s="1045" t="str">
        <f t="shared" si="2"/>
        <v>Desk 84</v>
      </c>
      <c r="C91" s="1385" t="str">
        <f>IF('TB IMA general'!C169&lt;&gt;"",'TB IMA general'!C169,"")</f>
        <v/>
      </c>
      <c r="D91" s="1126"/>
      <c r="E91" s="1154"/>
      <c r="F91" s="1154"/>
      <c r="G91" s="1154"/>
      <c r="H91" s="1154"/>
      <c r="I91" s="1154"/>
      <c r="J91" s="1154"/>
      <c r="K91" s="1154"/>
      <c r="L91" s="1154"/>
      <c r="M91" s="554"/>
      <c r="N91" s="554"/>
      <c r="O91" s="1075"/>
    </row>
    <row r="92" spans="1:15" ht="15" customHeight="1" x14ac:dyDescent="0.2">
      <c r="A92" s="1076"/>
      <c r="B92" s="1045" t="str">
        <f t="shared" si="2"/>
        <v>Desk 85</v>
      </c>
      <c r="C92" s="1385" t="str">
        <f>IF('TB IMA general'!C170&lt;&gt;"",'TB IMA general'!C170,"")</f>
        <v/>
      </c>
      <c r="D92" s="1126"/>
      <c r="E92" s="1154"/>
      <c r="F92" s="1154"/>
      <c r="G92" s="1154"/>
      <c r="H92" s="1154"/>
      <c r="I92" s="1154"/>
      <c r="J92" s="1154"/>
      <c r="K92" s="1154"/>
      <c r="L92" s="1154"/>
      <c r="M92" s="554"/>
      <c r="N92" s="554"/>
      <c r="O92" s="1075"/>
    </row>
    <row r="93" spans="1:15" ht="15" customHeight="1" x14ac:dyDescent="0.2">
      <c r="A93" s="1076"/>
      <c r="B93" s="1045" t="str">
        <f t="shared" si="2"/>
        <v>Desk 86</v>
      </c>
      <c r="C93" s="1385" t="str">
        <f>IF('TB IMA general'!C171&lt;&gt;"",'TB IMA general'!C171,"")</f>
        <v/>
      </c>
      <c r="D93" s="1126"/>
      <c r="E93" s="1154"/>
      <c r="F93" s="1154"/>
      <c r="G93" s="1154"/>
      <c r="H93" s="1154"/>
      <c r="I93" s="1154"/>
      <c r="J93" s="1154"/>
      <c r="K93" s="1154"/>
      <c r="L93" s="1154"/>
      <c r="M93" s="554"/>
      <c r="N93" s="554"/>
      <c r="O93" s="1075"/>
    </row>
    <row r="94" spans="1:15" ht="15" customHeight="1" x14ac:dyDescent="0.2">
      <c r="A94" s="1076"/>
      <c r="B94" s="1045" t="str">
        <f t="shared" si="2"/>
        <v>Desk 87</v>
      </c>
      <c r="C94" s="1385" t="str">
        <f>IF('TB IMA general'!C172&lt;&gt;"",'TB IMA general'!C172,"")</f>
        <v/>
      </c>
      <c r="D94" s="1126"/>
      <c r="E94" s="1154"/>
      <c r="F94" s="1154"/>
      <c r="G94" s="1154"/>
      <c r="H94" s="1154"/>
      <c r="I94" s="1154"/>
      <c r="J94" s="1154"/>
      <c r="K94" s="1154"/>
      <c r="L94" s="1154"/>
      <c r="M94" s="554"/>
      <c r="N94" s="554"/>
      <c r="O94" s="1075"/>
    </row>
    <row r="95" spans="1:15" ht="15" customHeight="1" x14ac:dyDescent="0.2">
      <c r="A95" s="1076"/>
      <c r="B95" s="1045" t="str">
        <f t="shared" si="2"/>
        <v>Desk 88</v>
      </c>
      <c r="C95" s="1385" t="str">
        <f>IF('TB IMA general'!C173&lt;&gt;"",'TB IMA general'!C173,"")</f>
        <v/>
      </c>
      <c r="D95" s="1126"/>
      <c r="E95" s="1154"/>
      <c r="F95" s="1154"/>
      <c r="G95" s="1154"/>
      <c r="H95" s="1154"/>
      <c r="I95" s="1154"/>
      <c r="J95" s="1154"/>
      <c r="K95" s="1154"/>
      <c r="L95" s="1154"/>
      <c r="M95" s="554"/>
      <c r="N95" s="554"/>
      <c r="O95" s="1075"/>
    </row>
    <row r="96" spans="1:15" ht="15" customHeight="1" x14ac:dyDescent="0.2">
      <c r="A96" s="1076"/>
      <c r="B96" s="1045" t="str">
        <f t="shared" si="2"/>
        <v>Desk 89</v>
      </c>
      <c r="C96" s="1385" t="str">
        <f>IF('TB IMA general'!C174&lt;&gt;"",'TB IMA general'!C174,"")</f>
        <v/>
      </c>
      <c r="D96" s="1126"/>
      <c r="E96" s="1154"/>
      <c r="F96" s="1154"/>
      <c r="G96" s="1154"/>
      <c r="H96" s="1154"/>
      <c r="I96" s="1154"/>
      <c r="J96" s="1154"/>
      <c r="K96" s="1154"/>
      <c r="L96" s="1154"/>
      <c r="M96" s="554"/>
      <c r="N96" s="554"/>
      <c r="O96" s="1075"/>
    </row>
    <row r="97" spans="1:15" ht="15" customHeight="1" x14ac:dyDescent="0.2">
      <c r="A97" s="1076"/>
      <c r="B97" s="1045" t="str">
        <f t="shared" si="2"/>
        <v>Desk 90</v>
      </c>
      <c r="C97" s="1385" t="str">
        <f>IF('TB IMA general'!C175&lt;&gt;"",'TB IMA general'!C175,"")</f>
        <v/>
      </c>
      <c r="D97" s="1126"/>
      <c r="E97" s="1154"/>
      <c r="F97" s="1154"/>
      <c r="G97" s="1154"/>
      <c r="H97" s="1154"/>
      <c r="I97" s="1154"/>
      <c r="J97" s="1154"/>
      <c r="K97" s="1154"/>
      <c r="L97" s="1154"/>
      <c r="M97" s="554"/>
      <c r="N97" s="554"/>
      <c r="O97" s="1075"/>
    </row>
    <row r="98" spans="1:15" ht="15" customHeight="1" x14ac:dyDescent="0.2">
      <c r="A98" s="1076"/>
      <c r="B98" s="1045" t="str">
        <f t="shared" si="2"/>
        <v>Desk 91</v>
      </c>
      <c r="C98" s="1385" t="str">
        <f>IF('TB IMA general'!C176&lt;&gt;"",'TB IMA general'!C176,"")</f>
        <v/>
      </c>
      <c r="D98" s="1126"/>
      <c r="E98" s="1154"/>
      <c r="F98" s="1154"/>
      <c r="G98" s="1154"/>
      <c r="H98" s="1154"/>
      <c r="I98" s="1154"/>
      <c r="J98" s="1154"/>
      <c r="K98" s="1154"/>
      <c r="L98" s="1154"/>
      <c r="M98" s="554"/>
      <c r="N98" s="554"/>
      <c r="O98" s="1075"/>
    </row>
    <row r="99" spans="1:15" ht="15" customHeight="1" x14ac:dyDescent="0.2">
      <c r="A99" s="1076"/>
      <c r="B99" s="1045" t="str">
        <f t="shared" si="2"/>
        <v>Desk 92</v>
      </c>
      <c r="C99" s="1385" t="str">
        <f>IF('TB IMA general'!C177&lt;&gt;"",'TB IMA general'!C177,"")</f>
        <v/>
      </c>
      <c r="D99" s="1126"/>
      <c r="E99" s="1154"/>
      <c r="F99" s="1154"/>
      <c r="G99" s="1154"/>
      <c r="H99" s="1154"/>
      <c r="I99" s="1154"/>
      <c r="J99" s="1154"/>
      <c r="K99" s="1154"/>
      <c r="L99" s="1154"/>
      <c r="M99" s="554"/>
      <c r="N99" s="554"/>
      <c r="O99" s="1075"/>
    </row>
    <row r="100" spans="1:15" ht="15" customHeight="1" x14ac:dyDescent="0.2">
      <c r="A100" s="1076"/>
      <c r="B100" s="1045" t="str">
        <f t="shared" si="2"/>
        <v>Desk 93</v>
      </c>
      <c r="C100" s="1385" t="str">
        <f>IF('TB IMA general'!C178&lt;&gt;"",'TB IMA general'!C178,"")</f>
        <v/>
      </c>
      <c r="D100" s="1126"/>
      <c r="E100" s="1154"/>
      <c r="F100" s="1154"/>
      <c r="G100" s="1154"/>
      <c r="H100" s="1154"/>
      <c r="I100" s="1154"/>
      <c r="J100" s="1154"/>
      <c r="K100" s="1154"/>
      <c r="L100" s="1154"/>
      <c r="M100" s="554"/>
      <c r="N100" s="554"/>
      <c r="O100" s="1075"/>
    </row>
    <row r="101" spans="1:15" ht="15" customHeight="1" x14ac:dyDescent="0.2">
      <c r="A101" s="1076"/>
      <c r="B101" s="1045" t="str">
        <f t="shared" si="2"/>
        <v>Desk 94</v>
      </c>
      <c r="C101" s="1385" t="str">
        <f>IF('TB IMA general'!C179&lt;&gt;"",'TB IMA general'!C179,"")</f>
        <v/>
      </c>
      <c r="D101" s="1126"/>
      <c r="E101" s="1154"/>
      <c r="F101" s="1154"/>
      <c r="G101" s="1154"/>
      <c r="H101" s="1154"/>
      <c r="I101" s="1154"/>
      <c r="J101" s="1154"/>
      <c r="K101" s="1154"/>
      <c r="L101" s="1154"/>
      <c r="M101" s="554"/>
      <c r="N101" s="554"/>
      <c r="O101" s="1075"/>
    </row>
    <row r="102" spans="1:15" ht="15" customHeight="1" x14ac:dyDescent="0.2">
      <c r="A102" s="1076"/>
      <c r="B102" s="1045" t="str">
        <f t="shared" si="2"/>
        <v>Desk 95</v>
      </c>
      <c r="C102" s="1385" t="str">
        <f>IF('TB IMA general'!C180&lt;&gt;"",'TB IMA general'!C180,"")</f>
        <v/>
      </c>
      <c r="D102" s="1126"/>
      <c r="E102" s="1154"/>
      <c r="F102" s="1154"/>
      <c r="G102" s="1154"/>
      <c r="H102" s="1154"/>
      <c r="I102" s="1154"/>
      <c r="J102" s="1154"/>
      <c r="K102" s="1154"/>
      <c r="L102" s="1154"/>
      <c r="M102" s="554"/>
      <c r="N102" s="554"/>
      <c r="O102" s="1075"/>
    </row>
    <row r="103" spans="1:15" ht="15" customHeight="1" x14ac:dyDescent="0.2">
      <c r="A103" s="1076"/>
      <c r="B103" s="1045" t="str">
        <f t="shared" si="2"/>
        <v>Desk 96</v>
      </c>
      <c r="C103" s="1385" t="str">
        <f>IF('TB IMA general'!C181&lt;&gt;"",'TB IMA general'!C181,"")</f>
        <v/>
      </c>
      <c r="D103" s="1126"/>
      <c r="E103" s="1154"/>
      <c r="F103" s="1154"/>
      <c r="G103" s="1154"/>
      <c r="H103" s="1154"/>
      <c r="I103" s="1154"/>
      <c r="J103" s="1154"/>
      <c r="K103" s="1154"/>
      <c r="L103" s="1154"/>
      <c r="M103" s="554"/>
      <c r="N103" s="554"/>
      <c r="O103" s="1075"/>
    </row>
    <row r="104" spans="1:15" ht="15" customHeight="1" x14ac:dyDescent="0.2">
      <c r="A104" s="1076"/>
      <c r="B104" s="1045" t="str">
        <f t="shared" si="2"/>
        <v>Desk 97</v>
      </c>
      <c r="C104" s="1385" t="str">
        <f>IF('TB IMA general'!C182&lt;&gt;"",'TB IMA general'!C182,"")</f>
        <v/>
      </c>
      <c r="D104" s="1126"/>
      <c r="E104" s="1154"/>
      <c r="F104" s="1154"/>
      <c r="G104" s="1154"/>
      <c r="H104" s="1154"/>
      <c r="I104" s="1154"/>
      <c r="J104" s="1154"/>
      <c r="K104" s="1154"/>
      <c r="L104" s="1154"/>
      <c r="M104" s="554"/>
      <c r="N104" s="554"/>
      <c r="O104" s="1075"/>
    </row>
    <row r="105" spans="1:15" ht="15" customHeight="1" x14ac:dyDescent="0.2">
      <c r="A105" s="1076"/>
      <c r="B105" s="1045" t="str">
        <f t="shared" si="2"/>
        <v>Desk 98</v>
      </c>
      <c r="C105" s="1385" t="str">
        <f>IF('TB IMA general'!C183&lt;&gt;"",'TB IMA general'!C183,"")</f>
        <v/>
      </c>
      <c r="D105" s="1126"/>
      <c r="E105" s="1154"/>
      <c r="F105" s="1154"/>
      <c r="G105" s="1154"/>
      <c r="H105" s="1154"/>
      <c r="I105" s="1154"/>
      <c r="J105" s="1154"/>
      <c r="K105" s="1154"/>
      <c r="L105" s="1154"/>
      <c r="M105" s="554"/>
      <c r="N105" s="554"/>
      <c r="O105" s="1075"/>
    </row>
    <row r="106" spans="1:15" ht="15" customHeight="1" x14ac:dyDescent="0.2">
      <c r="A106" s="1076"/>
      <c r="B106" s="1045" t="str">
        <f t="shared" si="2"/>
        <v>Desk 99</v>
      </c>
      <c r="C106" s="1385" t="str">
        <f>IF('TB IMA general'!C184&lt;&gt;"",'TB IMA general'!C184,"")</f>
        <v/>
      </c>
      <c r="D106" s="1126"/>
      <c r="E106" s="1154"/>
      <c r="F106" s="1154"/>
      <c r="G106" s="1154"/>
      <c r="H106" s="1154"/>
      <c r="I106" s="1154"/>
      <c r="J106" s="1154"/>
      <c r="K106" s="1154"/>
      <c r="L106" s="1154"/>
      <c r="M106" s="554"/>
      <c r="N106" s="554"/>
      <c r="O106" s="1075"/>
    </row>
    <row r="107" spans="1:15" ht="15" customHeight="1" x14ac:dyDescent="0.2">
      <c r="A107" s="1076"/>
      <c r="B107" s="1045" t="str">
        <f t="shared" si="2"/>
        <v>Desk 100</v>
      </c>
      <c r="C107" s="1385" t="str">
        <f>IF('TB IMA general'!C185&lt;&gt;"",'TB IMA general'!C185,"")</f>
        <v/>
      </c>
      <c r="D107" s="1126"/>
      <c r="E107" s="1154"/>
      <c r="F107" s="1154"/>
      <c r="G107" s="1154"/>
      <c r="H107" s="1154"/>
      <c r="I107" s="1154"/>
      <c r="J107" s="1154"/>
      <c r="K107" s="1154"/>
      <c r="L107" s="1154"/>
      <c r="M107" s="554"/>
      <c r="N107" s="554"/>
      <c r="O107" s="1075"/>
    </row>
    <row r="108" spans="1:15" ht="15" customHeight="1" x14ac:dyDescent="0.2">
      <c r="A108" s="1076"/>
      <c r="B108" s="1324" t="s">
        <v>1171</v>
      </c>
      <c r="C108" s="1393"/>
      <c r="D108" s="1388"/>
      <c r="E108" s="1156"/>
      <c r="F108" s="1156"/>
      <c r="G108" s="1156"/>
      <c r="H108" s="1156"/>
      <c r="I108" s="1156"/>
      <c r="J108" s="1156"/>
      <c r="K108" s="1156"/>
      <c r="L108" s="1156"/>
      <c r="M108" s="531"/>
      <c r="N108" s="531"/>
      <c r="O108" s="1075"/>
    </row>
    <row r="109" spans="1:15" ht="15" customHeight="1" x14ac:dyDescent="0.2">
      <c r="A109" s="1076"/>
      <c r="B109" s="1074"/>
      <c r="D109" s="1074"/>
      <c r="E109" s="1074"/>
      <c r="F109" s="1074"/>
      <c r="G109" s="1074"/>
      <c r="H109" s="1074"/>
      <c r="I109" s="1074"/>
      <c r="J109" s="1074"/>
      <c r="K109" s="1074"/>
      <c r="L109" s="1074"/>
      <c r="M109" s="1074"/>
      <c r="O109" s="1075"/>
    </row>
    <row r="110" spans="1:15" s="207" customFormat="1" ht="30" customHeight="1" x14ac:dyDescent="0.25">
      <c r="A110" s="1377" t="s">
        <v>1199</v>
      </c>
      <c r="B110" s="18"/>
      <c r="C110" s="16"/>
      <c r="D110" s="203"/>
      <c r="E110" s="203"/>
      <c r="F110" s="203"/>
      <c r="G110" s="203"/>
      <c r="H110" s="180"/>
      <c r="I110" s="180"/>
      <c r="J110" s="180"/>
      <c r="K110" s="180"/>
      <c r="L110" s="180"/>
      <c r="M110" s="180"/>
      <c r="N110" s="180"/>
      <c r="O110" s="181"/>
    </row>
    <row r="111" spans="1:15" ht="15" customHeight="1" x14ac:dyDescent="0.2">
      <c r="A111" s="1076"/>
      <c r="B111" s="1074"/>
      <c r="D111" s="1074"/>
      <c r="E111" s="1074"/>
      <c r="F111" s="1074"/>
      <c r="G111" s="1074"/>
      <c r="H111" s="1074"/>
      <c r="I111" s="1074"/>
      <c r="J111" s="1074"/>
      <c r="K111" s="1074"/>
      <c r="L111" s="1074"/>
      <c r="M111" s="1074"/>
      <c r="O111" s="1075"/>
    </row>
    <row r="112" spans="1:15" ht="15" customHeight="1" x14ac:dyDescent="0.2">
      <c r="A112" s="1076"/>
      <c r="B112" s="1044" t="str">
        <f>"Desk " &amp; (ROW(B112)-ROW(B$111))</f>
        <v>Desk 1</v>
      </c>
      <c r="C112" s="1383" t="str">
        <f>IF('TB IMA general'!C86&lt;&gt;"",'TB IMA general'!C86,"")</f>
        <v/>
      </c>
      <c r="D112" s="1043"/>
      <c r="E112" s="1410"/>
      <c r="F112" s="1410"/>
      <c r="G112" s="1410"/>
      <c r="H112" s="1410"/>
      <c r="I112" s="1410"/>
      <c r="J112" s="1410"/>
      <c r="K112" s="1410"/>
      <c r="L112" s="1410"/>
      <c r="M112" s="1411"/>
      <c r="N112" s="1411"/>
      <c r="O112" s="1075"/>
    </row>
    <row r="113" spans="1:15" ht="15" customHeight="1" x14ac:dyDescent="0.2">
      <c r="A113" s="1076"/>
      <c r="B113" s="1380" t="str">
        <f t="shared" ref="B113:B176" si="3">"Desk " &amp; (ROW(B113)-ROW(B$111))</f>
        <v>Desk 2</v>
      </c>
      <c r="C113" s="1390" t="str">
        <f>IF('TB IMA general'!C87&lt;&gt;"",'TB IMA general'!C87,"")</f>
        <v/>
      </c>
      <c r="D113" s="1126"/>
      <c r="E113" s="1154"/>
      <c r="F113" s="1154"/>
      <c r="G113" s="1154"/>
      <c r="H113" s="1154"/>
      <c r="I113" s="1154"/>
      <c r="J113" s="1154"/>
      <c r="K113" s="1154"/>
      <c r="L113" s="1154"/>
      <c r="M113" s="554"/>
      <c r="N113" s="554"/>
      <c r="O113" s="1075"/>
    </row>
    <row r="114" spans="1:15" ht="15" customHeight="1" x14ac:dyDescent="0.2">
      <c r="A114" s="1076"/>
      <c r="B114" s="1380" t="str">
        <f t="shared" si="3"/>
        <v>Desk 3</v>
      </c>
      <c r="C114" s="1390" t="str">
        <f>IF('TB IMA general'!C88&lt;&gt;"",'TB IMA general'!C88,"")</f>
        <v/>
      </c>
      <c r="D114" s="1126"/>
      <c r="E114" s="1154"/>
      <c r="F114" s="1154"/>
      <c r="G114" s="1154"/>
      <c r="H114" s="1154"/>
      <c r="I114" s="1154"/>
      <c r="J114" s="1154"/>
      <c r="K114" s="1154"/>
      <c r="L114" s="1154"/>
      <c r="M114" s="554"/>
      <c r="N114" s="554"/>
      <c r="O114" s="1075"/>
    </row>
    <row r="115" spans="1:15" ht="15" customHeight="1" x14ac:dyDescent="0.2">
      <c r="A115" s="1076"/>
      <c r="B115" s="1380" t="str">
        <f t="shared" si="3"/>
        <v>Desk 4</v>
      </c>
      <c r="C115" s="1390" t="str">
        <f>IF('TB IMA general'!C89&lt;&gt;"",'TB IMA general'!C89,"")</f>
        <v/>
      </c>
      <c r="D115" s="1126"/>
      <c r="E115" s="1154"/>
      <c r="F115" s="1154"/>
      <c r="G115" s="1154"/>
      <c r="H115" s="1154"/>
      <c r="I115" s="1154"/>
      <c r="J115" s="1154"/>
      <c r="K115" s="1154"/>
      <c r="L115" s="1154"/>
      <c r="M115" s="554"/>
      <c r="N115" s="554"/>
      <c r="O115" s="1075"/>
    </row>
    <row r="116" spans="1:15" ht="15" customHeight="1" x14ac:dyDescent="0.2">
      <c r="A116" s="1076"/>
      <c r="B116" s="1380" t="str">
        <f t="shared" si="3"/>
        <v>Desk 5</v>
      </c>
      <c r="C116" s="1390" t="str">
        <f>IF('TB IMA general'!C90&lt;&gt;"",'TB IMA general'!C90,"")</f>
        <v/>
      </c>
      <c r="D116" s="1126"/>
      <c r="E116" s="1154"/>
      <c r="F116" s="1154"/>
      <c r="G116" s="1154"/>
      <c r="H116" s="1154"/>
      <c r="I116" s="1154"/>
      <c r="J116" s="1154"/>
      <c r="K116" s="1154"/>
      <c r="L116" s="1154"/>
      <c r="M116" s="554"/>
      <c r="N116" s="554"/>
      <c r="O116" s="1075"/>
    </row>
    <row r="117" spans="1:15" ht="15" customHeight="1" x14ac:dyDescent="0.2">
      <c r="A117" s="1076"/>
      <c r="B117" s="1380" t="str">
        <f t="shared" si="3"/>
        <v>Desk 6</v>
      </c>
      <c r="C117" s="1390" t="str">
        <f>IF('TB IMA general'!C91&lt;&gt;"",'TB IMA general'!C91,"")</f>
        <v/>
      </c>
      <c r="D117" s="1126"/>
      <c r="E117" s="1154"/>
      <c r="F117" s="1154"/>
      <c r="G117" s="1154"/>
      <c r="H117" s="1154"/>
      <c r="I117" s="1154"/>
      <c r="J117" s="1154"/>
      <c r="K117" s="1154"/>
      <c r="L117" s="1154"/>
      <c r="M117" s="554"/>
      <c r="N117" s="554"/>
      <c r="O117" s="1075"/>
    </row>
    <row r="118" spans="1:15" ht="15" customHeight="1" x14ac:dyDescent="0.2">
      <c r="A118" s="1076"/>
      <c r="B118" s="1380" t="str">
        <f t="shared" si="3"/>
        <v>Desk 7</v>
      </c>
      <c r="C118" s="1390" t="str">
        <f>IF('TB IMA general'!C92&lt;&gt;"",'TB IMA general'!C92,"")</f>
        <v/>
      </c>
      <c r="D118" s="1126"/>
      <c r="E118" s="1154"/>
      <c r="F118" s="1154"/>
      <c r="G118" s="1154"/>
      <c r="H118" s="1154"/>
      <c r="I118" s="1154"/>
      <c r="J118" s="1154"/>
      <c r="K118" s="1154"/>
      <c r="L118" s="1154"/>
      <c r="M118" s="554"/>
      <c r="N118" s="554"/>
      <c r="O118" s="1075"/>
    </row>
    <row r="119" spans="1:15" ht="15" customHeight="1" x14ac:dyDescent="0.2">
      <c r="A119" s="1076"/>
      <c r="B119" s="1380" t="str">
        <f t="shared" si="3"/>
        <v>Desk 8</v>
      </c>
      <c r="C119" s="1390" t="str">
        <f>IF('TB IMA general'!C93&lt;&gt;"",'TB IMA general'!C93,"")</f>
        <v/>
      </c>
      <c r="D119" s="1126"/>
      <c r="E119" s="1154"/>
      <c r="F119" s="1154"/>
      <c r="G119" s="1154"/>
      <c r="H119" s="1154"/>
      <c r="I119" s="1154"/>
      <c r="J119" s="1154"/>
      <c r="K119" s="1154"/>
      <c r="L119" s="1154"/>
      <c r="M119" s="554"/>
      <c r="N119" s="554"/>
      <c r="O119" s="1075"/>
    </row>
    <row r="120" spans="1:15" ht="15" customHeight="1" x14ac:dyDescent="0.2">
      <c r="A120" s="1076"/>
      <c r="B120" s="1380" t="str">
        <f t="shared" si="3"/>
        <v>Desk 9</v>
      </c>
      <c r="C120" s="1390" t="str">
        <f>IF('TB IMA general'!C94&lt;&gt;"",'TB IMA general'!C94,"")</f>
        <v/>
      </c>
      <c r="D120" s="1126"/>
      <c r="E120" s="1154"/>
      <c r="F120" s="1154"/>
      <c r="G120" s="1154"/>
      <c r="H120" s="1154"/>
      <c r="I120" s="1154"/>
      <c r="J120" s="1154"/>
      <c r="K120" s="1154"/>
      <c r="L120" s="1154"/>
      <c r="M120" s="554"/>
      <c r="N120" s="554"/>
      <c r="O120" s="1075"/>
    </row>
    <row r="121" spans="1:15" ht="15" customHeight="1" x14ac:dyDescent="0.2">
      <c r="A121" s="1076"/>
      <c r="B121" s="1380" t="str">
        <f t="shared" si="3"/>
        <v>Desk 10</v>
      </c>
      <c r="C121" s="1390" t="str">
        <f>IF('TB IMA general'!C95&lt;&gt;"",'TB IMA general'!C95,"")</f>
        <v/>
      </c>
      <c r="D121" s="1126"/>
      <c r="E121" s="1154"/>
      <c r="F121" s="1154"/>
      <c r="G121" s="1154"/>
      <c r="H121" s="1154"/>
      <c r="I121" s="1154"/>
      <c r="J121" s="1154"/>
      <c r="K121" s="1154"/>
      <c r="L121" s="1154"/>
      <c r="M121" s="554"/>
      <c r="N121" s="554"/>
      <c r="O121" s="1075"/>
    </row>
    <row r="122" spans="1:15" ht="15" customHeight="1" x14ac:dyDescent="0.2">
      <c r="A122" s="1076"/>
      <c r="B122" s="1380" t="str">
        <f t="shared" si="3"/>
        <v>Desk 11</v>
      </c>
      <c r="C122" s="1390" t="str">
        <f>IF('TB IMA general'!C96&lt;&gt;"",'TB IMA general'!C96,"")</f>
        <v/>
      </c>
      <c r="D122" s="1126"/>
      <c r="E122" s="1154"/>
      <c r="F122" s="1154"/>
      <c r="G122" s="1154"/>
      <c r="H122" s="1154"/>
      <c r="I122" s="1154"/>
      <c r="J122" s="1154"/>
      <c r="K122" s="1154"/>
      <c r="L122" s="1154"/>
      <c r="M122" s="554"/>
      <c r="N122" s="554"/>
      <c r="O122" s="1075"/>
    </row>
    <row r="123" spans="1:15" ht="15" customHeight="1" x14ac:dyDescent="0.2">
      <c r="A123" s="1076"/>
      <c r="B123" s="1380" t="str">
        <f t="shared" si="3"/>
        <v>Desk 12</v>
      </c>
      <c r="C123" s="1390" t="str">
        <f>IF('TB IMA general'!C97&lt;&gt;"",'TB IMA general'!C97,"")</f>
        <v/>
      </c>
      <c r="D123" s="1126"/>
      <c r="E123" s="1154"/>
      <c r="F123" s="1154"/>
      <c r="G123" s="1154"/>
      <c r="H123" s="1154"/>
      <c r="I123" s="1154"/>
      <c r="J123" s="1154"/>
      <c r="K123" s="1154"/>
      <c r="L123" s="1154"/>
      <c r="M123" s="554"/>
      <c r="N123" s="554"/>
      <c r="O123" s="1075"/>
    </row>
    <row r="124" spans="1:15" ht="15" customHeight="1" x14ac:dyDescent="0.2">
      <c r="A124" s="1076"/>
      <c r="B124" s="1380" t="str">
        <f t="shared" si="3"/>
        <v>Desk 13</v>
      </c>
      <c r="C124" s="1390" t="str">
        <f>IF('TB IMA general'!C98&lt;&gt;"",'TB IMA general'!C98,"")</f>
        <v/>
      </c>
      <c r="D124" s="1126"/>
      <c r="E124" s="1154"/>
      <c r="F124" s="1154"/>
      <c r="G124" s="1154"/>
      <c r="H124" s="1154"/>
      <c r="I124" s="1154"/>
      <c r="J124" s="1154"/>
      <c r="K124" s="1154"/>
      <c r="L124" s="1154"/>
      <c r="M124" s="554"/>
      <c r="N124" s="554"/>
      <c r="O124" s="1075"/>
    </row>
    <row r="125" spans="1:15" ht="15" customHeight="1" x14ac:dyDescent="0.2">
      <c r="A125" s="1076"/>
      <c r="B125" s="1380" t="str">
        <f t="shared" si="3"/>
        <v>Desk 14</v>
      </c>
      <c r="C125" s="1390" t="str">
        <f>IF('TB IMA general'!C99&lt;&gt;"",'TB IMA general'!C99,"")</f>
        <v/>
      </c>
      <c r="D125" s="1126"/>
      <c r="E125" s="1154"/>
      <c r="F125" s="1154"/>
      <c r="G125" s="1154"/>
      <c r="H125" s="1154"/>
      <c r="I125" s="1154"/>
      <c r="J125" s="1154"/>
      <c r="K125" s="1154"/>
      <c r="L125" s="1154"/>
      <c r="M125" s="554"/>
      <c r="N125" s="554"/>
      <c r="O125" s="1075"/>
    </row>
    <row r="126" spans="1:15" ht="15" customHeight="1" x14ac:dyDescent="0.2">
      <c r="A126" s="1076"/>
      <c r="B126" s="1380" t="str">
        <f t="shared" si="3"/>
        <v>Desk 15</v>
      </c>
      <c r="C126" s="1390" t="str">
        <f>IF('TB IMA general'!C100&lt;&gt;"",'TB IMA general'!C100,"")</f>
        <v/>
      </c>
      <c r="D126" s="1126"/>
      <c r="E126" s="1154"/>
      <c r="F126" s="1154"/>
      <c r="G126" s="1154"/>
      <c r="H126" s="1154"/>
      <c r="I126" s="1154"/>
      <c r="J126" s="1154"/>
      <c r="K126" s="1154"/>
      <c r="L126" s="1154"/>
      <c r="M126" s="554"/>
      <c r="N126" s="554"/>
      <c r="O126" s="1075"/>
    </row>
    <row r="127" spans="1:15" ht="15" customHeight="1" x14ac:dyDescent="0.2">
      <c r="A127" s="1076"/>
      <c r="B127" s="1380" t="str">
        <f t="shared" si="3"/>
        <v>Desk 16</v>
      </c>
      <c r="C127" s="1390" t="str">
        <f>IF('TB IMA general'!C101&lt;&gt;"",'TB IMA general'!C101,"")</f>
        <v/>
      </c>
      <c r="D127" s="1126"/>
      <c r="E127" s="1154"/>
      <c r="F127" s="1154"/>
      <c r="G127" s="1154"/>
      <c r="H127" s="1154"/>
      <c r="I127" s="1154"/>
      <c r="J127" s="1154"/>
      <c r="K127" s="1154"/>
      <c r="L127" s="1154"/>
      <c r="M127" s="554"/>
      <c r="N127" s="554"/>
      <c r="O127" s="1075"/>
    </row>
    <row r="128" spans="1:15" ht="15" customHeight="1" x14ac:dyDescent="0.2">
      <c r="A128" s="1076"/>
      <c r="B128" s="1380" t="str">
        <f t="shared" si="3"/>
        <v>Desk 17</v>
      </c>
      <c r="C128" s="1390" t="str">
        <f>IF('TB IMA general'!C102&lt;&gt;"",'TB IMA general'!C102,"")</f>
        <v/>
      </c>
      <c r="D128" s="1126"/>
      <c r="E128" s="1154"/>
      <c r="F128" s="1154"/>
      <c r="G128" s="1154"/>
      <c r="H128" s="1154"/>
      <c r="I128" s="1154"/>
      <c r="J128" s="1154"/>
      <c r="K128" s="1154"/>
      <c r="L128" s="1154"/>
      <c r="M128" s="554"/>
      <c r="N128" s="554"/>
      <c r="O128" s="1075"/>
    </row>
    <row r="129" spans="1:15" ht="15" customHeight="1" x14ac:dyDescent="0.2">
      <c r="A129" s="1076"/>
      <c r="B129" s="1380" t="str">
        <f t="shared" si="3"/>
        <v>Desk 18</v>
      </c>
      <c r="C129" s="1390" t="str">
        <f>IF('TB IMA general'!C103&lt;&gt;"",'TB IMA general'!C103,"")</f>
        <v/>
      </c>
      <c r="D129" s="1126"/>
      <c r="E129" s="1154"/>
      <c r="F129" s="1154"/>
      <c r="G129" s="1154"/>
      <c r="H129" s="1154"/>
      <c r="I129" s="1154"/>
      <c r="J129" s="1154"/>
      <c r="K129" s="1154"/>
      <c r="L129" s="1154"/>
      <c r="M129" s="554"/>
      <c r="N129" s="554"/>
      <c r="O129" s="1075"/>
    </row>
    <row r="130" spans="1:15" ht="15" customHeight="1" x14ac:dyDescent="0.2">
      <c r="A130" s="1076"/>
      <c r="B130" s="1380" t="str">
        <f t="shared" si="3"/>
        <v>Desk 19</v>
      </c>
      <c r="C130" s="1390" t="str">
        <f>IF('TB IMA general'!C104&lt;&gt;"",'TB IMA general'!C104,"")</f>
        <v/>
      </c>
      <c r="D130" s="1126"/>
      <c r="E130" s="1154"/>
      <c r="F130" s="1154"/>
      <c r="G130" s="1154"/>
      <c r="H130" s="1154"/>
      <c r="I130" s="1154"/>
      <c r="J130" s="1154"/>
      <c r="K130" s="1154"/>
      <c r="L130" s="1154"/>
      <c r="M130" s="554"/>
      <c r="N130" s="554"/>
      <c r="O130" s="1075"/>
    </row>
    <row r="131" spans="1:15" ht="15" customHeight="1" x14ac:dyDescent="0.2">
      <c r="A131" s="1076"/>
      <c r="B131" s="1380" t="str">
        <f t="shared" si="3"/>
        <v>Desk 20</v>
      </c>
      <c r="C131" s="1390" t="str">
        <f>IF('TB IMA general'!C105&lt;&gt;"",'TB IMA general'!C105,"")</f>
        <v/>
      </c>
      <c r="D131" s="1126"/>
      <c r="E131" s="1154"/>
      <c r="F131" s="1154"/>
      <c r="G131" s="1154"/>
      <c r="H131" s="1154"/>
      <c r="I131" s="1154"/>
      <c r="J131" s="1154"/>
      <c r="K131" s="1154"/>
      <c r="L131" s="1154"/>
      <c r="M131" s="554"/>
      <c r="N131" s="554"/>
      <c r="O131" s="1075"/>
    </row>
    <row r="132" spans="1:15" ht="15" customHeight="1" x14ac:dyDescent="0.2">
      <c r="A132" s="1076"/>
      <c r="B132" s="1380" t="str">
        <f t="shared" si="3"/>
        <v>Desk 21</v>
      </c>
      <c r="C132" s="1390" t="str">
        <f>IF('TB IMA general'!C106&lt;&gt;"",'TB IMA general'!C106,"")</f>
        <v/>
      </c>
      <c r="D132" s="1126"/>
      <c r="E132" s="1154"/>
      <c r="F132" s="1154"/>
      <c r="G132" s="1154"/>
      <c r="H132" s="1154"/>
      <c r="I132" s="1154"/>
      <c r="J132" s="1154"/>
      <c r="K132" s="1154"/>
      <c r="L132" s="1154"/>
      <c r="M132" s="554"/>
      <c r="N132" s="554"/>
      <c r="O132" s="1075"/>
    </row>
    <row r="133" spans="1:15" ht="15" customHeight="1" x14ac:dyDescent="0.2">
      <c r="A133" s="1076"/>
      <c r="B133" s="1380" t="str">
        <f t="shared" si="3"/>
        <v>Desk 22</v>
      </c>
      <c r="C133" s="1390" t="str">
        <f>IF('TB IMA general'!C107&lt;&gt;"",'TB IMA general'!C107,"")</f>
        <v/>
      </c>
      <c r="D133" s="1126"/>
      <c r="E133" s="1154"/>
      <c r="F133" s="1154"/>
      <c r="G133" s="1154"/>
      <c r="H133" s="1154"/>
      <c r="I133" s="1154"/>
      <c r="J133" s="1154"/>
      <c r="K133" s="1154"/>
      <c r="L133" s="1154"/>
      <c r="M133" s="554"/>
      <c r="N133" s="554"/>
      <c r="O133" s="1075"/>
    </row>
    <row r="134" spans="1:15" ht="15" customHeight="1" x14ac:dyDescent="0.2">
      <c r="A134" s="1076"/>
      <c r="B134" s="1380" t="str">
        <f t="shared" si="3"/>
        <v>Desk 23</v>
      </c>
      <c r="C134" s="1390" t="str">
        <f>IF('TB IMA general'!C108&lt;&gt;"",'TB IMA general'!C108,"")</f>
        <v/>
      </c>
      <c r="D134" s="1126"/>
      <c r="E134" s="1154"/>
      <c r="F134" s="1154"/>
      <c r="G134" s="1154"/>
      <c r="H134" s="1154"/>
      <c r="I134" s="1154"/>
      <c r="J134" s="1154"/>
      <c r="K134" s="1154"/>
      <c r="L134" s="1154"/>
      <c r="M134" s="554"/>
      <c r="N134" s="554"/>
      <c r="O134" s="1075"/>
    </row>
    <row r="135" spans="1:15" ht="15" customHeight="1" x14ac:dyDescent="0.2">
      <c r="A135" s="1076"/>
      <c r="B135" s="1380" t="str">
        <f t="shared" si="3"/>
        <v>Desk 24</v>
      </c>
      <c r="C135" s="1390" t="str">
        <f>IF('TB IMA general'!C109&lt;&gt;"",'TB IMA general'!C109,"")</f>
        <v/>
      </c>
      <c r="D135" s="1126"/>
      <c r="E135" s="1154"/>
      <c r="F135" s="1154"/>
      <c r="G135" s="1154"/>
      <c r="H135" s="1154"/>
      <c r="I135" s="1154"/>
      <c r="J135" s="1154"/>
      <c r="K135" s="1154"/>
      <c r="L135" s="1154"/>
      <c r="M135" s="554"/>
      <c r="N135" s="554"/>
      <c r="O135" s="1075"/>
    </row>
    <row r="136" spans="1:15" ht="15" customHeight="1" x14ac:dyDescent="0.2">
      <c r="A136" s="1076"/>
      <c r="B136" s="1380" t="str">
        <f t="shared" si="3"/>
        <v>Desk 25</v>
      </c>
      <c r="C136" s="1390" t="str">
        <f>IF('TB IMA general'!C110&lt;&gt;"",'TB IMA general'!C110,"")</f>
        <v/>
      </c>
      <c r="D136" s="1126"/>
      <c r="E136" s="1154"/>
      <c r="F136" s="1154"/>
      <c r="G136" s="1154"/>
      <c r="H136" s="1154"/>
      <c r="I136" s="1154"/>
      <c r="J136" s="1154"/>
      <c r="K136" s="1154"/>
      <c r="L136" s="1154"/>
      <c r="M136" s="554"/>
      <c r="N136" s="554"/>
      <c r="O136" s="1075"/>
    </row>
    <row r="137" spans="1:15" ht="15" customHeight="1" x14ac:dyDescent="0.2">
      <c r="A137" s="1076"/>
      <c r="B137" s="1380" t="str">
        <f t="shared" si="3"/>
        <v>Desk 26</v>
      </c>
      <c r="C137" s="1390" t="str">
        <f>IF('TB IMA general'!C111&lt;&gt;"",'TB IMA general'!C111,"")</f>
        <v/>
      </c>
      <c r="D137" s="1126"/>
      <c r="E137" s="1154"/>
      <c r="F137" s="1154"/>
      <c r="G137" s="1154"/>
      <c r="H137" s="1154"/>
      <c r="I137" s="1154"/>
      <c r="J137" s="1154"/>
      <c r="K137" s="1154"/>
      <c r="L137" s="1154"/>
      <c r="M137" s="554"/>
      <c r="N137" s="554"/>
      <c r="O137" s="1075"/>
    </row>
    <row r="138" spans="1:15" ht="15" customHeight="1" x14ac:dyDescent="0.2">
      <c r="A138" s="1076"/>
      <c r="B138" s="1380" t="str">
        <f t="shared" si="3"/>
        <v>Desk 27</v>
      </c>
      <c r="C138" s="1390" t="str">
        <f>IF('TB IMA general'!C112&lt;&gt;"",'TB IMA general'!C112,"")</f>
        <v/>
      </c>
      <c r="D138" s="1126"/>
      <c r="E138" s="1154"/>
      <c r="F138" s="1154"/>
      <c r="G138" s="1154"/>
      <c r="H138" s="1154"/>
      <c r="I138" s="1154"/>
      <c r="J138" s="1154"/>
      <c r="K138" s="1154"/>
      <c r="L138" s="1154"/>
      <c r="M138" s="554"/>
      <c r="N138" s="554"/>
      <c r="O138" s="1075"/>
    </row>
    <row r="139" spans="1:15" ht="15" customHeight="1" x14ac:dyDescent="0.2">
      <c r="A139" s="1076"/>
      <c r="B139" s="1380" t="str">
        <f t="shared" si="3"/>
        <v>Desk 28</v>
      </c>
      <c r="C139" s="1390" t="str">
        <f>IF('TB IMA general'!C113&lt;&gt;"",'TB IMA general'!C113,"")</f>
        <v/>
      </c>
      <c r="D139" s="1126"/>
      <c r="E139" s="1154"/>
      <c r="F139" s="1154"/>
      <c r="G139" s="1154"/>
      <c r="H139" s="1154"/>
      <c r="I139" s="1154"/>
      <c r="J139" s="1154"/>
      <c r="K139" s="1154"/>
      <c r="L139" s="1154"/>
      <c r="M139" s="554"/>
      <c r="N139" s="554"/>
      <c r="O139" s="1075"/>
    </row>
    <row r="140" spans="1:15" ht="15" customHeight="1" x14ac:dyDescent="0.2">
      <c r="A140" s="1076"/>
      <c r="B140" s="1380" t="str">
        <f t="shared" si="3"/>
        <v>Desk 29</v>
      </c>
      <c r="C140" s="1390" t="str">
        <f>IF('TB IMA general'!C114&lt;&gt;"",'TB IMA general'!C114,"")</f>
        <v/>
      </c>
      <c r="D140" s="1126"/>
      <c r="E140" s="1154"/>
      <c r="F140" s="1154"/>
      <c r="G140" s="1154"/>
      <c r="H140" s="1154"/>
      <c r="I140" s="1154"/>
      <c r="J140" s="1154"/>
      <c r="K140" s="1154"/>
      <c r="L140" s="1154"/>
      <c r="M140" s="554"/>
      <c r="N140" s="554"/>
      <c r="O140" s="1075"/>
    </row>
    <row r="141" spans="1:15" ht="15" customHeight="1" x14ac:dyDescent="0.2">
      <c r="A141" s="1076"/>
      <c r="B141" s="1380" t="str">
        <f t="shared" si="3"/>
        <v>Desk 30</v>
      </c>
      <c r="C141" s="1390" t="str">
        <f>IF('TB IMA general'!C115&lt;&gt;"",'TB IMA general'!C115,"")</f>
        <v/>
      </c>
      <c r="D141" s="1126"/>
      <c r="E141" s="1154"/>
      <c r="F141" s="1154"/>
      <c r="G141" s="1154"/>
      <c r="H141" s="1154"/>
      <c r="I141" s="1154"/>
      <c r="J141" s="1154"/>
      <c r="K141" s="1154"/>
      <c r="L141" s="1154"/>
      <c r="M141" s="554"/>
      <c r="N141" s="554"/>
      <c r="O141" s="1075"/>
    </row>
    <row r="142" spans="1:15" ht="15" customHeight="1" x14ac:dyDescent="0.2">
      <c r="A142" s="1076"/>
      <c r="B142" s="1380" t="str">
        <f t="shared" si="3"/>
        <v>Desk 31</v>
      </c>
      <c r="C142" s="1390" t="str">
        <f>IF('TB IMA general'!C116&lt;&gt;"",'TB IMA general'!C116,"")</f>
        <v/>
      </c>
      <c r="D142" s="1126"/>
      <c r="E142" s="1154"/>
      <c r="F142" s="1154"/>
      <c r="G142" s="1154"/>
      <c r="H142" s="1154"/>
      <c r="I142" s="1154"/>
      <c r="J142" s="1154"/>
      <c r="K142" s="1154"/>
      <c r="L142" s="1154"/>
      <c r="M142" s="554"/>
      <c r="N142" s="554"/>
      <c r="O142" s="1075"/>
    </row>
    <row r="143" spans="1:15" ht="15" customHeight="1" x14ac:dyDescent="0.2">
      <c r="A143" s="1076"/>
      <c r="B143" s="1380" t="str">
        <f t="shared" si="3"/>
        <v>Desk 32</v>
      </c>
      <c r="C143" s="1390" t="str">
        <f>IF('TB IMA general'!C117&lt;&gt;"",'TB IMA general'!C117,"")</f>
        <v/>
      </c>
      <c r="D143" s="1126"/>
      <c r="E143" s="1154"/>
      <c r="F143" s="1154"/>
      <c r="G143" s="1154"/>
      <c r="H143" s="1154"/>
      <c r="I143" s="1154"/>
      <c r="J143" s="1154"/>
      <c r="K143" s="1154"/>
      <c r="L143" s="1154"/>
      <c r="M143" s="554"/>
      <c r="N143" s="554"/>
      <c r="O143" s="1075"/>
    </row>
    <row r="144" spans="1:15" ht="15" customHeight="1" x14ac:dyDescent="0.2">
      <c r="A144" s="1076"/>
      <c r="B144" s="1380" t="str">
        <f t="shared" si="3"/>
        <v>Desk 33</v>
      </c>
      <c r="C144" s="1390" t="str">
        <f>IF('TB IMA general'!C118&lt;&gt;"",'TB IMA general'!C118,"")</f>
        <v/>
      </c>
      <c r="D144" s="1126"/>
      <c r="E144" s="1154"/>
      <c r="F144" s="1154"/>
      <c r="G144" s="1154"/>
      <c r="H144" s="1154"/>
      <c r="I144" s="1154"/>
      <c r="J144" s="1154"/>
      <c r="K144" s="1154"/>
      <c r="L144" s="1154"/>
      <c r="M144" s="554"/>
      <c r="N144" s="554"/>
      <c r="O144" s="1075"/>
    </row>
    <row r="145" spans="1:15" ht="15" customHeight="1" x14ac:dyDescent="0.2">
      <c r="A145" s="1076"/>
      <c r="B145" s="1380" t="str">
        <f t="shared" si="3"/>
        <v>Desk 34</v>
      </c>
      <c r="C145" s="1390" t="str">
        <f>IF('TB IMA general'!C119&lt;&gt;"",'TB IMA general'!C119,"")</f>
        <v/>
      </c>
      <c r="D145" s="1126"/>
      <c r="E145" s="1154"/>
      <c r="F145" s="1154"/>
      <c r="G145" s="1154"/>
      <c r="H145" s="1154"/>
      <c r="I145" s="1154"/>
      <c r="J145" s="1154"/>
      <c r="K145" s="1154"/>
      <c r="L145" s="1154"/>
      <c r="M145" s="554"/>
      <c r="N145" s="554"/>
      <c r="O145" s="1075"/>
    </row>
    <row r="146" spans="1:15" ht="15" customHeight="1" x14ac:dyDescent="0.2">
      <c r="A146" s="1076"/>
      <c r="B146" s="1380" t="str">
        <f t="shared" si="3"/>
        <v>Desk 35</v>
      </c>
      <c r="C146" s="1390" t="str">
        <f>IF('TB IMA general'!C120&lt;&gt;"",'TB IMA general'!C120,"")</f>
        <v/>
      </c>
      <c r="D146" s="1126"/>
      <c r="E146" s="1154"/>
      <c r="F146" s="1154"/>
      <c r="G146" s="1154"/>
      <c r="H146" s="1154"/>
      <c r="I146" s="1154"/>
      <c r="J146" s="1154"/>
      <c r="K146" s="1154"/>
      <c r="L146" s="1154"/>
      <c r="M146" s="554"/>
      <c r="N146" s="554"/>
      <c r="O146" s="1075"/>
    </row>
    <row r="147" spans="1:15" ht="15" customHeight="1" x14ac:dyDescent="0.2">
      <c r="A147" s="1076"/>
      <c r="B147" s="1380" t="str">
        <f t="shared" si="3"/>
        <v>Desk 36</v>
      </c>
      <c r="C147" s="1390" t="str">
        <f>IF('TB IMA general'!C121&lt;&gt;"",'TB IMA general'!C121,"")</f>
        <v/>
      </c>
      <c r="D147" s="1126"/>
      <c r="E147" s="1154"/>
      <c r="F147" s="1154"/>
      <c r="G147" s="1154"/>
      <c r="H147" s="1154"/>
      <c r="I147" s="1154"/>
      <c r="J147" s="1154"/>
      <c r="K147" s="1154"/>
      <c r="L147" s="1154"/>
      <c r="M147" s="554"/>
      <c r="N147" s="554"/>
      <c r="O147" s="1075"/>
    </row>
    <row r="148" spans="1:15" ht="15" customHeight="1" x14ac:dyDescent="0.2">
      <c r="A148" s="1076"/>
      <c r="B148" s="1380" t="str">
        <f t="shared" si="3"/>
        <v>Desk 37</v>
      </c>
      <c r="C148" s="1390" t="str">
        <f>IF('TB IMA general'!C122&lt;&gt;"",'TB IMA general'!C122,"")</f>
        <v/>
      </c>
      <c r="D148" s="1126"/>
      <c r="E148" s="1154"/>
      <c r="F148" s="1154"/>
      <c r="G148" s="1154"/>
      <c r="H148" s="1154"/>
      <c r="I148" s="1154"/>
      <c r="J148" s="1154"/>
      <c r="K148" s="1154"/>
      <c r="L148" s="1154"/>
      <c r="M148" s="554"/>
      <c r="N148" s="554"/>
      <c r="O148" s="1075"/>
    </row>
    <row r="149" spans="1:15" ht="15" customHeight="1" x14ac:dyDescent="0.2">
      <c r="A149" s="1076"/>
      <c r="B149" s="1380" t="str">
        <f t="shared" si="3"/>
        <v>Desk 38</v>
      </c>
      <c r="C149" s="1390" t="str">
        <f>IF('TB IMA general'!C123&lt;&gt;"",'TB IMA general'!C123,"")</f>
        <v/>
      </c>
      <c r="D149" s="1126"/>
      <c r="E149" s="1154"/>
      <c r="F149" s="1154"/>
      <c r="G149" s="1154"/>
      <c r="H149" s="1154"/>
      <c r="I149" s="1154"/>
      <c r="J149" s="1154"/>
      <c r="K149" s="1154"/>
      <c r="L149" s="1154"/>
      <c r="M149" s="554"/>
      <c r="N149" s="554"/>
      <c r="O149" s="1075"/>
    </row>
    <row r="150" spans="1:15" ht="15" customHeight="1" x14ac:dyDescent="0.2">
      <c r="A150" s="1076"/>
      <c r="B150" s="1380" t="str">
        <f t="shared" si="3"/>
        <v>Desk 39</v>
      </c>
      <c r="C150" s="1390" t="str">
        <f>IF('TB IMA general'!C124&lt;&gt;"",'TB IMA general'!C124,"")</f>
        <v/>
      </c>
      <c r="D150" s="1126"/>
      <c r="E150" s="1154"/>
      <c r="F150" s="1154"/>
      <c r="G150" s="1154"/>
      <c r="H150" s="1154"/>
      <c r="I150" s="1154"/>
      <c r="J150" s="1154"/>
      <c r="K150" s="1154"/>
      <c r="L150" s="1154"/>
      <c r="M150" s="554"/>
      <c r="N150" s="554"/>
      <c r="O150" s="1075"/>
    </row>
    <row r="151" spans="1:15" ht="15" customHeight="1" x14ac:dyDescent="0.2">
      <c r="A151" s="1076"/>
      <c r="B151" s="1380" t="str">
        <f t="shared" si="3"/>
        <v>Desk 40</v>
      </c>
      <c r="C151" s="1390" t="str">
        <f>IF('TB IMA general'!C125&lt;&gt;"",'TB IMA general'!C125,"")</f>
        <v/>
      </c>
      <c r="D151" s="1126"/>
      <c r="E151" s="1154"/>
      <c r="F151" s="1154"/>
      <c r="G151" s="1154"/>
      <c r="H151" s="1154"/>
      <c r="I151" s="1154"/>
      <c r="J151" s="1154"/>
      <c r="K151" s="1154"/>
      <c r="L151" s="1154"/>
      <c r="M151" s="554"/>
      <c r="N151" s="554"/>
      <c r="O151" s="1075"/>
    </row>
    <row r="152" spans="1:15" ht="15" customHeight="1" x14ac:dyDescent="0.2">
      <c r="A152" s="1076"/>
      <c r="B152" s="1380" t="str">
        <f t="shared" si="3"/>
        <v>Desk 41</v>
      </c>
      <c r="C152" s="1390" t="str">
        <f>IF('TB IMA general'!C126&lt;&gt;"",'TB IMA general'!C126,"")</f>
        <v/>
      </c>
      <c r="D152" s="1126"/>
      <c r="E152" s="1154"/>
      <c r="F152" s="1154"/>
      <c r="G152" s="1154"/>
      <c r="H152" s="1154"/>
      <c r="I152" s="1154"/>
      <c r="J152" s="1154"/>
      <c r="K152" s="1154"/>
      <c r="L152" s="1154"/>
      <c r="M152" s="554"/>
      <c r="N152" s="554"/>
      <c r="O152" s="1075"/>
    </row>
    <row r="153" spans="1:15" ht="15" customHeight="1" x14ac:dyDescent="0.2">
      <c r="A153" s="1076"/>
      <c r="B153" s="1380" t="str">
        <f t="shared" si="3"/>
        <v>Desk 42</v>
      </c>
      <c r="C153" s="1390" t="str">
        <f>IF('TB IMA general'!C127&lt;&gt;"",'TB IMA general'!C127,"")</f>
        <v/>
      </c>
      <c r="D153" s="1126"/>
      <c r="E153" s="1154"/>
      <c r="F153" s="1154"/>
      <c r="G153" s="1154"/>
      <c r="H153" s="1154"/>
      <c r="I153" s="1154"/>
      <c r="J153" s="1154"/>
      <c r="K153" s="1154"/>
      <c r="L153" s="1154"/>
      <c r="M153" s="554"/>
      <c r="N153" s="554"/>
      <c r="O153" s="1075"/>
    </row>
    <row r="154" spans="1:15" ht="15" customHeight="1" x14ac:dyDescent="0.2">
      <c r="A154" s="1076"/>
      <c r="B154" s="1380" t="str">
        <f t="shared" si="3"/>
        <v>Desk 43</v>
      </c>
      <c r="C154" s="1390" t="str">
        <f>IF('TB IMA general'!C128&lt;&gt;"",'TB IMA general'!C128,"")</f>
        <v/>
      </c>
      <c r="D154" s="1126"/>
      <c r="E154" s="1154"/>
      <c r="F154" s="1154"/>
      <c r="G154" s="1154"/>
      <c r="H154" s="1154"/>
      <c r="I154" s="1154"/>
      <c r="J154" s="1154"/>
      <c r="K154" s="1154"/>
      <c r="L154" s="1154"/>
      <c r="M154" s="554"/>
      <c r="N154" s="554"/>
      <c r="O154" s="1075"/>
    </row>
    <row r="155" spans="1:15" ht="15" customHeight="1" x14ac:dyDescent="0.2">
      <c r="A155" s="1076"/>
      <c r="B155" s="1380" t="str">
        <f t="shared" si="3"/>
        <v>Desk 44</v>
      </c>
      <c r="C155" s="1390" t="str">
        <f>IF('TB IMA general'!C129&lt;&gt;"",'TB IMA general'!C129,"")</f>
        <v/>
      </c>
      <c r="D155" s="1126"/>
      <c r="E155" s="1154"/>
      <c r="F155" s="1154"/>
      <c r="G155" s="1154"/>
      <c r="H155" s="1154"/>
      <c r="I155" s="1154"/>
      <c r="J155" s="1154"/>
      <c r="K155" s="1154"/>
      <c r="L155" s="1154"/>
      <c r="M155" s="554"/>
      <c r="N155" s="554"/>
      <c r="O155" s="1075"/>
    </row>
    <row r="156" spans="1:15" ht="15" customHeight="1" x14ac:dyDescent="0.2">
      <c r="A156" s="1076"/>
      <c r="B156" s="1380" t="str">
        <f t="shared" si="3"/>
        <v>Desk 45</v>
      </c>
      <c r="C156" s="1390" t="str">
        <f>IF('TB IMA general'!C130&lt;&gt;"",'TB IMA general'!C130,"")</f>
        <v/>
      </c>
      <c r="D156" s="1126"/>
      <c r="E156" s="1154"/>
      <c r="F156" s="1154"/>
      <c r="G156" s="1154"/>
      <c r="H156" s="1154"/>
      <c r="I156" s="1154"/>
      <c r="J156" s="1154"/>
      <c r="K156" s="1154"/>
      <c r="L156" s="1154"/>
      <c r="M156" s="554"/>
      <c r="N156" s="554"/>
      <c r="O156" s="1075"/>
    </row>
    <row r="157" spans="1:15" ht="15" customHeight="1" x14ac:dyDescent="0.2">
      <c r="A157" s="1076"/>
      <c r="B157" s="1380" t="str">
        <f t="shared" si="3"/>
        <v>Desk 46</v>
      </c>
      <c r="C157" s="1390" t="str">
        <f>IF('TB IMA general'!C131&lt;&gt;"",'TB IMA general'!C131,"")</f>
        <v/>
      </c>
      <c r="D157" s="1126"/>
      <c r="E157" s="1154"/>
      <c r="F157" s="1154"/>
      <c r="G157" s="1154"/>
      <c r="H157" s="1154"/>
      <c r="I157" s="1154"/>
      <c r="J157" s="1154"/>
      <c r="K157" s="1154"/>
      <c r="L157" s="1154"/>
      <c r="M157" s="554"/>
      <c r="N157" s="554"/>
      <c r="O157" s="1075"/>
    </row>
    <row r="158" spans="1:15" ht="15" customHeight="1" x14ac:dyDescent="0.2">
      <c r="A158" s="1076"/>
      <c r="B158" s="1380" t="str">
        <f t="shared" si="3"/>
        <v>Desk 47</v>
      </c>
      <c r="C158" s="1390" t="str">
        <f>IF('TB IMA general'!C132&lt;&gt;"",'TB IMA general'!C132,"")</f>
        <v/>
      </c>
      <c r="D158" s="1126"/>
      <c r="E158" s="1154"/>
      <c r="F158" s="1154"/>
      <c r="G158" s="1154"/>
      <c r="H158" s="1154"/>
      <c r="I158" s="1154"/>
      <c r="J158" s="1154"/>
      <c r="K158" s="1154"/>
      <c r="L158" s="1154"/>
      <c r="M158" s="554"/>
      <c r="N158" s="554"/>
      <c r="O158" s="1075"/>
    </row>
    <row r="159" spans="1:15" ht="15" customHeight="1" x14ac:dyDescent="0.2">
      <c r="A159" s="1076"/>
      <c r="B159" s="1380" t="str">
        <f t="shared" si="3"/>
        <v>Desk 48</v>
      </c>
      <c r="C159" s="1390" t="str">
        <f>IF('TB IMA general'!C133&lt;&gt;"",'TB IMA general'!C133,"")</f>
        <v/>
      </c>
      <c r="D159" s="1126"/>
      <c r="E159" s="1154"/>
      <c r="F159" s="1154"/>
      <c r="G159" s="1154"/>
      <c r="H159" s="1154"/>
      <c r="I159" s="1154"/>
      <c r="J159" s="1154"/>
      <c r="K159" s="1154"/>
      <c r="L159" s="1154"/>
      <c r="M159" s="554"/>
      <c r="N159" s="554"/>
      <c r="O159" s="1075"/>
    </row>
    <row r="160" spans="1:15" ht="15" customHeight="1" x14ac:dyDescent="0.2">
      <c r="A160" s="1076"/>
      <c r="B160" s="1380" t="str">
        <f t="shared" si="3"/>
        <v>Desk 49</v>
      </c>
      <c r="C160" s="1390" t="str">
        <f>IF('TB IMA general'!C134&lt;&gt;"",'TB IMA general'!C134,"")</f>
        <v/>
      </c>
      <c r="D160" s="1126"/>
      <c r="E160" s="1154"/>
      <c r="F160" s="1154"/>
      <c r="G160" s="1154"/>
      <c r="H160" s="1154"/>
      <c r="I160" s="1154"/>
      <c r="J160" s="1154"/>
      <c r="K160" s="1154"/>
      <c r="L160" s="1154"/>
      <c r="M160" s="554"/>
      <c r="N160" s="554"/>
      <c r="O160" s="1075"/>
    </row>
    <row r="161" spans="1:15" ht="15" customHeight="1" x14ac:dyDescent="0.2">
      <c r="A161" s="1076"/>
      <c r="B161" s="1380" t="str">
        <f t="shared" si="3"/>
        <v>Desk 50</v>
      </c>
      <c r="C161" s="1390" t="str">
        <f>IF('TB IMA general'!C135&lt;&gt;"",'TB IMA general'!C135,"")</f>
        <v/>
      </c>
      <c r="D161" s="1126"/>
      <c r="E161" s="1154"/>
      <c r="F161" s="1154"/>
      <c r="G161" s="1154"/>
      <c r="H161" s="1154"/>
      <c r="I161" s="1154"/>
      <c r="J161" s="1154"/>
      <c r="K161" s="1154"/>
      <c r="L161" s="1154"/>
      <c r="M161" s="554"/>
      <c r="N161" s="554"/>
      <c r="O161" s="1075"/>
    </row>
    <row r="162" spans="1:15" ht="15" customHeight="1" x14ac:dyDescent="0.2">
      <c r="A162" s="1076"/>
      <c r="B162" s="1380" t="str">
        <f t="shared" si="3"/>
        <v>Desk 51</v>
      </c>
      <c r="C162" s="1390" t="str">
        <f>IF('TB IMA general'!C136&lt;&gt;"",'TB IMA general'!C136,"")</f>
        <v/>
      </c>
      <c r="D162" s="1126"/>
      <c r="E162" s="1154"/>
      <c r="F162" s="1154"/>
      <c r="G162" s="1154"/>
      <c r="H162" s="1154"/>
      <c r="I162" s="1154"/>
      <c r="J162" s="1154"/>
      <c r="K162" s="1154"/>
      <c r="L162" s="1154"/>
      <c r="M162" s="554"/>
      <c r="N162" s="554"/>
      <c r="O162" s="1075"/>
    </row>
    <row r="163" spans="1:15" ht="15" customHeight="1" x14ac:dyDescent="0.2">
      <c r="A163" s="1076"/>
      <c r="B163" s="1380" t="str">
        <f t="shared" si="3"/>
        <v>Desk 52</v>
      </c>
      <c r="C163" s="1390" t="str">
        <f>IF('TB IMA general'!C137&lt;&gt;"",'TB IMA general'!C137,"")</f>
        <v/>
      </c>
      <c r="D163" s="1126"/>
      <c r="E163" s="1154"/>
      <c r="F163" s="1154"/>
      <c r="G163" s="1154"/>
      <c r="H163" s="1154"/>
      <c r="I163" s="1154"/>
      <c r="J163" s="1154"/>
      <c r="K163" s="1154"/>
      <c r="L163" s="1154"/>
      <c r="M163" s="554"/>
      <c r="N163" s="554"/>
      <c r="O163" s="1075"/>
    </row>
    <row r="164" spans="1:15" ht="15" customHeight="1" x14ac:dyDescent="0.2">
      <c r="A164" s="1076"/>
      <c r="B164" s="1380" t="str">
        <f t="shared" si="3"/>
        <v>Desk 53</v>
      </c>
      <c r="C164" s="1390" t="str">
        <f>IF('TB IMA general'!C138&lt;&gt;"",'TB IMA general'!C138,"")</f>
        <v/>
      </c>
      <c r="D164" s="1126"/>
      <c r="E164" s="1154"/>
      <c r="F164" s="1154"/>
      <c r="G164" s="1154"/>
      <c r="H164" s="1154"/>
      <c r="I164" s="1154"/>
      <c r="J164" s="1154"/>
      <c r="K164" s="1154"/>
      <c r="L164" s="1154"/>
      <c r="M164" s="554"/>
      <c r="N164" s="554"/>
      <c r="O164" s="1075"/>
    </row>
    <row r="165" spans="1:15" ht="15" customHeight="1" x14ac:dyDescent="0.2">
      <c r="A165" s="1076"/>
      <c r="B165" s="1380" t="str">
        <f t="shared" si="3"/>
        <v>Desk 54</v>
      </c>
      <c r="C165" s="1390" t="str">
        <f>IF('TB IMA general'!C139&lt;&gt;"",'TB IMA general'!C139,"")</f>
        <v/>
      </c>
      <c r="D165" s="1126"/>
      <c r="E165" s="1154"/>
      <c r="F165" s="1154"/>
      <c r="G165" s="1154"/>
      <c r="H165" s="1154"/>
      <c r="I165" s="1154"/>
      <c r="J165" s="1154"/>
      <c r="K165" s="1154"/>
      <c r="L165" s="1154"/>
      <c r="M165" s="554"/>
      <c r="N165" s="554"/>
      <c r="O165" s="1075"/>
    </row>
    <row r="166" spans="1:15" ht="15" customHeight="1" x14ac:dyDescent="0.2">
      <c r="A166" s="1076"/>
      <c r="B166" s="1380" t="str">
        <f t="shared" si="3"/>
        <v>Desk 55</v>
      </c>
      <c r="C166" s="1390" t="str">
        <f>IF('TB IMA general'!C140&lt;&gt;"",'TB IMA general'!C140,"")</f>
        <v/>
      </c>
      <c r="D166" s="1126"/>
      <c r="E166" s="1154"/>
      <c r="F166" s="1154"/>
      <c r="G166" s="1154"/>
      <c r="H166" s="1154"/>
      <c r="I166" s="1154"/>
      <c r="J166" s="1154"/>
      <c r="K166" s="1154"/>
      <c r="L166" s="1154"/>
      <c r="M166" s="554"/>
      <c r="N166" s="554"/>
      <c r="O166" s="1075"/>
    </row>
    <row r="167" spans="1:15" ht="15" customHeight="1" x14ac:dyDescent="0.2">
      <c r="A167" s="1076"/>
      <c r="B167" s="1380" t="str">
        <f t="shared" si="3"/>
        <v>Desk 56</v>
      </c>
      <c r="C167" s="1390" t="str">
        <f>IF('TB IMA general'!C141&lt;&gt;"",'TB IMA general'!C141,"")</f>
        <v/>
      </c>
      <c r="D167" s="1126"/>
      <c r="E167" s="1154"/>
      <c r="F167" s="1154"/>
      <c r="G167" s="1154"/>
      <c r="H167" s="1154"/>
      <c r="I167" s="1154"/>
      <c r="J167" s="1154"/>
      <c r="K167" s="1154"/>
      <c r="L167" s="1154"/>
      <c r="M167" s="554"/>
      <c r="N167" s="554"/>
      <c r="O167" s="1075"/>
    </row>
    <row r="168" spans="1:15" ht="15" customHeight="1" x14ac:dyDescent="0.2">
      <c r="A168" s="1076"/>
      <c r="B168" s="1380" t="str">
        <f t="shared" si="3"/>
        <v>Desk 57</v>
      </c>
      <c r="C168" s="1390" t="str">
        <f>IF('TB IMA general'!C142&lt;&gt;"",'TB IMA general'!C142,"")</f>
        <v/>
      </c>
      <c r="D168" s="1126"/>
      <c r="E168" s="1154"/>
      <c r="F168" s="1154"/>
      <c r="G168" s="1154"/>
      <c r="H168" s="1154"/>
      <c r="I168" s="1154"/>
      <c r="J168" s="1154"/>
      <c r="K168" s="1154"/>
      <c r="L168" s="1154"/>
      <c r="M168" s="554"/>
      <c r="N168" s="554"/>
      <c r="O168" s="1075"/>
    </row>
    <row r="169" spans="1:15" ht="15" customHeight="1" x14ac:dyDescent="0.2">
      <c r="A169" s="1076"/>
      <c r="B169" s="1380" t="str">
        <f t="shared" si="3"/>
        <v>Desk 58</v>
      </c>
      <c r="C169" s="1390" t="str">
        <f>IF('TB IMA general'!C143&lt;&gt;"",'TB IMA general'!C143,"")</f>
        <v/>
      </c>
      <c r="D169" s="1126"/>
      <c r="E169" s="1154"/>
      <c r="F169" s="1154"/>
      <c r="G169" s="1154"/>
      <c r="H169" s="1154"/>
      <c r="I169" s="1154"/>
      <c r="J169" s="1154"/>
      <c r="K169" s="1154"/>
      <c r="L169" s="1154"/>
      <c r="M169" s="554"/>
      <c r="N169" s="554"/>
      <c r="O169" s="1075"/>
    </row>
    <row r="170" spans="1:15" ht="15" customHeight="1" x14ac:dyDescent="0.2">
      <c r="A170" s="1076"/>
      <c r="B170" s="1380" t="str">
        <f t="shared" si="3"/>
        <v>Desk 59</v>
      </c>
      <c r="C170" s="1390" t="str">
        <f>IF('TB IMA general'!C144&lt;&gt;"",'TB IMA general'!C144,"")</f>
        <v/>
      </c>
      <c r="D170" s="1126"/>
      <c r="E170" s="1154"/>
      <c r="F170" s="1154"/>
      <c r="G170" s="1154"/>
      <c r="H170" s="1154"/>
      <c r="I170" s="1154"/>
      <c r="J170" s="1154"/>
      <c r="K170" s="1154"/>
      <c r="L170" s="1154"/>
      <c r="M170" s="554"/>
      <c r="N170" s="554"/>
      <c r="O170" s="1075"/>
    </row>
    <row r="171" spans="1:15" ht="15" customHeight="1" x14ac:dyDescent="0.2">
      <c r="A171" s="1076"/>
      <c r="B171" s="1380" t="str">
        <f t="shared" si="3"/>
        <v>Desk 60</v>
      </c>
      <c r="C171" s="1390" t="str">
        <f>IF('TB IMA general'!C145&lt;&gt;"",'TB IMA general'!C145,"")</f>
        <v/>
      </c>
      <c r="D171" s="1126"/>
      <c r="E171" s="1154"/>
      <c r="F171" s="1154"/>
      <c r="G171" s="1154"/>
      <c r="H171" s="1154"/>
      <c r="I171" s="1154"/>
      <c r="J171" s="1154"/>
      <c r="K171" s="1154"/>
      <c r="L171" s="1154"/>
      <c r="M171" s="554"/>
      <c r="N171" s="554"/>
      <c r="O171" s="1075"/>
    </row>
    <row r="172" spans="1:15" ht="15" customHeight="1" x14ac:dyDescent="0.2">
      <c r="A172" s="1076"/>
      <c r="B172" s="1380" t="str">
        <f t="shared" si="3"/>
        <v>Desk 61</v>
      </c>
      <c r="C172" s="1390" t="str">
        <f>IF('TB IMA general'!C146&lt;&gt;"",'TB IMA general'!C146,"")</f>
        <v/>
      </c>
      <c r="D172" s="1126"/>
      <c r="E172" s="1154"/>
      <c r="F172" s="1154"/>
      <c r="G172" s="1154"/>
      <c r="H172" s="1154"/>
      <c r="I172" s="1154"/>
      <c r="J172" s="1154"/>
      <c r="K172" s="1154"/>
      <c r="L172" s="1154"/>
      <c r="M172" s="554"/>
      <c r="N172" s="554"/>
      <c r="O172" s="1075"/>
    </row>
    <row r="173" spans="1:15" ht="15" customHeight="1" x14ac:dyDescent="0.2">
      <c r="A173" s="1076"/>
      <c r="B173" s="1380" t="str">
        <f t="shared" si="3"/>
        <v>Desk 62</v>
      </c>
      <c r="C173" s="1390" t="str">
        <f>IF('TB IMA general'!C147&lt;&gt;"",'TB IMA general'!C147,"")</f>
        <v/>
      </c>
      <c r="D173" s="1126"/>
      <c r="E173" s="1154"/>
      <c r="F173" s="1154"/>
      <c r="G173" s="1154"/>
      <c r="H173" s="1154"/>
      <c r="I173" s="1154"/>
      <c r="J173" s="1154"/>
      <c r="K173" s="1154"/>
      <c r="L173" s="1154"/>
      <c r="M173" s="554"/>
      <c r="N173" s="554"/>
      <c r="O173" s="1075"/>
    </row>
    <row r="174" spans="1:15" ht="15" customHeight="1" x14ac:dyDescent="0.2">
      <c r="A174" s="1076"/>
      <c r="B174" s="1380" t="str">
        <f t="shared" si="3"/>
        <v>Desk 63</v>
      </c>
      <c r="C174" s="1390" t="str">
        <f>IF('TB IMA general'!C148&lt;&gt;"",'TB IMA general'!C148,"")</f>
        <v/>
      </c>
      <c r="D174" s="1126"/>
      <c r="E174" s="1154"/>
      <c r="F174" s="1154"/>
      <c r="G174" s="1154"/>
      <c r="H174" s="1154"/>
      <c r="I174" s="1154"/>
      <c r="J174" s="1154"/>
      <c r="K174" s="1154"/>
      <c r="L174" s="1154"/>
      <c r="M174" s="554"/>
      <c r="N174" s="554"/>
      <c r="O174" s="1075"/>
    </row>
    <row r="175" spans="1:15" ht="15" customHeight="1" x14ac:dyDescent="0.2">
      <c r="A175" s="1076"/>
      <c r="B175" s="1380" t="str">
        <f t="shared" si="3"/>
        <v>Desk 64</v>
      </c>
      <c r="C175" s="1390" t="str">
        <f>IF('TB IMA general'!C149&lt;&gt;"",'TB IMA general'!C149,"")</f>
        <v/>
      </c>
      <c r="D175" s="1126"/>
      <c r="E175" s="1154"/>
      <c r="F175" s="1154"/>
      <c r="G175" s="1154"/>
      <c r="H175" s="1154"/>
      <c r="I175" s="1154"/>
      <c r="J175" s="1154"/>
      <c r="K175" s="1154"/>
      <c r="L175" s="1154"/>
      <c r="M175" s="554"/>
      <c r="N175" s="554"/>
      <c r="O175" s="1075"/>
    </row>
    <row r="176" spans="1:15" ht="15" customHeight="1" x14ac:dyDescent="0.2">
      <c r="A176" s="1076"/>
      <c r="B176" s="1380" t="str">
        <f t="shared" si="3"/>
        <v>Desk 65</v>
      </c>
      <c r="C176" s="1390" t="str">
        <f>IF('TB IMA general'!C150&lt;&gt;"",'TB IMA general'!C150,"")</f>
        <v/>
      </c>
      <c r="D176" s="1126"/>
      <c r="E176" s="1154"/>
      <c r="F176" s="1154"/>
      <c r="G176" s="1154"/>
      <c r="H176" s="1154"/>
      <c r="I176" s="1154"/>
      <c r="J176" s="1154"/>
      <c r="K176" s="1154"/>
      <c r="L176" s="1154"/>
      <c r="M176" s="554"/>
      <c r="N176" s="554"/>
      <c r="O176" s="1075"/>
    </row>
    <row r="177" spans="1:15" ht="15" customHeight="1" x14ac:dyDescent="0.2">
      <c r="A177" s="1076"/>
      <c r="B177" s="1380" t="str">
        <f t="shared" ref="B177:B211" si="4">"Desk " &amp; (ROW(B177)-ROW(B$111))</f>
        <v>Desk 66</v>
      </c>
      <c r="C177" s="1390" t="str">
        <f>IF('TB IMA general'!C151&lt;&gt;"",'TB IMA general'!C151,"")</f>
        <v/>
      </c>
      <c r="D177" s="1126"/>
      <c r="E177" s="1154"/>
      <c r="F177" s="1154"/>
      <c r="G177" s="1154"/>
      <c r="H177" s="1154"/>
      <c r="I177" s="1154"/>
      <c r="J177" s="1154"/>
      <c r="K177" s="1154"/>
      <c r="L177" s="1154"/>
      <c r="M177" s="554"/>
      <c r="N177" s="554"/>
      <c r="O177" s="1075"/>
    </row>
    <row r="178" spans="1:15" ht="15" customHeight="1" x14ac:dyDescent="0.2">
      <c r="A178" s="1076"/>
      <c r="B178" s="1380" t="str">
        <f t="shared" si="4"/>
        <v>Desk 67</v>
      </c>
      <c r="C178" s="1390" t="str">
        <f>IF('TB IMA general'!C152&lt;&gt;"",'TB IMA general'!C152,"")</f>
        <v/>
      </c>
      <c r="D178" s="1126"/>
      <c r="E178" s="1154"/>
      <c r="F178" s="1154"/>
      <c r="G178" s="1154"/>
      <c r="H178" s="1154"/>
      <c r="I178" s="1154"/>
      <c r="J178" s="1154"/>
      <c r="K178" s="1154"/>
      <c r="L178" s="1154"/>
      <c r="M178" s="554"/>
      <c r="N178" s="554"/>
      <c r="O178" s="1075"/>
    </row>
    <row r="179" spans="1:15" ht="15" customHeight="1" x14ac:dyDescent="0.2">
      <c r="A179" s="1076"/>
      <c r="B179" s="1380" t="str">
        <f t="shared" si="4"/>
        <v>Desk 68</v>
      </c>
      <c r="C179" s="1390" t="str">
        <f>IF('TB IMA general'!C153&lt;&gt;"",'TB IMA general'!C153,"")</f>
        <v/>
      </c>
      <c r="D179" s="1126"/>
      <c r="E179" s="1154"/>
      <c r="F179" s="1154"/>
      <c r="G179" s="1154"/>
      <c r="H179" s="1154"/>
      <c r="I179" s="1154"/>
      <c r="J179" s="1154"/>
      <c r="K179" s="1154"/>
      <c r="L179" s="1154"/>
      <c r="M179" s="554"/>
      <c r="N179" s="554"/>
      <c r="O179" s="1075"/>
    </row>
    <row r="180" spans="1:15" ht="15" customHeight="1" x14ac:dyDescent="0.2">
      <c r="A180" s="1076"/>
      <c r="B180" s="1380" t="str">
        <f t="shared" si="4"/>
        <v>Desk 69</v>
      </c>
      <c r="C180" s="1390" t="str">
        <f>IF('TB IMA general'!C154&lt;&gt;"",'TB IMA general'!C154,"")</f>
        <v/>
      </c>
      <c r="D180" s="1126"/>
      <c r="E180" s="1154"/>
      <c r="F180" s="1154"/>
      <c r="G180" s="1154"/>
      <c r="H180" s="1154"/>
      <c r="I180" s="1154"/>
      <c r="J180" s="1154"/>
      <c r="K180" s="1154"/>
      <c r="L180" s="1154"/>
      <c r="M180" s="554"/>
      <c r="N180" s="554"/>
      <c r="O180" s="1075"/>
    </row>
    <row r="181" spans="1:15" ht="15" customHeight="1" x14ac:dyDescent="0.2">
      <c r="A181" s="1076"/>
      <c r="B181" s="1380" t="str">
        <f t="shared" si="4"/>
        <v>Desk 70</v>
      </c>
      <c r="C181" s="1390" t="str">
        <f>IF('TB IMA general'!C155&lt;&gt;"",'TB IMA general'!C155,"")</f>
        <v/>
      </c>
      <c r="D181" s="1126"/>
      <c r="E181" s="1154"/>
      <c r="F181" s="1154"/>
      <c r="G181" s="1154"/>
      <c r="H181" s="1154"/>
      <c r="I181" s="1154"/>
      <c r="J181" s="1154"/>
      <c r="K181" s="1154"/>
      <c r="L181" s="1154"/>
      <c r="M181" s="554"/>
      <c r="N181" s="554"/>
      <c r="O181" s="1075"/>
    </row>
    <row r="182" spans="1:15" ht="15" customHeight="1" x14ac:dyDescent="0.2">
      <c r="A182" s="1076"/>
      <c r="B182" s="1380" t="str">
        <f t="shared" si="4"/>
        <v>Desk 71</v>
      </c>
      <c r="C182" s="1390" t="str">
        <f>IF('TB IMA general'!C156&lt;&gt;"",'TB IMA general'!C156,"")</f>
        <v/>
      </c>
      <c r="D182" s="1126"/>
      <c r="E182" s="1154"/>
      <c r="F182" s="1154"/>
      <c r="G182" s="1154"/>
      <c r="H182" s="1154"/>
      <c r="I182" s="1154"/>
      <c r="J182" s="1154"/>
      <c r="K182" s="1154"/>
      <c r="L182" s="1154"/>
      <c r="M182" s="554"/>
      <c r="N182" s="554"/>
      <c r="O182" s="1075"/>
    </row>
    <row r="183" spans="1:15" ht="15" customHeight="1" x14ac:dyDescent="0.2">
      <c r="A183" s="1076"/>
      <c r="B183" s="1380" t="str">
        <f t="shared" si="4"/>
        <v>Desk 72</v>
      </c>
      <c r="C183" s="1390" t="str">
        <f>IF('TB IMA general'!C157&lt;&gt;"",'TB IMA general'!C157,"")</f>
        <v/>
      </c>
      <c r="D183" s="1126"/>
      <c r="E183" s="1154"/>
      <c r="F183" s="1154"/>
      <c r="G183" s="1154"/>
      <c r="H183" s="1154"/>
      <c r="I183" s="1154"/>
      <c r="J183" s="1154"/>
      <c r="K183" s="1154"/>
      <c r="L183" s="1154"/>
      <c r="M183" s="554"/>
      <c r="N183" s="554"/>
      <c r="O183" s="1075"/>
    </row>
    <row r="184" spans="1:15" ht="15" customHeight="1" x14ac:dyDescent="0.2">
      <c r="A184" s="1076"/>
      <c r="B184" s="1380" t="str">
        <f t="shared" si="4"/>
        <v>Desk 73</v>
      </c>
      <c r="C184" s="1390" t="str">
        <f>IF('TB IMA general'!C158&lt;&gt;"",'TB IMA general'!C158,"")</f>
        <v/>
      </c>
      <c r="D184" s="1126"/>
      <c r="E184" s="1154"/>
      <c r="F184" s="1154"/>
      <c r="G184" s="1154"/>
      <c r="H184" s="1154"/>
      <c r="I184" s="1154"/>
      <c r="J184" s="1154"/>
      <c r="K184" s="1154"/>
      <c r="L184" s="1154"/>
      <c r="M184" s="554"/>
      <c r="N184" s="554"/>
      <c r="O184" s="1075"/>
    </row>
    <row r="185" spans="1:15" ht="15" customHeight="1" x14ac:dyDescent="0.2">
      <c r="A185" s="1076"/>
      <c r="B185" s="1380" t="str">
        <f t="shared" si="4"/>
        <v>Desk 74</v>
      </c>
      <c r="C185" s="1390" t="str">
        <f>IF('TB IMA general'!C159&lt;&gt;"",'TB IMA general'!C159,"")</f>
        <v/>
      </c>
      <c r="D185" s="1126"/>
      <c r="E185" s="1154"/>
      <c r="F185" s="1154"/>
      <c r="G185" s="1154"/>
      <c r="H185" s="1154"/>
      <c r="I185" s="1154"/>
      <c r="J185" s="1154"/>
      <c r="K185" s="1154"/>
      <c r="L185" s="1154"/>
      <c r="M185" s="554"/>
      <c r="N185" s="554"/>
      <c r="O185" s="1075"/>
    </row>
    <row r="186" spans="1:15" ht="15" customHeight="1" x14ac:dyDescent="0.2">
      <c r="A186" s="1076"/>
      <c r="B186" s="1380" t="str">
        <f t="shared" si="4"/>
        <v>Desk 75</v>
      </c>
      <c r="C186" s="1390" t="str">
        <f>IF('TB IMA general'!C160&lt;&gt;"",'TB IMA general'!C160,"")</f>
        <v/>
      </c>
      <c r="D186" s="1126"/>
      <c r="E186" s="1154"/>
      <c r="F186" s="1154"/>
      <c r="G186" s="1154"/>
      <c r="H186" s="1154"/>
      <c r="I186" s="1154"/>
      <c r="J186" s="1154"/>
      <c r="K186" s="1154"/>
      <c r="L186" s="1154"/>
      <c r="M186" s="554"/>
      <c r="N186" s="554"/>
      <c r="O186" s="1075"/>
    </row>
    <row r="187" spans="1:15" ht="15" customHeight="1" x14ac:dyDescent="0.2">
      <c r="A187" s="1076"/>
      <c r="B187" s="1380" t="str">
        <f t="shared" si="4"/>
        <v>Desk 76</v>
      </c>
      <c r="C187" s="1390" t="str">
        <f>IF('TB IMA general'!C161&lt;&gt;"",'TB IMA general'!C161,"")</f>
        <v/>
      </c>
      <c r="D187" s="1126"/>
      <c r="E187" s="1154"/>
      <c r="F187" s="1154"/>
      <c r="G187" s="1154"/>
      <c r="H187" s="1154"/>
      <c r="I187" s="1154"/>
      <c r="J187" s="1154"/>
      <c r="K187" s="1154"/>
      <c r="L187" s="1154"/>
      <c r="M187" s="554"/>
      <c r="N187" s="554"/>
      <c r="O187" s="1075"/>
    </row>
    <row r="188" spans="1:15" ht="15" customHeight="1" x14ac:dyDescent="0.2">
      <c r="A188" s="1076"/>
      <c r="B188" s="1380" t="str">
        <f t="shared" si="4"/>
        <v>Desk 77</v>
      </c>
      <c r="C188" s="1390" t="str">
        <f>IF('TB IMA general'!C162&lt;&gt;"",'TB IMA general'!C162,"")</f>
        <v/>
      </c>
      <c r="D188" s="1126"/>
      <c r="E188" s="1154"/>
      <c r="F188" s="1154"/>
      <c r="G188" s="1154"/>
      <c r="H188" s="1154"/>
      <c r="I188" s="1154"/>
      <c r="J188" s="1154"/>
      <c r="K188" s="1154"/>
      <c r="L188" s="1154"/>
      <c r="M188" s="554"/>
      <c r="N188" s="554"/>
      <c r="O188" s="1075"/>
    </row>
    <row r="189" spans="1:15" ht="15" customHeight="1" x14ac:dyDescent="0.2">
      <c r="A189" s="1076"/>
      <c r="B189" s="1380" t="str">
        <f t="shared" si="4"/>
        <v>Desk 78</v>
      </c>
      <c r="C189" s="1390" t="str">
        <f>IF('TB IMA general'!C163&lt;&gt;"",'TB IMA general'!C163,"")</f>
        <v/>
      </c>
      <c r="D189" s="1126"/>
      <c r="E189" s="1154"/>
      <c r="F189" s="1154"/>
      <c r="G189" s="1154"/>
      <c r="H189" s="1154"/>
      <c r="I189" s="1154"/>
      <c r="J189" s="1154"/>
      <c r="K189" s="1154"/>
      <c r="L189" s="1154"/>
      <c r="M189" s="554"/>
      <c r="N189" s="554"/>
      <c r="O189" s="1075"/>
    </row>
    <row r="190" spans="1:15" ht="15" customHeight="1" x14ac:dyDescent="0.2">
      <c r="A190" s="1076"/>
      <c r="B190" s="1380" t="str">
        <f t="shared" si="4"/>
        <v>Desk 79</v>
      </c>
      <c r="C190" s="1390" t="str">
        <f>IF('TB IMA general'!C164&lt;&gt;"",'TB IMA general'!C164,"")</f>
        <v/>
      </c>
      <c r="D190" s="1126"/>
      <c r="E190" s="1154"/>
      <c r="F190" s="1154"/>
      <c r="G190" s="1154"/>
      <c r="H190" s="1154"/>
      <c r="I190" s="1154"/>
      <c r="J190" s="1154"/>
      <c r="K190" s="1154"/>
      <c r="L190" s="1154"/>
      <c r="M190" s="554"/>
      <c r="N190" s="554"/>
      <c r="O190" s="1075"/>
    </row>
    <row r="191" spans="1:15" ht="15" customHeight="1" x14ac:dyDescent="0.2">
      <c r="A191" s="1076"/>
      <c r="B191" s="1380" t="str">
        <f t="shared" si="4"/>
        <v>Desk 80</v>
      </c>
      <c r="C191" s="1390" t="str">
        <f>IF('TB IMA general'!C165&lt;&gt;"",'TB IMA general'!C165,"")</f>
        <v/>
      </c>
      <c r="D191" s="1126"/>
      <c r="E191" s="1154"/>
      <c r="F191" s="1154"/>
      <c r="G191" s="1154"/>
      <c r="H191" s="1154"/>
      <c r="I191" s="1154"/>
      <c r="J191" s="1154"/>
      <c r="K191" s="1154"/>
      <c r="L191" s="1154"/>
      <c r="M191" s="554"/>
      <c r="N191" s="554"/>
      <c r="O191" s="1075"/>
    </row>
    <row r="192" spans="1:15" ht="15" customHeight="1" x14ac:dyDescent="0.2">
      <c r="A192" s="1076"/>
      <c r="B192" s="1380" t="str">
        <f t="shared" si="4"/>
        <v>Desk 81</v>
      </c>
      <c r="C192" s="1390" t="str">
        <f>IF('TB IMA general'!C166&lt;&gt;"",'TB IMA general'!C166,"")</f>
        <v/>
      </c>
      <c r="D192" s="1126"/>
      <c r="E192" s="1154"/>
      <c r="F192" s="1154"/>
      <c r="G192" s="1154"/>
      <c r="H192" s="1154"/>
      <c r="I192" s="1154"/>
      <c r="J192" s="1154"/>
      <c r="K192" s="1154"/>
      <c r="L192" s="1154"/>
      <c r="M192" s="554"/>
      <c r="N192" s="554"/>
      <c r="O192" s="1075"/>
    </row>
    <row r="193" spans="1:15" ht="15" customHeight="1" x14ac:dyDescent="0.2">
      <c r="A193" s="1076"/>
      <c r="B193" s="1380" t="str">
        <f t="shared" si="4"/>
        <v>Desk 82</v>
      </c>
      <c r="C193" s="1390" t="str">
        <f>IF('TB IMA general'!C167&lt;&gt;"",'TB IMA general'!C167,"")</f>
        <v/>
      </c>
      <c r="D193" s="1126"/>
      <c r="E193" s="1154"/>
      <c r="F193" s="1154"/>
      <c r="G193" s="1154"/>
      <c r="H193" s="1154"/>
      <c r="I193" s="1154"/>
      <c r="J193" s="1154"/>
      <c r="K193" s="1154"/>
      <c r="L193" s="1154"/>
      <c r="M193" s="554"/>
      <c r="N193" s="554"/>
      <c r="O193" s="1075"/>
    </row>
    <row r="194" spans="1:15" ht="15" customHeight="1" x14ac:dyDescent="0.2">
      <c r="A194" s="1076"/>
      <c r="B194" s="1380" t="str">
        <f t="shared" si="4"/>
        <v>Desk 83</v>
      </c>
      <c r="C194" s="1390" t="str">
        <f>IF('TB IMA general'!C168&lt;&gt;"",'TB IMA general'!C168,"")</f>
        <v/>
      </c>
      <c r="D194" s="1126"/>
      <c r="E194" s="1154"/>
      <c r="F194" s="1154"/>
      <c r="G194" s="1154"/>
      <c r="H194" s="1154"/>
      <c r="I194" s="1154"/>
      <c r="J194" s="1154"/>
      <c r="K194" s="1154"/>
      <c r="L194" s="1154"/>
      <c r="M194" s="554"/>
      <c r="N194" s="554"/>
      <c r="O194" s="1075"/>
    </row>
    <row r="195" spans="1:15" ht="15" customHeight="1" x14ac:dyDescent="0.2">
      <c r="A195" s="1076"/>
      <c r="B195" s="1380" t="str">
        <f t="shared" si="4"/>
        <v>Desk 84</v>
      </c>
      <c r="C195" s="1390" t="str">
        <f>IF('TB IMA general'!C169&lt;&gt;"",'TB IMA general'!C169,"")</f>
        <v/>
      </c>
      <c r="D195" s="1126"/>
      <c r="E195" s="1154"/>
      <c r="F195" s="1154"/>
      <c r="G195" s="1154"/>
      <c r="H195" s="1154"/>
      <c r="I195" s="1154"/>
      <c r="J195" s="1154"/>
      <c r="K195" s="1154"/>
      <c r="L195" s="1154"/>
      <c r="M195" s="554"/>
      <c r="N195" s="554"/>
      <c r="O195" s="1075"/>
    </row>
    <row r="196" spans="1:15" ht="15" customHeight="1" x14ac:dyDescent="0.2">
      <c r="A196" s="1076"/>
      <c r="B196" s="1380" t="str">
        <f t="shared" si="4"/>
        <v>Desk 85</v>
      </c>
      <c r="C196" s="1390" t="str">
        <f>IF('TB IMA general'!C170&lt;&gt;"",'TB IMA general'!C170,"")</f>
        <v/>
      </c>
      <c r="D196" s="1126"/>
      <c r="E196" s="1154"/>
      <c r="F196" s="1154"/>
      <c r="G196" s="1154"/>
      <c r="H196" s="1154"/>
      <c r="I196" s="1154"/>
      <c r="J196" s="1154"/>
      <c r="K196" s="1154"/>
      <c r="L196" s="1154"/>
      <c r="M196" s="554"/>
      <c r="N196" s="554"/>
      <c r="O196" s="1075"/>
    </row>
    <row r="197" spans="1:15" ht="15" customHeight="1" x14ac:dyDescent="0.2">
      <c r="A197" s="1076"/>
      <c r="B197" s="1380" t="str">
        <f t="shared" si="4"/>
        <v>Desk 86</v>
      </c>
      <c r="C197" s="1390" t="str">
        <f>IF('TB IMA general'!C171&lt;&gt;"",'TB IMA general'!C171,"")</f>
        <v/>
      </c>
      <c r="D197" s="1126"/>
      <c r="E197" s="1154"/>
      <c r="F197" s="1154"/>
      <c r="G197" s="1154"/>
      <c r="H197" s="1154"/>
      <c r="I197" s="1154"/>
      <c r="J197" s="1154"/>
      <c r="K197" s="1154"/>
      <c r="L197" s="1154"/>
      <c r="M197" s="554"/>
      <c r="N197" s="554"/>
      <c r="O197" s="1075"/>
    </row>
    <row r="198" spans="1:15" ht="15" customHeight="1" x14ac:dyDescent="0.2">
      <c r="A198" s="1076"/>
      <c r="B198" s="1380" t="str">
        <f t="shared" si="4"/>
        <v>Desk 87</v>
      </c>
      <c r="C198" s="1390" t="str">
        <f>IF('TB IMA general'!C172&lt;&gt;"",'TB IMA general'!C172,"")</f>
        <v/>
      </c>
      <c r="D198" s="1126"/>
      <c r="E198" s="1154"/>
      <c r="F198" s="1154"/>
      <c r="G198" s="1154"/>
      <c r="H198" s="1154"/>
      <c r="I198" s="1154"/>
      <c r="J198" s="1154"/>
      <c r="K198" s="1154"/>
      <c r="L198" s="1154"/>
      <c r="M198" s="554"/>
      <c r="N198" s="554"/>
      <c r="O198" s="1075"/>
    </row>
    <row r="199" spans="1:15" ht="15" customHeight="1" x14ac:dyDescent="0.2">
      <c r="A199" s="1076"/>
      <c r="B199" s="1380" t="str">
        <f t="shared" si="4"/>
        <v>Desk 88</v>
      </c>
      <c r="C199" s="1390" t="str">
        <f>IF('TB IMA general'!C173&lt;&gt;"",'TB IMA general'!C173,"")</f>
        <v/>
      </c>
      <c r="D199" s="1126"/>
      <c r="E199" s="1154"/>
      <c r="F199" s="1154"/>
      <c r="G199" s="1154"/>
      <c r="H199" s="1154"/>
      <c r="I199" s="1154"/>
      <c r="J199" s="1154"/>
      <c r="K199" s="1154"/>
      <c r="L199" s="1154"/>
      <c r="M199" s="554"/>
      <c r="N199" s="554"/>
      <c r="O199" s="1075"/>
    </row>
    <row r="200" spans="1:15" ht="15" customHeight="1" x14ac:dyDescent="0.2">
      <c r="A200" s="1076"/>
      <c r="B200" s="1380" t="str">
        <f t="shared" si="4"/>
        <v>Desk 89</v>
      </c>
      <c r="C200" s="1390" t="str">
        <f>IF('TB IMA general'!C174&lt;&gt;"",'TB IMA general'!C174,"")</f>
        <v/>
      </c>
      <c r="D200" s="1126"/>
      <c r="E200" s="1154"/>
      <c r="F200" s="1154"/>
      <c r="G200" s="1154"/>
      <c r="H200" s="1154"/>
      <c r="I200" s="1154"/>
      <c r="J200" s="1154"/>
      <c r="K200" s="1154"/>
      <c r="L200" s="1154"/>
      <c r="M200" s="554"/>
      <c r="N200" s="554"/>
      <c r="O200" s="1075"/>
    </row>
    <row r="201" spans="1:15" ht="15" customHeight="1" x14ac:dyDescent="0.2">
      <c r="A201" s="1076"/>
      <c r="B201" s="1380" t="str">
        <f t="shared" si="4"/>
        <v>Desk 90</v>
      </c>
      <c r="C201" s="1390" t="str">
        <f>IF('TB IMA general'!C175&lt;&gt;"",'TB IMA general'!C175,"")</f>
        <v/>
      </c>
      <c r="D201" s="1126"/>
      <c r="E201" s="1154"/>
      <c r="F201" s="1154"/>
      <c r="G201" s="1154"/>
      <c r="H201" s="1154"/>
      <c r="I201" s="1154"/>
      <c r="J201" s="1154"/>
      <c r="K201" s="1154"/>
      <c r="L201" s="1154"/>
      <c r="M201" s="554"/>
      <c r="N201" s="554"/>
      <c r="O201" s="1075"/>
    </row>
    <row r="202" spans="1:15" ht="15" customHeight="1" x14ac:dyDescent="0.2">
      <c r="A202" s="1076"/>
      <c r="B202" s="1380" t="str">
        <f t="shared" si="4"/>
        <v>Desk 91</v>
      </c>
      <c r="C202" s="1390" t="str">
        <f>IF('TB IMA general'!C176&lt;&gt;"",'TB IMA general'!C176,"")</f>
        <v/>
      </c>
      <c r="D202" s="1126"/>
      <c r="E202" s="1154"/>
      <c r="F202" s="1154"/>
      <c r="G202" s="1154"/>
      <c r="H202" s="1154"/>
      <c r="I202" s="1154"/>
      <c r="J202" s="1154"/>
      <c r="K202" s="1154"/>
      <c r="L202" s="1154"/>
      <c r="M202" s="554"/>
      <c r="N202" s="554"/>
      <c r="O202" s="1075"/>
    </row>
    <row r="203" spans="1:15" ht="15" customHeight="1" x14ac:dyDescent="0.2">
      <c r="A203" s="1076"/>
      <c r="B203" s="1380" t="str">
        <f t="shared" si="4"/>
        <v>Desk 92</v>
      </c>
      <c r="C203" s="1390" t="str">
        <f>IF('TB IMA general'!C177&lt;&gt;"",'TB IMA general'!C177,"")</f>
        <v/>
      </c>
      <c r="D203" s="1126"/>
      <c r="E203" s="1154"/>
      <c r="F203" s="1154"/>
      <c r="G203" s="1154"/>
      <c r="H203" s="1154"/>
      <c r="I203" s="1154"/>
      <c r="J203" s="1154"/>
      <c r="K203" s="1154"/>
      <c r="L203" s="1154"/>
      <c r="M203" s="554"/>
      <c r="N203" s="554"/>
      <c r="O203" s="1075"/>
    </row>
    <row r="204" spans="1:15" ht="15" customHeight="1" x14ac:dyDescent="0.2">
      <c r="A204" s="1076"/>
      <c r="B204" s="1380" t="str">
        <f t="shared" si="4"/>
        <v>Desk 93</v>
      </c>
      <c r="C204" s="1390" t="str">
        <f>IF('TB IMA general'!C178&lt;&gt;"",'TB IMA general'!C178,"")</f>
        <v/>
      </c>
      <c r="D204" s="1126"/>
      <c r="E204" s="1154"/>
      <c r="F204" s="1154"/>
      <c r="G204" s="1154"/>
      <c r="H204" s="1154"/>
      <c r="I204" s="1154"/>
      <c r="J204" s="1154"/>
      <c r="K204" s="1154"/>
      <c r="L204" s="1154"/>
      <c r="M204" s="554"/>
      <c r="N204" s="554"/>
      <c r="O204" s="1075"/>
    </row>
    <row r="205" spans="1:15" ht="15" customHeight="1" x14ac:dyDescent="0.2">
      <c r="A205" s="1076"/>
      <c r="B205" s="1380" t="str">
        <f t="shared" si="4"/>
        <v>Desk 94</v>
      </c>
      <c r="C205" s="1390" t="str">
        <f>IF('TB IMA general'!C179&lt;&gt;"",'TB IMA general'!C179,"")</f>
        <v/>
      </c>
      <c r="D205" s="1126"/>
      <c r="E205" s="1154"/>
      <c r="F205" s="1154"/>
      <c r="G205" s="1154"/>
      <c r="H205" s="1154"/>
      <c r="I205" s="1154"/>
      <c r="J205" s="1154"/>
      <c r="K205" s="1154"/>
      <c r="L205" s="1154"/>
      <c r="M205" s="554"/>
      <c r="N205" s="554"/>
      <c r="O205" s="1075"/>
    </row>
    <row r="206" spans="1:15" ht="15" customHeight="1" x14ac:dyDescent="0.2">
      <c r="A206" s="1076"/>
      <c r="B206" s="1380" t="str">
        <f t="shared" si="4"/>
        <v>Desk 95</v>
      </c>
      <c r="C206" s="1390" t="str">
        <f>IF('TB IMA general'!C180&lt;&gt;"",'TB IMA general'!C180,"")</f>
        <v/>
      </c>
      <c r="D206" s="1126"/>
      <c r="E206" s="1154"/>
      <c r="F206" s="1154"/>
      <c r="G206" s="1154"/>
      <c r="H206" s="1154"/>
      <c r="I206" s="1154"/>
      <c r="J206" s="1154"/>
      <c r="K206" s="1154"/>
      <c r="L206" s="1154"/>
      <c r="M206" s="554"/>
      <c r="N206" s="554"/>
      <c r="O206" s="1075"/>
    </row>
    <row r="207" spans="1:15" ht="15" customHeight="1" x14ac:dyDescent="0.2">
      <c r="A207" s="1076"/>
      <c r="B207" s="1380" t="str">
        <f t="shared" si="4"/>
        <v>Desk 96</v>
      </c>
      <c r="C207" s="1390" t="str">
        <f>IF('TB IMA general'!C181&lt;&gt;"",'TB IMA general'!C181,"")</f>
        <v/>
      </c>
      <c r="D207" s="1126"/>
      <c r="E207" s="1154"/>
      <c r="F207" s="1154"/>
      <c r="G207" s="1154"/>
      <c r="H207" s="1154"/>
      <c r="I207" s="1154"/>
      <c r="J207" s="1154"/>
      <c r="K207" s="1154"/>
      <c r="L207" s="1154"/>
      <c r="M207" s="554"/>
      <c r="N207" s="554"/>
      <c r="O207" s="1075"/>
    </row>
    <row r="208" spans="1:15" ht="15" customHeight="1" x14ac:dyDescent="0.2">
      <c r="A208" s="1076"/>
      <c r="B208" s="1380" t="str">
        <f t="shared" si="4"/>
        <v>Desk 97</v>
      </c>
      <c r="C208" s="1390" t="str">
        <f>IF('TB IMA general'!C182&lt;&gt;"",'TB IMA general'!C182,"")</f>
        <v/>
      </c>
      <c r="D208" s="1126"/>
      <c r="E208" s="1154"/>
      <c r="F208" s="1154"/>
      <c r="G208" s="1154"/>
      <c r="H208" s="1154"/>
      <c r="I208" s="1154"/>
      <c r="J208" s="1154"/>
      <c r="K208" s="1154"/>
      <c r="L208" s="1154"/>
      <c r="M208" s="554"/>
      <c r="N208" s="554"/>
      <c r="O208" s="1075"/>
    </row>
    <row r="209" spans="1:15" ht="15" customHeight="1" x14ac:dyDescent="0.2">
      <c r="A209" s="1076"/>
      <c r="B209" s="1380" t="str">
        <f t="shared" si="4"/>
        <v>Desk 98</v>
      </c>
      <c r="C209" s="1390" t="str">
        <f>IF('TB IMA general'!C183&lt;&gt;"",'TB IMA general'!C183,"")</f>
        <v/>
      </c>
      <c r="D209" s="1126"/>
      <c r="E209" s="1154"/>
      <c r="F209" s="1154"/>
      <c r="G209" s="1154"/>
      <c r="H209" s="1154"/>
      <c r="I209" s="1154"/>
      <c r="J209" s="1154"/>
      <c r="K209" s="1154"/>
      <c r="L209" s="1154"/>
      <c r="M209" s="554"/>
      <c r="N209" s="554"/>
      <c r="O209" s="1075"/>
    </row>
    <row r="210" spans="1:15" ht="15" customHeight="1" x14ac:dyDescent="0.2">
      <c r="A210" s="1076"/>
      <c r="B210" s="1380" t="str">
        <f t="shared" si="4"/>
        <v>Desk 99</v>
      </c>
      <c r="C210" s="1390" t="str">
        <f>IF('TB IMA general'!C184&lt;&gt;"",'TB IMA general'!C184,"")</f>
        <v/>
      </c>
      <c r="D210" s="1126"/>
      <c r="E210" s="1154"/>
      <c r="F210" s="1154"/>
      <c r="G210" s="1154"/>
      <c r="H210" s="1154"/>
      <c r="I210" s="1154"/>
      <c r="J210" s="1154"/>
      <c r="K210" s="1154"/>
      <c r="L210" s="1154"/>
      <c r="M210" s="554"/>
      <c r="N210" s="554"/>
      <c r="O210" s="1075"/>
    </row>
    <row r="211" spans="1:15" ht="15" customHeight="1" x14ac:dyDescent="0.2">
      <c r="A211" s="1076"/>
      <c r="B211" s="1380" t="str">
        <f t="shared" si="4"/>
        <v>Desk 100</v>
      </c>
      <c r="C211" s="1390" t="str">
        <f>IF('TB IMA general'!C185&lt;&gt;"",'TB IMA general'!C185,"")</f>
        <v/>
      </c>
      <c r="D211" s="1126"/>
      <c r="E211" s="1154"/>
      <c r="F211" s="1154"/>
      <c r="G211" s="1154"/>
      <c r="H211" s="1154"/>
      <c r="I211" s="1154"/>
      <c r="J211" s="1154"/>
      <c r="K211" s="1154"/>
      <c r="L211" s="1154"/>
      <c r="M211" s="554"/>
      <c r="N211" s="554"/>
      <c r="O211" s="1075"/>
    </row>
    <row r="212" spans="1:15" ht="15" customHeight="1" x14ac:dyDescent="0.2">
      <c r="A212" s="1076"/>
      <c r="B212" s="1324" t="s">
        <v>1171</v>
      </c>
      <c r="C212" s="1393"/>
      <c r="D212" s="1388"/>
      <c r="E212" s="1156"/>
      <c r="F212" s="1156"/>
      <c r="G212" s="1156"/>
      <c r="H212" s="1156"/>
      <c r="I212" s="1156"/>
      <c r="J212" s="1156"/>
      <c r="K212" s="1156"/>
      <c r="L212" s="1156"/>
      <c r="M212" s="531"/>
      <c r="N212" s="531"/>
      <c r="O212" s="1075"/>
    </row>
    <row r="213" spans="1:15" ht="15" customHeight="1" x14ac:dyDescent="0.2">
      <c r="A213" s="1076"/>
      <c r="B213" s="1074"/>
      <c r="D213" s="1074"/>
      <c r="E213" s="1074"/>
      <c r="F213" s="1074"/>
      <c r="G213" s="1074"/>
      <c r="H213" s="1074"/>
      <c r="I213" s="1074"/>
      <c r="J213" s="1074"/>
      <c r="K213" s="1074"/>
      <c r="L213" s="1074"/>
      <c r="M213" s="1074"/>
      <c r="O213" s="1075"/>
    </row>
    <row r="214" spans="1:15" s="207" customFormat="1" ht="30" customHeight="1" x14ac:dyDescent="0.25">
      <c r="A214" s="1377" t="s">
        <v>1204</v>
      </c>
      <c r="B214" s="18"/>
      <c r="C214" s="16"/>
      <c r="D214" s="203"/>
      <c r="E214" s="203"/>
      <c r="F214" s="203"/>
      <c r="G214" s="203"/>
      <c r="H214" s="180"/>
      <c r="I214" s="180"/>
      <c r="J214" s="180"/>
      <c r="K214" s="180"/>
      <c r="L214" s="180"/>
      <c r="M214" s="180"/>
      <c r="N214" s="180"/>
      <c r="O214" s="181"/>
    </row>
    <row r="215" spans="1:15" ht="15" customHeight="1" x14ac:dyDescent="0.2">
      <c r="A215" s="1076"/>
      <c r="B215" s="1074"/>
      <c r="D215" s="1074"/>
      <c r="E215" s="1074"/>
      <c r="F215" s="1074"/>
      <c r="G215" s="1074"/>
      <c r="H215" s="1074"/>
      <c r="I215" s="1074"/>
      <c r="J215" s="1074"/>
      <c r="K215" s="1074"/>
      <c r="L215" s="1074"/>
      <c r="M215" s="1074"/>
      <c r="O215" s="1075"/>
    </row>
    <row r="216" spans="1:15" ht="15" customHeight="1" x14ac:dyDescent="0.2">
      <c r="A216" s="1076"/>
      <c r="B216" s="1044" t="str">
        <f>"Desk " &amp; (ROW(B216)-ROW(B$215))</f>
        <v>Desk 1</v>
      </c>
      <c r="C216" s="1383" t="str">
        <f>IF('TB IMA general'!C86&lt;&gt;"",'TB IMA general'!C86,"")</f>
        <v/>
      </c>
      <c r="D216" s="1043"/>
      <c r="E216" s="1410"/>
      <c r="F216" s="1410"/>
      <c r="G216" s="1410"/>
      <c r="H216" s="1410"/>
      <c r="I216" s="1410"/>
      <c r="J216" s="1410"/>
      <c r="K216" s="1410"/>
      <c r="L216" s="1410"/>
      <c r="M216" s="1411"/>
      <c r="N216" s="1411"/>
      <c r="O216" s="1075"/>
    </row>
    <row r="217" spans="1:15" ht="15" customHeight="1" x14ac:dyDescent="0.2">
      <c r="A217" s="1076"/>
      <c r="B217" s="1380" t="str">
        <f t="shared" ref="B217:B280" si="5">"Desk " &amp; (ROW(B217)-ROW(B$215))</f>
        <v>Desk 2</v>
      </c>
      <c r="C217" s="1390" t="str">
        <f>IF('TB IMA general'!C87&lt;&gt;"",'TB IMA general'!C87,"")</f>
        <v/>
      </c>
      <c r="D217" s="1126"/>
      <c r="E217" s="1154"/>
      <c r="F217" s="1154"/>
      <c r="G217" s="1154"/>
      <c r="H217" s="1154"/>
      <c r="I217" s="1154"/>
      <c r="J217" s="1154"/>
      <c r="K217" s="1154"/>
      <c r="L217" s="1154"/>
      <c r="M217" s="554"/>
      <c r="N217" s="554"/>
      <c r="O217" s="1075"/>
    </row>
    <row r="218" spans="1:15" ht="15" customHeight="1" x14ac:dyDescent="0.2">
      <c r="A218" s="1076"/>
      <c r="B218" s="1380" t="str">
        <f t="shared" si="5"/>
        <v>Desk 3</v>
      </c>
      <c r="C218" s="1390" t="str">
        <f>IF('TB IMA general'!C88&lt;&gt;"",'TB IMA general'!C88,"")</f>
        <v/>
      </c>
      <c r="D218" s="1126"/>
      <c r="E218" s="1154"/>
      <c r="F218" s="1154"/>
      <c r="G218" s="1154"/>
      <c r="H218" s="1154"/>
      <c r="I218" s="1154"/>
      <c r="J218" s="1154"/>
      <c r="K218" s="1154"/>
      <c r="L218" s="1154"/>
      <c r="M218" s="554"/>
      <c r="N218" s="554"/>
      <c r="O218" s="1075"/>
    </row>
    <row r="219" spans="1:15" ht="15" customHeight="1" x14ac:dyDescent="0.2">
      <c r="A219" s="1076"/>
      <c r="B219" s="1380" t="str">
        <f t="shared" si="5"/>
        <v>Desk 4</v>
      </c>
      <c r="C219" s="1390" t="str">
        <f>IF('TB IMA general'!C89&lt;&gt;"",'TB IMA general'!C89,"")</f>
        <v/>
      </c>
      <c r="D219" s="1126"/>
      <c r="E219" s="1154"/>
      <c r="F219" s="1154"/>
      <c r="G219" s="1154"/>
      <c r="H219" s="1154"/>
      <c r="I219" s="1154"/>
      <c r="J219" s="1154"/>
      <c r="K219" s="1154"/>
      <c r="L219" s="1154"/>
      <c r="M219" s="554"/>
      <c r="N219" s="554"/>
      <c r="O219" s="1075"/>
    </row>
    <row r="220" spans="1:15" ht="15" customHeight="1" x14ac:dyDescent="0.2">
      <c r="A220" s="1076"/>
      <c r="B220" s="1380" t="str">
        <f t="shared" si="5"/>
        <v>Desk 5</v>
      </c>
      <c r="C220" s="1390" t="str">
        <f>IF('TB IMA general'!C90&lt;&gt;"",'TB IMA general'!C90,"")</f>
        <v/>
      </c>
      <c r="D220" s="1126"/>
      <c r="E220" s="1154"/>
      <c r="F220" s="1154"/>
      <c r="G220" s="1154"/>
      <c r="H220" s="1154"/>
      <c r="I220" s="1154"/>
      <c r="J220" s="1154"/>
      <c r="K220" s="1154"/>
      <c r="L220" s="1154"/>
      <c r="M220" s="554"/>
      <c r="N220" s="554"/>
      <c r="O220" s="1075"/>
    </row>
    <row r="221" spans="1:15" ht="15" customHeight="1" x14ac:dyDescent="0.2">
      <c r="A221" s="1076"/>
      <c r="B221" s="1380" t="str">
        <f t="shared" si="5"/>
        <v>Desk 6</v>
      </c>
      <c r="C221" s="1390" t="str">
        <f>IF('TB IMA general'!C91&lt;&gt;"",'TB IMA general'!C91,"")</f>
        <v/>
      </c>
      <c r="D221" s="1126"/>
      <c r="E221" s="1154"/>
      <c r="F221" s="1154"/>
      <c r="G221" s="1154"/>
      <c r="H221" s="1154"/>
      <c r="I221" s="1154"/>
      <c r="J221" s="1154"/>
      <c r="K221" s="1154"/>
      <c r="L221" s="1154"/>
      <c r="M221" s="554"/>
      <c r="N221" s="554"/>
      <c r="O221" s="1075"/>
    </row>
    <row r="222" spans="1:15" ht="15" customHeight="1" x14ac:dyDescent="0.2">
      <c r="A222" s="1076"/>
      <c r="B222" s="1380" t="str">
        <f t="shared" si="5"/>
        <v>Desk 7</v>
      </c>
      <c r="C222" s="1390" t="str">
        <f>IF('TB IMA general'!C92&lt;&gt;"",'TB IMA general'!C92,"")</f>
        <v/>
      </c>
      <c r="D222" s="1126"/>
      <c r="E222" s="1154"/>
      <c r="F222" s="1154"/>
      <c r="G222" s="1154"/>
      <c r="H222" s="1154"/>
      <c r="I222" s="1154"/>
      <c r="J222" s="1154"/>
      <c r="K222" s="1154"/>
      <c r="L222" s="1154"/>
      <c r="M222" s="554"/>
      <c r="N222" s="554"/>
      <c r="O222" s="1075"/>
    </row>
    <row r="223" spans="1:15" ht="15" customHeight="1" x14ac:dyDescent="0.2">
      <c r="A223" s="1076"/>
      <c r="B223" s="1380" t="str">
        <f t="shared" si="5"/>
        <v>Desk 8</v>
      </c>
      <c r="C223" s="1390" t="str">
        <f>IF('TB IMA general'!C93&lt;&gt;"",'TB IMA general'!C93,"")</f>
        <v/>
      </c>
      <c r="D223" s="1126"/>
      <c r="E223" s="1154"/>
      <c r="F223" s="1154"/>
      <c r="G223" s="1154"/>
      <c r="H223" s="1154"/>
      <c r="I223" s="1154"/>
      <c r="J223" s="1154"/>
      <c r="K223" s="1154"/>
      <c r="L223" s="1154"/>
      <c r="M223" s="554"/>
      <c r="N223" s="554"/>
      <c r="O223" s="1075"/>
    </row>
    <row r="224" spans="1:15" ht="15" customHeight="1" x14ac:dyDescent="0.2">
      <c r="A224" s="1076"/>
      <c r="B224" s="1380" t="str">
        <f t="shared" si="5"/>
        <v>Desk 9</v>
      </c>
      <c r="C224" s="1390" t="str">
        <f>IF('TB IMA general'!C94&lt;&gt;"",'TB IMA general'!C94,"")</f>
        <v/>
      </c>
      <c r="D224" s="1126"/>
      <c r="E224" s="1154"/>
      <c r="F224" s="1154"/>
      <c r="G224" s="1154"/>
      <c r="H224" s="1154"/>
      <c r="I224" s="1154"/>
      <c r="J224" s="1154"/>
      <c r="K224" s="1154"/>
      <c r="L224" s="1154"/>
      <c r="M224" s="554"/>
      <c r="N224" s="554"/>
      <c r="O224" s="1075"/>
    </row>
    <row r="225" spans="1:15" ht="15" customHeight="1" x14ac:dyDescent="0.2">
      <c r="A225" s="1076"/>
      <c r="B225" s="1380" t="str">
        <f t="shared" si="5"/>
        <v>Desk 10</v>
      </c>
      <c r="C225" s="1390" t="str">
        <f>IF('TB IMA general'!C95&lt;&gt;"",'TB IMA general'!C95,"")</f>
        <v/>
      </c>
      <c r="D225" s="1126"/>
      <c r="E225" s="1154"/>
      <c r="F225" s="1154"/>
      <c r="G225" s="1154"/>
      <c r="H225" s="1154"/>
      <c r="I225" s="1154"/>
      <c r="J225" s="1154"/>
      <c r="K225" s="1154"/>
      <c r="L225" s="1154"/>
      <c r="M225" s="554"/>
      <c r="N225" s="554"/>
      <c r="O225" s="1075"/>
    </row>
    <row r="226" spans="1:15" ht="15" customHeight="1" x14ac:dyDescent="0.2">
      <c r="A226" s="1076"/>
      <c r="B226" s="1380" t="str">
        <f t="shared" si="5"/>
        <v>Desk 11</v>
      </c>
      <c r="C226" s="1390" t="str">
        <f>IF('TB IMA general'!C96&lt;&gt;"",'TB IMA general'!C96,"")</f>
        <v/>
      </c>
      <c r="D226" s="1126"/>
      <c r="E226" s="1154"/>
      <c r="F226" s="1154"/>
      <c r="G226" s="1154"/>
      <c r="H226" s="1154"/>
      <c r="I226" s="1154"/>
      <c r="J226" s="1154"/>
      <c r="K226" s="1154"/>
      <c r="L226" s="1154"/>
      <c r="M226" s="554"/>
      <c r="N226" s="554"/>
      <c r="O226" s="1075"/>
    </row>
    <row r="227" spans="1:15" ht="15" customHeight="1" x14ac:dyDescent="0.2">
      <c r="A227" s="1076"/>
      <c r="B227" s="1380" t="str">
        <f t="shared" si="5"/>
        <v>Desk 12</v>
      </c>
      <c r="C227" s="1390" t="str">
        <f>IF('TB IMA general'!C97&lt;&gt;"",'TB IMA general'!C97,"")</f>
        <v/>
      </c>
      <c r="D227" s="1126"/>
      <c r="E227" s="1154"/>
      <c r="F227" s="1154"/>
      <c r="G227" s="1154"/>
      <c r="H227" s="1154"/>
      <c r="I227" s="1154"/>
      <c r="J227" s="1154"/>
      <c r="K227" s="1154"/>
      <c r="L227" s="1154"/>
      <c r="M227" s="554"/>
      <c r="N227" s="554"/>
      <c r="O227" s="1075"/>
    </row>
    <row r="228" spans="1:15" ht="15" customHeight="1" x14ac:dyDescent="0.2">
      <c r="A228" s="1076"/>
      <c r="B228" s="1380" t="str">
        <f t="shared" si="5"/>
        <v>Desk 13</v>
      </c>
      <c r="C228" s="1390" t="str">
        <f>IF('TB IMA general'!C98&lt;&gt;"",'TB IMA general'!C98,"")</f>
        <v/>
      </c>
      <c r="D228" s="1126"/>
      <c r="E228" s="1154"/>
      <c r="F228" s="1154"/>
      <c r="G228" s="1154"/>
      <c r="H228" s="1154"/>
      <c r="I228" s="1154"/>
      <c r="J228" s="1154"/>
      <c r="K228" s="1154"/>
      <c r="L228" s="1154"/>
      <c r="M228" s="554"/>
      <c r="N228" s="554"/>
      <c r="O228" s="1075"/>
    </row>
    <row r="229" spans="1:15" ht="15" customHeight="1" x14ac:dyDescent="0.2">
      <c r="A229" s="1076"/>
      <c r="B229" s="1380" t="str">
        <f t="shared" si="5"/>
        <v>Desk 14</v>
      </c>
      <c r="C229" s="1390" t="str">
        <f>IF('TB IMA general'!C99&lt;&gt;"",'TB IMA general'!C99,"")</f>
        <v/>
      </c>
      <c r="D229" s="1126"/>
      <c r="E229" s="1154"/>
      <c r="F229" s="1154"/>
      <c r="G229" s="1154"/>
      <c r="H229" s="1154"/>
      <c r="I229" s="1154"/>
      <c r="J229" s="1154"/>
      <c r="K229" s="1154"/>
      <c r="L229" s="1154"/>
      <c r="M229" s="554"/>
      <c r="N229" s="554"/>
      <c r="O229" s="1075"/>
    </row>
    <row r="230" spans="1:15" ht="15" customHeight="1" x14ac:dyDescent="0.2">
      <c r="A230" s="1076"/>
      <c r="B230" s="1380" t="str">
        <f t="shared" si="5"/>
        <v>Desk 15</v>
      </c>
      <c r="C230" s="1390" t="str">
        <f>IF('TB IMA general'!C100&lt;&gt;"",'TB IMA general'!C100,"")</f>
        <v/>
      </c>
      <c r="D230" s="1126"/>
      <c r="E230" s="1154"/>
      <c r="F230" s="1154"/>
      <c r="G230" s="1154"/>
      <c r="H230" s="1154"/>
      <c r="I230" s="1154"/>
      <c r="J230" s="1154"/>
      <c r="K230" s="1154"/>
      <c r="L230" s="1154"/>
      <c r="M230" s="554"/>
      <c r="N230" s="554"/>
      <c r="O230" s="1075"/>
    </row>
    <row r="231" spans="1:15" ht="15" customHeight="1" x14ac:dyDescent="0.2">
      <c r="A231" s="1076"/>
      <c r="B231" s="1380" t="str">
        <f t="shared" si="5"/>
        <v>Desk 16</v>
      </c>
      <c r="C231" s="1390" t="str">
        <f>IF('TB IMA general'!C101&lt;&gt;"",'TB IMA general'!C101,"")</f>
        <v/>
      </c>
      <c r="D231" s="1126"/>
      <c r="E231" s="1154"/>
      <c r="F231" s="1154"/>
      <c r="G231" s="1154"/>
      <c r="H231" s="1154"/>
      <c r="I231" s="1154"/>
      <c r="J231" s="1154"/>
      <c r="K231" s="1154"/>
      <c r="L231" s="1154"/>
      <c r="M231" s="554"/>
      <c r="N231" s="554"/>
      <c r="O231" s="1075"/>
    </row>
    <row r="232" spans="1:15" ht="15" customHeight="1" x14ac:dyDescent="0.2">
      <c r="A232" s="1076"/>
      <c r="B232" s="1380" t="str">
        <f t="shared" si="5"/>
        <v>Desk 17</v>
      </c>
      <c r="C232" s="1390" t="str">
        <f>IF('TB IMA general'!C102&lt;&gt;"",'TB IMA general'!C102,"")</f>
        <v/>
      </c>
      <c r="D232" s="1126"/>
      <c r="E232" s="1154"/>
      <c r="F232" s="1154"/>
      <c r="G232" s="1154"/>
      <c r="H232" s="1154"/>
      <c r="I232" s="1154"/>
      <c r="J232" s="1154"/>
      <c r="K232" s="1154"/>
      <c r="L232" s="1154"/>
      <c r="M232" s="554"/>
      <c r="N232" s="554"/>
      <c r="O232" s="1075"/>
    </row>
    <row r="233" spans="1:15" ht="15" customHeight="1" x14ac:dyDescent="0.2">
      <c r="A233" s="1076"/>
      <c r="B233" s="1380" t="str">
        <f t="shared" si="5"/>
        <v>Desk 18</v>
      </c>
      <c r="C233" s="1390" t="str">
        <f>IF('TB IMA general'!C103&lt;&gt;"",'TB IMA general'!C103,"")</f>
        <v/>
      </c>
      <c r="D233" s="1126"/>
      <c r="E233" s="1154"/>
      <c r="F233" s="1154"/>
      <c r="G233" s="1154"/>
      <c r="H233" s="1154"/>
      <c r="I233" s="1154"/>
      <c r="J233" s="1154"/>
      <c r="K233" s="1154"/>
      <c r="L233" s="1154"/>
      <c r="M233" s="554"/>
      <c r="N233" s="554"/>
      <c r="O233" s="1075"/>
    </row>
    <row r="234" spans="1:15" ht="15" customHeight="1" x14ac:dyDescent="0.2">
      <c r="A234" s="1076"/>
      <c r="B234" s="1380" t="str">
        <f t="shared" si="5"/>
        <v>Desk 19</v>
      </c>
      <c r="C234" s="1390" t="str">
        <f>IF('TB IMA general'!C104&lt;&gt;"",'TB IMA general'!C104,"")</f>
        <v/>
      </c>
      <c r="D234" s="1126"/>
      <c r="E234" s="1154"/>
      <c r="F234" s="1154"/>
      <c r="G234" s="1154"/>
      <c r="H234" s="1154"/>
      <c r="I234" s="1154"/>
      <c r="J234" s="1154"/>
      <c r="K234" s="1154"/>
      <c r="L234" s="1154"/>
      <c r="M234" s="554"/>
      <c r="N234" s="554"/>
      <c r="O234" s="1075"/>
    </row>
    <row r="235" spans="1:15" ht="15" customHeight="1" x14ac:dyDescent="0.2">
      <c r="A235" s="1076"/>
      <c r="B235" s="1380" t="str">
        <f t="shared" si="5"/>
        <v>Desk 20</v>
      </c>
      <c r="C235" s="1390" t="str">
        <f>IF('TB IMA general'!C105&lt;&gt;"",'TB IMA general'!C105,"")</f>
        <v/>
      </c>
      <c r="D235" s="1126"/>
      <c r="E235" s="1154"/>
      <c r="F235" s="1154"/>
      <c r="G235" s="1154"/>
      <c r="H235" s="1154"/>
      <c r="I235" s="1154"/>
      <c r="J235" s="1154"/>
      <c r="K235" s="1154"/>
      <c r="L235" s="1154"/>
      <c r="M235" s="554"/>
      <c r="N235" s="554"/>
      <c r="O235" s="1075"/>
    </row>
    <row r="236" spans="1:15" ht="15" customHeight="1" x14ac:dyDescent="0.2">
      <c r="A236" s="1076"/>
      <c r="B236" s="1380" t="str">
        <f t="shared" si="5"/>
        <v>Desk 21</v>
      </c>
      <c r="C236" s="1390" t="str">
        <f>IF('TB IMA general'!C106&lt;&gt;"",'TB IMA general'!C106,"")</f>
        <v/>
      </c>
      <c r="D236" s="1126"/>
      <c r="E236" s="1154"/>
      <c r="F236" s="1154"/>
      <c r="G236" s="1154"/>
      <c r="H236" s="1154"/>
      <c r="I236" s="1154"/>
      <c r="J236" s="1154"/>
      <c r="K236" s="1154"/>
      <c r="L236" s="1154"/>
      <c r="M236" s="554"/>
      <c r="N236" s="554"/>
      <c r="O236" s="1075"/>
    </row>
    <row r="237" spans="1:15" ht="15" customHeight="1" x14ac:dyDescent="0.2">
      <c r="A237" s="1076"/>
      <c r="B237" s="1380" t="str">
        <f t="shared" si="5"/>
        <v>Desk 22</v>
      </c>
      <c r="C237" s="1390" t="str">
        <f>IF('TB IMA general'!C107&lt;&gt;"",'TB IMA general'!C107,"")</f>
        <v/>
      </c>
      <c r="D237" s="1126"/>
      <c r="E237" s="1154"/>
      <c r="F237" s="1154"/>
      <c r="G237" s="1154"/>
      <c r="H237" s="1154"/>
      <c r="I237" s="1154"/>
      <c r="J237" s="1154"/>
      <c r="K237" s="1154"/>
      <c r="L237" s="1154"/>
      <c r="M237" s="554"/>
      <c r="N237" s="554"/>
      <c r="O237" s="1075"/>
    </row>
    <row r="238" spans="1:15" ht="15" customHeight="1" x14ac:dyDescent="0.2">
      <c r="A238" s="1076"/>
      <c r="B238" s="1380" t="str">
        <f t="shared" si="5"/>
        <v>Desk 23</v>
      </c>
      <c r="C238" s="1390" t="str">
        <f>IF('TB IMA general'!C108&lt;&gt;"",'TB IMA general'!C108,"")</f>
        <v/>
      </c>
      <c r="D238" s="1126"/>
      <c r="E238" s="1154"/>
      <c r="F238" s="1154"/>
      <c r="G238" s="1154"/>
      <c r="H238" s="1154"/>
      <c r="I238" s="1154"/>
      <c r="J238" s="1154"/>
      <c r="K238" s="1154"/>
      <c r="L238" s="1154"/>
      <c r="M238" s="554"/>
      <c r="N238" s="554"/>
      <c r="O238" s="1075"/>
    </row>
    <row r="239" spans="1:15" ht="15" customHeight="1" x14ac:dyDescent="0.2">
      <c r="A239" s="1076"/>
      <c r="B239" s="1380" t="str">
        <f t="shared" si="5"/>
        <v>Desk 24</v>
      </c>
      <c r="C239" s="1390" t="str">
        <f>IF('TB IMA general'!C109&lt;&gt;"",'TB IMA general'!C109,"")</f>
        <v/>
      </c>
      <c r="D239" s="1126"/>
      <c r="E239" s="1154"/>
      <c r="F239" s="1154"/>
      <c r="G239" s="1154"/>
      <c r="H239" s="1154"/>
      <c r="I239" s="1154"/>
      <c r="J239" s="1154"/>
      <c r="K239" s="1154"/>
      <c r="L239" s="1154"/>
      <c r="M239" s="554"/>
      <c r="N239" s="554"/>
      <c r="O239" s="1075"/>
    </row>
    <row r="240" spans="1:15" ht="15" customHeight="1" x14ac:dyDescent="0.2">
      <c r="A240" s="1076"/>
      <c r="B240" s="1380" t="str">
        <f t="shared" si="5"/>
        <v>Desk 25</v>
      </c>
      <c r="C240" s="1390" t="str">
        <f>IF('TB IMA general'!C110&lt;&gt;"",'TB IMA general'!C110,"")</f>
        <v/>
      </c>
      <c r="D240" s="1126"/>
      <c r="E240" s="1154"/>
      <c r="F240" s="1154"/>
      <c r="G240" s="1154"/>
      <c r="H240" s="1154"/>
      <c r="I240" s="1154"/>
      <c r="J240" s="1154"/>
      <c r="K240" s="1154"/>
      <c r="L240" s="1154"/>
      <c r="M240" s="554"/>
      <c r="N240" s="554"/>
      <c r="O240" s="1075"/>
    </row>
    <row r="241" spans="1:15" ht="15" customHeight="1" x14ac:dyDescent="0.2">
      <c r="A241" s="1076"/>
      <c r="B241" s="1380" t="str">
        <f t="shared" si="5"/>
        <v>Desk 26</v>
      </c>
      <c r="C241" s="1390" t="str">
        <f>IF('TB IMA general'!C111&lt;&gt;"",'TB IMA general'!C111,"")</f>
        <v/>
      </c>
      <c r="D241" s="1126"/>
      <c r="E241" s="1154"/>
      <c r="F241" s="1154"/>
      <c r="G241" s="1154"/>
      <c r="H241" s="1154"/>
      <c r="I241" s="1154"/>
      <c r="J241" s="1154"/>
      <c r="K241" s="1154"/>
      <c r="L241" s="1154"/>
      <c r="M241" s="554"/>
      <c r="N241" s="554"/>
      <c r="O241" s="1075"/>
    </row>
    <row r="242" spans="1:15" ht="15" customHeight="1" x14ac:dyDescent="0.2">
      <c r="A242" s="1076"/>
      <c r="B242" s="1380" t="str">
        <f t="shared" si="5"/>
        <v>Desk 27</v>
      </c>
      <c r="C242" s="1390" t="str">
        <f>IF('TB IMA general'!C112&lt;&gt;"",'TB IMA general'!C112,"")</f>
        <v/>
      </c>
      <c r="D242" s="1126"/>
      <c r="E242" s="1154"/>
      <c r="F242" s="1154"/>
      <c r="G242" s="1154"/>
      <c r="H242" s="1154"/>
      <c r="I242" s="1154"/>
      <c r="J242" s="1154"/>
      <c r="K242" s="1154"/>
      <c r="L242" s="1154"/>
      <c r="M242" s="554"/>
      <c r="N242" s="554"/>
      <c r="O242" s="1075"/>
    </row>
    <row r="243" spans="1:15" ht="15" customHeight="1" x14ac:dyDescent="0.2">
      <c r="A243" s="1076"/>
      <c r="B243" s="1380" t="str">
        <f t="shared" si="5"/>
        <v>Desk 28</v>
      </c>
      <c r="C243" s="1390" t="str">
        <f>IF('TB IMA general'!C113&lt;&gt;"",'TB IMA general'!C113,"")</f>
        <v/>
      </c>
      <c r="D243" s="1126"/>
      <c r="E243" s="1154"/>
      <c r="F243" s="1154"/>
      <c r="G243" s="1154"/>
      <c r="H243" s="1154"/>
      <c r="I243" s="1154"/>
      <c r="J243" s="1154"/>
      <c r="K243" s="1154"/>
      <c r="L243" s="1154"/>
      <c r="M243" s="554"/>
      <c r="N243" s="554"/>
      <c r="O243" s="1075"/>
    </row>
    <row r="244" spans="1:15" ht="15" customHeight="1" x14ac:dyDescent="0.2">
      <c r="A244" s="1076"/>
      <c r="B244" s="1380" t="str">
        <f t="shared" si="5"/>
        <v>Desk 29</v>
      </c>
      <c r="C244" s="1390" t="str">
        <f>IF('TB IMA general'!C114&lt;&gt;"",'TB IMA general'!C114,"")</f>
        <v/>
      </c>
      <c r="D244" s="1126"/>
      <c r="E244" s="1154"/>
      <c r="F244" s="1154"/>
      <c r="G244" s="1154"/>
      <c r="H244" s="1154"/>
      <c r="I244" s="1154"/>
      <c r="J244" s="1154"/>
      <c r="K244" s="1154"/>
      <c r="L244" s="1154"/>
      <c r="M244" s="554"/>
      <c r="N244" s="554"/>
      <c r="O244" s="1075"/>
    </row>
    <row r="245" spans="1:15" ht="15" customHeight="1" x14ac:dyDescent="0.2">
      <c r="A245" s="1076"/>
      <c r="B245" s="1380" t="str">
        <f t="shared" si="5"/>
        <v>Desk 30</v>
      </c>
      <c r="C245" s="1390" t="str">
        <f>IF('TB IMA general'!C115&lt;&gt;"",'TB IMA general'!C115,"")</f>
        <v/>
      </c>
      <c r="D245" s="1126"/>
      <c r="E245" s="1154"/>
      <c r="F245" s="1154"/>
      <c r="G245" s="1154"/>
      <c r="H245" s="1154"/>
      <c r="I245" s="1154"/>
      <c r="J245" s="1154"/>
      <c r="K245" s="1154"/>
      <c r="L245" s="1154"/>
      <c r="M245" s="554"/>
      <c r="N245" s="554"/>
      <c r="O245" s="1075"/>
    </row>
    <row r="246" spans="1:15" ht="15" customHeight="1" x14ac:dyDescent="0.2">
      <c r="A246" s="1076"/>
      <c r="B246" s="1380" t="str">
        <f t="shared" si="5"/>
        <v>Desk 31</v>
      </c>
      <c r="C246" s="1390" t="str">
        <f>IF('TB IMA general'!C116&lt;&gt;"",'TB IMA general'!C116,"")</f>
        <v/>
      </c>
      <c r="D246" s="1126"/>
      <c r="E246" s="1154"/>
      <c r="F246" s="1154"/>
      <c r="G246" s="1154"/>
      <c r="H246" s="1154"/>
      <c r="I246" s="1154"/>
      <c r="J246" s="1154"/>
      <c r="K246" s="1154"/>
      <c r="L246" s="1154"/>
      <c r="M246" s="554"/>
      <c r="N246" s="554"/>
      <c r="O246" s="1075"/>
    </row>
    <row r="247" spans="1:15" ht="15" customHeight="1" x14ac:dyDescent="0.2">
      <c r="A247" s="1076"/>
      <c r="B247" s="1380" t="str">
        <f t="shared" si="5"/>
        <v>Desk 32</v>
      </c>
      <c r="C247" s="1390" t="str">
        <f>IF('TB IMA general'!C117&lt;&gt;"",'TB IMA general'!C117,"")</f>
        <v/>
      </c>
      <c r="D247" s="1126"/>
      <c r="E247" s="1154"/>
      <c r="F247" s="1154"/>
      <c r="G247" s="1154"/>
      <c r="H247" s="1154"/>
      <c r="I247" s="1154"/>
      <c r="J247" s="1154"/>
      <c r="K247" s="1154"/>
      <c r="L247" s="1154"/>
      <c r="M247" s="554"/>
      <c r="N247" s="554"/>
      <c r="O247" s="1075"/>
    </row>
    <row r="248" spans="1:15" ht="15" customHeight="1" x14ac:dyDescent="0.2">
      <c r="A248" s="1076"/>
      <c r="B248" s="1380" t="str">
        <f t="shared" si="5"/>
        <v>Desk 33</v>
      </c>
      <c r="C248" s="1390" t="str">
        <f>IF('TB IMA general'!C118&lt;&gt;"",'TB IMA general'!C118,"")</f>
        <v/>
      </c>
      <c r="D248" s="1126"/>
      <c r="E248" s="1154"/>
      <c r="F248" s="1154"/>
      <c r="G248" s="1154"/>
      <c r="H248" s="1154"/>
      <c r="I248" s="1154"/>
      <c r="J248" s="1154"/>
      <c r="K248" s="1154"/>
      <c r="L248" s="1154"/>
      <c r="M248" s="554"/>
      <c r="N248" s="554"/>
      <c r="O248" s="1075"/>
    </row>
    <row r="249" spans="1:15" ht="15" customHeight="1" x14ac:dyDescent="0.2">
      <c r="A249" s="1076"/>
      <c r="B249" s="1380" t="str">
        <f t="shared" si="5"/>
        <v>Desk 34</v>
      </c>
      <c r="C249" s="1390" t="str">
        <f>IF('TB IMA general'!C119&lt;&gt;"",'TB IMA general'!C119,"")</f>
        <v/>
      </c>
      <c r="D249" s="1126"/>
      <c r="E249" s="1154"/>
      <c r="F249" s="1154"/>
      <c r="G249" s="1154"/>
      <c r="H249" s="1154"/>
      <c r="I249" s="1154"/>
      <c r="J249" s="1154"/>
      <c r="K249" s="1154"/>
      <c r="L249" s="1154"/>
      <c r="M249" s="554"/>
      <c r="N249" s="554"/>
      <c r="O249" s="1075"/>
    </row>
    <row r="250" spans="1:15" ht="15" customHeight="1" x14ac:dyDescent="0.2">
      <c r="A250" s="1076"/>
      <c r="B250" s="1380" t="str">
        <f t="shared" si="5"/>
        <v>Desk 35</v>
      </c>
      <c r="C250" s="1390" t="str">
        <f>IF('TB IMA general'!C120&lt;&gt;"",'TB IMA general'!C120,"")</f>
        <v/>
      </c>
      <c r="D250" s="1126"/>
      <c r="E250" s="1154"/>
      <c r="F250" s="1154"/>
      <c r="G250" s="1154"/>
      <c r="H250" s="1154"/>
      <c r="I250" s="1154"/>
      <c r="J250" s="1154"/>
      <c r="K250" s="1154"/>
      <c r="L250" s="1154"/>
      <c r="M250" s="554"/>
      <c r="N250" s="554"/>
      <c r="O250" s="1075"/>
    </row>
    <row r="251" spans="1:15" ht="15" customHeight="1" x14ac:dyDescent="0.2">
      <c r="A251" s="1076"/>
      <c r="B251" s="1380" t="str">
        <f t="shared" si="5"/>
        <v>Desk 36</v>
      </c>
      <c r="C251" s="1390" t="str">
        <f>IF('TB IMA general'!C121&lt;&gt;"",'TB IMA general'!C121,"")</f>
        <v/>
      </c>
      <c r="D251" s="1126"/>
      <c r="E251" s="1154"/>
      <c r="F251" s="1154"/>
      <c r="G251" s="1154"/>
      <c r="H251" s="1154"/>
      <c r="I251" s="1154"/>
      <c r="J251" s="1154"/>
      <c r="K251" s="1154"/>
      <c r="L251" s="1154"/>
      <c r="M251" s="554"/>
      <c r="N251" s="554"/>
      <c r="O251" s="1075"/>
    </row>
    <row r="252" spans="1:15" ht="15" customHeight="1" x14ac:dyDescent="0.2">
      <c r="A252" s="1076"/>
      <c r="B252" s="1380" t="str">
        <f t="shared" si="5"/>
        <v>Desk 37</v>
      </c>
      <c r="C252" s="1390" t="str">
        <f>IF('TB IMA general'!C122&lt;&gt;"",'TB IMA general'!C122,"")</f>
        <v/>
      </c>
      <c r="D252" s="1126"/>
      <c r="E252" s="1154"/>
      <c r="F252" s="1154"/>
      <c r="G252" s="1154"/>
      <c r="H252" s="1154"/>
      <c r="I252" s="1154"/>
      <c r="J252" s="1154"/>
      <c r="K252" s="1154"/>
      <c r="L252" s="1154"/>
      <c r="M252" s="554"/>
      <c r="N252" s="554"/>
      <c r="O252" s="1075"/>
    </row>
    <row r="253" spans="1:15" ht="15" customHeight="1" x14ac:dyDescent="0.2">
      <c r="A253" s="1076"/>
      <c r="B253" s="1380" t="str">
        <f t="shared" si="5"/>
        <v>Desk 38</v>
      </c>
      <c r="C253" s="1390" t="str">
        <f>IF('TB IMA general'!C123&lt;&gt;"",'TB IMA general'!C123,"")</f>
        <v/>
      </c>
      <c r="D253" s="1126"/>
      <c r="E253" s="1154"/>
      <c r="F253" s="1154"/>
      <c r="G253" s="1154"/>
      <c r="H253" s="1154"/>
      <c r="I253" s="1154"/>
      <c r="J253" s="1154"/>
      <c r="K253" s="1154"/>
      <c r="L253" s="1154"/>
      <c r="M253" s="554"/>
      <c r="N253" s="554"/>
      <c r="O253" s="1075"/>
    </row>
    <row r="254" spans="1:15" ht="15" customHeight="1" x14ac:dyDescent="0.2">
      <c r="A254" s="1076"/>
      <c r="B254" s="1380" t="str">
        <f t="shared" si="5"/>
        <v>Desk 39</v>
      </c>
      <c r="C254" s="1390" t="str">
        <f>IF('TB IMA general'!C124&lt;&gt;"",'TB IMA general'!C124,"")</f>
        <v/>
      </c>
      <c r="D254" s="1126"/>
      <c r="E254" s="1154"/>
      <c r="F254" s="1154"/>
      <c r="G254" s="1154"/>
      <c r="H254" s="1154"/>
      <c r="I254" s="1154"/>
      <c r="J254" s="1154"/>
      <c r="K254" s="1154"/>
      <c r="L254" s="1154"/>
      <c r="M254" s="554"/>
      <c r="N254" s="554"/>
      <c r="O254" s="1075"/>
    </row>
    <row r="255" spans="1:15" ht="15" customHeight="1" x14ac:dyDescent="0.2">
      <c r="A255" s="1076"/>
      <c r="B255" s="1380" t="str">
        <f t="shared" si="5"/>
        <v>Desk 40</v>
      </c>
      <c r="C255" s="1390" t="str">
        <f>IF('TB IMA general'!C125&lt;&gt;"",'TB IMA general'!C125,"")</f>
        <v/>
      </c>
      <c r="D255" s="1126"/>
      <c r="E255" s="1154"/>
      <c r="F255" s="1154"/>
      <c r="G255" s="1154"/>
      <c r="H255" s="1154"/>
      <c r="I255" s="1154"/>
      <c r="J255" s="1154"/>
      <c r="K255" s="1154"/>
      <c r="L255" s="1154"/>
      <c r="M255" s="554"/>
      <c r="N255" s="554"/>
      <c r="O255" s="1075"/>
    </row>
    <row r="256" spans="1:15" ht="15" customHeight="1" x14ac:dyDescent="0.2">
      <c r="A256" s="1076"/>
      <c r="B256" s="1380" t="str">
        <f t="shared" si="5"/>
        <v>Desk 41</v>
      </c>
      <c r="C256" s="1390" t="str">
        <f>IF('TB IMA general'!C126&lt;&gt;"",'TB IMA general'!C126,"")</f>
        <v/>
      </c>
      <c r="D256" s="1126"/>
      <c r="E256" s="1154"/>
      <c r="F256" s="1154"/>
      <c r="G256" s="1154"/>
      <c r="H256" s="1154"/>
      <c r="I256" s="1154"/>
      <c r="J256" s="1154"/>
      <c r="K256" s="1154"/>
      <c r="L256" s="1154"/>
      <c r="M256" s="554"/>
      <c r="N256" s="554"/>
      <c r="O256" s="1075"/>
    </row>
    <row r="257" spans="1:15" ht="15" customHeight="1" x14ac:dyDescent="0.2">
      <c r="A257" s="1076"/>
      <c r="B257" s="1380" t="str">
        <f t="shared" si="5"/>
        <v>Desk 42</v>
      </c>
      <c r="C257" s="1390" t="str">
        <f>IF('TB IMA general'!C127&lt;&gt;"",'TB IMA general'!C127,"")</f>
        <v/>
      </c>
      <c r="D257" s="1126"/>
      <c r="E257" s="1154"/>
      <c r="F257" s="1154"/>
      <c r="G257" s="1154"/>
      <c r="H257" s="1154"/>
      <c r="I257" s="1154"/>
      <c r="J257" s="1154"/>
      <c r="K257" s="1154"/>
      <c r="L257" s="1154"/>
      <c r="M257" s="554"/>
      <c r="N257" s="554"/>
      <c r="O257" s="1075"/>
    </row>
    <row r="258" spans="1:15" ht="15" customHeight="1" x14ac:dyDescent="0.2">
      <c r="A258" s="1076"/>
      <c r="B258" s="1380" t="str">
        <f t="shared" si="5"/>
        <v>Desk 43</v>
      </c>
      <c r="C258" s="1390" t="str">
        <f>IF('TB IMA general'!C128&lt;&gt;"",'TB IMA general'!C128,"")</f>
        <v/>
      </c>
      <c r="D258" s="1126"/>
      <c r="E258" s="1154"/>
      <c r="F258" s="1154"/>
      <c r="G258" s="1154"/>
      <c r="H258" s="1154"/>
      <c r="I258" s="1154"/>
      <c r="J258" s="1154"/>
      <c r="K258" s="1154"/>
      <c r="L258" s="1154"/>
      <c r="M258" s="554"/>
      <c r="N258" s="554"/>
      <c r="O258" s="1075"/>
    </row>
    <row r="259" spans="1:15" ht="15" customHeight="1" x14ac:dyDescent="0.2">
      <c r="A259" s="1076"/>
      <c r="B259" s="1380" t="str">
        <f t="shared" si="5"/>
        <v>Desk 44</v>
      </c>
      <c r="C259" s="1390" t="str">
        <f>IF('TB IMA general'!C129&lt;&gt;"",'TB IMA general'!C129,"")</f>
        <v/>
      </c>
      <c r="D259" s="1126"/>
      <c r="E259" s="1154"/>
      <c r="F259" s="1154"/>
      <c r="G259" s="1154"/>
      <c r="H259" s="1154"/>
      <c r="I259" s="1154"/>
      <c r="J259" s="1154"/>
      <c r="K259" s="1154"/>
      <c r="L259" s="1154"/>
      <c r="M259" s="554"/>
      <c r="N259" s="554"/>
      <c r="O259" s="1075"/>
    </row>
    <row r="260" spans="1:15" ht="15" customHeight="1" x14ac:dyDescent="0.2">
      <c r="A260" s="1076"/>
      <c r="B260" s="1380" t="str">
        <f t="shared" si="5"/>
        <v>Desk 45</v>
      </c>
      <c r="C260" s="1390" t="str">
        <f>IF('TB IMA general'!C130&lt;&gt;"",'TB IMA general'!C130,"")</f>
        <v/>
      </c>
      <c r="D260" s="1126"/>
      <c r="E260" s="1154"/>
      <c r="F260" s="1154"/>
      <c r="G260" s="1154"/>
      <c r="H260" s="1154"/>
      <c r="I260" s="1154"/>
      <c r="J260" s="1154"/>
      <c r="K260" s="1154"/>
      <c r="L260" s="1154"/>
      <c r="M260" s="554"/>
      <c r="N260" s="554"/>
      <c r="O260" s="1075"/>
    </row>
    <row r="261" spans="1:15" ht="15" customHeight="1" x14ac:dyDescent="0.2">
      <c r="A261" s="1076"/>
      <c r="B261" s="1380" t="str">
        <f t="shared" si="5"/>
        <v>Desk 46</v>
      </c>
      <c r="C261" s="1390" t="str">
        <f>IF('TB IMA general'!C131&lt;&gt;"",'TB IMA general'!C131,"")</f>
        <v/>
      </c>
      <c r="D261" s="1126"/>
      <c r="E261" s="1154"/>
      <c r="F261" s="1154"/>
      <c r="G261" s="1154"/>
      <c r="H261" s="1154"/>
      <c r="I261" s="1154"/>
      <c r="J261" s="1154"/>
      <c r="K261" s="1154"/>
      <c r="L261" s="1154"/>
      <c r="M261" s="554"/>
      <c r="N261" s="554"/>
      <c r="O261" s="1075"/>
    </row>
    <row r="262" spans="1:15" ht="15" customHeight="1" x14ac:dyDescent="0.2">
      <c r="A262" s="1076"/>
      <c r="B262" s="1380" t="str">
        <f t="shared" si="5"/>
        <v>Desk 47</v>
      </c>
      <c r="C262" s="1390" t="str">
        <f>IF('TB IMA general'!C132&lt;&gt;"",'TB IMA general'!C132,"")</f>
        <v/>
      </c>
      <c r="D262" s="1126"/>
      <c r="E262" s="1154"/>
      <c r="F262" s="1154"/>
      <c r="G262" s="1154"/>
      <c r="H262" s="1154"/>
      <c r="I262" s="1154"/>
      <c r="J262" s="1154"/>
      <c r="K262" s="1154"/>
      <c r="L262" s="1154"/>
      <c r="M262" s="554"/>
      <c r="N262" s="554"/>
      <c r="O262" s="1075"/>
    </row>
    <row r="263" spans="1:15" ht="15" customHeight="1" x14ac:dyDescent="0.2">
      <c r="A263" s="1076"/>
      <c r="B263" s="1380" t="str">
        <f t="shared" si="5"/>
        <v>Desk 48</v>
      </c>
      <c r="C263" s="1390" t="str">
        <f>IF('TB IMA general'!C133&lt;&gt;"",'TB IMA general'!C133,"")</f>
        <v/>
      </c>
      <c r="D263" s="1126"/>
      <c r="E263" s="1154"/>
      <c r="F263" s="1154"/>
      <c r="G263" s="1154"/>
      <c r="H263" s="1154"/>
      <c r="I263" s="1154"/>
      <c r="J263" s="1154"/>
      <c r="K263" s="1154"/>
      <c r="L263" s="1154"/>
      <c r="M263" s="554"/>
      <c r="N263" s="554"/>
      <c r="O263" s="1075"/>
    </row>
    <row r="264" spans="1:15" ht="15" customHeight="1" x14ac:dyDescent="0.2">
      <c r="A264" s="1076"/>
      <c r="B264" s="1380" t="str">
        <f t="shared" si="5"/>
        <v>Desk 49</v>
      </c>
      <c r="C264" s="1390" t="str">
        <f>IF('TB IMA general'!C134&lt;&gt;"",'TB IMA general'!C134,"")</f>
        <v/>
      </c>
      <c r="D264" s="1126"/>
      <c r="E264" s="1154"/>
      <c r="F264" s="1154"/>
      <c r="G264" s="1154"/>
      <c r="H264" s="1154"/>
      <c r="I264" s="1154"/>
      <c r="J264" s="1154"/>
      <c r="K264" s="1154"/>
      <c r="L264" s="1154"/>
      <c r="M264" s="554"/>
      <c r="N264" s="554"/>
      <c r="O264" s="1075"/>
    </row>
    <row r="265" spans="1:15" ht="15" customHeight="1" x14ac:dyDescent="0.2">
      <c r="A265" s="1076"/>
      <c r="B265" s="1380" t="str">
        <f t="shared" si="5"/>
        <v>Desk 50</v>
      </c>
      <c r="C265" s="1390" t="str">
        <f>IF('TB IMA general'!C135&lt;&gt;"",'TB IMA general'!C135,"")</f>
        <v/>
      </c>
      <c r="D265" s="1126"/>
      <c r="E265" s="1154"/>
      <c r="F265" s="1154"/>
      <c r="G265" s="1154"/>
      <c r="H265" s="1154"/>
      <c r="I265" s="1154"/>
      <c r="J265" s="1154"/>
      <c r="K265" s="1154"/>
      <c r="L265" s="1154"/>
      <c r="M265" s="554"/>
      <c r="N265" s="554"/>
      <c r="O265" s="1075"/>
    </row>
    <row r="266" spans="1:15" ht="15" customHeight="1" x14ac:dyDescent="0.2">
      <c r="A266" s="1076"/>
      <c r="B266" s="1380" t="str">
        <f t="shared" si="5"/>
        <v>Desk 51</v>
      </c>
      <c r="C266" s="1390" t="str">
        <f>IF('TB IMA general'!C136&lt;&gt;"",'TB IMA general'!C136,"")</f>
        <v/>
      </c>
      <c r="D266" s="1126"/>
      <c r="E266" s="1154"/>
      <c r="F266" s="1154"/>
      <c r="G266" s="1154"/>
      <c r="H266" s="1154"/>
      <c r="I266" s="1154"/>
      <c r="J266" s="1154"/>
      <c r="K266" s="1154"/>
      <c r="L266" s="1154"/>
      <c r="M266" s="554"/>
      <c r="N266" s="554"/>
      <c r="O266" s="1075"/>
    </row>
    <row r="267" spans="1:15" ht="15" customHeight="1" x14ac:dyDescent="0.2">
      <c r="A267" s="1076"/>
      <c r="B267" s="1380" t="str">
        <f t="shared" si="5"/>
        <v>Desk 52</v>
      </c>
      <c r="C267" s="1390" t="str">
        <f>IF('TB IMA general'!C137&lt;&gt;"",'TB IMA general'!C137,"")</f>
        <v/>
      </c>
      <c r="D267" s="1126"/>
      <c r="E267" s="1154"/>
      <c r="F267" s="1154"/>
      <c r="G267" s="1154"/>
      <c r="H267" s="1154"/>
      <c r="I267" s="1154"/>
      <c r="J267" s="1154"/>
      <c r="K267" s="1154"/>
      <c r="L267" s="1154"/>
      <c r="M267" s="554"/>
      <c r="N267" s="554"/>
      <c r="O267" s="1075"/>
    </row>
    <row r="268" spans="1:15" ht="15" customHeight="1" x14ac:dyDescent="0.2">
      <c r="A268" s="1076"/>
      <c r="B268" s="1380" t="str">
        <f t="shared" si="5"/>
        <v>Desk 53</v>
      </c>
      <c r="C268" s="1390" t="str">
        <f>IF('TB IMA general'!C138&lt;&gt;"",'TB IMA general'!C138,"")</f>
        <v/>
      </c>
      <c r="D268" s="1126"/>
      <c r="E268" s="1154"/>
      <c r="F268" s="1154"/>
      <c r="G268" s="1154"/>
      <c r="H268" s="1154"/>
      <c r="I268" s="1154"/>
      <c r="J268" s="1154"/>
      <c r="K268" s="1154"/>
      <c r="L268" s="1154"/>
      <c r="M268" s="554"/>
      <c r="N268" s="554"/>
      <c r="O268" s="1075"/>
    </row>
    <row r="269" spans="1:15" ht="15" customHeight="1" x14ac:dyDescent="0.2">
      <c r="A269" s="1076"/>
      <c r="B269" s="1380" t="str">
        <f t="shared" si="5"/>
        <v>Desk 54</v>
      </c>
      <c r="C269" s="1390" t="str">
        <f>IF('TB IMA general'!C139&lt;&gt;"",'TB IMA general'!C139,"")</f>
        <v/>
      </c>
      <c r="D269" s="1126"/>
      <c r="E269" s="1154"/>
      <c r="F269" s="1154"/>
      <c r="G269" s="1154"/>
      <c r="H269" s="1154"/>
      <c r="I269" s="1154"/>
      <c r="J269" s="1154"/>
      <c r="K269" s="1154"/>
      <c r="L269" s="1154"/>
      <c r="M269" s="554"/>
      <c r="N269" s="554"/>
      <c r="O269" s="1075"/>
    </row>
    <row r="270" spans="1:15" ht="15" customHeight="1" x14ac:dyDescent="0.2">
      <c r="A270" s="1076"/>
      <c r="B270" s="1380" t="str">
        <f t="shared" si="5"/>
        <v>Desk 55</v>
      </c>
      <c r="C270" s="1390" t="str">
        <f>IF('TB IMA general'!C140&lt;&gt;"",'TB IMA general'!C140,"")</f>
        <v/>
      </c>
      <c r="D270" s="1126"/>
      <c r="E270" s="1154"/>
      <c r="F270" s="1154"/>
      <c r="G270" s="1154"/>
      <c r="H270" s="1154"/>
      <c r="I270" s="1154"/>
      <c r="J270" s="1154"/>
      <c r="K270" s="1154"/>
      <c r="L270" s="1154"/>
      <c r="M270" s="554"/>
      <c r="N270" s="554"/>
      <c r="O270" s="1075"/>
    </row>
    <row r="271" spans="1:15" ht="15" customHeight="1" x14ac:dyDescent="0.2">
      <c r="A271" s="1076"/>
      <c r="B271" s="1380" t="str">
        <f t="shared" si="5"/>
        <v>Desk 56</v>
      </c>
      <c r="C271" s="1390" t="str">
        <f>IF('TB IMA general'!C141&lt;&gt;"",'TB IMA general'!C141,"")</f>
        <v/>
      </c>
      <c r="D271" s="1126"/>
      <c r="E271" s="1154"/>
      <c r="F271" s="1154"/>
      <c r="G271" s="1154"/>
      <c r="H271" s="1154"/>
      <c r="I271" s="1154"/>
      <c r="J271" s="1154"/>
      <c r="K271" s="1154"/>
      <c r="L271" s="1154"/>
      <c r="M271" s="554"/>
      <c r="N271" s="554"/>
      <c r="O271" s="1075"/>
    </row>
    <row r="272" spans="1:15" ht="15" customHeight="1" x14ac:dyDescent="0.2">
      <c r="A272" s="1076"/>
      <c r="B272" s="1380" t="str">
        <f t="shared" si="5"/>
        <v>Desk 57</v>
      </c>
      <c r="C272" s="1390" t="str">
        <f>IF('TB IMA general'!C142&lt;&gt;"",'TB IMA general'!C142,"")</f>
        <v/>
      </c>
      <c r="D272" s="1126"/>
      <c r="E272" s="1154"/>
      <c r="F272" s="1154"/>
      <c r="G272" s="1154"/>
      <c r="H272" s="1154"/>
      <c r="I272" s="1154"/>
      <c r="J272" s="1154"/>
      <c r="K272" s="1154"/>
      <c r="L272" s="1154"/>
      <c r="M272" s="554"/>
      <c r="N272" s="554"/>
      <c r="O272" s="1075"/>
    </row>
    <row r="273" spans="1:15" ht="15" customHeight="1" x14ac:dyDescent="0.2">
      <c r="A273" s="1076"/>
      <c r="B273" s="1380" t="str">
        <f t="shared" si="5"/>
        <v>Desk 58</v>
      </c>
      <c r="C273" s="1390" t="str">
        <f>IF('TB IMA general'!C143&lt;&gt;"",'TB IMA general'!C143,"")</f>
        <v/>
      </c>
      <c r="D273" s="1126"/>
      <c r="E273" s="1154"/>
      <c r="F273" s="1154"/>
      <c r="G273" s="1154"/>
      <c r="H273" s="1154"/>
      <c r="I273" s="1154"/>
      <c r="J273" s="1154"/>
      <c r="K273" s="1154"/>
      <c r="L273" s="1154"/>
      <c r="M273" s="554"/>
      <c r="N273" s="554"/>
      <c r="O273" s="1075"/>
    </row>
    <row r="274" spans="1:15" ht="15" customHeight="1" x14ac:dyDescent="0.2">
      <c r="A274" s="1076"/>
      <c r="B274" s="1380" t="str">
        <f t="shared" si="5"/>
        <v>Desk 59</v>
      </c>
      <c r="C274" s="1390" t="str">
        <f>IF('TB IMA general'!C144&lt;&gt;"",'TB IMA general'!C144,"")</f>
        <v/>
      </c>
      <c r="D274" s="1126"/>
      <c r="E274" s="1154"/>
      <c r="F274" s="1154"/>
      <c r="G274" s="1154"/>
      <c r="H274" s="1154"/>
      <c r="I274" s="1154"/>
      <c r="J274" s="1154"/>
      <c r="K274" s="1154"/>
      <c r="L274" s="1154"/>
      <c r="M274" s="554"/>
      <c r="N274" s="554"/>
      <c r="O274" s="1075"/>
    </row>
    <row r="275" spans="1:15" ht="15" customHeight="1" x14ac:dyDescent="0.2">
      <c r="A275" s="1076"/>
      <c r="B275" s="1380" t="str">
        <f t="shared" si="5"/>
        <v>Desk 60</v>
      </c>
      <c r="C275" s="1390" t="str">
        <f>IF('TB IMA general'!C145&lt;&gt;"",'TB IMA general'!C145,"")</f>
        <v/>
      </c>
      <c r="D275" s="1126"/>
      <c r="E275" s="1154"/>
      <c r="F275" s="1154"/>
      <c r="G275" s="1154"/>
      <c r="H275" s="1154"/>
      <c r="I275" s="1154"/>
      <c r="J275" s="1154"/>
      <c r="K275" s="1154"/>
      <c r="L275" s="1154"/>
      <c r="M275" s="554"/>
      <c r="N275" s="554"/>
      <c r="O275" s="1075"/>
    </row>
    <row r="276" spans="1:15" ht="15" customHeight="1" x14ac:dyDescent="0.2">
      <c r="A276" s="1076"/>
      <c r="B276" s="1380" t="str">
        <f t="shared" si="5"/>
        <v>Desk 61</v>
      </c>
      <c r="C276" s="1390" t="str">
        <f>IF('TB IMA general'!C146&lt;&gt;"",'TB IMA general'!C146,"")</f>
        <v/>
      </c>
      <c r="D276" s="1126"/>
      <c r="E276" s="1154"/>
      <c r="F276" s="1154"/>
      <c r="G276" s="1154"/>
      <c r="H276" s="1154"/>
      <c r="I276" s="1154"/>
      <c r="J276" s="1154"/>
      <c r="K276" s="1154"/>
      <c r="L276" s="1154"/>
      <c r="M276" s="554"/>
      <c r="N276" s="554"/>
      <c r="O276" s="1075"/>
    </row>
    <row r="277" spans="1:15" ht="15" customHeight="1" x14ac:dyDescent="0.2">
      <c r="A277" s="1076"/>
      <c r="B277" s="1380" t="str">
        <f t="shared" si="5"/>
        <v>Desk 62</v>
      </c>
      <c r="C277" s="1390" t="str">
        <f>IF('TB IMA general'!C147&lt;&gt;"",'TB IMA general'!C147,"")</f>
        <v/>
      </c>
      <c r="D277" s="1126"/>
      <c r="E277" s="1154"/>
      <c r="F277" s="1154"/>
      <c r="G277" s="1154"/>
      <c r="H277" s="1154"/>
      <c r="I277" s="1154"/>
      <c r="J277" s="1154"/>
      <c r="K277" s="1154"/>
      <c r="L277" s="1154"/>
      <c r="M277" s="554"/>
      <c r="N277" s="554"/>
      <c r="O277" s="1075"/>
    </row>
    <row r="278" spans="1:15" ht="15" customHeight="1" x14ac:dyDescent="0.2">
      <c r="A278" s="1076"/>
      <c r="B278" s="1380" t="str">
        <f t="shared" si="5"/>
        <v>Desk 63</v>
      </c>
      <c r="C278" s="1390" t="str">
        <f>IF('TB IMA general'!C148&lt;&gt;"",'TB IMA general'!C148,"")</f>
        <v/>
      </c>
      <c r="D278" s="1126"/>
      <c r="E278" s="1154"/>
      <c r="F278" s="1154"/>
      <c r="G278" s="1154"/>
      <c r="H278" s="1154"/>
      <c r="I278" s="1154"/>
      <c r="J278" s="1154"/>
      <c r="K278" s="1154"/>
      <c r="L278" s="1154"/>
      <c r="M278" s="554"/>
      <c r="N278" s="554"/>
      <c r="O278" s="1075"/>
    </row>
    <row r="279" spans="1:15" ht="15" customHeight="1" x14ac:dyDescent="0.2">
      <c r="A279" s="1076"/>
      <c r="B279" s="1380" t="str">
        <f t="shared" si="5"/>
        <v>Desk 64</v>
      </c>
      <c r="C279" s="1390" t="str">
        <f>IF('TB IMA general'!C149&lt;&gt;"",'TB IMA general'!C149,"")</f>
        <v/>
      </c>
      <c r="D279" s="1126"/>
      <c r="E279" s="1154"/>
      <c r="F279" s="1154"/>
      <c r="G279" s="1154"/>
      <c r="H279" s="1154"/>
      <c r="I279" s="1154"/>
      <c r="J279" s="1154"/>
      <c r="K279" s="1154"/>
      <c r="L279" s="1154"/>
      <c r="M279" s="554"/>
      <c r="N279" s="554"/>
      <c r="O279" s="1075"/>
    </row>
    <row r="280" spans="1:15" ht="15" customHeight="1" x14ac:dyDescent="0.2">
      <c r="A280" s="1076"/>
      <c r="B280" s="1380" t="str">
        <f t="shared" si="5"/>
        <v>Desk 65</v>
      </c>
      <c r="C280" s="1390" t="str">
        <f>IF('TB IMA general'!C150&lt;&gt;"",'TB IMA general'!C150,"")</f>
        <v/>
      </c>
      <c r="D280" s="1126"/>
      <c r="E280" s="1154"/>
      <c r="F280" s="1154"/>
      <c r="G280" s="1154"/>
      <c r="H280" s="1154"/>
      <c r="I280" s="1154"/>
      <c r="J280" s="1154"/>
      <c r="K280" s="1154"/>
      <c r="L280" s="1154"/>
      <c r="M280" s="554"/>
      <c r="N280" s="554"/>
      <c r="O280" s="1075"/>
    </row>
    <row r="281" spans="1:15" ht="15" customHeight="1" x14ac:dyDescent="0.2">
      <c r="A281" s="1076"/>
      <c r="B281" s="1380" t="str">
        <f t="shared" ref="B281:B315" si="6">"Desk " &amp; (ROW(B281)-ROW(B$215))</f>
        <v>Desk 66</v>
      </c>
      <c r="C281" s="1390" t="str">
        <f>IF('TB IMA general'!C151&lt;&gt;"",'TB IMA general'!C151,"")</f>
        <v/>
      </c>
      <c r="D281" s="1126"/>
      <c r="E281" s="1154"/>
      <c r="F281" s="1154"/>
      <c r="G281" s="1154"/>
      <c r="H281" s="1154"/>
      <c r="I281" s="1154"/>
      <c r="J281" s="1154"/>
      <c r="K281" s="1154"/>
      <c r="L281" s="1154"/>
      <c r="M281" s="554"/>
      <c r="N281" s="554"/>
      <c r="O281" s="1075"/>
    </row>
    <row r="282" spans="1:15" ht="15" customHeight="1" x14ac:dyDescent="0.2">
      <c r="A282" s="1076"/>
      <c r="B282" s="1380" t="str">
        <f t="shared" si="6"/>
        <v>Desk 67</v>
      </c>
      <c r="C282" s="1390" t="str">
        <f>IF('TB IMA general'!C152&lt;&gt;"",'TB IMA general'!C152,"")</f>
        <v/>
      </c>
      <c r="D282" s="1126"/>
      <c r="E282" s="1154"/>
      <c r="F282" s="1154"/>
      <c r="G282" s="1154"/>
      <c r="H282" s="1154"/>
      <c r="I282" s="1154"/>
      <c r="J282" s="1154"/>
      <c r="K282" s="1154"/>
      <c r="L282" s="1154"/>
      <c r="M282" s="554"/>
      <c r="N282" s="554"/>
      <c r="O282" s="1075"/>
    </row>
    <row r="283" spans="1:15" ht="15" customHeight="1" x14ac:dyDescent="0.2">
      <c r="A283" s="1076"/>
      <c r="B283" s="1380" t="str">
        <f t="shared" si="6"/>
        <v>Desk 68</v>
      </c>
      <c r="C283" s="1390" t="str">
        <f>IF('TB IMA general'!C153&lt;&gt;"",'TB IMA general'!C153,"")</f>
        <v/>
      </c>
      <c r="D283" s="1126"/>
      <c r="E283" s="1154"/>
      <c r="F283" s="1154"/>
      <c r="G283" s="1154"/>
      <c r="H283" s="1154"/>
      <c r="I283" s="1154"/>
      <c r="J283" s="1154"/>
      <c r="K283" s="1154"/>
      <c r="L283" s="1154"/>
      <c r="M283" s="554"/>
      <c r="N283" s="554"/>
      <c r="O283" s="1075"/>
    </row>
    <row r="284" spans="1:15" ht="15" customHeight="1" x14ac:dyDescent="0.2">
      <c r="A284" s="1076"/>
      <c r="B284" s="1380" t="str">
        <f t="shared" si="6"/>
        <v>Desk 69</v>
      </c>
      <c r="C284" s="1390" t="str">
        <f>IF('TB IMA general'!C154&lt;&gt;"",'TB IMA general'!C154,"")</f>
        <v/>
      </c>
      <c r="D284" s="1126"/>
      <c r="E284" s="1154"/>
      <c r="F284" s="1154"/>
      <c r="G284" s="1154"/>
      <c r="H284" s="1154"/>
      <c r="I284" s="1154"/>
      <c r="J284" s="1154"/>
      <c r="K284" s="1154"/>
      <c r="L284" s="1154"/>
      <c r="M284" s="554"/>
      <c r="N284" s="554"/>
      <c r="O284" s="1075"/>
    </row>
    <row r="285" spans="1:15" ht="15" customHeight="1" x14ac:dyDescent="0.2">
      <c r="A285" s="1076"/>
      <c r="B285" s="1380" t="str">
        <f t="shared" si="6"/>
        <v>Desk 70</v>
      </c>
      <c r="C285" s="1390" t="str">
        <f>IF('TB IMA general'!C155&lt;&gt;"",'TB IMA general'!C155,"")</f>
        <v/>
      </c>
      <c r="D285" s="1126"/>
      <c r="E285" s="1154"/>
      <c r="F285" s="1154"/>
      <c r="G285" s="1154"/>
      <c r="H285" s="1154"/>
      <c r="I285" s="1154"/>
      <c r="J285" s="1154"/>
      <c r="K285" s="1154"/>
      <c r="L285" s="1154"/>
      <c r="M285" s="554"/>
      <c r="N285" s="554"/>
      <c r="O285" s="1075"/>
    </row>
    <row r="286" spans="1:15" ht="15" customHeight="1" x14ac:dyDescent="0.2">
      <c r="A286" s="1076"/>
      <c r="B286" s="1380" t="str">
        <f t="shared" si="6"/>
        <v>Desk 71</v>
      </c>
      <c r="C286" s="1390" t="str">
        <f>IF('TB IMA general'!C156&lt;&gt;"",'TB IMA general'!C156,"")</f>
        <v/>
      </c>
      <c r="D286" s="1126"/>
      <c r="E286" s="1154"/>
      <c r="F286" s="1154"/>
      <c r="G286" s="1154"/>
      <c r="H286" s="1154"/>
      <c r="I286" s="1154"/>
      <c r="J286" s="1154"/>
      <c r="K286" s="1154"/>
      <c r="L286" s="1154"/>
      <c r="M286" s="554"/>
      <c r="N286" s="554"/>
      <c r="O286" s="1075"/>
    </row>
    <row r="287" spans="1:15" ht="15" customHeight="1" x14ac:dyDescent="0.2">
      <c r="A287" s="1076"/>
      <c r="B287" s="1380" t="str">
        <f t="shared" si="6"/>
        <v>Desk 72</v>
      </c>
      <c r="C287" s="1390" t="str">
        <f>IF('TB IMA general'!C157&lt;&gt;"",'TB IMA general'!C157,"")</f>
        <v/>
      </c>
      <c r="D287" s="1126"/>
      <c r="E287" s="1154"/>
      <c r="F287" s="1154"/>
      <c r="G287" s="1154"/>
      <c r="H287" s="1154"/>
      <c r="I287" s="1154"/>
      <c r="J287" s="1154"/>
      <c r="K287" s="1154"/>
      <c r="L287" s="1154"/>
      <c r="M287" s="554"/>
      <c r="N287" s="554"/>
      <c r="O287" s="1075"/>
    </row>
    <row r="288" spans="1:15" ht="15" customHeight="1" x14ac:dyDescent="0.2">
      <c r="A288" s="1076"/>
      <c r="B288" s="1380" t="str">
        <f t="shared" si="6"/>
        <v>Desk 73</v>
      </c>
      <c r="C288" s="1390" t="str">
        <f>IF('TB IMA general'!C158&lt;&gt;"",'TB IMA general'!C158,"")</f>
        <v/>
      </c>
      <c r="D288" s="1126"/>
      <c r="E288" s="1154"/>
      <c r="F288" s="1154"/>
      <c r="G288" s="1154"/>
      <c r="H288" s="1154"/>
      <c r="I288" s="1154"/>
      <c r="J288" s="1154"/>
      <c r="K288" s="1154"/>
      <c r="L288" s="1154"/>
      <c r="M288" s="554"/>
      <c r="N288" s="554"/>
      <c r="O288" s="1075"/>
    </row>
    <row r="289" spans="1:15" ht="15" customHeight="1" x14ac:dyDescent="0.2">
      <c r="A289" s="1076"/>
      <c r="B289" s="1380" t="str">
        <f t="shared" si="6"/>
        <v>Desk 74</v>
      </c>
      <c r="C289" s="1390" t="str">
        <f>IF('TB IMA general'!C159&lt;&gt;"",'TB IMA general'!C159,"")</f>
        <v/>
      </c>
      <c r="D289" s="1126"/>
      <c r="E289" s="1154"/>
      <c r="F289" s="1154"/>
      <c r="G289" s="1154"/>
      <c r="H289" s="1154"/>
      <c r="I289" s="1154"/>
      <c r="J289" s="1154"/>
      <c r="K289" s="1154"/>
      <c r="L289" s="1154"/>
      <c r="M289" s="554"/>
      <c r="N289" s="554"/>
      <c r="O289" s="1075"/>
    </row>
    <row r="290" spans="1:15" ht="15" customHeight="1" x14ac:dyDescent="0.2">
      <c r="A290" s="1076"/>
      <c r="B290" s="1380" t="str">
        <f t="shared" si="6"/>
        <v>Desk 75</v>
      </c>
      <c r="C290" s="1390" t="str">
        <f>IF('TB IMA general'!C160&lt;&gt;"",'TB IMA general'!C160,"")</f>
        <v/>
      </c>
      <c r="D290" s="1126"/>
      <c r="E290" s="1154"/>
      <c r="F290" s="1154"/>
      <c r="G290" s="1154"/>
      <c r="H290" s="1154"/>
      <c r="I290" s="1154"/>
      <c r="J290" s="1154"/>
      <c r="K290" s="1154"/>
      <c r="L290" s="1154"/>
      <c r="M290" s="554"/>
      <c r="N290" s="554"/>
      <c r="O290" s="1075"/>
    </row>
    <row r="291" spans="1:15" ht="15" customHeight="1" x14ac:dyDescent="0.2">
      <c r="A291" s="1076"/>
      <c r="B291" s="1380" t="str">
        <f t="shared" si="6"/>
        <v>Desk 76</v>
      </c>
      <c r="C291" s="1390" t="str">
        <f>IF('TB IMA general'!C161&lt;&gt;"",'TB IMA general'!C161,"")</f>
        <v/>
      </c>
      <c r="D291" s="1126"/>
      <c r="E291" s="1154"/>
      <c r="F291" s="1154"/>
      <c r="G291" s="1154"/>
      <c r="H291" s="1154"/>
      <c r="I291" s="1154"/>
      <c r="J291" s="1154"/>
      <c r="K291" s="1154"/>
      <c r="L291" s="1154"/>
      <c r="M291" s="554"/>
      <c r="N291" s="554"/>
      <c r="O291" s="1075"/>
    </row>
    <row r="292" spans="1:15" ht="15" customHeight="1" x14ac:dyDescent="0.2">
      <c r="A292" s="1076"/>
      <c r="B292" s="1380" t="str">
        <f t="shared" si="6"/>
        <v>Desk 77</v>
      </c>
      <c r="C292" s="1390" t="str">
        <f>IF('TB IMA general'!C162&lt;&gt;"",'TB IMA general'!C162,"")</f>
        <v/>
      </c>
      <c r="D292" s="1126"/>
      <c r="E292" s="1154"/>
      <c r="F292" s="1154"/>
      <c r="G292" s="1154"/>
      <c r="H292" s="1154"/>
      <c r="I292" s="1154"/>
      <c r="J292" s="1154"/>
      <c r="K292" s="1154"/>
      <c r="L292" s="1154"/>
      <c r="M292" s="554"/>
      <c r="N292" s="554"/>
      <c r="O292" s="1075"/>
    </row>
    <row r="293" spans="1:15" ht="15" customHeight="1" x14ac:dyDescent="0.2">
      <c r="A293" s="1076"/>
      <c r="B293" s="1380" t="str">
        <f t="shared" si="6"/>
        <v>Desk 78</v>
      </c>
      <c r="C293" s="1390" t="str">
        <f>IF('TB IMA general'!C163&lt;&gt;"",'TB IMA general'!C163,"")</f>
        <v/>
      </c>
      <c r="D293" s="1126"/>
      <c r="E293" s="1154"/>
      <c r="F293" s="1154"/>
      <c r="G293" s="1154"/>
      <c r="H293" s="1154"/>
      <c r="I293" s="1154"/>
      <c r="J293" s="1154"/>
      <c r="K293" s="1154"/>
      <c r="L293" s="1154"/>
      <c r="M293" s="554"/>
      <c r="N293" s="554"/>
      <c r="O293" s="1075"/>
    </row>
    <row r="294" spans="1:15" ht="15" customHeight="1" x14ac:dyDescent="0.2">
      <c r="A294" s="1076"/>
      <c r="B294" s="1380" t="str">
        <f t="shared" si="6"/>
        <v>Desk 79</v>
      </c>
      <c r="C294" s="1390" t="str">
        <f>IF('TB IMA general'!C164&lt;&gt;"",'TB IMA general'!C164,"")</f>
        <v/>
      </c>
      <c r="D294" s="1126"/>
      <c r="E294" s="1154"/>
      <c r="F294" s="1154"/>
      <c r="G294" s="1154"/>
      <c r="H294" s="1154"/>
      <c r="I294" s="1154"/>
      <c r="J294" s="1154"/>
      <c r="K294" s="1154"/>
      <c r="L294" s="1154"/>
      <c r="M294" s="554"/>
      <c r="N294" s="554"/>
      <c r="O294" s="1075"/>
    </row>
    <row r="295" spans="1:15" ht="15" customHeight="1" x14ac:dyDescent="0.2">
      <c r="A295" s="1076"/>
      <c r="B295" s="1380" t="str">
        <f t="shared" si="6"/>
        <v>Desk 80</v>
      </c>
      <c r="C295" s="1390" t="str">
        <f>IF('TB IMA general'!C165&lt;&gt;"",'TB IMA general'!C165,"")</f>
        <v/>
      </c>
      <c r="D295" s="1126"/>
      <c r="E295" s="1154"/>
      <c r="F295" s="1154"/>
      <c r="G295" s="1154"/>
      <c r="H295" s="1154"/>
      <c r="I295" s="1154"/>
      <c r="J295" s="1154"/>
      <c r="K295" s="1154"/>
      <c r="L295" s="1154"/>
      <c r="M295" s="554"/>
      <c r="N295" s="554"/>
      <c r="O295" s="1075"/>
    </row>
    <row r="296" spans="1:15" ht="15" customHeight="1" x14ac:dyDescent="0.2">
      <c r="A296" s="1076"/>
      <c r="B296" s="1380" t="str">
        <f t="shared" si="6"/>
        <v>Desk 81</v>
      </c>
      <c r="C296" s="1390" t="str">
        <f>IF('TB IMA general'!C166&lt;&gt;"",'TB IMA general'!C166,"")</f>
        <v/>
      </c>
      <c r="D296" s="1126"/>
      <c r="E296" s="1154"/>
      <c r="F296" s="1154"/>
      <c r="G296" s="1154"/>
      <c r="H296" s="1154"/>
      <c r="I296" s="1154"/>
      <c r="J296" s="1154"/>
      <c r="K296" s="1154"/>
      <c r="L296" s="1154"/>
      <c r="M296" s="554"/>
      <c r="N296" s="554"/>
      <c r="O296" s="1075"/>
    </row>
    <row r="297" spans="1:15" ht="15" customHeight="1" x14ac:dyDescent="0.2">
      <c r="A297" s="1076"/>
      <c r="B297" s="1380" t="str">
        <f t="shared" si="6"/>
        <v>Desk 82</v>
      </c>
      <c r="C297" s="1390" t="str">
        <f>IF('TB IMA general'!C167&lt;&gt;"",'TB IMA general'!C167,"")</f>
        <v/>
      </c>
      <c r="D297" s="1126"/>
      <c r="E297" s="1154"/>
      <c r="F297" s="1154"/>
      <c r="G297" s="1154"/>
      <c r="H297" s="1154"/>
      <c r="I297" s="1154"/>
      <c r="J297" s="1154"/>
      <c r="K297" s="1154"/>
      <c r="L297" s="1154"/>
      <c r="M297" s="554"/>
      <c r="N297" s="554"/>
      <c r="O297" s="1075"/>
    </row>
    <row r="298" spans="1:15" ht="15" customHeight="1" x14ac:dyDescent="0.2">
      <c r="A298" s="1076"/>
      <c r="B298" s="1380" t="str">
        <f t="shared" si="6"/>
        <v>Desk 83</v>
      </c>
      <c r="C298" s="1390" t="str">
        <f>IF('TB IMA general'!C168&lt;&gt;"",'TB IMA general'!C168,"")</f>
        <v/>
      </c>
      <c r="D298" s="1126"/>
      <c r="E298" s="1154"/>
      <c r="F298" s="1154"/>
      <c r="G298" s="1154"/>
      <c r="H298" s="1154"/>
      <c r="I298" s="1154"/>
      <c r="J298" s="1154"/>
      <c r="K298" s="1154"/>
      <c r="L298" s="1154"/>
      <c r="M298" s="554"/>
      <c r="N298" s="554"/>
      <c r="O298" s="1075"/>
    </row>
    <row r="299" spans="1:15" ht="15" customHeight="1" x14ac:dyDescent="0.2">
      <c r="A299" s="1076"/>
      <c r="B299" s="1380" t="str">
        <f t="shared" si="6"/>
        <v>Desk 84</v>
      </c>
      <c r="C299" s="1390" t="str">
        <f>IF('TB IMA general'!C169&lt;&gt;"",'TB IMA general'!C169,"")</f>
        <v/>
      </c>
      <c r="D299" s="1126"/>
      <c r="E299" s="1154"/>
      <c r="F299" s="1154"/>
      <c r="G299" s="1154"/>
      <c r="H299" s="1154"/>
      <c r="I299" s="1154"/>
      <c r="J299" s="1154"/>
      <c r="K299" s="1154"/>
      <c r="L299" s="1154"/>
      <c r="M299" s="554"/>
      <c r="N299" s="554"/>
      <c r="O299" s="1075"/>
    </row>
    <row r="300" spans="1:15" ht="15" customHeight="1" x14ac:dyDescent="0.2">
      <c r="A300" s="1076"/>
      <c r="B300" s="1380" t="str">
        <f t="shared" si="6"/>
        <v>Desk 85</v>
      </c>
      <c r="C300" s="1390" t="str">
        <f>IF('TB IMA general'!C170&lt;&gt;"",'TB IMA general'!C170,"")</f>
        <v/>
      </c>
      <c r="D300" s="1126"/>
      <c r="E300" s="1154"/>
      <c r="F300" s="1154"/>
      <c r="G300" s="1154"/>
      <c r="H300" s="1154"/>
      <c r="I300" s="1154"/>
      <c r="J300" s="1154"/>
      <c r="K300" s="1154"/>
      <c r="L300" s="1154"/>
      <c r="M300" s="554"/>
      <c r="N300" s="554"/>
      <c r="O300" s="1075"/>
    </row>
    <row r="301" spans="1:15" ht="15" customHeight="1" x14ac:dyDescent="0.2">
      <c r="A301" s="1076"/>
      <c r="B301" s="1380" t="str">
        <f t="shared" si="6"/>
        <v>Desk 86</v>
      </c>
      <c r="C301" s="1390" t="str">
        <f>IF('TB IMA general'!C171&lt;&gt;"",'TB IMA general'!C171,"")</f>
        <v/>
      </c>
      <c r="D301" s="1126"/>
      <c r="E301" s="1154"/>
      <c r="F301" s="1154"/>
      <c r="G301" s="1154"/>
      <c r="H301" s="1154"/>
      <c r="I301" s="1154"/>
      <c r="J301" s="1154"/>
      <c r="K301" s="1154"/>
      <c r="L301" s="1154"/>
      <c r="M301" s="554"/>
      <c r="N301" s="554"/>
      <c r="O301" s="1075"/>
    </row>
    <row r="302" spans="1:15" ht="15" customHeight="1" x14ac:dyDescent="0.2">
      <c r="A302" s="1076"/>
      <c r="B302" s="1380" t="str">
        <f t="shared" si="6"/>
        <v>Desk 87</v>
      </c>
      <c r="C302" s="1390" t="str">
        <f>IF('TB IMA general'!C172&lt;&gt;"",'TB IMA general'!C172,"")</f>
        <v/>
      </c>
      <c r="D302" s="1126"/>
      <c r="E302" s="1154"/>
      <c r="F302" s="1154"/>
      <c r="G302" s="1154"/>
      <c r="H302" s="1154"/>
      <c r="I302" s="1154"/>
      <c r="J302" s="1154"/>
      <c r="K302" s="1154"/>
      <c r="L302" s="1154"/>
      <c r="M302" s="554"/>
      <c r="N302" s="554"/>
      <c r="O302" s="1075"/>
    </row>
    <row r="303" spans="1:15" ht="15" customHeight="1" x14ac:dyDescent="0.2">
      <c r="A303" s="1076"/>
      <c r="B303" s="1380" t="str">
        <f t="shared" si="6"/>
        <v>Desk 88</v>
      </c>
      <c r="C303" s="1390" t="str">
        <f>IF('TB IMA general'!C173&lt;&gt;"",'TB IMA general'!C173,"")</f>
        <v/>
      </c>
      <c r="D303" s="1126"/>
      <c r="E303" s="1154"/>
      <c r="F303" s="1154"/>
      <c r="G303" s="1154"/>
      <c r="H303" s="1154"/>
      <c r="I303" s="1154"/>
      <c r="J303" s="1154"/>
      <c r="K303" s="1154"/>
      <c r="L303" s="1154"/>
      <c r="M303" s="554"/>
      <c r="N303" s="554"/>
      <c r="O303" s="1075"/>
    </row>
    <row r="304" spans="1:15" ht="15" customHeight="1" x14ac:dyDescent="0.2">
      <c r="A304" s="1076"/>
      <c r="B304" s="1380" t="str">
        <f t="shared" si="6"/>
        <v>Desk 89</v>
      </c>
      <c r="C304" s="1390" t="str">
        <f>IF('TB IMA general'!C174&lt;&gt;"",'TB IMA general'!C174,"")</f>
        <v/>
      </c>
      <c r="D304" s="1126"/>
      <c r="E304" s="1154"/>
      <c r="F304" s="1154"/>
      <c r="G304" s="1154"/>
      <c r="H304" s="1154"/>
      <c r="I304" s="1154"/>
      <c r="J304" s="1154"/>
      <c r="K304" s="1154"/>
      <c r="L304" s="1154"/>
      <c r="M304" s="554"/>
      <c r="N304" s="554"/>
      <c r="O304" s="1075"/>
    </row>
    <row r="305" spans="1:15" ht="15" customHeight="1" x14ac:dyDescent="0.2">
      <c r="A305" s="1076"/>
      <c r="B305" s="1380" t="str">
        <f t="shared" si="6"/>
        <v>Desk 90</v>
      </c>
      <c r="C305" s="1390" t="str">
        <f>IF('TB IMA general'!C175&lt;&gt;"",'TB IMA general'!C175,"")</f>
        <v/>
      </c>
      <c r="D305" s="1126"/>
      <c r="E305" s="1154"/>
      <c r="F305" s="1154"/>
      <c r="G305" s="1154"/>
      <c r="H305" s="1154"/>
      <c r="I305" s="1154"/>
      <c r="J305" s="1154"/>
      <c r="K305" s="1154"/>
      <c r="L305" s="1154"/>
      <c r="M305" s="554"/>
      <c r="N305" s="554"/>
      <c r="O305" s="1075"/>
    </row>
    <row r="306" spans="1:15" ht="15" customHeight="1" x14ac:dyDescent="0.2">
      <c r="A306" s="1076"/>
      <c r="B306" s="1380" t="str">
        <f t="shared" si="6"/>
        <v>Desk 91</v>
      </c>
      <c r="C306" s="1390" t="str">
        <f>IF('TB IMA general'!C176&lt;&gt;"",'TB IMA general'!C176,"")</f>
        <v/>
      </c>
      <c r="D306" s="1126"/>
      <c r="E306" s="1154"/>
      <c r="F306" s="1154"/>
      <c r="G306" s="1154"/>
      <c r="H306" s="1154"/>
      <c r="I306" s="1154"/>
      <c r="J306" s="1154"/>
      <c r="K306" s="1154"/>
      <c r="L306" s="1154"/>
      <c r="M306" s="554"/>
      <c r="N306" s="554"/>
      <c r="O306" s="1075"/>
    </row>
    <row r="307" spans="1:15" ht="15" customHeight="1" x14ac:dyDescent="0.2">
      <c r="A307" s="1076"/>
      <c r="B307" s="1380" t="str">
        <f t="shared" si="6"/>
        <v>Desk 92</v>
      </c>
      <c r="C307" s="1390" t="str">
        <f>IF('TB IMA general'!C177&lt;&gt;"",'TB IMA general'!C177,"")</f>
        <v/>
      </c>
      <c r="D307" s="1126"/>
      <c r="E307" s="1154"/>
      <c r="F307" s="1154"/>
      <c r="G307" s="1154"/>
      <c r="H307" s="1154"/>
      <c r="I307" s="1154"/>
      <c r="J307" s="1154"/>
      <c r="K307" s="1154"/>
      <c r="L307" s="1154"/>
      <c r="M307" s="554"/>
      <c r="N307" s="554"/>
      <c r="O307" s="1075"/>
    </row>
    <row r="308" spans="1:15" ht="15" customHeight="1" x14ac:dyDescent="0.2">
      <c r="A308" s="1076"/>
      <c r="B308" s="1380" t="str">
        <f t="shared" si="6"/>
        <v>Desk 93</v>
      </c>
      <c r="C308" s="1390" t="str">
        <f>IF('TB IMA general'!C178&lt;&gt;"",'TB IMA general'!C178,"")</f>
        <v/>
      </c>
      <c r="D308" s="1126"/>
      <c r="E308" s="1154"/>
      <c r="F308" s="1154"/>
      <c r="G308" s="1154"/>
      <c r="H308" s="1154"/>
      <c r="I308" s="1154"/>
      <c r="J308" s="1154"/>
      <c r="K308" s="1154"/>
      <c r="L308" s="1154"/>
      <c r="M308" s="554"/>
      <c r="N308" s="554"/>
      <c r="O308" s="1075"/>
    </row>
    <row r="309" spans="1:15" ht="15" customHeight="1" x14ac:dyDescent="0.2">
      <c r="A309" s="1076"/>
      <c r="B309" s="1380" t="str">
        <f t="shared" si="6"/>
        <v>Desk 94</v>
      </c>
      <c r="C309" s="1390" t="str">
        <f>IF('TB IMA general'!C179&lt;&gt;"",'TB IMA general'!C179,"")</f>
        <v/>
      </c>
      <c r="D309" s="1126"/>
      <c r="E309" s="1154"/>
      <c r="F309" s="1154"/>
      <c r="G309" s="1154"/>
      <c r="H309" s="1154"/>
      <c r="I309" s="1154"/>
      <c r="J309" s="1154"/>
      <c r="K309" s="1154"/>
      <c r="L309" s="1154"/>
      <c r="M309" s="554"/>
      <c r="N309" s="554"/>
      <c r="O309" s="1075"/>
    </row>
    <row r="310" spans="1:15" ht="15" customHeight="1" x14ac:dyDescent="0.2">
      <c r="A310" s="1076"/>
      <c r="B310" s="1380" t="str">
        <f t="shared" si="6"/>
        <v>Desk 95</v>
      </c>
      <c r="C310" s="1390" t="str">
        <f>IF('TB IMA general'!C180&lt;&gt;"",'TB IMA general'!C180,"")</f>
        <v/>
      </c>
      <c r="D310" s="1126"/>
      <c r="E310" s="1154"/>
      <c r="F310" s="1154"/>
      <c r="G310" s="1154"/>
      <c r="H310" s="1154"/>
      <c r="I310" s="1154"/>
      <c r="J310" s="1154"/>
      <c r="K310" s="1154"/>
      <c r="L310" s="1154"/>
      <c r="M310" s="554"/>
      <c r="N310" s="554"/>
      <c r="O310" s="1075"/>
    </row>
    <row r="311" spans="1:15" ht="15" customHeight="1" x14ac:dyDescent="0.2">
      <c r="A311" s="1076"/>
      <c r="B311" s="1380" t="str">
        <f t="shared" si="6"/>
        <v>Desk 96</v>
      </c>
      <c r="C311" s="1390" t="str">
        <f>IF('TB IMA general'!C181&lt;&gt;"",'TB IMA general'!C181,"")</f>
        <v/>
      </c>
      <c r="D311" s="1126"/>
      <c r="E311" s="1154"/>
      <c r="F311" s="1154"/>
      <c r="G311" s="1154"/>
      <c r="H311" s="1154"/>
      <c r="I311" s="1154"/>
      <c r="J311" s="1154"/>
      <c r="K311" s="1154"/>
      <c r="L311" s="1154"/>
      <c r="M311" s="554"/>
      <c r="N311" s="554"/>
      <c r="O311" s="1075"/>
    </row>
    <row r="312" spans="1:15" ht="15" customHeight="1" x14ac:dyDescent="0.2">
      <c r="A312" s="1076"/>
      <c r="B312" s="1380" t="str">
        <f t="shared" si="6"/>
        <v>Desk 97</v>
      </c>
      <c r="C312" s="1390" t="str">
        <f>IF('TB IMA general'!C182&lt;&gt;"",'TB IMA general'!C182,"")</f>
        <v/>
      </c>
      <c r="D312" s="1126"/>
      <c r="E312" s="1154"/>
      <c r="F312" s="1154"/>
      <c r="G312" s="1154"/>
      <c r="H312" s="1154"/>
      <c r="I312" s="1154"/>
      <c r="J312" s="1154"/>
      <c r="K312" s="1154"/>
      <c r="L312" s="1154"/>
      <c r="M312" s="554"/>
      <c r="N312" s="554"/>
      <c r="O312" s="1075"/>
    </row>
    <row r="313" spans="1:15" ht="15" customHeight="1" x14ac:dyDescent="0.2">
      <c r="A313" s="1076"/>
      <c r="B313" s="1380" t="str">
        <f t="shared" si="6"/>
        <v>Desk 98</v>
      </c>
      <c r="C313" s="1390" t="str">
        <f>IF('TB IMA general'!C183&lt;&gt;"",'TB IMA general'!C183,"")</f>
        <v/>
      </c>
      <c r="D313" s="1126"/>
      <c r="E313" s="1154"/>
      <c r="F313" s="1154"/>
      <c r="G313" s="1154"/>
      <c r="H313" s="1154"/>
      <c r="I313" s="1154"/>
      <c r="J313" s="1154"/>
      <c r="K313" s="1154"/>
      <c r="L313" s="1154"/>
      <c r="M313" s="554"/>
      <c r="N313" s="554"/>
      <c r="O313" s="1075"/>
    </row>
    <row r="314" spans="1:15" ht="15" customHeight="1" x14ac:dyDescent="0.2">
      <c r="A314" s="1076"/>
      <c r="B314" s="1380" t="str">
        <f t="shared" si="6"/>
        <v>Desk 99</v>
      </c>
      <c r="C314" s="1390" t="str">
        <f>IF('TB IMA general'!C184&lt;&gt;"",'TB IMA general'!C184,"")</f>
        <v/>
      </c>
      <c r="D314" s="1126"/>
      <c r="E314" s="1154"/>
      <c r="F314" s="1154"/>
      <c r="G314" s="1154"/>
      <c r="H314" s="1154"/>
      <c r="I314" s="1154"/>
      <c r="J314" s="1154"/>
      <c r="K314" s="1154"/>
      <c r="L314" s="1154"/>
      <c r="M314" s="554"/>
      <c r="N314" s="554"/>
      <c r="O314" s="1075"/>
    </row>
    <row r="315" spans="1:15" ht="15" customHeight="1" x14ac:dyDescent="0.2">
      <c r="A315" s="1076"/>
      <c r="B315" s="1380" t="str">
        <f t="shared" si="6"/>
        <v>Desk 100</v>
      </c>
      <c r="C315" s="1390" t="str">
        <f>IF('TB IMA general'!C185&lt;&gt;"",'TB IMA general'!C185,"")</f>
        <v/>
      </c>
      <c r="D315" s="1126"/>
      <c r="E315" s="1154"/>
      <c r="F315" s="1154"/>
      <c r="G315" s="1154"/>
      <c r="H315" s="1154"/>
      <c r="I315" s="1154"/>
      <c r="J315" s="1154"/>
      <c r="K315" s="1154"/>
      <c r="L315" s="1154"/>
      <c r="M315" s="554"/>
      <c r="N315" s="554"/>
      <c r="O315" s="1075"/>
    </row>
    <row r="316" spans="1:15" ht="15" customHeight="1" x14ac:dyDescent="0.2">
      <c r="A316" s="1076"/>
      <c r="B316" s="1324" t="s">
        <v>1171</v>
      </c>
      <c r="C316" s="1393" t="str">
        <f>IF('TB IMA general'!C398&lt;&gt;"",'TB IMA general'!C398,"")</f>
        <v/>
      </c>
      <c r="D316" s="1388"/>
      <c r="E316" s="1156"/>
      <c r="F316" s="1156"/>
      <c r="G316" s="1156"/>
      <c r="H316" s="1156"/>
      <c r="I316" s="1156"/>
      <c r="J316" s="1156"/>
      <c r="K316" s="1156"/>
      <c r="L316" s="1156"/>
      <c r="M316" s="531"/>
      <c r="N316" s="531"/>
      <c r="O316" s="1075"/>
    </row>
    <row r="317" spans="1:15" ht="15" customHeight="1" x14ac:dyDescent="0.2">
      <c r="A317" s="214"/>
      <c r="B317" s="1070"/>
      <c r="C317" s="1070"/>
      <c r="D317" s="1070"/>
      <c r="E317" s="1070"/>
      <c r="F317" s="1070"/>
      <c r="G317" s="1070"/>
      <c r="H317" s="1070"/>
      <c r="I317" s="1070"/>
      <c r="J317" s="1070"/>
      <c r="K317" s="1070"/>
      <c r="L317" s="1070"/>
      <c r="M317" s="1070"/>
      <c r="N317" s="1070"/>
      <c r="O317" s="1071"/>
    </row>
    <row r="318" spans="1:15" s="207" customFormat="1" ht="30" customHeight="1" x14ac:dyDescent="0.25">
      <c r="A318" s="1377" t="s">
        <v>1205</v>
      </c>
      <c r="B318" s="18"/>
      <c r="C318" s="16"/>
      <c r="D318" s="203"/>
      <c r="E318" s="203"/>
      <c r="F318" s="203"/>
      <c r="G318" s="203"/>
      <c r="H318" s="180"/>
      <c r="I318" s="180"/>
      <c r="J318" s="180"/>
      <c r="K318" s="180"/>
      <c r="L318" s="180"/>
      <c r="M318" s="180"/>
      <c r="N318" s="180"/>
      <c r="O318" s="181"/>
    </row>
    <row r="319" spans="1:15" s="207" customFormat="1" ht="30" customHeight="1" x14ac:dyDescent="0.25">
      <c r="A319" s="1394" t="s">
        <v>1175</v>
      </c>
      <c r="B319" s="1395"/>
      <c r="C319" s="1396"/>
      <c r="D319" s="33"/>
      <c r="E319" s="33"/>
      <c r="F319" s="33"/>
      <c r="G319" s="33"/>
      <c r="H319" s="1320"/>
      <c r="I319" s="1320"/>
      <c r="J319" s="1320"/>
      <c r="K319" s="1320"/>
      <c r="L319" s="1320"/>
      <c r="M319" s="1320"/>
      <c r="N319" s="1320"/>
      <c r="O319" s="1321"/>
    </row>
    <row r="320" spans="1:15" ht="15" customHeight="1" x14ac:dyDescent="0.2">
      <c r="A320" s="1076"/>
      <c r="B320" s="1074"/>
      <c r="D320" s="1074"/>
      <c r="E320" s="1074"/>
      <c r="F320" s="1074"/>
      <c r="G320" s="1074"/>
      <c r="H320" s="1074"/>
      <c r="I320" s="1074"/>
      <c r="J320" s="1074"/>
      <c r="K320" s="1074"/>
      <c r="L320" s="1074"/>
      <c r="M320" s="1074"/>
      <c r="O320" s="1075"/>
    </row>
    <row r="321" spans="1:15" ht="15" customHeight="1" x14ac:dyDescent="0.2">
      <c r="A321" s="1076"/>
      <c r="B321" s="1814" t="s">
        <v>895</v>
      </c>
      <c r="C321" s="1814"/>
      <c r="D321" s="304" t="str">
        <f>IF(ISBLANK('TB IMA general'!C48),"",'TB IMA general'!C48)</f>
        <v xml:space="preserve"> </v>
      </c>
      <c r="E321" s="1130" t="str">
        <f>IF(AND(ISNUMBER(E323),ISNUMBER(E324),ISNUMBER(E325),E325&lt;&gt;0),E323*E324/E325,"")</f>
        <v/>
      </c>
      <c r="F321" s="1130" t="str">
        <f t="shared" ref="F321:N321" si="7">IF(AND(ISNUMBER(F323),ISNUMBER(F324),ISNUMBER(F325),F325&lt;&gt;0),F323*F324/F325,"")</f>
        <v/>
      </c>
      <c r="G321" s="1130" t="str">
        <f t="shared" si="7"/>
        <v/>
      </c>
      <c r="H321" s="1130" t="str">
        <f t="shared" si="7"/>
        <v/>
      </c>
      <c r="I321" s="1130" t="str">
        <f t="shared" si="7"/>
        <v/>
      </c>
      <c r="J321" s="1130" t="str">
        <f t="shared" si="7"/>
        <v/>
      </c>
      <c r="K321" s="1130" t="str">
        <f t="shared" si="7"/>
        <v/>
      </c>
      <c r="L321" s="1130" t="str">
        <f t="shared" si="7"/>
        <v/>
      </c>
      <c r="M321" s="1130" t="str">
        <f t="shared" si="7"/>
        <v/>
      </c>
      <c r="N321" s="304" t="str">
        <f t="shared" si="7"/>
        <v/>
      </c>
      <c r="O321" s="1075"/>
    </row>
    <row r="322" spans="1:15" ht="15" customHeight="1" x14ac:dyDescent="0.2">
      <c r="A322" s="1076"/>
      <c r="B322" s="1815" t="s">
        <v>889</v>
      </c>
      <c r="C322" s="1815"/>
      <c r="D322" s="1174" t="str">
        <f>IF(ISBLANK('TB IMA general'!C80),"",'TB IMA general'!C80)</f>
        <v/>
      </c>
      <c r="E322" s="1154"/>
      <c r="F322" s="1154"/>
      <c r="G322" s="1154"/>
      <c r="H322" s="1154"/>
      <c r="I322" s="1154"/>
      <c r="J322" s="1154"/>
      <c r="K322" s="1154"/>
      <c r="L322" s="1154"/>
      <c r="M322" s="1154"/>
      <c r="N322" s="554"/>
      <c r="O322" s="1075"/>
    </row>
    <row r="323" spans="1:15" ht="15" customHeight="1" x14ac:dyDescent="0.2">
      <c r="A323" s="1076"/>
      <c r="B323" s="1815" t="s">
        <v>1172</v>
      </c>
      <c r="C323" s="1815"/>
      <c r="D323" s="1174" t="str">
        <f>IF(ISBLANK('TB IMA general'!C50),"",'TB IMA general'!C50)</f>
        <v/>
      </c>
      <c r="E323" s="1154"/>
      <c r="F323" s="1154"/>
      <c r="G323" s="1154"/>
      <c r="H323" s="1154"/>
      <c r="I323" s="1154"/>
      <c r="J323" s="1154"/>
      <c r="K323" s="1154"/>
      <c r="L323" s="1154"/>
      <c r="M323" s="1154"/>
      <c r="N323" s="554"/>
      <c r="O323" s="1075"/>
    </row>
    <row r="324" spans="1:15" ht="15" customHeight="1" x14ac:dyDescent="0.2">
      <c r="A324" s="1076"/>
      <c r="B324" s="1815" t="s">
        <v>1173</v>
      </c>
      <c r="C324" s="1815"/>
      <c r="D324" s="1174" t="str">
        <f>IF(ISBLANK('TB IMA general'!C51),"",'TB IMA general'!C51)</f>
        <v/>
      </c>
      <c r="E324" s="1154"/>
      <c r="F324" s="1154"/>
      <c r="G324" s="1154"/>
      <c r="H324" s="1154"/>
      <c r="I324" s="1154"/>
      <c r="J324" s="1154"/>
      <c r="K324" s="1154"/>
      <c r="L324" s="1154"/>
      <c r="M324" s="1154"/>
      <c r="N324" s="554"/>
      <c r="O324" s="1075"/>
    </row>
    <row r="325" spans="1:15" ht="15" customHeight="1" x14ac:dyDescent="0.2">
      <c r="A325" s="1076"/>
      <c r="B325" s="1813" t="s">
        <v>1174</v>
      </c>
      <c r="C325" s="1813"/>
      <c r="D325" s="575" t="str">
        <f>IF(ISBLANK('TB IMA general'!C52),"",'TB IMA general'!C52)</f>
        <v/>
      </c>
      <c r="E325" s="1156"/>
      <c r="F325" s="1156"/>
      <c r="G325" s="1156"/>
      <c r="H325" s="1156"/>
      <c r="I325" s="1156"/>
      <c r="J325" s="1156"/>
      <c r="K325" s="1156"/>
      <c r="L325" s="1156"/>
      <c r="M325" s="1156"/>
      <c r="N325" s="531"/>
      <c r="O325" s="1075"/>
    </row>
    <row r="326" spans="1:15" ht="15" customHeight="1" x14ac:dyDescent="0.2">
      <c r="A326" s="1076"/>
      <c r="B326" s="1074"/>
      <c r="D326" s="1074"/>
      <c r="E326" s="1074"/>
      <c r="F326" s="1074"/>
      <c r="G326" s="1074"/>
      <c r="H326" s="1074"/>
      <c r="I326" s="1074"/>
      <c r="J326" s="1074"/>
      <c r="K326" s="1074"/>
      <c r="L326" s="1074"/>
      <c r="M326" s="1074"/>
      <c r="O326" s="1075"/>
    </row>
    <row r="327" spans="1:15" s="207" customFormat="1" ht="30" customHeight="1" x14ac:dyDescent="0.25">
      <c r="A327" s="1053" t="s">
        <v>1176</v>
      </c>
      <c r="B327" s="13"/>
      <c r="C327" s="14"/>
      <c r="D327" s="204"/>
      <c r="E327" s="204"/>
      <c r="F327" s="204"/>
      <c r="G327" s="204"/>
      <c r="H327" s="1074"/>
      <c r="I327" s="1074"/>
      <c r="J327" s="1074"/>
      <c r="K327" s="1074"/>
      <c r="L327" s="1074"/>
      <c r="M327" s="1074"/>
      <c r="N327" s="1074"/>
      <c r="O327" s="1075"/>
    </row>
    <row r="328" spans="1:15" ht="15" customHeight="1" x14ac:dyDescent="0.2">
      <c r="A328" s="1076"/>
      <c r="B328" s="1074"/>
      <c r="D328" s="1074"/>
      <c r="E328" s="1074"/>
      <c r="F328" s="1074"/>
      <c r="G328" s="1074"/>
      <c r="H328" s="1074"/>
      <c r="I328" s="1074"/>
      <c r="J328" s="1074"/>
      <c r="K328" s="1074"/>
      <c r="L328" s="1074"/>
      <c r="M328" s="1074"/>
      <c r="O328" s="1075"/>
    </row>
    <row r="329" spans="1:15" ht="15" customHeight="1" x14ac:dyDescent="0.2">
      <c r="A329" s="1076"/>
      <c r="B329" s="1814" t="s">
        <v>895</v>
      </c>
      <c r="C329" s="1814"/>
      <c r="D329" s="1130" t="str">
        <f>IF(ISBLANK('TB IMA general'!C53),"",'TB IMA general'!C53)</f>
        <v/>
      </c>
      <c r="E329" s="1130" t="str">
        <f>IF(AND(ISNUMBER(E330),ISNUMBER(E331),ISNUMBER(E332),E332&lt;&gt;0),E330*E331/E332,"")</f>
        <v/>
      </c>
      <c r="F329" s="1130" t="str">
        <f t="shared" ref="F329:N329" si="8">IF(AND(ISNUMBER(F330),ISNUMBER(F331),ISNUMBER(F332),F332&lt;&gt;0),F330*F331/F332,"")</f>
        <v/>
      </c>
      <c r="G329" s="1130" t="str">
        <f t="shared" si="8"/>
        <v/>
      </c>
      <c r="H329" s="1130" t="str">
        <f t="shared" si="8"/>
        <v/>
      </c>
      <c r="I329" s="1130" t="str">
        <f t="shared" si="8"/>
        <v/>
      </c>
      <c r="J329" s="1130" t="str">
        <f t="shared" si="8"/>
        <v/>
      </c>
      <c r="K329" s="1130" t="str">
        <f t="shared" si="8"/>
        <v/>
      </c>
      <c r="L329" s="1130" t="str">
        <f t="shared" si="8"/>
        <v/>
      </c>
      <c r="M329" s="1130" t="str">
        <f t="shared" si="8"/>
        <v/>
      </c>
      <c r="N329" s="304" t="str">
        <f t="shared" si="8"/>
        <v/>
      </c>
      <c r="O329" s="1075"/>
    </row>
    <row r="330" spans="1:15" ht="15" customHeight="1" x14ac:dyDescent="0.2">
      <c r="A330" s="1076"/>
      <c r="B330" s="1815" t="s">
        <v>1172</v>
      </c>
      <c r="C330" s="1815"/>
      <c r="D330" s="1174" t="str">
        <f>IF(ISBLANK('TB IMA general'!C54),"",'TB IMA general'!C54)</f>
        <v/>
      </c>
      <c r="E330" s="1154"/>
      <c r="F330" s="1154"/>
      <c r="G330" s="1154"/>
      <c r="H330" s="1154"/>
      <c r="I330" s="1154"/>
      <c r="J330" s="1154"/>
      <c r="K330" s="1154"/>
      <c r="L330" s="1154"/>
      <c r="M330" s="1154"/>
      <c r="N330" s="554"/>
      <c r="O330" s="1075"/>
    </row>
    <row r="331" spans="1:15" ht="15" customHeight="1" x14ac:dyDescent="0.2">
      <c r="A331" s="1076"/>
      <c r="B331" s="1815" t="s">
        <v>1173</v>
      </c>
      <c r="C331" s="1815"/>
      <c r="D331" s="1174" t="str">
        <f>IF(ISBLANK('TB IMA general'!C55),"",'TB IMA general'!C55)</f>
        <v/>
      </c>
      <c r="E331" s="1154"/>
      <c r="F331" s="1154"/>
      <c r="G331" s="1154"/>
      <c r="H331" s="1154"/>
      <c r="I331" s="1154"/>
      <c r="J331" s="1154"/>
      <c r="K331" s="1154"/>
      <c r="L331" s="1154"/>
      <c r="M331" s="1154"/>
      <c r="N331" s="554"/>
      <c r="O331" s="1075"/>
    </row>
    <row r="332" spans="1:15" ht="15" customHeight="1" x14ac:dyDescent="0.2">
      <c r="A332" s="1076"/>
      <c r="B332" s="1813" t="s">
        <v>1174</v>
      </c>
      <c r="C332" s="1813"/>
      <c r="D332" s="575" t="str">
        <f>IF(ISBLANK('TB IMA general'!C56),"",'TB IMA general'!C56)</f>
        <v/>
      </c>
      <c r="E332" s="1156"/>
      <c r="F332" s="1156"/>
      <c r="G332" s="1156"/>
      <c r="H332" s="1156"/>
      <c r="I332" s="1156"/>
      <c r="J332" s="1156"/>
      <c r="K332" s="1156"/>
      <c r="L332" s="1156"/>
      <c r="M332" s="1156"/>
      <c r="N332" s="531"/>
      <c r="O332" s="1075"/>
    </row>
    <row r="333" spans="1:15" ht="15" customHeight="1" x14ac:dyDescent="0.2">
      <c r="A333" s="1076"/>
      <c r="B333" s="1074"/>
      <c r="D333" s="1074"/>
      <c r="E333" s="1074"/>
      <c r="F333" s="1074"/>
      <c r="G333" s="1074"/>
      <c r="H333" s="1074"/>
      <c r="I333" s="1074"/>
      <c r="J333" s="1074"/>
      <c r="K333" s="1074"/>
      <c r="L333" s="1074"/>
      <c r="M333" s="1074"/>
      <c r="O333" s="1075"/>
    </row>
    <row r="334" spans="1:15" s="207" customFormat="1" ht="30" customHeight="1" x14ac:dyDescent="0.25">
      <c r="A334" s="1053" t="s">
        <v>1177</v>
      </c>
      <c r="B334" s="13"/>
      <c r="C334" s="14"/>
      <c r="D334" s="204"/>
      <c r="E334" s="204"/>
      <c r="F334" s="204"/>
      <c r="G334" s="204"/>
      <c r="H334" s="1074"/>
      <c r="I334" s="1074"/>
      <c r="J334" s="1074"/>
      <c r="K334" s="1074"/>
      <c r="L334" s="1074"/>
      <c r="M334" s="1074"/>
      <c r="N334" s="1074"/>
      <c r="O334" s="1075"/>
    </row>
    <row r="335" spans="1:15" ht="15" customHeight="1" x14ac:dyDescent="0.2">
      <c r="A335" s="1076"/>
      <c r="B335" s="1074"/>
      <c r="D335" s="1074"/>
      <c r="E335" s="1074"/>
      <c r="F335" s="1074"/>
      <c r="G335" s="1074"/>
      <c r="H335" s="1074"/>
      <c r="I335" s="1074"/>
      <c r="J335" s="1074"/>
      <c r="K335" s="1074"/>
      <c r="L335" s="1074"/>
      <c r="M335" s="1074"/>
      <c r="O335" s="1075"/>
    </row>
    <row r="336" spans="1:15" ht="15" customHeight="1" x14ac:dyDescent="0.2">
      <c r="A336" s="1076"/>
      <c r="B336" s="1814" t="s">
        <v>895</v>
      </c>
      <c r="C336" s="1814"/>
      <c r="D336" s="1130" t="str">
        <f>IF(ISBLANK('TB IMA general'!C57),"",'TB IMA general'!C57)</f>
        <v/>
      </c>
      <c r="E336" s="1130" t="str">
        <f>IF(AND(ISNUMBER(E337),ISNUMBER(E338),ISNUMBER(E339),E339&lt;&gt;0),E337*E338/E339,"")</f>
        <v/>
      </c>
      <c r="F336" s="1130" t="str">
        <f t="shared" ref="F336" si="9">IF(AND(ISNUMBER(F337),ISNUMBER(F338),ISNUMBER(F339),F339&lt;&gt;0),F337*F338/F339,"")</f>
        <v/>
      </c>
      <c r="G336" s="1130" t="str">
        <f t="shared" ref="G336" si="10">IF(AND(ISNUMBER(G337),ISNUMBER(G338),ISNUMBER(G339),G339&lt;&gt;0),G337*G338/G339,"")</f>
        <v/>
      </c>
      <c r="H336" s="1130" t="str">
        <f t="shared" ref="H336" si="11">IF(AND(ISNUMBER(H337),ISNUMBER(H338),ISNUMBER(H339),H339&lt;&gt;0),H337*H338/H339,"")</f>
        <v/>
      </c>
      <c r="I336" s="1130" t="str">
        <f t="shared" ref="I336" si="12">IF(AND(ISNUMBER(I337),ISNUMBER(I338),ISNUMBER(I339),I339&lt;&gt;0),I337*I338/I339,"")</f>
        <v/>
      </c>
      <c r="J336" s="1130" t="str">
        <f t="shared" ref="J336" si="13">IF(AND(ISNUMBER(J337),ISNUMBER(J338),ISNUMBER(J339),J339&lt;&gt;0),J337*J338/J339,"")</f>
        <v/>
      </c>
      <c r="K336" s="1130" t="str">
        <f t="shared" ref="K336" si="14">IF(AND(ISNUMBER(K337),ISNUMBER(K338),ISNUMBER(K339),K339&lt;&gt;0),K337*K338/K339,"")</f>
        <v/>
      </c>
      <c r="L336" s="1130" t="str">
        <f t="shared" ref="L336" si="15">IF(AND(ISNUMBER(L337),ISNUMBER(L338),ISNUMBER(L339),L339&lt;&gt;0),L337*L338/L339,"")</f>
        <v/>
      </c>
      <c r="M336" s="1130" t="str">
        <f t="shared" ref="M336" si="16">IF(AND(ISNUMBER(M337),ISNUMBER(M338),ISNUMBER(M339),M339&lt;&gt;0),M337*M338/M339,"")</f>
        <v/>
      </c>
      <c r="N336" s="304" t="str">
        <f t="shared" ref="N336" si="17">IF(AND(ISNUMBER(N337),ISNUMBER(N338),ISNUMBER(N339),N339&lt;&gt;0),N337*N338/N339,"")</f>
        <v/>
      </c>
      <c r="O336" s="1075"/>
    </row>
    <row r="337" spans="1:15" ht="15" customHeight="1" x14ac:dyDescent="0.2">
      <c r="A337" s="1076"/>
      <c r="B337" s="1815" t="s">
        <v>1172</v>
      </c>
      <c r="C337" s="1815"/>
      <c r="D337" s="1174" t="str">
        <f>IF(ISBLANK('TB IMA general'!C58),"",'TB IMA general'!C58)</f>
        <v/>
      </c>
      <c r="E337" s="1154"/>
      <c r="F337" s="1154"/>
      <c r="G337" s="1154"/>
      <c r="H337" s="1154"/>
      <c r="I337" s="1154"/>
      <c r="J337" s="1154"/>
      <c r="K337" s="1154"/>
      <c r="L337" s="1154"/>
      <c r="M337" s="1154"/>
      <c r="N337" s="554"/>
      <c r="O337" s="1075"/>
    </row>
    <row r="338" spans="1:15" ht="15" customHeight="1" x14ac:dyDescent="0.2">
      <c r="A338" s="1076"/>
      <c r="B338" s="1815" t="s">
        <v>1173</v>
      </c>
      <c r="C338" s="1815"/>
      <c r="D338" s="1174" t="str">
        <f>IF(ISBLANK('TB IMA general'!C59),"",'TB IMA general'!C59)</f>
        <v/>
      </c>
      <c r="E338" s="1154"/>
      <c r="F338" s="1154"/>
      <c r="G338" s="1154"/>
      <c r="H338" s="1154"/>
      <c r="I338" s="1154"/>
      <c r="J338" s="1154"/>
      <c r="K338" s="1154"/>
      <c r="L338" s="1154"/>
      <c r="M338" s="1154"/>
      <c r="N338" s="554"/>
      <c r="O338" s="1075"/>
    </row>
    <row r="339" spans="1:15" ht="15" customHeight="1" x14ac:dyDescent="0.2">
      <c r="A339" s="1076"/>
      <c r="B339" s="1813" t="s">
        <v>1174</v>
      </c>
      <c r="C339" s="1813"/>
      <c r="D339" s="575" t="str">
        <f>IF(ISBLANK('TB IMA general'!C60),"",'TB IMA general'!C60)</f>
        <v/>
      </c>
      <c r="E339" s="1156"/>
      <c r="F339" s="1156"/>
      <c r="G339" s="1156"/>
      <c r="H339" s="1156"/>
      <c r="I339" s="1156"/>
      <c r="J339" s="1156"/>
      <c r="K339" s="1156"/>
      <c r="L339" s="1156"/>
      <c r="M339" s="1156"/>
      <c r="N339" s="531"/>
      <c r="O339" s="1075"/>
    </row>
    <row r="340" spans="1:15" ht="15" customHeight="1" x14ac:dyDescent="0.2">
      <c r="A340" s="1076"/>
      <c r="B340" s="1074"/>
      <c r="D340" s="1074"/>
      <c r="E340" s="1074"/>
      <c r="F340" s="1074"/>
      <c r="G340" s="1074"/>
      <c r="H340" s="1074"/>
      <c r="I340" s="1074"/>
      <c r="J340" s="1074"/>
      <c r="K340" s="1074"/>
      <c r="L340" s="1074"/>
      <c r="M340" s="1074"/>
      <c r="O340" s="1075"/>
    </row>
    <row r="341" spans="1:15" s="207" customFormat="1" ht="30" customHeight="1" x14ac:dyDescent="0.25">
      <c r="A341" s="1053" t="s">
        <v>1178</v>
      </c>
      <c r="B341" s="13"/>
      <c r="C341" s="14"/>
      <c r="D341" s="204"/>
      <c r="E341" s="204"/>
      <c r="F341" s="204"/>
      <c r="G341" s="204"/>
      <c r="H341" s="1074"/>
      <c r="I341" s="1074"/>
      <c r="J341" s="1074"/>
      <c r="K341" s="1074"/>
      <c r="L341" s="1074"/>
      <c r="M341" s="1074"/>
      <c r="N341" s="1074"/>
      <c r="O341" s="1075"/>
    </row>
    <row r="342" spans="1:15" ht="15" customHeight="1" x14ac:dyDescent="0.2">
      <c r="A342" s="1076"/>
      <c r="B342" s="1074"/>
      <c r="D342" s="1074"/>
      <c r="E342" s="1074"/>
      <c r="F342" s="1074"/>
      <c r="G342" s="1074"/>
      <c r="H342" s="1074"/>
      <c r="I342" s="1074"/>
      <c r="J342" s="1074"/>
      <c r="K342" s="1074"/>
      <c r="L342" s="1074"/>
      <c r="M342" s="1074"/>
      <c r="O342" s="1075"/>
    </row>
    <row r="343" spans="1:15" ht="15" customHeight="1" x14ac:dyDescent="0.2">
      <c r="A343" s="1076"/>
      <c r="B343" s="1814" t="s">
        <v>895</v>
      </c>
      <c r="C343" s="1814"/>
      <c r="D343" s="1130" t="str">
        <f>IF(ISBLANK('TB IMA general'!C61),"",'TB IMA general'!C61)</f>
        <v/>
      </c>
      <c r="E343" s="1130" t="str">
        <f>IF(AND(ISNUMBER(E344),ISNUMBER(E345),ISNUMBER(E346),E346&lt;&gt;0),E344*E345/E346,"")</f>
        <v/>
      </c>
      <c r="F343" s="1130" t="str">
        <f t="shared" ref="F343" si="18">IF(AND(ISNUMBER(F344),ISNUMBER(F345),ISNUMBER(F346),F346&lt;&gt;0),F344*F345/F346,"")</f>
        <v/>
      </c>
      <c r="G343" s="1130" t="str">
        <f t="shared" ref="G343" si="19">IF(AND(ISNUMBER(G344),ISNUMBER(G345),ISNUMBER(G346),G346&lt;&gt;0),G344*G345/G346,"")</f>
        <v/>
      </c>
      <c r="H343" s="1130" t="str">
        <f t="shared" ref="H343" si="20">IF(AND(ISNUMBER(H344),ISNUMBER(H345),ISNUMBER(H346),H346&lt;&gt;0),H344*H345/H346,"")</f>
        <v/>
      </c>
      <c r="I343" s="1130" t="str">
        <f t="shared" ref="I343" si="21">IF(AND(ISNUMBER(I344),ISNUMBER(I345),ISNUMBER(I346),I346&lt;&gt;0),I344*I345/I346,"")</f>
        <v/>
      </c>
      <c r="J343" s="1130" t="str">
        <f t="shared" ref="J343" si="22">IF(AND(ISNUMBER(J344),ISNUMBER(J345),ISNUMBER(J346),J346&lt;&gt;0),J344*J345/J346,"")</f>
        <v/>
      </c>
      <c r="K343" s="1130" t="str">
        <f t="shared" ref="K343" si="23">IF(AND(ISNUMBER(K344),ISNUMBER(K345),ISNUMBER(K346),K346&lt;&gt;0),K344*K345/K346,"")</f>
        <v/>
      </c>
      <c r="L343" s="1130" t="str">
        <f t="shared" ref="L343" si="24">IF(AND(ISNUMBER(L344),ISNUMBER(L345),ISNUMBER(L346),L346&lt;&gt;0),L344*L345/L346,"")</f>
        <v/>
      </c>
      <c r="M343" s="1130" t="str">
        <f t="shared" ref="M343" si="25">IF(AND(ISNUMBER(M344),ISNUMBER(M345),ISNUMBER(M346),M346&lt;&gt;0),M344*M345/M346,"")</f>
        <v/>
      </c>
      <c r="N343" s="304" t="str">
        <f t="shared" ref="N343" si="26">IF(AND(ISNUMBER(N344),ISNUMBER(N345),ISNUMBER(N346),N346&lt;&gt;0),N344*N345/N346,"")</f>
        <v/>
      </c>
      <c r="O343" s="1075"/>
    </row>
    <row r="344" spans="1:15" ht="15" customHeight="1" x14ac:dyDescent="0.2">
      <c r="A344" s="1076"/>
      <c r="B344" s="1815" t="s">
        <v>1172</v>
      </c>
      <c r="C344" s="1815"/>
      <c r="D344" s="1174" t="str">
        <f>IF(ISBLANK('TB IMA general'!C62),"",'TB IMA general'!C62)</f>
        <v/>
      </c>
      <c r="E344" s="1154"/>
      <c r="F344" s="1154"/>
      <c r="G344" s="1154"/>
      <c r="H344" s="1154"/>
      <c r="I344" s="1154"/>
      <c r="J344" s="1154"/>
      <c r="K344" s="1154"/>
      <c r="L344" s="1154"/>
      <c r="M344" s="1154"/>
      <c r="N344" s="554"/>
      <c r="O344" s="1075"/>
    </row>
    <row r="345" spans="1:15" ht="15" customHeight="1" x14ac:dyDescent="0.2">
      <c r="A345" s="1076"/>
      <c r="B345" s="1815" t="s">
        <v>1173</v>
      </c>
      <c r="C345" s="1815"/>
      <c r="D345" s="1174" t="str">
        <f>IF(ISBLANK('TB IMA general'!C63),"",'TB IMA general'!C63)</f>
        <v/>
      </c>
      <c r="E345" s="1154"/>
      <c r="F345" s="1154"/>
      <c r="G345" s="1154"/>
      <c r="H345" s="1154"/>
      <c r="I345" s="1154"/>
      <c r="J345" s="1154"/>
      <c r="K345" s="1154"/>
      <c r="L345" s="1154"/>
      <c r="M345" s="1154"/>
      <c r="N345" s="554"/>
      <c r="O345" s="1075"/>
    </row>
    <row r="346" spans="1:15" ht="15" customHeight="1" x14ac:dyDescent="0.2">
      <c r="A346" s="1076"/>
      <c r="B346" s="1813" t="s">
        <v>1174</v>
      </c>
      <c r="C346" s="1813"/>
      <c r="D346" s="575" t="str">
        <f>IF(ISBLANK('TB IMA general'!C64),"",'TB IMA general'!C64)</f>
        <v/>
      </c>
      <c r="E346" s="1156"/>
      <c r="F346" s="1156"/>
      <c r="G346" s="1156"/>
      <c r="H346" s="1156"/>
      <c r="I346" s="1156"/>
      <c r="J346" s="1156"/>
      <c r="K346" s="1156"/>
      <c r="L346" s="1156"/>
      <c r="M346" s="1156"/>
      <c r="N346" s="531"/>
      <c r="O346" s="1075"/>
    </row>
    <row r="347" spans="1:15" ht="15" customHeight="1" x14ac:dyDescent="0.2">
      <c r="A347" s="1076"/>
      <c r="B347" s="1074"/>
      <c r="D347" s="1074"/>
      <c r="E347" s="1074"/>
      <c r="F347" s="1074"/>
      <c r="G347" s="1074"/>
      <c r="H347" s="1074"/>
      <c r="I347" s="1074"/>
      <c r="J347" s="1074"/>
      <c r="K347" s="1074"/>
      <c r="L347" s="1074"/>
      <c r="M347" s="1074"/>
      <c r="O347" s="1075"/>
    </row>
    <row r="348" spans="1:15" s="207" customFormat="1" ht="30" customHeight="1" x14ac:dyDescent="0.25">
      <c r="A348" s="1053" t="s">
        <v>1179</v>
      </c>
      <c r="B348" s="13"/>
      <c r="C348" s="14"/>
      <c r="D348" s="204"/>
      <c r="E348" s="204"/>
      <c r="F348" s="204"/>
      <c r="G348" s="204"/>
      <c r="H348" s="1074"/>
      <c r="I348" s="1074"/>
      <c r="J348" s="1074"/>
      <c r="K348" s="1074"/>
      <c r="L348" s="1074"/>
      <c r="M348" s="1074"/>
      <c r="N348" s="1074"/>
      <c r="O348" s="1075"/>
    </row>
    <row r="349" spans="1:15" ht="15" customHeight="1" x14ac:dyDescent="0.2">
      <c r="A349" s="1076"/>
      <c r="B349" s="1074"/>
      <c r="D349" s="1074"/>
      <c r="E349" s="1074"/>
      <c r="F349" s="1074"/>
      <c r="G349" s="1074"/>
      <c r="H349" s="1074"/>
      <c r="I349" s="1074"/>
      <c r="J349" s="1074"/>
      <c r="K349" s="1074"/>
      <c r="L349" s="1074"/>
      <c r="M349" s="1074"/>
      <c r="O349" s="1075"/>
    </row>
    <row r="350" spans="1:15" ht="15" customHeight="1" x14ac:dyDescent="0.2">
      <c r="A350" s="1076"/>
      <c r="B350" s="1814" t="s">
        <v>895</v>
      </c>
      <c r="C350" s="1814"/>
      <c r="D350" s="1130" t="str">
        <f>IF(ISBLANK('TB IMA general'!C65),"",'TB IMA general'!C65)</f>
        <v/>
      </c>
      <c r="E350" s="1130" t="str">
        <f>IF(AND(ISNUMBER(E351),ISNUMBER(E352),ISNUMBER(E353),E353&lt;&gt;0),E351*E352/E353,"")</f>
        <v/>
      </c>
      <c r="F350" s="1130" t="str">
        <f t="shared" ref="F350" si="27">IF(AND(ISNUMBER(F351),ISNUMBER(F352),ISNUMBER(F353),F353&lt;&gt;0),F351*F352/F353,"")</f>
        <v/>
      </c>
      <c r="G350" s="1130" t="str">
        <f t="shared" ref="G350" si="28">IF(AND(ISNUMBER(G351),ISNUMBER(G352),ISNUMBER(G353),G353&lt;&gt;0),G351*G352/G353,"")</f>
        <v/>
      </c>
      <c r="H350" s="1130" t="str">
        <f t="shared" ref="H350" si="29">IF(AND(ISNUMBER(H351),ISNUMBER(H352),ISNUMBER(H353),H353&lt;&gt;0),H351*H352/H353,"")</f>
        <v/>
      </c>
      <c r="I350" s="1130" t="str">
        <f t="shared" ref="I350" si="30">IF(AND(ISNUMBER(I351),ISNUMBER(I352),ISNUMBER(I353),I353&lt;&gt;0),I351*I352/I353,"")</f>
        <v/>
      </c>
      <c r="J350" s="1130" t="str">
        <f t="shared" ref="J350" si="31">IF(AND(ISNUMBER(J351),ISNUMBER(J352),ISNUMBER(J353),J353&lt;&gt;0),J351*J352/J353,"")</f>
        <v/>
      </c>
      <c r="K350" s="1130" t="str">
        <f t="shared" ref="K350" si="32">IF(AND(ISNUMBER(K351),ISNUMBER(K352),ISNUMBER(K353),K353&lt;&gt;0),K351*K352/K353,"")</f>
        <v/>
      </c>
      <c r="L350" s="1130" t="str">
        <f t="shared" ref="L350" si="33">IF(AND(ISNUMBER(L351),ISNUMBER(L352),ISNUMBER(L353),L353&lt;&gt;0),L351*L352/L353,"")</f>
        <v/>
      </c>
      <c r="M350" s="1130" t="str">
        <f t="shared" ref="M350" si="34">IF(AND(ISNUMBER(M351),ISNUMBER(M352),ISNUMBER(M353),M353&lt;&gt;0),M351*M352/M353,"")</f>
        <v/>
      </c>
      <c r="N350" s="304" t="str">
        <f t="shared" ref="N350" si="35">IF(AND(ISNUMBER(N351),ISNUMBER(N352),ISNUMBER(N353),N353&lt;&gt;0),N351*N352/N353,"")</f>
        <v/>
      </c>
      <c r="O350" s="1075"/>
    </row>
    <row r="351" spans="1:15" ht="15" customHeight="1" x14ac:dyDescent="0.2">
      <c r="A351" s="1076"/>
      <c r="B351" s="1815" t="s">
        <v>1172</v>
      </c>
      <c r="C351" s="1815"/>
      <c r="D351" s="1174" t="str">
        <f>IF(ISBLANK('TB IMA general'!C66),"",'TB IMA general'!C66)</f>
        <v/>
      </c>
      <c r="E351" s="1154"/>
      <c r="F351" s="1154"/>
      <c r="G351" s="1154"/>
      <c r="H351" s="1154"/>
      <c r="I351" s="1154"/>
      <c r="J351" s="1154"/>
      <c r="K351" s="1154"/>
      <c r="L351" s="1154"/>
      <c r="M351" s="1154"/>
      <c r="N351" s="554"/>
      <c r="O351" s="1075"/>
    </row>
    <row r="352" spans="1:15" ht="15" customHeight="1" x14ac:dyDescent="0.2">
      <c r="A352" s="1076"/>
      <c r="B352" s="1815" t="s">
        <v>1173</v>
      </c>
      <c r="C352" s="1815"/>
      <c r="D352" s="1174" t="str">
        <f>IF(ISBLANK('TB IMA general'!C67),"",'TB IMA general'!C67)</f>
        <v/>
      </c>
      <c r="E352" s="1154"/>
      <c r="F352" s="1154"/>
      <c r="G352" s="1154"/>
      <c r="H352" s="1154"/>
      <c r="I352" s="1154"/>
      <c r="J352" s="1154"/>
      <c r="K352" s="1154"/>
      <c r="L352" s="1154"/>
      <c r="M352" s="1154"/>
      <c r="N352" s="554"/>
      <c r="O352" s="1075"/>
    </row>
    <row r="353" spans="1:15" ht="15" customHeight="1" x14ac:dyDescent="0.2">
      <c r="A353" s="1076"/>
      <c r="B353" s="1813" t="s">
        <v>1174</v>
      </c>
      <c r="C353" s="1813"/>
      <c r="D353" s="575" t="str">
        <f>IF(ISBLANK('TB IMA general'!C68),"",'TB IMA general'!C68)</f>
        <v/>
      </c>
      <c r="E353" s="1156"/>
      <c r="F353" s="1156"/>
      <c r="G353" s="1156"/>
      <c r="H353" s="1156"/>
      <c r="I353" s="1156"/>
      <c r="J353" s="1156"/>
      <c r="K353" s="1156"/>
      <c r="L353" s="1156"/>
      <c r="M353" s="1156"/>
      <c r="N353" s="531"/>
      <c r="O353" s="1075"/>
    </row>
    <row r="354" spans="1:15" ht="15" customHeight="1" x14ac:dyDescent="0.2">
      <c r="A354" s="1076"/>
      <c r="B354" s="1074"/>
      <c r="D354" s="1074"/>
      <c r="E354" s="1074"/>
      <c r="F354" s="1074"/>
      <c r="G354" s="1074"/>
      <c r="H354" s="1074"/>
      <c r="I354" s="1074"/>
      <c r="J354" s="1074"/>
      <c r="K354" s="1074"/>
      <c r="L354" s="1074"/>
      <c r="M354" s="1074"/>
      <c r="O354" s="1075"/>
    </row>
    <row r="355" spans="1:15" s="207" customFormat="1" ht="30" customHeight="1" x14ac:dyDescent="0.25">
      <c r="A355" s="1053" t="s">
        <v>1206</v>
      </c>
      <c r="B355" s="13"/>
      <c r="C355" s="14"/>
      <c r="D355" s="204"/>
      <c r="E355" s="204"/>
      <c r="F355" s="204"/>
      <c r="G355" s="204"/>
      <c r="H355" s="1074"/>
      <c r="I355" s="1074"/>
      <c r="J355" s="1074"/>
      <c r="K355" s="1074"/>
      <c r="L355" s="1074"/>
      <c r="M355" s="1074"/>
      <c r="N355" s="1074"/>
      <c r="O355" s="1075"/>
    </row>
    <row r="356" spans="1:15" ht="15" customHeight="1" x14ac:dyDescent="0.2">
      <c r="A356" s="1076"/>
      <c r="B356" s="1074"/>
      <c r="D356" s="1074"/>
      <c r="E356" s="1074"/>
      <c r="F356" s="1074"/>
      <c r="G356" s="1074"/>
      <c r="H356" s="1074"/>
      <c r="I356" s="1074"/>
      <c r="J356" s="1074"/>
      <c r="K356" s="1074"/>
      <c r="L356" s="1074"/>
      <c r="M356" s="1074"/>
      <c r="O356" s="1075"/>
    </row>
    <row r="357" spans="1:15" ht="15" customHeight="1" x14ac:dyDescent="0.2">
      <c r="A357" s="1076"/>
      <c r="B357" s="1814" t="s">
        <v>895</v>
      </c>
      <c r="C357" s="1814"/>
      <c r="D357" s="1130" t="str">
        <f>IF(ISBLANK('TB IMA general'!C69),"",'TB IMA general'!C69)</f>
        <v/>
      </c>
      <c r="E357" s="1130" t="str">
        <f>IF(AND(ISNUMBER(E358),ISNUMBER(E359),ISNUMBER(E360),E360&lt;&gt;0),E358*E359/E360,"")</f>
        <v/>
      </c>
      <c r="F357" s="1130" t="str">
        <f t="shared" ref="F357" si="36">IF(AND(ISNUMBER(F358),ISNUMBER(F359),ISNUMBER(F360),F360&lt;&gt;0),F358*F359/F360,"")</f>
        <v/>
      </c>
      <c r="G357" s="1130" t="str">
        <f t="shared" ref="G357" si="37">IF(AND(ISNUMBER(G358),ISNUMBER(G359),ISNUMBER(G360),G360&lt;&gt;0),G358*G359/G360,"")</f>
        <v/>
      </c>
      <c r="H357" s="1130" t="str">
        <f t="shared" ref="H357" si="38">IF(AND(ISNUMBER(H358),ISNUMBER(H359),ISNUMBER(H360),H360&lt;&gt;0),H358*H359/H360,"")</f>
        <v/>
      </c>
      <c r="I357" s="1130" t="str">
        <f t="shared" ref="I357" si="39">IF(AND(ISNUMBER(I358),ISNUMBER(I359),ISNUMBER(I360),I360&lt;&gt;0),I358*I359/I360,"")</f>
        <v/>
      </c>
      <c r="J357" s="1130" t="str">
        <f t="shared" ref="J357" si="40">IF(AND(ISNUMBER(J358),ISNUMBER(J359),ISNUMBER(J360),J360&lt;&gt;0),J358*J359/J360,"")</f>
        <v/>
      </c>
      <c r="K357" s="1130" t="str">
        <f t="shared" ref="K357" si="41">IF(AND(ISNUMBER(K358),ISNUMBER(K359),ISNUMBER(K360),K360&lt;&gt;0),K358*K359/K360,"")</f>
        <v/>
      </c>
      <c r="L357" s="1130" t="str">
        <f t="shared" ref="L357" si="42">IF(AND(ISNUMBER(L358),ISNUMBER(L359),ISNUMBER(L360),L360&lt;&gt;0),L358*L359/L360,"")</f>
        <v/>
      </c>
      <c r="M357" s="1130" t="str">
        <f t="shared" ref="M357" si="43">IF(AND(ISNUMBER(M358),ISNUMBER(M359),ISNUMBER(M360),M360&lt;&gt;0),M358*M359/M360,"")</f>
        <v/>
      </c>
      <c r="N357" s="304" t="str">
        <f t="shared" ref="N357" si="44">IF(AND(ISNUMBER(N358),ISNUMBER(N359),ISNUMBER(N360),N360&lt;&gt;0),N358*N359/N360,"")</f>
        <v/>
      </c>
      <c r="O357" s="1075"/>
    </row>
    <row r="358" spans="1:15" ht="15" customHeight="1" x14ac:dyDescent="0.2">
      <c r="A358" s="1076"/>
      <c r="B358" s="1815" t="s">
        <v>1172</v>
      </c>
      <c r="C358" s="1815"/>
      <c r="D358" s="1161" t="str">
        <f>IF(ISBLANK('TB IMA general'!C70),"",'TB IMA general'!C70)</f>
        <v/>
      </c>
      <c r="E358" s="1154"/>
      <c r="F358" s="1154"/>
      <c r="G358" s="1154"/>
      <c r="H358" s="1154"/>
      <c r="I358" s="1154"/>
      <c r="J358" s="1154"/>
      <c r="K358" s="1154"/>
      <c r="L358" s="1154"/>
      <c r="M358" s="1154"/>
      <c r="N358" s="554"/>
      <c r="O358" s="1075"/>
    </row>
    <row r="359" spans="1:15" ht="15" customHeight="1" x14ac:dyDescent="0.2">
      <c r="A359" s="1076"/>
      <c r="B359" s="1815" t="s">
        <v>1173</v>
      </c>
      <c r="C359" s="1815"/>
      <c r="D359" s="1174" t="str">
        <f>IF(ISBLANK('TB IMA general'!C71),"",'TB IMA general'!C71)</f>
        <v/>
      </c>
      <c r="E359" s="1154"/>
      <c r="F359" s="1154"/>
      <c r="G359" s="1154"/>
      <c r="H359" s="1154"/>
      <c r="I359" s="1154"/>
      <c r="J359" s="1154"/>
      <c r="K359" s="1154"/>
      <c r="L359" s="1154"/>
      <c r="M359" s="1154"/>
      <c r="N359" s="554"/>
      <c r="O359" s="1075"/>
    </row>
    <row r="360" spans="1:15" ht="15" customHeight="1" x14ac:dyDescent="0.2">
      <c r="A360" s="1076"/>
      <c r="B360" s="1813" t="s">
        <v>1174</v>
      </c>
      <c r="C360" s="1813"/>
      <c r="D360" s="575" t="str">
        <f>IF(ISBLANK('TB IMA general'!C72),"",'TB IMA general'!C72)</f>
        <v/>
      </c>
      <c r="E360" s="1156"/>
      <c r="F360" s="1156"/>
      <c r="G360" s="1156"/>
      <c r="H360" s="1156"/>
      <c r="I360" s="1156"/>
      <c r="J360" s="1156"/>
      <c r="K360" s="1156"/>
      <c r="L360" s="1156"/>
      <c r="M360" s="1156"/>
      <c r="N360" s="531"/>
      <c r="O360" s="1075"/>
    </row>
    <row r="361" spans="1:15" ht="15" customHeight="1" x14ac:dyDescent="0.2">
      <c r="A361" s="214"/>
      <c r="B361" s="1070"/>
      <c r="C361" s="1070"/>
      <c r="D361" s="1070"/>
      <c r="E361" s="1070"/>
      <c r="F361" s="1070"/>
      <c r="G361" s="1070"/>
      <c r="H361" s="1070"/>
      <c r="I361" s="1070"/>
      <c r="J361" s="1070"/>
      <c r="K361" s="1070"/>
      <c r="L361" s="1070"/>
      <c r="M361" s="1070"/>
      <c r="N361" s="1070"/>
      <c r="O361" s="1071"/>
    </row>
  </sheetData>
  <mergeCells count="25">
    <mergeCell ref="B330:C330"/>
    <mergeCell ref="B331:C331"/>
    <mergeCell ref="B332:C332"/>
    <mergeCell ref="B336:C336"/>
    <mergeCell ref="B321:C321"/>
    <mergeCell ref="B323:C323"/>
    <mergeCell ref="B324:C324"/>
    <mergeCell ref="B325:C325"/>
    <mergeCell ref="B322:C322"/>
    <mergeCell ref="B329:C329"/>
    <mergeCell ref="B337:C337"/>
    <mergeCell ref="B338:C338"/>
    <mergeCell ref="B339:C339"/>
    <mergeCell ref="B343:C343"/>
    <mergeCell ref="B344:C344"/>
    <mergeCell ref="B345:C345"/>
    <mergeCell ref="B346:C346"/>
    <mergeCell ref="B350:C350"/>
    <mergeCell ref="B351:C351"/>
    <mergeCell ref="B352:C352"/>
    <mergeCell ref="B353:C353"/>
    <mergeCell ref="B357:C357"/>
    <mergeCell ref="B358:C358"/>
    <mergeCell ref="B359:C359"/>
    <mergeCell ref="B360:C360"/>
  </mergeCells>
  <printOptions headings="1"/>
  <pageMargins left="0.70866141732283472" right="0.70866141732283472" top="0.74803149606299213" bottom="0.74803149606299213" header="0.31496062992125984" footer="0.31496062992125984"/>
  <pageSetup paperSize="9" scale="50" pageOrder="overThenDown" orientation="landscape" r:id="rId1"/>
  <headerFooter>
    <oddHeader>&amp;L&amp;"Arial,Bold"&amp;14Basel Committee on Banking Supervision
Basel III monitoring template&amp;C&amp;14&amp;F
&amp;A&amp;R&amp;"Arial,Bold"&amp;14Confidential when completed</oddHeader>
    <oddFooter>&amp;L&amp;14&amp;D  &amp;T&amp;R&amp;14Page &amp;P of &amp;N</oddFooter>
  </headerFooter>
  <rowBreaks count="6" manualBreakCount="6">
    <brk id="54" max="14" man="1"/>
    <brk id="109" max="14" man="1"/>
    <brk id="161" max="14" man="1"/>
    <brk id="213" max="14" man="1"/>
    <brk id="265" max="14" man="1"/>
    <brk id="317" max="14" man="1"/>
  </rowBreaks>
  <ignoredErrors>
    <ignoredError sqref="B8:C108 B112:C321 D321:N360 D4" emptyCellReferenc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AV526"/>
  <sheetViews>
    <sheetView zoomScale="75" zoomScaleNormal="75" workbookViewId="0">
      <pane xSplit="3" ySplit="5" topLeftCell="D6" activePane="bottomRight" state="frozen"/>
      <selection pane="topRight"/>
      <selection pane="bottomLeft"/>
      <selection pane="bottomRight"/>
    </sheetView>
  </sheetViews>
  <sheetFormatPr defaultColWidth="9.140625" defaultRowHeight="15" customHeight="1" x14ac:dyDescent="0.2"/>
  <cols>
    <col min="1" max="1" width="1.7109375" style="207" customWidth="1"/>
    <col min="2" max="2" width="12.7109375" style="207" customWidth="1"/>
    <col min="3" max="3" width="46.7109375" style="1074" customWidth="1"/>
    <col min="4" max="13" width="16.7109375" style="207" customWidth="1"/>
    <col min="14" max="47" width="16.7109375" style="1074" customWidth="1"/>
    <col min="48" max="48" width="1.7109375" style="1074" customWidth="1"/>
    <col min="49" max="16384" width="9.140625" style="1074"/>
  </cols>
  <sheetData>
    <row r="1" spans="1:48" s="1052" customFormat="1" ht="30" customHeight="1" x14ac:dyDescent="0.4">
      <c r="A1" s="1055" t="s">
        <v>1200</v>
      </c>
      <c r="B1" s="44"/>
      <c r="C1" s="44"/>
      <c r="D1" s="44"/>
      <c r="E1" s="44"/>
      <c r="F1" s="44"/>
      <c r="G1" s="44"/>
      <c r="H1" s="44"/>
      <c r="I1" s="44"/>
      <c r="J1" s="44"/>
      <c r="K1" s="44"/>
      <c r="L1" s="44"/>
      <c r="M1" s="44"/>
      <c r="N1" s="146"/>
      <c r="O1" s="146"/>
      <c r="P1" s="146"/>
      <c r="Q1" s="146"/>
      <c r="R1" s="146"/>
      <c r="S1" s="146"/>
      <c r="T1" s="146"/>
      <c r="U1" s="146"/>
      <c r="V1" s="146"/>
      <c r="W1" s="146"/>
      <c r="X1" s="146"/>
      <c r="Y1" s="146"/>
      <c r="Z1" s="146"/>
      <c r="AA1" s="146"/>
      <c r="AB1" s="146"/>
      <c r="AC1" s="146"/>
      <c r="AD1" s="146"/>
      <c r="AE1" s="146"/>
      <c r="AF1" s="146"/>
      <c r="AG1" s="146"/>
      <c r="AH1" s="146"/>
      <c r="AI1" s="146"/>
      <c r="AJ1" s="146"/>
      <c r="AK1" s="146"/>
      <c r="AL1" s="146"/>
      <c r="AM1" s="146"/>
      <c r="AN1" s="146"/>
      <c r="AO1" s="146"/>
      <c r="AP1" s="146"/>
      <c r="AQ1" s="146"/>
      <c r="AR1" s="146"/>
      <c r="AS1" s="146"/>
      <c r="AT1" s="146"/>
      <c r="AU1" s="146"/>
      <c r="AV1" s="169"/>
    </row>
    <row r="2" spans="1:48" ht="15" customHeight="1" x14ac:dyDescent="0.2">
      <c r="A2" s="1076"/>
      <c r="B2" s="1074"/>
      <c r="D2" s="1074"/>
      <c r="E2" s="1074"/>
      <c r="F2" s="1074"/>
      <c r="G2" s="1074"/>
      <c r="H2" s="1074"/>
      <c r="I2" s="1074"/>
      <c r="J2" s="1074"/>
      <c r="K2" s="1074"/>
      <c r="L2" s="1074"/>
      <c r="M2" s="1074"/>
      <c r="AV2" s="1075"/>
    </row>
    <row r="3" spans="1:48" ht="15" customHeight="1" x14ac:dyDescent="0.2">
      <c r="A3" s="1076"/>
      <c r="B3" s="1542" t="s">
        <v>1156</v>
      </c>
      <c r="C3" s="1543" t="s">
        <v>1128</v>
      </c>
      <c r="D3" s="1543" t="s">
        <v>1170</v>
      </c>
      <c r="E3" s="1543" t="str">
        <f>"T+" &amp; (COLUMN(E3)-COLUMN($D3))</f>
        <v>T+1</v>
      </c>
      <c r="F3" s="1543" t="str">
        <f t="shared" ref="F3:AU3" si="0">"T+" &amp; (COLUMN(F3)-COLUMN($D3))</f>
        <v>T+2</v>
      </c>
      <c r="G3" s="1543" t="str">
        <f t="shared" si="0"/>
        <v>T+3</v>
      </c>
      <c r="H3" s="1543" t="str">
        <f t="shared" si="0"/>
        <v>T+4</v>
      </c>
      <c r="I3" s="1543" t="str">
        <f t="shared" si="0"/>
        <v>T+5</v>
      </c>
      <c r="J3" s="1543" t="str">
        <f t="shared" si="0"/>
        <v>T+6</v>
      </c>
      <c r="K3" s="1543" t="str">
        <f t="shared" si="0"/>
        <v>T+7</v>
      </c>
      <c r="L3" s="1543" t="str">
        <f t="shared" si="0"/>
        <v>T+8</v>
      </c>
      <c r="M3" s="1543" t="str">
        <f t="shared" si="0"/>
        <v>T+9</v>
      </c>
      <c r="N3" s="1543" t="str">
        <f t="shared" si="0"/>
        <v>T+10</v>
      </c>
      <c r="O3" s="1543" t="str">
        <f t="shared" si="0"/>
        <v>T+11</v>
      </c>
      <c r="P3" s="1543" t="str">
        <f t="shared" si="0"/>
        <v>T+12</v>
      </c>
      <c r="Q3" s="1543" t="str">
        <f t="shared" si="0"/>
        <v>T+13</v>
      </c>
      <c r="R3" s="1543" t="str">
        <f t="shared" si="0"/>
        <v>T+14</v>
      </c>
      <c r="S3" s="1543" t="str">
        <f t="shared" si="0"/>
        <v>T+15</v>
      </c>
      <c r="T3" s="1543" t="str">
        <f t="shared" si="0"/>
        <v>T+16</v>
      </c>
      <c r="U3" s="1543" t="str">
        <f t="shared" si="0"/>
        <v>T+17</v>
      </c>
      <c r="V3" s="1543" t="str">
        <f t="shared" si="0"/>
        <v>T+18</v>
      </c>
      <c r="W3" s="1543" t="str">
        <f t="shared" si="0"/>
        <v>T+19</v>
      </c>
      <c r="X3" s="1543" t="str">
        <f t="shared" si="0"/>
        <v>T+20</v>
      </c>
      <c r="Y3" s="1543" t="str">
        <f t="shared" si="0"/>
        <v>T+21</v>
      </c>
      <c r="Z3" s="1543" t="str">
        <f t="shared" si="0"/>
        <v>T+22</v>
      </c>
      <c r="AA3" s="1543" t="str">
        <f t="shared" si="0"/>
        <v>T+23</v>
      </c>
      <c r="AB3" s="1543" t="str">
        <f t="shared" si="0"/>
        <v>T+24</v>
      </c>
      <c r="AC3" s="1543" t="str">
        <f t="shared" si="0"/>
        <v>T+25</v>
      </c>
      <c r="AD3" s="1543" t="str">
        <f t="shared" si="0"/>
        <v>T+26</v>
      </c>
      <c r="AE3" s="1543" t="str">
        <f t="shared" si="0"/>
        <v>T+27</v>
      </c>
      <c r="AF3" s="1543" t="str">
        <f t="shared" si="0"/>
        <v>T+28</v>
      </c>
      <c r="AG3" s="1543" t="str">
        <f t="shared" si="0"/>
        <v>T+29</v>
      </c>
      <c r="AH3" s="1543" t="str">
        <f t="shared" si="0"/>
        <v>T+30</v>
      </c>
      <c r="AI3" s="1543" t="str">
        <f t="shared" si="0"/>
        <v>T+31</v>
      </c>
      <c r="AJ3" s="1543" t="str">
        <f t="shared" si="0"/>
        <v>T+32</v>
      </c>
      <c r="AK3" s="1543" t="str">
        <f t="shared" si="0"/>
        <v>T+33</v>
      </c>
      <c r="AL3" s="1543" t="str">
        <f t="shared" si="0"/>
        <v>T+34</v>
      </c>
      <c r="AM3" s="1543" t="str">
        <f t="shared" si="0"/>
        <v>T+35</v>
      </c>
      <c r="AN3" s="1543" t="str">
        <f t="shared" si="0"/>
        <v>T+36</v>
      </c>
      <c r="AO3" s="1543" t="str">
        <f t="shared" si="0"/>
        <v>T+37</v>
      </c>
      <c r="AP3" s="1543" t="str">
        <f t="shared" si="0"/>
        <v>T+38</v>
      </c>
      <c r="AQ3" s="1543" t="str">
        <f t="shared" si="0"/>
        <v>T+39</v>
      </c>
      <c r="AR3" s="1543" t="str">
        <f t="shared" si="0"/>
        <v>T+40</v>
      </c>
      <c r="AS3" s="1543" t="str">
        <f t="shared" si="0"/>
        <v>T+41</v>
      </c>
      <c r="AT3" s="1543" t="str">
        <f t="shared" si="0"/>
        <v>T+42</v>
      </c>
      <c r="AU3" s="1541" t="str">
        <f t="shared" si="0"/>
        <v>T+43</v>
      </c>
      <c r="AV3" s="1075"/>
    </row>
    <row r="4" spans="1:48" ht="15" customHeight="1" x14ac:dyDescent="0.2">
      <c r="A4" s="1076"/>
      <c r="B4" s="1391" t="s">
        <v>1169</v>
      </c>
      <c r="C4" s="333"/>
      <c r="D4" s="1618" t="str">
        <f>IF(ISBLANK('General Info'!$C$42),"",'General Info'!$C$42)</f>
        <v/>
      </c>
      <c r="E4" s="1392"/>
      <c r="F4" s="1392"/>
      <c r="G4" s="1392"/>
      <c r="H4" s="1392"/>
      <c r="I4" s="1392"/>
      <c r="J4" s="1392"/>
      <c r="K4" s="1392"/>
      <c r="L4" s="1392"/>
      <c r="M4" s="1392"/>
      <c r="N4" s="1392"/>
      <c r="O4" s="1392"/>
      <c r="P4" s="1392"/>
      <c r="Q4" s="1392"/>
      <c r="R4" s="1392"/>
      <c r="S4" s="1392"/>
      <c r="T4" s="1392"/>
      <c r="U4" s="1392"/>
      <c r="V4" s="1392"/>
      <c r="W4" s="1392"/>
      <c r="X4" s="1392"/>
      <c r="Y4" s="1392"/>
      <c r="Z4" s="1392"/>
      <c r="AA4" s="1392"/>
      <c r="AB4" s="1392"/>
      <c r="AC4" s="1392"/>
      <c r="AD4" s="1392"/>
      <c r="AE4" s="1392"/>
      <c r="AF4" s="1392"/>
      <c r="AG4" s="1392"/>
      <c r="AH4" s="1392"/>
      <c r="AI4" s="1392"/>
      <c r="AJ4" s="1392"/>
      <c r="AK4" s="1392"/>
      <c r="AL4" s="1392"/>
      <c r="AM4" s="1392"/>
      <c r="AN4" s="1392"/>
      <c r="AO4" s="1392"/>
      <c r="AP4" s="1392"/>
      <c r="AQ4" s="1392"/>
      <c r="AR4" s="1392"/>
      <c r="AS4" s="1392"/>
      <c r="AT4" s="1392"/>
      <c r="AU4" s="1480"/>
      <c r="AV4" s="1075"/>
    </row>
    <row r="5" spans="1:48" ht="15" customHeight="1" x14ac:dyDescent="0.2">
      <c r="A5" s="1076"/>
      <c r="B5" s="1544"/>
      <c r="C5" s="1544"/>
      <c r="D5" s="1544"/>
      <c r="E5" s="1544"/>
      <c r="F5" s="1544"/>
      <c r="G5" s="1544"/>
      <c r="H5" s="1544"/>
      <c r="I5" s="1544"/>
      <c r="J5" s="1544"/>
      <c r="K5" s="1544"/>
      <c r="L5" s="1544"/>
      <c r="M5" s="1544"/>
      <c r="N5" s="1544"/>
      <c r="O5" s="1544"/>
      <c r="P5" s="1544"/>
      <c r="Q5" s="1544"/>
      <c r="R5" s="1544"/>
      <c r="S5" s="1544"/>
      <c r="T5" s="1544"/>
      <c r="U5" s="1544"/>
      <c r="V5" s="1544"/>
      <c r="W5" s="1544"/>
      <c r="X5" s="1544"/>
      <c r="Y5" s="1544"/>
      <c r="Z5" s="1544"/>
      <c r="AA5" s="1544"/>
      <c r="AB5" s="1544"/>
      <c r="AC5" s="1544"/>
      <c r="AD5" s="1544"/>
      <c r="AE5" s="1544"/>
      <c r="AF5" s="1544"/>
      <c r="AG5" s="1544"/>
      <c r="AH5" s="1544"/>
      <c r="AI5" s="1544"/>
      <c r="AJ5" s="1544"/>
      <c r="AK5" s="1544"/>
      <c r="AL5" s="1544"/>
      <c r="AM5" s="1544"/>
      <c r="AN5" s="1544"/>
      <c r="AO5" s="1544"/>
      <c r="AP5" s="1544"/>
      <c r="AQ5" s="1544"/>
      <c r="AR5" s="1544"/>
      <c r="AS5" s="1544"/>
      <c r="AT5" s="1544"/>
      <c r="AU5" s="1544"/>
      <c r="AV5" s="1075"/>
    </row>
    <row r="6" spans="1:48" s="207" customFormat="1" ht="30" customHeight="1" x14ac:dyDescent="0.25">
      <c r="A6" s="1377" t="s">
        <v>1201</v>
      </c>
      <c r="B6" s="18"/>
      <c r="C6" s="16"/>
      <c r="D6" s="203"/>
      <c r="E6" s="203"/>
      <c r="F6" s="203"/>
      <c r="G6" s="203"/>
      <c r="H6" s="180"/>
      <c r="I6" s="180"/>
      <c r="J6" s="180"/>
      <c r="K6" s="180"/>
      <c r="L6" s="180"/>
      <c r="M6" s="180"/>
      <c r="N6" s="180"/>
      <c r="O6" s="180"/>
      <c r="P6" s="180"/>
      <c r="Q6" s="180"/>
      <c r="R6" s="180"/>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c r="AV6" s="181"/>
    </row>
    <row r="7" spans="1:48" s="207" customFormat="1" ht="30" customHeight="1" x14ac:dyDescent="0.25">
      <c r="A7" s="1053" t="s">
        <v>1202</v>
      </c>
      <c r="B7" s="13"/>
      <c r="C7" s="14"/>
      <c r="D7" s="204"/>
      <c r="E7" s="204"/>
      <c r="F7" s="204"/>
      <c r="G7" s="204"/>
      <c r="H7" s="1074"/>
      <c r="I7" s="1074"/>
      <c r="J7" s="1074"/>
      <c r="K7" s="1074"/>
      <c r="L7" s="1074"/>
      <c r="M7" s="1074"/>
      <c r="N7" s="1074"/>
      <c r="O7" s="1074"/>
      <c r="P7" s="1074"/>
      <c r="Q7" s="1074"/>
      <c r="R7" s="1074"/>
      <c r="S7" s="1074"/>
      <c r="T7" s="1074"/>
      <c r="U7" s="1074"/>
      <c r="V7" s="1074"/>
      <c r="W7" s="1074"/>
      <c r="X7" s="1074"/>
      <c r="Y7" s="1074"/>
      <c r="Z7" s="1074"/>
      <c r="AA7" s="1074"/>
      <c r="AB7" s="1074"/>
      <c r="AC7" s="1074"/>
      <c r="AD7" s="1074"/>
      <c r="AE7" s="1074"/>
      <c r="AF7" s="1074"/>
      <c r="AG7" s="1074"/>
      <c r="AH7" s="1074"/>
      <c r="AI7" s="1074"/>
      <c r="AJ7" s="1074"/>
      <c r="AK7" s="1074"/>
      <c r="AL7" s="1074"/>
      <c r="AM7" s="1074"/>
      <c r="AN7" s="1074"/>
      <c r="AO7" s="1074"/>
      <c r="AP7" s="1074"/>
      <c r="AQ7" s="1074"/>
      <c r="AR7" s="1074"/>
      <c r="AS7" s="1074"/>
      <c r="AT7" s="1074"/>
      <c r="AU7" s="1074"/>
      <c r="AV7" s="1075"/>
    </row>
    <row r="8" spans="1:48" ht="15" customHeight="1" x14ac:dyDescent="0.2">
      <c r="A8" s="1076"/>
      <c r="B8" s="1545"/>
      <c r="C8" s="1545"/>
      <c r="D8" s="1545"/>
      <c r="E8" s="1545"/>
      <c r="F8" s="1545"/>
      <c r="G8" s="1545"/>
      <c r="H8" s="1545"/>
      <c r="I8" s="1545"/>
      <c r="J8" s="1545"/>
      <c r="K8" s="1545"/>
      <c r="L8" s="1545"/>
      <c r="M8" s="1545"/>
      <c r="N8" s="1545"/>
      <c r="O8" s="1545"/>
      <c r="P8" s="1545"/>
      <c r="Q8" s="1545"/>
      <c r="R8" s="1545"/>
      <c r="S8" s="1545"/>
      <c r="T8" s="1545"/>
      <c r="U8" s="1545"/>
      <c r="V8" s="1545"/>
      <c r="W8" s="1545"/>
      <c r="X8" s="1545"/>
      <c r="Y8" s="1545"/>
      <c r="Z8" s="1545"/>
      <c r="AA8" s="1545"/>
      <c r="AB8" s="1545"/>
      <c r="AC8" s="1545"/>
      <c r="AD8" s="1545"/>
      <c r="AE8" s="1545"/>
      <c r="AF8" s="1545"/>
      <c r="AG8" s="1545"/>
      <c r="AH8" s="1545"/>
      <c r="AI8" s="1545"/>
      <c r="AJ8" s="1545"/>
      <c r="AK8" s="1545"/>
      <c r="AL8" s="1545"/>
      <c r="AM8" s="1545"/>
      <c r="AN8" s="1545"/>
      <c r="AO8" s="1545"/>
      <c r="AP8" s="1545"/>
      <c r="AQ8" s="1545"/>
      <c r="AR8" s="1545"/>
      <c r="AS8" s="1545"/>
      <c r="AT8" s="1545"/>
      <c r="AU8" s="1545"/>
      <c r="AV8" s="1075"/>
    </row>
    <row r="9" spans="1:48" ht="15" customHeight="1" x14ac:dyDescent="0.2">
      <c r="A9" s="1076"/>
      <c r="B9" s="1044" t="str">
        <f>"Desk " &amp; (ROW(B9)-ROW(B$8))</f>
        <v>Desk 1</v>
      </c>
      <c r="C9" s="1383" t="str">
        <f>IF('TB IMA general'!C86&lt;&gt;"",'TB IMA general'!C86,"")</f>
        <v/>
      </c>
      <c r="D9" s="1043"/>
      <c r="E9" s="1043"/>
      <c r="F9" s="1043"/>
      <c r="G9" s="1043"/>
      <c r="H9" s="1043"/>
      <c r="I9" s="1043"/>
      <c r="J9" s="1043"/>
      <c r="K9" s="1043"/>
      <c r="L9" s="1043"/>
      <c r="M9" s="1043"/>
      <c r="N9" s="1043"/>
      <c r="O9" s="1043"/>
      <c r="P9" s="1043"/>
      <c r="Q9" s="1043"/>
      <c r="R9" s="1043"/>
      <c r="S9" s="1043"/>
      <c r="T9" s="1043"/>
      <c r="U9" s="1043"/>
      <c r="V9" s="1043"/>
      <c r="W9" s="1043"/>
      <c r="X9" s="1043"/>
      <c r="Y9" s="1043"/>
      <c r="Z9" s="1043"/>
      <c r="AA9" s="1043"/>
      <c r="AB9" s="1043"/>
      <c r="AC9" s="1043"/>
      <c r="AD9" s="1043"/>
      <c r="AE9" s="1043"/>
      <c r="AF9" s="1043"/>
      <c r="AG9" s="1043"/>
      <c r="AH9" s="1043"/>
      <c r="AI9" s="1043"/>
      <c r="AJ9" s="1043"/>
      <c r="AK9" s="1043"/>
      <c r="AL9" s="1043"/>
      <c r="AM9" s="1043"/>
      <c r="AN9" s="1043"/>
      <c r="AO9" s="1043"/>
      <c r="AP9" s="1043"/>
      <c r="AQ9" s="1043"/>
      <c r="AR9" s="1043"/>
      <c r="AS9" s="1043"/>
      <c r="AT9" s="1043"/>
      <c r="AU9" s="1066"/>
      <c r="AV9" s="1075"/>
    </row>
    <row r="10" spans="1:48" ht="15" customHeight="1" x14ac:dyDescent="0.2">
      <c r="A10" s="1076"/>
      <c r="B10" s="1045" t="str">
        <f t="shared" ref="B10:B73" si="1">"Desk " &amp; (ROW(B10)-ROW(B$8))</f>
        <v>Desk 2</v>
      </c>
      <c r="C10" s="1385" t="str">
        <f>IF('TB IMA general'!C87&lt;&gt;"",'TB IMA general'!C87,"")</f>
        <v/>
      </c>
      <c r="D10" s="1126"/>
      <c r="E10" s="1126"/>
      <c r="F10" s="1126"/>
      <c r="G10" s="1126"/>
      <c r="H10" s="1126"/>
      <c r="I10" s="1126"/>
      <c r="J10" s="1126"/>
      <c r="K10" s="1126"/>
      <c r="L10" s="1126"/>
      <c r="M10" s="1126"/>
      <c r="N10" s="1126"/>
      <c r="O10" s="1126"/>
      <c r="P10" s="1126"/>
      <c r="Q10" s="1126"/>
      <c r="R10" s="1126"/>
      <c r="S10" s="1126"/>
      <c r="T10" s="1126"/>
      <c r="U10" s="1126"/>
      <c r="V10" s="1126"/>
      <c r="W10" s="1126"/>
      <c r="X10" s="1126"/>
      <c r="Y10" s="1126"/>
      <c r="Z10" s="1126"/>
      <c r="AA10" s="1126"/>
      <c r="AB10" s="1126"/>
      <c r="AC10" s="1126"/>
      <c r="AD10" s="1126"/>
      <c r="AE10" s="1126"/>
      <c r="AF10" s="1126"/>
      <c r="AG10" s="1126"/>
      <c r="AH10" s="1126"/>
      <c r="AI10" s="1126"/>
      <c r="AJ10" s="1126"/>
      <c r="AK10" s="1126"/>
      <c r="AL10" s="1126"/>
      <c r="AM10" s="1126"/>
      <c r="AN10" s="1126"/>
      <c r="AO10" s="1126"/>
      <c r="AP10" s="1126"/>
      <c r="AQ10" s="1126"/>
      <c r="AR10" s="1126"/>
      <c r="AS10" s="1126"/>
      <c r="AT10" s="1126"/>
      <c r="AU10" s="413"/>
      <c r="AV10" s="1075"/>
    </row>
    <row r="11" spans="1:48" ht="15" customHeight="1" x14ac:dyDescent="0.2">
      <c r="A11" s="1076"/>
      <c r="B11" s="1045" t="str">
        <f t="shared" si="1"/>
        <v>Desk 3</v>
      </c>
      <c r="C11" s="1385" t="str">
        <f>IF('TB IMA general'!C88&lt;&gt;"",'TB IMA general'!C88,"")</f>
        <v/>
      </c>
      <c r="D11" s="1126"/>
      <c r="E11" s="1126"/>
      <c r="F11" s="1126"/>
      <c r="G11" s="1126"/>
      <c r="H11" s="1126"/>
      <c r="I11" s="1126"/>
      <c r="J11" s="1126"/>
      <c r="K11" s="1126"/>
      <c r="L11" s="1126"/>
      <c r="M11" s="1126"/>
      <c r="N11" s="1126"/>
      <c r="O11" s="1126"/>
      <c r="P11" s="1126"/>
      <c r="Q11" s="1126"/>
      <c r="R11" s="1126"/>
      <c r="S11" s="1126"/>
      <c r="T11" s="1126"/>
      <c r="U11" s="1126"/>
      <c r="V11" s="1126"/>
      <c r="W11" s="1126"/>
      <c r="X11" s="1126"/>
      <c r="Y11" s="1126"/>
      <c r="Z11" s="1126"/>
      <c r="AA11" s="1126"/>
      <c r="AB11" s="1126"/>
      <c r="AC11" s="1126"/>
      <c r="AD11" s="1126"/>
      <c r="AE11" s="1126"/>
      <c r="AF11" s="1126"/>
      <c r="AG11" s="1126"/>
      <c r="AH11" s="1126"/>
      <c r="AI11" s="1126"/>
      <c r="AJ11" s="1126"/>
      <c r="AK11" s="1126"/>
      <c r="AL11" s="1126"/>
      <c r="AM11" s="1126"/>
      <c r="AN11" s="1126"/>
      <c r="AO11" s="1126"/>
      <c r="AP11" s="1126"/>
      <c r="AQ11" s="1126"/>
      <c r="AR11" s="1126"/>
      <c r="AS11" s="1126"/>
      <c r="AT11" s="1126"/>
      <c r="AU11" s="413"/>
      <c r="AV11" s="1075"/>
    </row>
    <row r="12" spans="1:48" ht="15" customHeight="1" x14ac:dyDescent="0.2">
      <c r="A12" s="1076"/>
      <c r="B12" s="1045" t="str">
        <f t="shared" si="1"/>
        <v>Desk 4</v>
      </c>
      <c r="C12" s="1385" t="str">
        <f>IF('TB IMA general'!C89&lt;&gt;"",'TB IMA general'!C89,"")</f>
        <v/>
      </c>
      <c r="D12" s="1126"/>
      <c r="E12" s="1126"/>
      <c r="F12" s="1126"/>
      <c r="G12" s="1126"/>
      <c r="H12" s="1126"/>
      <c r="I12" s="1126"/>
      <c r="J12" s="1126"/>
      <c r="K12" s="1126"/>
      <c r="L12" s="1126"/>
      <c r="M12" s="1126"/>
      <c r="N12" s="1126"/>
      <c r="O12" s="1126"/>
      <c r="P12" s="1126"/>
      <c r="Q12" s="1126"/>
      <c r="R12" s="1126"/>
      <c r="S12" s="1126"/>
      <c r="T12" s="1126"/>
      <c r="U12" s="1126"/>
      <c r="V12" s="1126"/>
      <c r="W12" s="1126"/>
      <c r="X12" s="1126"/>
      <c r="Y12" s="1126"/>
      <c r="Z12" s="1126"/>
      <c r="AA12" s="1126"/>
      <c r="AB12" s="1126"/>
      <c r="AC12" s="1126"/>
      <c r="AD12" s="1126"/>
      <c r="AE12" s="1126"/>
      <c r="AF12" s="1126"/>
      <c r="AG12" s="1126"/>
      <c r="AH12" s="1126"/>
      <c r="AI12" s="1126"/>
      <c r="AJ12" s="1126"/>
      <c r="AK12" s="1126"/>
      <c r="AL12" s="1126"/>
      <c r="AM12" s="1126"/>
      <c r="AN12" s="1126"/>
      <c r="AO12" s="1126"/>
      <c r="AP12" s="1126"/>
      <c r="AQ12" s="1126"/>
      <c r="AR12" s="1126"/>
      <c r="AS12" s="1126"/>
      <c r="AT12" s="1126"/>
      <c r="AU12" s="413"/>
      <c r="AV12" s="1075"/>
    </row>
    <row r="13" spans="1:48" ht="15" customHeight="1" x14ac:dyDescent="0.2">
      <c r="A13" s="1076"/>
      <c r="B13" s="1045" t="str">
        <f t="shared" si="1"/>
        <v>Desk 5</v>
      </c>
      <c r="C13" s="1385" t="str">
        <f>IF('TB IMA general'!C90&lt;&gt;"",'TB IMA general'!C90,"")</f>
        <v/>
      </c>
      <c r="D13" s="1126"/>
      <c r="E13" s="1126"/>
      <c r="F13" s="1126"/>
      <c r="G13" s="1126"/>
      <c r="H13" s="1126"/>
      <c r="I13" s="1126"/>
      <c r="J13" s="1126"/>
      <c r="K13" s="1126"/>
      <c r="L13" s="1126"/>
      <c r="M13" s="1126"/>
      <c r="N13" s="1126"/>
      <c r="O13" s="1126"/>
      <c r="P13" s="1126"/>
      <c r="Q13" s="1126"/>
      <c r="R13" s="1126"/>
      <c r="S13" s="1126"/>
      <c r="T13" s="1126"/>
      <c r="U13" s="1126"/>
      <c r="V13" s="1126"/>
      <c r="W13" s="1126"/>
      <c r="X13" s="1126"/>
      <c r="Y13" s="1126"/>
      <c r="Z13" s="1126"/>
      <c r="AA13" s="1126"/>
      <c r="AB13" s="1126"/>
      <c r="AC13" s="1126"/>
      <c r="AD13" s="1126"/>
      <c r="AE13" s="1126"/>
      <c r="AF13" s="1126"/>
      <c r="AG13" s="1126"/>
      <c r="AH13" s="1126"/>
      <c r="AI13" s="1126"/>
      <c r="AJ13" s="1126"/>
      <c r="AK13" s="1126"/>
      <c r="AL13" s="1126"/>
      <c r="AM13" s="1126"/>
      <c r="AN13" s="1126"/>
      <c r="AO13" s="1126"/>
      <c r="AP13" s="1126"/>
      <c r="AQ13" s="1126"/>
      <c r="AR13" s="1126"/>
      <c r="AS13" s="1126"/>
      <c r="AT13" s="1126"/>
      <c r="AU13" s="413"/>
      <c r="AV13" s="1075"/>
    </row>
    <row r="14" spans="1:48" ht="15" customHeight="1" x14ac:dyDescent="0.2">
      <c r="A14" s="1076"/>
      <c r="B14" s="1045" t="str">
        <f t="shared" si="1"/>
        <v>Desk 6</v>
      </c>
      <c r="C14" s="1385" t="str">
        <f>IF('TB IMA general'!C91&lt;&gt;"",'TB IMA general'!C91,"")</f>
        <v/>
      </c>
      <c r="D14" s="1126"/>
      <c r="E14" s="1126"/>
      <c r="F14" s="1126"/>
      <c r="G14" s="1126"/>
      <c r="H14" s="1126"/>
      <c r="I14" s="1126"/>
      <c r="J14" s="1126"/>
      <c r="K14" s="1126"/>
      <c r="L14" s="1126"/>
      <c r="M14" s="1126"/>
      <c r="N14" s="1126"/>
      <c r="O14" s="1126"/>
      <c r="P14" s="1126"/>
      <c r="Q14" s="1126"/>
      <c r="R14" s="1126"/>
      <c r="S14" s="1126"/>
      <c r="T14" s="1126"/>
      <c r="U14" s="1126"/>
      <c r="V14" s="1126"/>
      <c r="W14" s="1126"/>
      <c r="X14" s="1126"/>
      <c r="Y14" s="1126"/>
      <c r="Z14" s="1126"/>
      <c r="AA14" s="1126"/>
      <c r="AB14" s="1126"/>
      <c r="AC14" s="1126"/>
      <c r="AD14" s="1126"/>
      <c r="AE14" s="1126"/>
      <c r="AF14" s="1126"/>
      <c r="AG14" s="1126"/>
      <c r="AH14" s="1126"/>
      <c r="AI14" s="1126"/>
      <c r="AJ14" s="1126"/>
      <c r="AK14" s="1126"/>
      <c r="AL14" s="1126"/>
      <c r="AM14" s="1126"/>
      <c r="AN14" s="1126"/>
      <c r="AO14" s="1126"/>
      <c r="AP14" s="1126"/>
      <c r="AQ14" s="1126"/>
      <c r="AR14" s="1126"/>
      <c r="AS14" s="1126"/>
      <c r="AT14" s="1126"/>
      <c r="AU14" s="413"/>
      <c r="AV14" s="1075"/>
    </row>
    <row r="15" spans="1:48" ht="15" customHeight="1" x14ac:dyDescent="0.2">
      <c r="A15" s="1076"/>
      <c r="B15" s="1045" t="str">
        <f t="shared" si="1"/>
        <v>Desk 7</v>
      </c>
      <c r="C15" s="1385" t="str">
        <f>IF('TB IMA general'!C92&lt;&gt;"",'TB IMA general'!C92,"")</f>
        <v/>
      </c>
      <c r="D15" s="1126"/>
      <c r="E15" s="1126"/>
      <c r="F15" s="1126"/>
      <c r="G15" s="1126"/>
      <c r="H15" s="1126"/>
      <c r="I15" s="1126"/>
      <c r="J15" s="1126"/>
      <c r="K15" s="1126"/>
      <c r="L15" s="1126"/>
      <c r="M15" s="1126"/>
      <c r="N15" s="1126"/>
      <c r="O15" s="1126"/>
      <c r="P15" s="1126"/>
      <c r="Q15" s="1126"/>
      <c r="R15" s="1126"/>
      <c r="S15" s="1126"/>
      <c r="T15" s="1126"/>
      <c r="U15" s="1126"/>
      <c r="V15" s="1126"/>
      <c r="W15" s="1126"/>
      <c r="X15" s="1126"/>
      <c r="Y15" s="1126"/>
      <c r="Z15" s="1126"/>
      <c r="AA15" s="1126"/>
      <c r="AB15" s="1126"/>
      <c r="AC15" s="1126"/>
      <c r="AD15" s="1126"/>
      <c r="AE15" s="1126"/>
      <c r="AF15" s="1126"/>
      <c r="AG15" s="1126"/>
      <c r="AH15" s="1126"/>
      <c r="AI15" s="1126"/>
      <c r="AJ15" s="1126"/>
      <c r="AK15" s="1126"/>
      <c r="AL15" s="1126"/>
      <c r="AM15" s="1126"/>
      <c r="AN15" s="1126"/>
      <c r="AO15" s="1126"/>
      <c r="AP15" s="1126"/>
      <c r="AQ15" s="1126"/>
      <c r="AR15" s="1126"/>
      <c r="AS15" s="1126"/>
      <c r="AT15" s="1126"/>
      <c r="AU15" s="413"/>
      <c r="AV15" s="1075"/>
    </row>
    <row r="16" spans="1:48" ht="15" customHeight="1" x14ac:dyDescent="0.2">
      <c r="A16" s="1076"/>
      <c r="B16" s="1045" t="str">
        <f t="shared" si="1"/>
        <v>Desk 8</v>
      </c>
      <c r="C16" s="1385" t="str">
        <f>IF('TB IMA general'!C93&lt;&gt;"",'TB IMA general'!C93,"")</f>
        <v/>
      </c>
      <c r="D16" s="1126"/>
      <c r="E16" s="1126"/>
      <c r="F16" s="1126"/>
      <c r="G16" s="1126"/>
      <c r="H16" s="1126"/>
      <c r="I16" s="1126"/>
      <c r="J16" s="1126"/>
      <c r="K16" s="1126"/>
      <c r="L16" s="1126"/>
      <c r="M16" s="1126"/>
      <c r="N16" s="1126"/>
      <c r="O16" s="1126"/>
      <c r="P16" s="1126"/>
      <c r="Q16" s="1126"/>
      <c r="R16" s="1126"/>
      <c r="S16" s="1126"/>
      <c r="T16" s="1126"/>
      <c r="U16" s="1126"/>
      <c r="V16" s="1126"/>
      <c r="W16" s="1126"/>
      <c r="X16" s="1126"/>
      <c r="Y16" s="1126"/>
      <c r="Z16" s="1126"/>
      <c r="AA16" s="1126"/>
      <c r="AB16" s="1126"/>
      <c r="AC16" s="1126"/>
      <c r="AD16" s="1126"/>
      <c r="AE16" s="1126"/>
      <c r="AF16" s="1126"/>
      <c r="AG16" s="1126"/>
      <c r="AH16" s="1126"/>
      <c r="AI16" s="1126"/>
      <c r="AJ16" s="1126"/>
      <c r="AK16" s="1126"/>
      <c r="AL16" s="1126"/>
      <c r="AM16" s="1126"/>
      <c r="AN16" s="1126"/>
      <c r="AO16" s="1126"/>
      <c r="AP16" s="1126"/>
      <c r="AQ16" s="1126"/>
      <c r="AR16" s="1126"/>
      <c r="AS16" s="1126"/>
      <c r="AT16" s="1126"/>
      <c r="AU16" s="413"/>
      <c r="AV16" s="1075"/>
    </row>
    <row r="17" spans="1:48" ht="15" customHeight="1" x14ac:dyDescent="0.2">
      <c r="A17" s="1076"/>
      <c r="B17" s="1045" t="str">
        <f t="shared" si="1"/>
        <v>Desk 9</v>
      </c>
      <c r="C17" s="1385" t="str">
        <f>IF('TB IMA general'!C94&lt;&gt;"",'TB IMA general'!C94,"")</f>
        <v/>
      </c>
      <c r="D17" s="1126"/>
      <c r="E17" s="1126"/>
      <c r="F17" s="1126"/>
      <c r="G17" s="1126"/>
      <c r="H17" s="1126"/>
      <c r="I17" s="1126"/>
      <c r="J17" s="1126"/>
      <c r="K17" s="1126"/>
      <c r="L17" s="1126"/>
      <c r="M17" s="1126"/>
      <c r="N17" s="1126"/>
      <c r="O17" s="1126"/>
      <c r="P17" s="1126"/>
      <c r="Q17" s="1126"/>
      <c r="R17" s="1126"/>
      <c r="S17" s="1126"/>
      <c r="T17" s="1126"/>
      <c r="U17" s="1126"/>
      <c r="V17" s="1126"/>
      <c r="W17" s="1126"/>
      <c r="X17" s="1126"/>
      <c r="Y17" s="1126"/>
      <c r="Z17" s="1126"/>
      <c r="AA17" s="1126"/>
      <c r="AB17" s="1126"/>
      <c r="AC17" s="1126"/>
      <c r="AD17" s="1126"/>
      <c r="AE17" s="1126"/>
      <c r="AF17" s="1126"/>
      <c r="AG17" s="1126"/>
      <c r="AH17" s="1126"/>
      <c r="AI17" s="1126"/>
      <c r="AJ17" s="1126"/>
      <c r="AK17" s="1126"/>
      <c r="AL17" s="1126"/>
      <c r="AM17" s="1126"/>
      <c r="AN17" s="1126"/>
      <c r="AO17" s="1126"/>
      <c r="AP17" s="1126"/>
      <c r="AQ17" s="1126"/>
      <c r="AR17" s="1126"/>
      <c r="AS17" s="1126"/>
      <c r="AT17" s="1126"/>
      <c r="AU17" s="413"/>
      <c r="AV17" s="1075"/>
    </row>
    <row r="18" spans="1:48" ht="15" customHeight="1" x14ac:dyDescent="0.2">
      <c r="A18" s="1076"/>
      <c r="B18" s="1045" t="str">
        <f t="shared" si="1"/>
        <v>Desk 10</v>
      </c>
      <c r="C18" s="1385" t="str">
        <f>IF('TB IMA general'!C95&lt;&gt;"",'TB IMA general'!C95,"")</f>
        <v/>
      </c>
      <c r="D18" s="1126"/>
      <c r="E18" s="1126"/>
      <c r="F18" s="1126"/>
      <c r="G18" s="1126"/>
      <c r="H18" s="1126"/>
      <c r="I18" s="1126"/>
      <c r="J18" s="1126"/>
      <c r="K18" s="1126"/>
      <c r="L18" s="1126"/>
      <c r="M18" s="1126"/>
      <c r="N18" s="1126"/>
      <c r="O18" s="1126"/>
      <c r="P18" s="1126"/>
      <c r="Q18" s="1126"/>
      <c r="R18" s="1126"/>
      <c r="S18" s="1126"/>
      <c r="T18" s="1126"/>
      <c r="U18" s="1126"/>
      <c r="V18" s="1126"/>
      <c r="W18" s="1126"/>
      <c r="X18" s="1126"/>
      <c r="Y18" s="1126"/>
      <c r="Z18" s="1126"/>
      <c r="AA18" s="1126"/>
      <c r="AB18" s="1126"/>
      <c r="AC18" s="1126"/>
      <c r="AD18" s="1126"/>
      <c r="AE18" s="1126"/>
      <c r="AF18" s="1126"/>
      <c r="AG18" s="1126"/>
      <c r="AH18" s="1126"/>
      <c r="AI18" s="1126"/>
      <c r="AJ18" s="1126"/>
      <c r="AK18" s="1126"/>
      <c r="AL18" s="1126"/>
      <c r="AM18" s="1126"/>
      <c r="AN18" s="1126"/>
      <c r="AO18" s="1126"/>
      <c r="AP18" s="1126"/>
      <c r="AQ18" s="1126"/>
      <c r="AR18" s="1126"/>
      <c r="AS18" s="1126"/>
      <c r="AT18" s="1126"/>
      <c r="AU18" s="413"/>
      <c r="AV18" s="1075"/>
    </row>
    <row r="19" spans="1:48" ht="15" customHeight="1" x14ac:dyDescent="0.2">
      <c r="A19" s="1076"/>
      <c r="B19" s="1045" t="str">
        <f t="shared" si="1"/>
        <v>Desk 11</v>
      </c>
      <c r="C19" s="1385" t="str">
        <f>IF('TB IMA general'!C96&lt;&gt;"",'TB IMA general'!C96,"")</f>
        <v/>
      </c>
      <c r="D19" s="1126"/>
      <c r="E19" s="1126"/>
      <c r="F19" s="1126"/>
      <c r="G19" s="1126"/>
      <c r="H19" s="1126"/>
      <c r="I19" s="1126"/>
      <c r="J19" s="1126"/>
      <c r="K19" s="1126"/>
      <c r="L19" s="1126"/>
      <c r="M19" s="1126"/>
      <c r="N19" s="1126"/>
      <c r="O19" s="1126"/>
      <c r="P19" s="1126"/>
      <c r="Q19" s="1126"/>
      <c r="R19" s="1126"/>
      <c r="S19" s="1126"/>
      <c r="T19" s="1126"/>
      <c r="U19" s="1126"/>
      <c r="V19" s="1126"/>
      <c r="W19" s="1126"/>
      <c r="X19" s="1126"/>
      <c r="Y19" s="1126"/>
      <c r="Z19" s="1126"/>
      <c r="AA19" s="1126"/>
      <c r="AB19" s="1126"/>
      <c r="AC19" s="1126"/>
      <c r="AD19" s="1126"/>
      <c r="AE19" s="1126"/>
      <c r="AF19" s="1126"/>
      <c r="AG19" s="1126"/>
      <c r="AH19" s="1126"/>
      <c r="AI19" s="1126"/>
      <c r="AJ19" s="1126"/>
      <c r="AK19" s="1126"/>
      <c r="AL19" s="1126"/>
      <c r="AM19" s="1126"/>
      <c r="AN19" s="1126"/>
      <c r="AO19" s="1126"/>
      <c r="AP19" s="1126"/>
      <c r="AQ19" s="1126"/>
      <c r="AR19" s="1126"/>
      <c r="AS19" s="1126"/>
      <c r="AT19" s="1126"/>
      <c r="AU19" s="413"/>
      <c r="AV19" s="1075"/>
    </row>
    <row r="20" spans="1:48" ht="15" customHeight="1" x14ac:dyDescent="0.2">
      <c r="A20" s="1076"/>
      <c r="B20" s="1045" t="str">
        <f t="shared" si="1"/>
        <v>Desk 12</v>
      </c>
      <c r="C20" s="1385" t="str">
        <f>IF('TB IMA general'!C97&lt;&gt;"",'TB IMA general'!C97,"")</f>
        <v/>
      </c>
      <c r="D20" s="1126"/>
      <c r="E20" s="1126"/>
      <c r="F20" s="1126"/>
      <c r="G20" s="1126"/>
      <c r="H20" s="1126"/>
      <c r="I20" s="1126"/>
      <c r="J20" s="1126"/>
      <c r="K20" s="1126"/>
      <c r="L20" s="1126"/>
      <c r="M20" s="1126"/>
      <c r="N20" s="1126"/>
      <c r="O20" s="1126"/>
      <c r="P20" s="1126"/>
      <c r="Q20" s="1126"/>
      <c r="R20" s="1126"/>
      <c r="S20" s="1126"/>
      <c r="T20" s="1126"/>
      <c r="U20" s="1126"/>
      <c r="V20" s="1126"/>
      <c r="W20" s="1126"/>
      <c r="X20" s="1126"/>
      <c r="Y20" s="1126"/>
      <c r="Z20" s="1126"/>
      <c r="AA20" s="1126"/>
      <c r="AB20" s="1126"/>
      <c r="AC20" s="1126"/>
      <c r="AD20" s="1126"/>
      <c r="AE20" s="1126"/>
      <c r="AF20" s="1126"/>
      <c r="AG20" s="1126"/>
      <c r="AH20" s="1126"/>
      <c r="AI20" s="1126"/>
      <c r="AJ20" s="1126"/>
      <c r="AK20" s="1126"/>
      <c r="AL20" s="1126"/>
      <c r="AM20" s="1126"/>
      <c r="AN20" s="1126"/>
      <c r="AO20" s="1126"/>
      <c r="AP20" s="1126"/>
      <c r="AQ20" s="1126"/>
      <c r="AR20" s="1126"/>
      <c r="AS20" s="1126"/>
      <c r="AT20" s="1126"/>
      <c r="AU20" s="413"/>
      <c r="AV20" s="1075"/>
    </row>
    <row r="21" spans="1:48" ht="15" customHeight="1" x14ac:dyDescent="0.2">
      <c r="A21" s="1076"/>
      <c r="B21" s="1045" t="str">
        <f t="shared" si="1"/>
        <v>Desk 13</v>
      </c>
      <c r="C21" s="1385" t="str">
        <f>IF('TB IMA general'!C98&lt;&gt;"",'TB IMA general'!C98,"")</f>
        <v/>
      </c>
      <c r="D21" s="1126"/>
      <c r="E21" s="1126"/>
      <c r="F21" s="1126"/>
      <c r="G21" s="1126"/>
      <c r="H21" s="1126"/>
      <c r="I21" s="1126"/>
      <c r="J21" s="1126"/>
      <c r="K21" s="1126"/>
      <c r="L21" s="1126"/>
      <c r="M21" s="1126"/>
      <c r="N21" s="1126"/>
      <c r="O21" s="1126"/>
      <c r="P21" s="1126"/>
      <c r="Q21" s="1126"/>
      <c r="R21" s="1126"/>
      <c r="S21" s="1126"/>
      <c r="T21" s="1126"/>
      <c r="U21" s="1126"/>
      <c r="V21" s="1126"/>
      <c r="W21" s="1126"/>
      <c r="X21" s="1126"/>
      <c r="Y21" s="1126"/>
      <c r="Z21" s="1126"/>
      <c r="AA21" s="1126"/>
      <c r="AB21" s="1126"/>
      <c r="AC21" s="1126"/>
      <c r="AD21" s="1126"/>
      <c r="AE21" s="1126"/>
      <c r="AF21" s="1126"/>
      <c r="AG21" s="1126"/>
      <c r="AH21" s="1126"/>
      <c r="AI21" s="1126"/>
      <c r="AJ21" s="1126"/>
      <c r="AK21" s="1126"/>
      <c r="AL21" s="1126"/>
      <c r="AM21" s="1126"/>
      <c r="AN21" s="1126"/>
      <c r="AO21" s="1126"/>
      <c r="AP21" s="1126"/>
      <c r="AQ21" s="1126"/>
      <c r="AR21" s="1126"/>
      <c r="AS21" s="1126"/>
      <c r="AT21" s="1126"/>
      <c r="AU21" s="413"/>
      <c r="AV21" s="1075"/>
    </row>
    <row r="22" spans="1:48" ht="15" customHeight="1" x14ac:dyDescent="0.2">
      <c r="A22" s="1076"/>
      <c r="B22" s="1045" t="str">
        <f t="shared" si="1"/>
        <v>Desk 14</v>
      </c>
      <c r="C22" s="1385" t="str">
        <f>IF('TB IMA general'!C99&lt;&gt;"",'TB IMA general'!C99,"")</f>
        <v/>
      </c>
      <c r="D22" s="1126"/>
      <c r="E22" s="1126"/>
      <c r="F22" s="1126"/>
      <c r="G22" s="1126"/>
      <c r="H22" s="1126"/>
      <c r="I22" s="1126"/>
      <c r="J22" s="1126"/>
      <c r="K22" s="1126"/>
      <c r="L22" s="1126"/>
      <c r="M22" s="1126"/>
      <c r="N22" s="1126"/>
      <c r="O22" s="1126"/>
      <c r="P22" s="1126"/>
      <c r="Q22" s="1126"/>
      <c r="R22" s="1126"/>
      <c r="S22" s="1126"/>
      <c r="T22" s="1126"/>
      <c r="U22" s="1126"/>
      <c r="V22" s="1126"/>
      <c r="W22" s="1126"/>
      <c r="X22" s="1126"/>
      <c r="Y22" s="1126"/>
      <c r="Z22" s="1126"/>
      <c r="AA22" s="1126"/>
      <c r="AB22" s="1126"/>
      <c r="AC22" s="1126"/>
      <c r="AD22" s="1126"/>
      <c r="AE22" s="1126"/>
      <c r="AF22" s="1126"/>
      <c r="AG22" s="1126"/>
      <c r="AH22" s="1126"/>
      <c r="AI22" s="1126"/>
      <c r="AJ22" s="1126"/>
      <c r="AK22" s="1126"/>
      <c r="AL22" s="1126"/>
      <c r="AM22" s="1126"/>
      <c r="AN22" s="1126"/>
      <c r="AO22" s="1126"/>
      <c r="AP22" s="1126"/>
      <c r="AQ22" s="1126"/>
      <c r="AR22" s="1126"/>
      <c r="AS22" s="1126"/>
      <c r="AT22" s="1126"/>
      <c r="AU22" s="413"/>
      <c r="AV22" s="1075"/>
    </row>
    <row r="23" spans="1:48" ht="15" customHeight="1" x14ac:dyDescent="0.2">
      <c r="A23" s="1076"/>
      <c r="B23" s="1045" t="str">
        <f t="shared" si="1"/>
        <v>Desk 15</v>
      </c>
      <c r="C23" s="1385" t="str">
        <f>IF('TB IMA general'!C100&lt;&gt;"",'TB IMA general'!C100,"")</f>
        <v/>
      </c>
      <c r="D23" s="1126"/>
      <c r="E23" s="1126"/>
      <c r="F23" s="1126"/>
      <c r="G23" s="1126"/>
      <c r="H23" s="1126"/>
      <c r="I23" s="1126"/>
      <c r="J23" s="1126"/>
      <c r="K23" s="1126"/>
      <c r="L23" s="1126"/>
      <c r="M23" s="1126"/>
      <c r="N23" s="1126"/>
      <c r="O23" s="1126"/>
      <c r="P23" s="1126"/>
      <c r="Q23" s="1126"/>
      <c r="R23" s="1126"/>
      <c r="S23" s="1126"/>
      <c r="T23" s="1126"/>
      <c r="U23" s="1126"/>
      <c r="V23" s="1126"/>
      <c r="W23" s="1126"/>
      <c r="X23" s="1126"/>
      <c r="Y23" s="1126"/>
      <c r="Z23" s="1126"/>
      <c r="AA23" s="1126"/>
      <c r="AB23" s="1126"/>
      <c r="AC23" s="1126"/>
      <c r="AD23" s="1126"/>
      <c r="AE23" s="1126"/>
      <c r="AF23" s="1126"/>
      <c r="AG23" s="1126"/>
      <c r="AH23" s="1126"/>
      <c r="AI23" s="1126"/>
      <c r="AJ23" s="1126"/>
      <c r="AK23" s="1126"/>
      <c r="AL23" s="1126"/>
      <c r="AM23" s="1126"/>
      <c r="AN23" s="1126"/>
      <c r="AO23" s="1126"/>
      <c r="AP23" s="1126"/>
      <c r="AQ23" s="1126"/>
      <c r="AR23" s="1126"/>
      <c r="AS23" s="1126"/>
      <c r="AT23" s="1126"/>
      <c r="AU23" s="413"/>
      <c r="AV23" s="1075"/>
    </row>
    <row r="24" spans="1:48" ht="15" customHeight="1" x14ac:dyDescent="0.2">
      <c r="A24" s="1076"/>
      <c r="B24" s="1045" t="str">
        <f t="shared" si="1"/>
        <v>Desk 16</v>
      </c>
      <c r="C24" s="1385" t="str">
        <f>IF('TB IMA general'!C101&lt;&gt;"",'TB IMA general'!C101,"")</f>
        <v/>
      </c>
      <c r="D24" s="1126"/>
      <c r="E24" s="1126"/>
      <c r="F24" s="1126"/>
      <c r="G24" s="1126"/>
      <c r="H24" s="1126"/>
      <c r="I24" s="1126"/>
      <c r="J24" s="1126"/>
      <c r="K24" s="1126"/>
      <c r="L24" s="1126"/>
      <c r="M24" s="1126"/>
      <c r="N24" s="1126"/>
      <c r="O24" s="1126"/>
      <c r="P24" s="1126"/>
      <c r="Q24" s="1126"/>
      <c r="R24" s="1126"/>
      <c r="S24" s="1126"/>
      <c r="T24" s="1126"/>
      <c r="U24" s="1126"/>
      <c r="V24" s="1126"/>
      <c r="W24" s="1126"/>
      <c r="X24" s="1126"/>
      <c r="Y24" s="1126"/>
      <c r="Z24" s="1126"/>
      <c r="AA24" s="1126"/>
      <c r="AB24" s="1126"/>
      <c r="AC24" s="1126"/>
      <c r="AD24" s="1126"/>
      <c r="AE24" s="1126"/>
      <c r="AF24" s="1126"/>
      <c r="AG24" s="1126"/>
      <c r="AH24" s="1126"/>
      <c r="AI24" s="1126"/>
      <c r="AJ24" s="1126"/>
      <c r="AK24" s="1126"/>
      <c r="AL24" s="1126"/>
      <c r="AM24" s="1126"/>
      <c r="AN24" s="1126"/>
      <c r="AO24" s="1126"/>
      <c r="AP24" s="1126"/>
      <c r="AQ24" s="1126"/>
      <c r="AR24" s="1126"/>
      <c r="AS24" s="1126"/>
      <c r="AT24" s="1126"/>
      <c r="AU24" s="413"/>
      <c r="AV24" s="1075"/>
    </row>
    <row r="25" spans="1:48" ht="15" customHeight="1" x14ac:dyDescent="0.2">
      <c r="A25" s="1076"/>
      <c r="B25" s="1045" t="str">
        <f t="shared" si="1"/>
        <v>Desk 17</v>
      </c>
      <c r="C25" s="1385" t="str">
        <f>IF('TB IMA general'!C102&lt;&gt;"",'TB IMA general'!C102,"")</f>
        <v/>
      </c>
      <c r="D25" s="1126"/>
      <c r="E25" s="1126"/>
      <c r="F25" s="1126"/>
      <c r="G25" s="1126"/>
      <c r="H25" s="1126"/>
      <c r="I25" s="1126"/>
      <c r="J25" s="1126"/>
      <c r="K25" s="1126"/>
      <c r="L25" s="1126"/>
      <c r="M25" s="1126"/>
      <c r="N25" s="1126"/>
      <c r="O25" s="1126"/>
      <c r="P25" s="1126"/>
      <c r="Q25" s="1126"/>
      <c r="R25" s="1126"/>
      <c r="S25" s="1126"/>
      <c r="T25" s="1126"/>
      <c r="U25" s="1126"/>
      <c r="V25" s="1126"/>
      <c r="W25" s="1126"/>
      <c r="X25" s="1126"/>
      <c r="Y25" s="1126"/>
      <c r="Z25" s="1126"/>
      <c r="AA25" s="1126"/>
      <c r="AB25" s="1126"/>
      <c r="AC25" s="1126"/>
      <c r="AD25" s="1126"/>
      <c r="AE25" s="1126"/>
      <c r="AF25" s="1126"/>
      <c r="AG25" s="1126"/>
      <c r="AH25" s="1126"/>
      <c r="AI25" s="1126"/>
      <c r="AJ25" s="1126"/>
      <c r="AK25" s="1126"/>
      <c r="AL25" s="1126"/>
      <c r="AM25" s="1126"/>
      <c r="AN25" s="1126"/>
      <c r="AO25" s="1126"/>
      <c r="AP25" s="1126"/>
      <c r="AQ25" s="1126"/>
      <c r="AR25" s="1126"/>
      <c r="AS25" s="1126"/>
      <c r="AT25" s="1126"/>
      <c r="AU25" s="413"/>
      <c r="AV25" s="1075"/>
    </row>
    <row r="26" spans="1:48" ht="15" customHeight="1" x14ac:dyDescent="0.2">
      <c r="A26" s="1076"/>
      <c r="B26" s="1045" t="str">
        <f t="shared" si="1"/>
        <v>Desk 18</v>
      </c>
      <c r="C26" s="1385" t="str">
        <f>IF('TB IMA general'!C103&lt;&gt;"",'TB IMA general'!C103,"")</f>
        <v/>
      </c>
      <c r="D26" s="1126"/>
      <c r="E26" s="1126"/>
      <c r="F26" s="1126"/>
      <c r="G26" s="1126"/>
      <c r="H26" s="1126"/>
      <c r="I26" s="1126"/>
      <c r="J26" s="1126"/>
      <c r="K26" s="1126"/>
      <c r="L26" s="1126"/>
      <c r="M26" s="1126"/>
      <c r="N26" s="1126"/>
      <c r="O26" s="1126"/>
      <c r="P26" s="1126"/>
      <c r="Q26" s="1126"/>
      <c r="R26" s="1126"/>
      <c r="S26" s="1126"/>
      <c r="T26" s="1126"/>
      <c r="U26" s="1126"/>
      <c r="V26" s="1126"/>
      <c r="W26" s="1126"/>
      <c r="X26" s="1126"/>
      <c r="Y26" s="1126"/>
      <c r="Z26" s="1126"/>
      <c r="AA26" s="1126"/>
      <c r="AB26" s="1126"/>
      <c r="AC26" s="1126"/>
      <c r="AD26" s="1126"/>
      <c r="AE26" s="1126"/>
      <c r="AF26" s="1126"/>
      <c r="AG26" s="1126"/>
      <c r="AH26" s="1126"/>
      <c r="AI26" s="1126"/>
      <c r="AJ26" s="1126"/>
      <c r="AK26" s="1126"/>
      <c r="AL26" s="1126"/>
      <c r="AM26" s="1126"/>
      <c r="AN26" s="1126"/>
      <c r="AO26" s="1126"/>
      <c r="AP26" s="1126"/>
      <c r="AQ26" s="1126"/>
      <c r="AR26" s="1126"/>
      <c r="AS26" s="1126"/>
      <c r="AT26" s="1126"/>
      <c r="AU26" s="413"/>
      <c r="AV26" s="1075"/>
    </row>
    <row r="27" spans="1:48" ht="15" customHeight="1" x14ac:dyDescent="0.2">
      <c r="A27" s="1076"/>
      <c r="B27" s="1045" t="str">
        <f t="shared" si="1"/>
        <v>Desk 19</v>
      </c>
      <c r="C27" s="1385" t="str">
        <f>IF('TB IMA general'!C104&lt;&gt;"",'TB IMA general'!C104,"")</f>
        <v/>
      </c>
      <c r="D27" s="1126"/>
      <c r="E27" s="1126"/>
      <c r="F27" s="1126"/>
      <c r="G27" s="1126"/>
      <c r="H27" s="1126"/>
      <c r="I27" s="1126"/>
      <c r="J27" s="1126"/>
      <c r="K27" s="1126"/>
      <c r="L27" s="1126"/>
      <c r="M27" s="1126"/>
      <c r="N27" s="1126"/>
      <c r="O27" s="1126"/>
      <c r="P27" s="1126"/>
      <c r="Q27" s="1126"/>
      <c r="R27" s="1126"/>
      <c r="S27" s="1126"/>
      <c r="T27" s="1126"/>
      <c r="U27" s="1126"/>
      <c r="V27" s="1126"/>
      <c r="W27" s="1126"/>
      <c r="X27" s="1126"/>
      <c r="Y27" s="1126"/>
      <c r="Z27" s="1126"/>
      <c r="AA27" s="1126"/>
      <c r="AB27" s="1126"/>
      <c r="AC27" s="1126"/>
      <c r="AD27" s="1126"/>
      <c r="AE27" s="1126"/>
      <c r="AF27" s="1126"/>
      <c r="AG27" s="1126"/>
      <c r="AH27" s="1126"/>
      <c r="AI27" s="1126"/>
      <c r="AJ27" s="1126"/>
      <c r="AK27" s="1126"/>
      <c r="AL27" s="1126"/>
      <c r="AM27" s="1126"/>
      <c r="AN27" s="1126"/>
      <c r="AO27" s="1126"/>
      <c r="AP27" s="1126"/>
      <c r="AQ27" s="1126"/>
      <c r="AR27" s="1126"/>
      <c r="AS27" s="1126"/>
      <c r="AT27" s="1126"/>
      <c r="AU27" s="413"/>
      <c r="AV27" s="1075"/>
    </row>
    <row r="28" spans="1:48" ht="15" customHeight="1" x14ac:dyDescent="0.2">
      <c r="A28" s="1076"/>
      <c r="B28" s="1045" t="str">
        <f t="shared" si="1"/>
        <v>Desk 20</v>
      </c>
      <c r="C28" s="1385" t="str">
        <f>IF('TB IMA general'!C105&lt;&gt;"",'TB IMA general'!C105,"")</f>
        <v/>
      </c>
      <c r="D28" s="1126"/>
      <c r="E28" s="1126"/>
      <c r="F28" s="1126"/>
      <c r="G28" s="1126"/>
      <c r="H28" s="1126"/>
      <c r="I28" s="1126"/>
      <c r="J28" s="1126"/>
      <c r="K28" s="1126"/>
      <c r="L28" s="1126"/>
      <c r="M28" s="1126"/>
      <c r="N28" s="1126"/>
      <c r="O28" s="1126"/>
      <c r="P28" s="1126"/>
      <c r="Q28" s="1126"/>
      <c r="R28" s="1126"/>
      <c r="S28" s="1126"/>
      <c r="T28" s="1126"/>
      <c r="U28" s="1126"/>
      <c r="V28" s="1126"/>
      <c r="W28" s="1126"/>
      <c r="X28" s="1126"/>
      <c r="Y28" s="1126"/>
      <c r="Z28" s="1126"/>
      <c r="AA28" s="1126"/>
      <c r="AB28" s="1126"/>
      <c r="AC28" s="1126"/>
      <c r="AD28" s="1126"/>
      <c r="AE28" s="1126"/>
      <c r="AF28" s="1126"/>
      <c r="AG28" s="1126"/>
      <c r="AH28" s="1126"/>
      <c r="AI28" s="1126"/>
      <c r="AJ28" s="1126"/>
      <c r="AK28" s="1126"/>
      <c r="AL28" s="1126"/>
      <c r="AM28" s="1126"/>
      <c r="AN28" s="1126"/>
      <c r="AO28" s="1126"/>
      <c r="AP28" s="1126"/>
      <c r="AQ28" s="1126"/>
      <c r="AR28" s="1126"/>
      <c r="AS28" s="1126"/>
      <c r="AT28" s="1126"/>
      <c r="AU28" s="413"/>
      <c r="AV28" s="1075"/>
    </row>
    <row r="29" spans="1:48" ht="15" customHeight="1" x14ac:dyDescent="0.2">
      <c r="A29" s="1076"/>
      <c r="B29" s="1045" t="str">
        <f t="shared" si="1"/>
        <v>Desk 21</v>
      </c>
      <c r="C29" s="1385" t="str">
        <f>IF('TB IMA general'!C106&lt;&gt;"",'TB IMA general'!C106,"")</f>
        <v/>
      </c>
      <c r="D29" s="1126"/>
      <c r="E29" s="1126"/>
      <c r="F29" s="1126"/>
      <c r="G29" s="1126"/>
      <c r="H29" s="1126"/>
      <c r="I29" s="1126"/>
      <c r="J29" s="1126"/>
      <c r="K29" s="1126"/>
      <c r="L29" s="1126"/>
      <c r="M29" s="1126"/>
      <c r="N29" s="1126"/>
      <c r="O29" s="1126"/>
      <c r="P29" s="1126"/>
      <c r="Q29" s="1126"/>
      <c r="R29" s="1126"/>
      <c r="S29" s="1126"/>
      <c r="T29" s="1126"/>
      <c r="U29" s="1126"/>
      <c r="V29" s="1126"/>
      <c r="W29" s="1126"/>
      <c r="X29" s="1126"/>
      <c r="Y29" s="1126"/>
      <c r="Z29" s="1126"/>
      <c r="AA29" s="1126"/>
      <c r="AB29" s="1126"/>
      <c r="AC29" s="1126"/>
      <c r="AD29" s="1126"/>
      <c r="AE29" s="1126"/>
      <c r="AF29" s="1126"/>
      <c r="AG29" s="1126"/>
      <c r="AH29" s="1126"/>
      <c r="AI29" s="1126"/>
      <c r="AJ29" s="1126"/>
      <c r="AK29" s="1126"/>
      <c r="AL29" s="1126"/>
      <c r="AM29" s="1126"/>
      <c r="AN29" s="1126"/>
      <c r="AO29" s="1126"/>
      <c r="AP29" s="1126"/>
      <c r="AQ29" s="1126"/>
      <c r="AR29" s="1126"/>
      <c r="AS29" s="1126"/>
      <c r="AT29" s="1126"/>
      <c r="AU29" s="413"/>
      <c r="AV29" s="1075"/>
    </row>
    <row r="30" spans="1:48" ht="15" customHeight="1" x14ac:dyDescent="0.2">
      <c r="A30" s="1076"/>
      <c r="B30" s="1045" t="str">
        <f t="shared" si="1"/>
        <v>Desk 22</v>
      </c>
      <c r="C30" s="1385" t="str">
        <f>IF('TB IMA general'!C107&lt;&gt;"",'TB IMA general'!C107,"")</f>
        <v/>
      </c>
      <c r="D30" s="1126"/>
      <c r="E30" s="1126"/>
      <c r="F30" s="1126"/>
      <c r="G30" s="1126"/>
      <c r="H30" s="1126"/>
      <c r="I30" s="1126"/>
      <c r="J30" s="1126"/>
      <c r="K30" s="1126"/>
      <c r="L30" s="1126"/>
      <c r="M30" s="1126"/>
      <c r="N30" s="1126"/>
      <c r="O30" s="1126"/>
      <c r="P30" s="1126"/>
      <c r="Q30" s="1126"/>
      <c r="R30" s="1126"/>
      <c r="S30" s="1126"/>
      <c r="T30" s="1126"/>
      <c r="U30" s="1126"/>
      <c r="V30" s="1126"/>
      <c r="W30" s="1126"/>
      <c r="X30" s="1126"/>
      <c r="Y30" s="1126"/>
      <c r="Z30" s="1126"/>
      <c r="AA30" s="1126"/>
      <c r="AB30" s="1126"/>
      <c r="AC30" s="1126"/>
      <c r="AD30" s="1126"/>
      <c r="AE30" s="1126"/>
      <c r="AF30" s="1126"/>
      <c r="AG30" s="1126"/>
      <c r="AH30" s="1126"/>
      <c r="AI30" s="1126"/>
      <c r="AJ30" s="1126"/>
      <c r="AK30" s="1126"/>
      <c r="AL30" s="1126"/>
      <c r="AM30" s="1126"/>
      <c r="AN30" s="1126"/>
      <c r="AO30" s="1126"/>
      <c r="AP30" s="1126"/>
      <c r="AQ30" s="1126"/>
      <c r="AR30" s="1126"/>
      <c r="AS30" s="1126"/>
      <c r="AT30" s="1126"/>
      <c r="AU30" s="413"/>
      <c r="AV30" s="1075"/>
    </row>
    <row r="31" spans="1:48" ht="15" customHeight="1" x14ac:dyDescent="0.2">
      <c r="A31" s="1076"/>
      <c r="B31" s="1045" t="str">
        <f t="shared" si="1"/>
        <v>Desk 23</v>
      </c>
      <c r="C31" s="1385" t="str">
        <f>IF('TB IMA general'!C108&lt;&gt;"",'TB IMA general'!C108,"")</f>
        <v/>
      </c>
      <c r="D31" s="1126"/>
      <c r="E31" s="1126"/>
      <c r="F31" s="1126"/>
      <c r="G31" s="1126"/>
      <c r="H31" s="1126"/>
      <c r="I31" s="1126"/>
      <c r="J31" s="1126"/>
      <c r="K31" s="1126"/>
      <c r="L31" s="1126"/>
      <c r="M31" s="1126"/>
      <c r="N31" s="1126"/>
      <c r="O31" s="1126"/>
      <c r="P31" s="1126"/>
      <c r="Q31" s="1126"/>
      <c r="R31" s="1126"/>
      <c r="S31" s="1126"/>
      <c r="T31" s="1126"/>
      <c r="U31" s="1126"/>
      <c r="V31" s="1126"/>
      <c r="W31" s="1126"/>
      <c r="X31" s="1126"/>
      <c r="Y31" s="1126"/>
      <c r="Z31" s="1126"/>
      <c r="AA31" s="1126"/>
      <c r="AB31" s="1126"/>
      <c r="AC31" s="1126"/>
      <c r="AD31" s="1126"/>
      <c r="AE31" s="1126"/>
      <c r="AF31" s="1126"/>
      <c r="AG31" s="1126"/>
      <c r="AH31" s="1126"/>
      <c r="AI31" s="1126"/>
      <c r="AJ31" s="1126"/>
      <c r="AK31" s="1126"/>
      <c r="AL31" s="1126"/>
      <c r="AM31" s="1126"/>
      <c r="AN31" s="1126"/>
      <c r="AO31" s="1126"/>
      <c r="AP31" s="1126"/>
      <c r="AQ31" s="1126"/>
      <c r="AR31" s="1126"/>
      <c r="AS31" s="1126"/>
      <c r="AT31" s="1126"/>
      <c r="AU31" s="413"/>
      <c r="AV31" s="1075"/>
    </row>
    <row r="32" spans="1:48" ht="15" customHeight="1" x14ac:dyDescent="0.2">
      <c r="A32" s="1076"/>
      <c r="B32" s="1045" t="str">
        <f t="shared" si="1"/>
        <v>Desk 24</v>
      </c>
      <c r="C32" s="1385" t="str">
        <f>IF('TB IMA general'!C109&lt;&gt;"",'TB IMA general'!C109,"")</f>
        <v/>
      </c>
      <c r="D32" s="1126"/>
      <c r="E32" s="1126"/>
      <c r="F32" s="1126"/>
      <c r="G32" s="1126"/>
      <c r="H32" s="1126"/>
      <c r="I32" s="1126"/>
      <c r="J32" s="1126"/>
      <c r="K32" s="1126"/>
      <c r="L32" s="1126"/>
      <c r="M32" s="1126"/>
      <c r="N32" s="1126"/>
      <c r="O32" s="1126"/>
      <c r="P32" s="1126"/>
      <c r="Q32" s="1126"/>
      <c r="R32" s="1126"/>
      <c r="S32" s="1126"/>
      <c r="T32" s="1126"/>
      <c r="U32" s="1126"/>
      <c r="V32" s="1126"/>
      <c r="W32" s="1126"/>
      <c r="X32" s="1126"/>
      <c r="Y32" s="1126"/>
      <c r="Z32" s="1126"/>
      <c r="AA32" s="1126"/>
      <c r="AB32" s="1126"/>
      <c r="AC32" s="1126"/>
      <c r="AD32" s="1126"/>
      <c r="AE32" s="1126"/>
      <c r="AF32" s="1126"/>
      <c r="AG32" s="1126"/>
      <c r="AH32" s="1126"/>
      <c r="AI32" s="1126"/>
      <c r="AJ32" s="1126"/>
      <c r="AK32" s="1126"/>
      <c r="AL32" s="1126"/>
      <c r="AM32" s="1126"/>
      <c r="AN32" s="1126"/>
      <c r="AO32" s="1126"/>
      <c r="AP32" s="1126"/>
      <c r="AQ32" s="1126"/>
      <c r="AR32" s="1126"/>
      <c r="AS32" s="1126"/>
      <c r="AT32" s="1126"/>
      <c r="AU32" s="413"/>
      <c r="AV32" s="1075"/>
    </row>
    <row r="33" spans="1:48" ht="15" customHeight="1" x14ac:dyDescent="0.2">
      <c r="A33" s="1076"/>
      <c r="B33" s="1045" t="str">
        <f t="shared" si="1"/>
        <v>Desk 25</v>
      </c>
      <c r="C33" s="1385" t="str">
        <f>IF('TB IMA general'!C110&lt;&gt;"",'TB IMA general'!C110,"")</f>
        <v/>
      </c>
      <c r="D33" s="1126"/>
      <c r="E33" s="1126"/>
      <c r="F33" s="1126"/>
      <c r="G33" s="1126"/>
      <c r="H33" s="1126"/>
      <c r="I33" s="1126"/>
      <c r="J33" s="1126"/>
      <c r="K33" s="1126"/>
      <c r="L33" s="1126"/>
      <c r="M33" s="1126"/>
      <c r="N33" s="1126"/>
      <c r="O33" s="1126"/>
      <c r="P33" s="1126"/>
      <c r="Q33" s="1126"/>
      <c r="R33" s="1126"/>
      <c r="S33" s="1126"/>
      <c r="T33" s="1126"/>
      <c r="U33" s="1126"/>
      <c r="V33" s="1126"/>
      <c r="W33" s="1126"/>
      <c r="X33" s="1126"/>
      <c r="Y33" s="1126"/>
      <c r="Z33" s="1126"/>
      <c r="AA33" s="1126"/>
      <c r="AB33" s="1126"/>
      <c r="AC33" s="1126"/>
      <c r="AD33" s="1126"/>
      <c r="AE33" s="1126"/>
      <c r="AF33" s="1126"/>
      <c r="AG33" s="1126"/>
      <c r="AH33" s="1126"/>
      <c r="AI33" s="1126"/>
      <c r="AJ33" s="1126"/>
      <c r="AK33" s="1126"/>
      <c r="AL33" s="1126"/>
      <c r="AM33" s="1126"/>
      <c r="AN33" s="1126"/>
      <c r="AO33" s="1126"/>
      <c r="AP33" s="1126"/>
      <c r="AQ33" s="1126"/>
      <c r="AR33" s="1126"/>
      <c r="AS33" s="1126"/>
      <c r="AT33" s="1126"/>
      <c r="AU33" s="413"/>
      <c r="AV33" s="1075"/>
    </row>
    <row r="34" spans="1:48" ht="15" customHeight="1" x14ac:dyDescent="0.2">
      <c r="A34" s="1076"/>
      <c r="B34" s="1045" t="str">
        <f t="shared" si="1"/>
        <v>Desk 26</v>
      </c>
      <c r="C34" s="1385" t="str">
        <f>IF('TB IMA general'!C111&lt;&gt;"",'TB IMA general'!C111,"")</f>
        <v/>
      </c>
      <c r="D34" s="1126"/>
      <c r="E34" s="1126"/>
      <c r="F34" s="1126"/>
      <c r="G34" s="1126"/>
      <c r="H34" s="1126"/>
      <c r="I34" s="1126"/>
      <c r="J34" s="1126"/>
      <c r="K34" s="1126"/>
      <c r="L34" s="1126"/>
      <c r="M34" s="1126"/>
      <c r="N34" s="1126"/>
      <c r="O34" s="1126"/>
      <c r="P34" s="1126"/>
      <c r="Q34" s="1126"/>
      <c r="R34" s="1126"/>
      <c r="S34" s="1126"/>
      <c r="T34" s="1126"/>
      <c r="U34" s="1126"/>
      <c r="V34" s="1126"/>
      <c r="W34" s="1126"/>
      <c r="X34" s="1126"/>
      <c r="Y34" s="1126"/>
      <c r="Z34" s="1126"/>
      <c r="AA34" s="1126"/>
      <c r="AB34" s="1126"/>
      <c r="AC34" s="1126"/>
      <c r="AD34" s="1126"/>
      <c r="AE34" s="1126"/>
      <c r="AF34" s="1126"/>
      <c r="AG34" s="1126"/>
      <c r="AH34" s="1126"/>
      <c r="AI34" s="1126"/>
      <c r="AJ34" s="1126"/>
      <c r="AK34" s="1126"/>
      <c r="AL34" s="1126"/>
      <c r="AM34" s="1126"/>
      <c r="AN34" s="1126"/>
      <c r="AO34" s="1126"/>
      <c r="AP34" s="1126"/>
      <c r="AQ34" s="1126"/>
      <c r="AR34" s="1126"/>
      <c r="AS34" s="1126"/>
      <c r="AT34" s="1126"/>
      <c r="AU34" s="413"/>
      <c r="AV34" s="1075"/>
    </row>
    <row r="35" spans="1:48" ht="15" customHeight="1" x14ac:dyDescent="0.2">
      <c r="A35" s="1076"/>
      <c r="B35" s="1045" t="str">
        <f t="shared" si="1"/>
        <v>Desk 27</v>
      </c>
      <c r="C35" s="1385" t="str">
        <f>IF('TB IMA general'!C112&lt;&gt;"",'TB IMA general'!C112,"")</f>
        <v/>
      </c>
      <c r="D35" s="1126"/>
      <c r="E35" s="1126"/>
      <c r="F35" s="1126"/>
      <c r="G35" s="1126"/>
      <c r="H35" s="1126"/>
      <c r="I35" s="1126"/>
      <c r="J35" s="1126"/>
      <c r="K35" s="1126"/>
      <c r="L35" s="1126"/>
      <c r="M35" s="1126"/>
      <c r="N35" s="1126"/>
      <c r="O35" s="1126"/>
      <c r="P35" s="1126"/>
      <c r="Q35" s="1126"/>
      <c r="R35" s="1126"/>
      <c r="S35" s="1126"/>
      <c r="T35" s="1126"/>
      <c r="U35" s="1126"/>
      <c r="V35" s="1126"/>
      <c r="W35" s="1126"/>
      <c r="X35" s="1126"/>
      <c r="Y35" s="1126"/>
      <c r="Z35" s="1126"/>
      <c r="AA35" s="1126"/>
      <c r="AB35" s="1126"/>
      <c r="AC35" s="1126"/>
      <c r="AD35" s="1126"/>
      <c r="AE35" s="1126"/>
      <c r="AF35" s="1126"/>
      <c r="AG35" s="1126"/>
      <c r="AH35" s="1126"/>
      <c r="AI35" s="1126"/>
      <c r="AJ35" s="1126"/>
      <c r="AK35" s="1126"/>
      <c r="AL35" s="1126"/>
      <c r="AM35" s="1126"/>
      <c r="AN35" s="1126"/>
      <c r="AO35" s="1126"/>
      <c r="AP35" s="1126"/>
      <c r="AQ35" s="1126"/>
      <c r="AR35" s="1126"/>
      <c r="AS35" s="1126"/>
      <c r="AT35" s="1126"/>
      <c r="AU35" s="413"/>
      <c r="AV35" s="1075"/>
    </row>
    <row r="36" spans="1:48" ht="15" customHeight="1" x14ac:dyDescent="0.2">
      <c r="A36" s="1076"/>
      <c r="B36" s="1045" t="str">
        <f t="shared" si="1"/>
        <v>Desk 28</v>
      </c>
      <c r="C36" s="1385" t="str">
        <f>IF('TB IMA general'!C113&lt;&gt;"",'TB IMA general'!C113,"")</f>
        <v/>
      </c>
      <c r="D36" s="1126"/>
      <c r="E36" s="1126"/>
      <c r="F36" s="1126"/>
      <c r="G36" s="1126"/>
      <c r="H36" s="1126"/>
      <c r="I36" s="1126"/>
      <c r="J36" s="1126"/>
      <c r="K36" s="1126"/>
      <c r="L36" s="1126"/>
      <c r="M36" s="1126"/>
      <c r="N36" s="1126"/>
      <c r="O36" s="1126"/>
      <c r="P36" s="1126"/>
      <c r="Q36" s="1126"/>
      <c r="R36" s="1126"/>
      <c r="S36" s="1126"/>
      <c r="T36" s="1126"/>
      <c r="U36" s="1126"/>
      <c r="V36" s="1126"/>
      <c r="W36" s="1126"/>
      <c r="X36" s="1126"/>
      <c r="Y36" s="1126"/>
      <c r="Z36" s="1126"/>
      <c r="AA36" s="1126"/>
      <c r="AB36" s="1126"/>
      <c r="AC36" s="1126"/>
      <c r="AD36" s="1126"/>
      <c r="AE36" s="1126"/>
      <c r="AF36" s="1126"/>
      <c r="AG36" s="1126"/>
      <c r="AH36" s="1126"/>
      <c r="AI36" s="1126"/>
      <c r="AJ36" s="1126"/>
      <c r="AK36" s="1126"/>
      <c r="AL36" s="1126"/>
      <c r="AM36" s="1126"/>
      <c r="AN36" s="1126"/>
      <c r="AO36" s="1126"/>
      <c r="AP36" s="1126"/>
      <c r="AQ36" s="1126"/>
      <c r="AR36" s="1126"/>
      <c r="AS36" s="1126"/>
      <c r="AT36" s="1126"/>
      <c r="AU36" s="413"/>
      <c r="AV36" s="1075"/>
    </row>
    <row r="37" spans="1:48" ht="15" customHeight="1" x14ac:dyDescent="0.2">
      <c r="A37" s="1076"/>
      <c r="B37" s="1045" t="str">
        <f t="shared" si="1"/>
        <v>Desk 29</v>
      </c>
      <c r="C37" s="1385" t="str">
        <f>IF('TB IMA general'!C114&lt;&gt;"",'TB IMA general'!C114,"")</f>
        <v/>
      </c>
      <c r="D37" s="1126"/>
      <c r="E37" s="1126"/>
      <c r="F37" s="1126"/>
      <c r="G37" s="1126"/>
      <c r="H37" s="1126"/>
      <c r="I37" s="1126"/>
      <c r="J37" s="1126"/>
      <c r="K37" s="1126"/>
      <c r="L37" s="1126"/>
      <c r="M37" s="1126"/>
      <c r="N37" s="1126"/>
      <c r="O37" s="1126"/>
      <c r="P37" s="1126"/>
      <c r="Q37" s="1126"/>
      <c r="R37" s="1126"/>
      <c r="S37" s="1126"/>
      <c r="T37" s="1126"/>
      <c r="U37" s="1126"/>
      <c r="V37" s="1126"/>
      <c r="W37" s="1126"/>
      <c r="X37" s="1126"/>
      <c r="Y37" s="1126"/>
      <c r="Z37" s="1126"/>
      <c r="AA37" s="1126"/>
      <c r="AB37" s="1126"/>
      <c r="AC37" s="1126"/>
      <c r="AD37" s="1126"/>
      <c r="AE37" s="1126"/>
      <c r="AF37" s="1126"/>
      <c r="AG37" s="1126"/>
      <c r="AH37" s="1126"/>
      <c r="AI37" s="1126"/>
      <c r="AJ37" s="1126"/>
      <c r="AK37" s="1126"/>
      <c r="AL37" s="1126"/>
      <c r="AM37" s="1126"/>
      <c r="AN37" s="1126"/>
      <c r="AO37" s="1126"/>
      <c r="AP37" s="1126"/>
      <c r="AQ37" s="1126"/>
      <c r="AR37" s="1126"/>
      <c r="AS37" s="1126"/>
      <c r="AT37" s="1126"/>
      <c r="AU37" s="413"/>
      <c r="AV37" s="1075"/>
    </row>
    <row r="38" spans="1:48" ht="15" customHeight="1" x14ac:dyDescent="0.2">
      <c r="A38" s="1076"/>
      <c r="B38" s="1045" t="str">
        <f t="shared" si="1"/>
        <v>Desk 30</v>
      </c>
      <c r="C38" s="1385" t="str">
        <f>IF('TB IMA general'!C115&lt;&gt;"",'TB IMA general'!C115,"")</f>
        <v/>
      </c>
      <c r="D38" s="1126"/>
      <c r="E38" s="1126"/>
      <c r="F38" s="1126"/>
      <c r="G38" s="1126"/>
      <c r="H38" s="1126"/>
      <c r="I38" s="1126"/>
      <c r="J38" s="1126"/>
      <c r="K38" s="1126"/>
      <c r="L38" s="1126"/>
      <c r="M38" s="1126"/>
      <c r="N38" s="1126"/>
      <c r="O38" s="1126"/>
      <c r="P38" s="1126"/>
      <c r="Q38" s="1126"/>
      <c r="R38" s="1126"/>
      <c r="S38" s="1126"/>
      <c r="T38" s="1126"/>
      <c r="U38" s="1126"/>
      <c r="V38" s="1126"/>
      <c r="W38" s="1126"/>
      <c r="X38" s="1126"/>
      <c r="Y38" s="1126"/>
      <c r="Z38" s="1126"/>
      <c r="AA38" s="1126"/>
      <c r="AB38" s="1126"/>
      <c r="AC38" s="1126"/>
      <c r="AD38" s="1126"/>
      <c r="AE38" s="1126"/>
      <c r="AF38" s="1126"/>
      <c r="AG38" s="1126"/>
      <c r="AH38" s="1126"/>
      <c r="AI38" s="1126"/>
      <c r="AJ38" s="1126"/>
      <c r="AK38" s="1126"/>
      <c r="AL38" s="1126"/>
      <c r="AM38" s="1126"/>
      <c r="AN38" s="1126"/>
      <c r="AO38" s="1126"/>
      <c r="AP38" s="1126"/>
      <c r="AQ38" s="1126"/>
      <c r="AR38" s="1126"/>
      <c r="AS38" s="1126"/>
      <c r="AT38" s="1126"/>
      <c r="AU38" s="413"/>
      <c r="AV38" s="1075"/>
    </row>
    <row r="39" spans="1:48" ht="15" customHeight="1" x14ac:dyDescent="0.2">
      <c r="A39" s="1076"/>
      <c r="B39" s="1045" t="str">
        <f t="shared" si="1"/>
        <v>Desk 31</v>
      </c>
      <c r="C39" s="1385" t="str">
        <f>IF('TB IMA general'!C116&lt;&gt;"",'TB IMA general'!C116,"")</f>
        <v/>
      </c>
      <c r="D39" s="1126"/>
      <c r="E39" s="1126"/>
      <c r="F39" s="1126"/>
      <c r="G39" s="1126"/>
      <c r="H39" s="1126"/>
      <c r="I39" s="1126"/>
      <c r="J39" s="1126"/>
      <c r="K39" s="1126"/>
      <c r="L39" s="1126"/>
      <c r="M39" s="1126"/>
      <c r="N39" s="1126"/>
      <c r="O39" s="1126"/>
      <c r="P39" s="1126"/>
      <c r="Q39" s="1126"/>
      <c r="R39" s="1126"/>
      <c r="S39" s="1126"/>
      <c r="T39" s="1126"/>
      <c r="U39" s="1126"/>
      <c r="V39" s="1126"/>
      <c r="W39" s="1126"/>
      <c r="X39" s="1126"/>
      <c r="Y39" s="1126"/>
      <c r="Z39" s="1126"/>
      <c r="AA39" s="1126"/>
      <c r="AB39" s="1126"/>
      <c r="AC39" s="1126"/>
      <c r="AD39" s="1126"/>
      <c r="AE39" s="1126"/>
      <c r="AF39" s="1126"/>
      <c r="AG39" s="1126"/>
      <c r="AH39" s="1126"/>
      <c r="AI39" s="1126"/>
      <c r="AJ39" s="1126"/>
      <c r="AK39" s="1126"/>
      <c r="AL39" s="1126"/>
      <c r="AM39" s="1126"/>
      <c r="AN39" s="1126"/>
      <c r="AO39" s="1126"/>
      <c r="AP39" s="1126"/>
      <c r="AQ39" s="1126"/>
      <c r="AR39" s="1126"/>
      <c r="AS39" s="1126"/>
      <c r="AT39" s="1126"/>
      <c r="AU39" s="413"/>
      <c r="AV39" s="1075"/>
    </row>
    <row r="40" spans="1:48" ht="15" customHeight="1" x14ac:dyDescent="0.2">
      <c r="A40" s="1076"/>
      <c r="B40" s="1045" t="str">
        <f t="shared" si="1"/>
        <v>Desk 32</v>
      </c>
      <c r="C40" s="1385" t="str">
        <f>IF('TB IMA general'!C117&lt;&gt;"",'TB IMA general'!C117,"")</f>
        <v/>
      </c>
      <c r="D40" s="1126"/>
      <c r="E40" s="1126"/>
      <c r="F40" s="1126"/>
      <c r="G40" s="1126"/>
      <c r="H40" s="1126"/>
      <c r="I40" s="1126"/>
      <c r="J40" s="1126"/>
      <c r="K40" s="1126"/>
      <c r="L40" s="1126"/>
      <c r="M40" s="1126"/>
      <c r="N40" s="1126"/>
      <c r="O40" s="1126"/>
      <c r="P40" s="1126"/>
      <c r="Q40" s="1126"/>
      <c r="R40" s="1126"/>
      <c r="S40" s="1126"/>
      <c r="T40" s="1126"/>
      <c r="U40" s="1126"/>
      <c r="V40" s="1126"/>
      <c r="W40" s="1126"/>
      <c r="X40" s="1126"/>
      <c r="Y40" s="1126"/>
      <c r="Z40" s="1126"/>
      <c r="AA40" s="1126"/>
      <c r="AB40" s="1126"/>
      <c r="AC40" s="1126"/>
      <c r="AD40" s="1126"/>
      <c r="AE40" s="1126"/>
      <c r="AF40" s="1126"/>
      <c r="AG40" s="1126"/>
      <c r="AH40" s="1126"/>
      <c r="AI40" s="1126"/>
      <c r="AJ40" s="1126"/>
      <c r="AK40" s="1126"/>
      <c r="AL40" s="1126"/>
      <c r="AM40" s="1126"/>
      <c r="AN40" s="1126"/>
      <c r="AO40" s="1126"/>
      <c r="AP40" s="1126"/>
      <c r="AQ40" s="1126"/>
      <c r="AR40" s="1126"/>
      <c r="AS40" s="1126"/>
      <c r="AT40" s="1126"/>
      <c r="AU40" s="413"/>
      <c r="AV40" s="1075"/>
    </row>
    <row r="41" spans="1:48" ht="15" customHeight="1" x14ac:dyDescent="0.2">
      <c r="A41" s="1076"/>
      <c r="B41" s="1045" t="str">
        <f t="shared" si="1"/>
        <v>Desk 33</v>
      </c>
      <c r="C41" s="1385" t="str">
        <f>IF('TB IMA general'!C118&lt;&gt;"",'TB IMA general'!C118,"")</f>
        <v/>
      </c>
      <c r="D41" s="1126"/>
      <c r="E41" s="1126"/>
      <c r="F41" s="1126"/>
      <c r="G41" s="1126"/>
      <c r="H41" s="1126"/>
      <c r="I41" s="1126"/>
      <c r="J41" s="1126"/>
      <c r="K41" s="1126"/>
      <c r="L41" s="1126"/>
      <c r="M41" s="1126"/>
      <c r="N41" s="1126"/>
      <c r="O41" s="1126"/>
      <c r="P41" s="1126"/>
      <c r="Q41" s="1126"/>
      <c r="R41" s="1126"/>
      <c r="S41" s="1126"/>
      <c r="T41" s="1126"/>
      <c r="U41" s="1126"/>
      <c r="V41" s="1126"/>
      <c r="W41" s="1126"/>
      <c r="X41" s="1126"/>
      <c r="Y41" s="1126"/>
      <c r="Z41" s="1126"/>
      <c r="AA41" s="1126"/>
      <c r="AB41" s="1126"/>
      <c r="AC41" s="1126"/>
      <c r="AD41" s="1126"/>
      <c r="AE41" s="1126"/>
      <c r="AF41" s="1126"/>
      <c r="AG41" s="1126"/>
      <c r="AH41" s="1126"/>
      <c r="AI41" s="1126"/>
      <c r="AJ41" s="1126"/>
      <c r="AK41" s="1126"/>
      <c r="AL41" s="1126"/>
      <c r="AM41" s="1126"/>
      <c r="AN41" s="1126"/>
      <c r="AO41" s="1126"/>
      <c r="AP41" s="1126"/>
      <c r="AQ41" s="1126"/>
      <c r="AR41" s="1126"/>
      <c r="AS41" s="1126"/>
      <c r="AT41" s="1126"/>
      <c r="AU41" s="413"/>
      <c r="AV41" s="1075"/>
    </row>
    <row r="42" spans="1:48" ht="15" customHeight="1" x14ac:dyDescent="0.2">
      <c r="A42" s="1076"/>
      <c r="B42" s="1045" t="str">
        <f t="shared" si="1"/>
        <v>Desk 34</v>
      </c>
      <c r="C42" s="1385" t="str">
        <f>IF('TB IMA general'!C119&lt;&gt;"",'TB IMA general'!C119,"")</f>
        <v/>
      </c>
      <c r="D42" s="1126"/>
      <c r="E42" s="1126"/>
      <c r="F42" s="1126"/>
      <c r="G42" s="1126"/>
      <c r="H42" s="1126"/>
      <c r="I42" s="1126"/>
      <c r="J42" s="1126"/>
      <c r="K42" s="1126"/>
      <c r="L42" s="1126"/>
      <c r="M42" s="1126"/>
      <c r="N42" s="1126"/>
      <c r="O42" s="1126"/>
      <c r="P42" s="1126"/>
      <c r="Q42" s="1126"/>
      <c r="R42" s="1126"/>
      <c r="S42" s="1126"/>
      <c r="T42" s="1126"/>
      <c r="U42" s="1126"/>
      <c r="V42" s="1126"/>
      <c r="W42" s="1126"/>
      <c r="X42" s="1126"/>
      <c r="Y42" s="1126"/>
      <c r="Z42" s="1126"/>
      <c r="AA42" s="1126"/>
      <c r="AB42" s="1126"/>
      <c r="AC42" s="1126"/>
      <c r="AD42" s="1126"/>
      <c r="AE42" s="1126"/>
      <c r="AF42" s="1126"/>
      <c r="AG42" s="1126"/>
      <c r="AH42" s="1126"/>
      <c r="AI42" s="1126"/>
      <c r="AJ42" s="1126"/>
      <c r="AK42" s="1126"/>
      <c r="AL42" s="1126"/>
      <c r="AM42" s="1126"/>
      <c r="AN42" s="1126"/>
      <c r="AO42" s="1126"/>
      <c r="AP42" s="1126"/>
      <c r="AQ42" s="1126"/>
      <c r="AR42" s="1126"/>
      <c r="AS42" s="1126"/>
      <c r="AT42" s="1126"/>
      <c r="AU42" s="413"/>
      <c r="AV42" s="1075"/>
    </row>
    <row r="43" spans="1:48" ht="15" customHeight="1" x14ac:dyDescent="0.2">
      <c r="A43" s="1076"/>
      <c r="B43" s="1045" t="str">
        <f t="shared" si="1"/>
        <v>Desk 35</v>
      </c>
      <c r="C43" s="1385" t="str">
        <f>IF('TB IMA general'!C120&lt;&gt;"",'TB IMA general'!C120,"")</f>
        <v/>
      </c>
      <c r="D43" s="1126"/>
      <c r="E43" s="1126"/>
      <c r="F43" s="1126"/>
      <c r="G43" s="1126"/>
      <c r="H43" s="1126"/>
      <c r="I43" s="1126"/>
      <c r="J43" s="1126"/>
      <c r="K43" s="1126"/>
      <c r="L43" s="1126"/>
      <c r="M43" s="1126"/>
      <c r="N43" s="1126"/>
      <c r="O43" s="1126"/>
      <c r="P43" s="1126"/>
      <c r="Q43" s="1126"/>
      <c r="R43" s="1126"/>
      <c r="S43" s="1126"/>
      <c r="T43" s="1126"/>
      <c r="U43" s="1126"/>
      <c r="V43" s="1126"/>
      <c r="W43" s="1126"/>
      <c r="X43" s="1126"/>
      <c r="Y43" s="1126"/>
      <c r="Z43" s="1126"/>
      <c r="AA43" s="1126"/>
      <c r="AB43" s="1126"/>
      <c r="AC43" s="1126"/>
      <c r="AD43" s="1126"/>
      <c r="AE43" s="1126"/>
      <c r="AF43" s="1126"/>
      <c r="AG43" s="1126"/>
      <c r="AH43" s="1126"/>
      <c r="AI43" s="1126"/>
      <c r="AJ43" s="1126"/>
      <c r="AK43" s="1126"/>
      <c r="AL43" s="1126"/>
      <c r="AM43" s="1126"/>
      <c r="AN43" s="1126"/>
      <c r="AO43" s="1126"/>
      <c r="AP43" s="1126"/>
      <c r="AQ43" s="1126"/>
      <c r="AR43" s="1126"/>
      <c r="AS43" s="1126"/>
      <c r="AT43" s="1126"/>
      <c r="AU43" s="413"/>
      <c r="AV43" s="1075"/>
    </row>
    <row r="44" spans="1:48" ht="15" customHeight="1" x14ac:dyDescent="0.2">
      <c r="A44" s="1076"/>
      <c r="B44" s="1045" t="str">
        <f t="shared" si="1"/>
        <v>Desk 36</v>
      </c>
      <c r="C44" s="1385" t="str">
        <f>IF('TB IMA general'!C121&lt;&gt;"",'TB IMA general'!C121,"")</f>
        <v/>
      </c>
      <c r="D44" s="1126"/>
      <c r="E44" s="1126"/>
      <c r="F44" s="1126"/>
      <c r="G44" s="1126"/>
      <c r="H44" s="1126"/>
      <c r="I44" s="1126"/>
      <c r="J44" s="1126"/>
      <c r="K44" s="1126"/>
      <c r="L44" s="1126"/>
      <c r="M44" s="1126"/>
      <c r="N44" s="1126"/>
      <c r="O44" s="1126"/>
      <c r="P44" s="1126"/>
      <c r="Q44" s="1126"/>
      <c r="R44" s="1126"/>
      <c r="S44" s="1126"/>
      <c r="T44" s="1126"/>
      <c r="U44" s="1126"/>
      <c r="V44" s="1126"/>
      <c r="W44" s="1126"/>
      <c r="X44" s="1126"/>
      <c r="Y44" s="1126"/>
      <c r="Z44" s="1126"/>
      <c r="AA44" s="1126"/>
      <c r="AB44" s="1126"/>
      <c r="AC44" s="1126"/>
      <c r="AD44" s="1126"/>
      <c r="AE44" s="1126"/>
      <c r="AF44" s="1126"/>
      <c r="AG44" s="1126"/>
      <c r="AH44" s="1126"/>
      <c r="AI44" s="1126"/>
      <c r="AJ44" s="1126"/>
      <c r="AK44" s="1126"/>
      <c r="AL44" s="1126"/>
      <c r="AM44" s="1126"/>
      <c r="AN44" s="1126"/>
      <c r="AO44" s="1126"/>
      <c r="AP44" s="1126"/>
      <c r="AQ44" s="1126"/>
      <c r="AR44" s="1126"/>
      <c r="AS44" s="1126"/>
      <c r="AT44" s="1126"/>
      <c r="AU44" s="413"/>
      <c r="AV44" s="1075"/>
    </row>
    <row r="45" spans="1:48" ht="15" customHeight="1" x14ac:dyDescent="0.2">
      <c r="A45" s="1076"/>
      <c r="B45" s="1045" t="str">
        <f t="shared" si="1"/>
        <v>Desk 37</v>
      </c>
      <c r="C45" s="1385" t="str">
        <f>IF('TB IMA general'!C122&lt;&gt;"",'TB IMA general'!C122,"")</f>
        <v/>
      </c>
      <c r="D45" s="1126"/>
      <c r="E45" s="1126"/>
      <c r="F45" s="1126"/>
      <c r="G45" s="1126"/>
      <c r="H45" s="1126"/>
      <c r="I45" s="1126"/>
      <c r="J45" s="1126"/>
      <c r="K45" s="1126"/>
      <c r="L45" s="1126"/>
      <c r="M45" s="1126"/>
      <c r="N45" s="1126"/>
      <c r="O45" s="1126"/>
      <c r="P45" s="1126"/>
      <c r="Q45" s="1126"/>
      <c r="R45" s="1126"/>
      <c r="S45" s="1126"/>
      <c r="T45" s="1126"/>
      <c r="U45" s="1126"/>
      <c r="V45" s="1126"/>
      <c r="W45" s="1126"/>
      <c r="X45" s="1126"/>
      <c r="Y45" s="1126"/>
      <c r="Z45" s="1126"/>
      <c r="AA45" s="1126"/>
      <c r="AB45" s="1126"/>
      <c r="AC45" s="1126"/>
      <c r="AD45" s="1126"/>
      <c r="AE45" s="1126"/>
      <c r="AF45" s="1126"/>
      <c r="AG45" s="1126"/>
      <c r="AH45" s="1126"/>
      <c r="AI45" s="1126"/>
      <c r="AJ45" s="1126"/>
      <c r="AK45" s="1126"/>
      <c r="AL45" s="1126"/>
      <c r="AM45" s="1126"/>
      <c r="AN45" s="1126"/>
      <c r="AO45" s="1126"/>
      <c r="AP45" s="1126"/>
      <c r="AQ45" s="1126"/>
      <c r="AR45" s="1126"/>
      <c r="AS45" s="1126"/>
      <c r="AT45" s="1126"/>
      <c r="AU45" s="413"/>
      <c r="AV45" s="1075"/>
    </row>
    <row r="46" spans="1:48" ht="15" customHeight="1" x14ac:dyDescent="0.2">
      <c r="A46" s="1076"/>
      <c r="B46" s="1045" t="str">
        <f t="shared" si="1"/>
        <v>Desk 38</v>
      </c>
      <c r="C46" s="1385" t="str">
        <f>IF('TB IMA general'!C123&lt;&gt;"",'TB IMA general'!C123,"")</f>
        <v/>
      </c>
      <c r="D46" s="1126"/>
      <c r="E46" s="1126"/>
      <c r="F46" s="1126"/>
      <c r="G46" s="1126"/>
      <c r="H46" s="1126"/>
      <c r="I46" s="1126"/>
      <c r="J46" s="1126"/>
      <c r="K46" s="1126"/>
      <c r="L46" s="1126"/>
      <c r="M46" s="1126"/>
      <c r="N46" s="1126"/>
      <c r="O46" s="1126"/>
      <c r="P46" s="1126"/>
      <c r="Q46" s="1126"/>
      <c r="R46" s="1126"/>
      <c r="S46" s="1126"/>
      <c r="T46" s="1126"/>
      <c r="U46" s="1126"/>
      <c r="V46" s="1126"/>
      <c r="W46" s="1126"/>
      <c r="X46" s="1126"/>
      <c r="Y46" s="1126"/>
      <c r="Z46" s="1126"/>
      <c r="AA46" s="1126"/>
      <c r="AB46" s="1126"/>
      <c r="AC46" s="1126"/>
      <c r="AD46" s="1126"/>
      <c r="AE46" s="1126"/>
      <c r="AF46" s="1126"/>
      <c r="AG46" s="1126"/>
      <c r="AH46" s="1126"/>
      <c r="AI46" s="1126"/>
      <c r="AJ46" s="1126"/>
      <c r="AK46" s="1126"/>
      <c r="AL46" s="1126"/>
      <c r="AM46" s="1126"/>
      <c r="AN46" s="1126"/>
      <c r="AO46" s="1126"/>
      <c r="AP46" s="1126"/>
      <c r="AQ46" s="1126"/>
      <c r="AR46" s="1126"/>
      <c r="AS46" s="1126"/>
      <c r="AT46" s="1126"/>
      <c r="AU46" s="413"/>
      <c r="AV46" s="1075"/>
    </row>
    <row r="47" spans="1:48" ht="15" customHeight="1" x14ac:dyDescent="0.2">
      <c r="A47" s="1076"/>
      <c r="B47" s="1045" t="str">
        <f t="shared" si="1"/>
        <v>Desk 39</v>
      </c>
      <c r="C47" s="1385" t="str">
        <f>IF('TB IMA general'!C124&lt;&gt;"",'TB IMA general'!C124,"")</f>
        <v/>
      </c>
      <c r="D47" s="1126"/>
      <c r="E47" s="1126"/>
      <c r="F47" s="1126"/>
      <c r="G47" s="1126"/>
      <c r="H47" s="1126"/>
      <c r="I47" s="1126"/>
      <c r="J47" s="1126"/>
      <c r="K47" s="1126"/>
      <c r="L47" s="1126"/>
      <c r="M47" s="1126"/>
      <c r="N47" s="1126"/>
      <c r="O47" s="1126"/>
      <c r="P47" s="1126"/>
      <c r="Q47" s="1126"/>
      <c r="R47" s="1126"/>
      <c r="S47" s="1126"/>
      <c r="T47" s="1126"/>
      <c r="U47" s="1126"/>
      <c r="V47" s="1126"/>
      <c r="W47" s="1126"/>
      <c r="X47" s="1126"/>
      <c r="Y47" s="1126"/>
      <c r="Z47" s="1126"/>
      <c r="AA47" s="1126"/>
      <c r="AB47" s="1126"/>
      <c r="AC47" s="1126"/>
      <c r="AD47" s="1126"/>
      <c r="AE47" s="1126"/>
      <c r="AF47" s="1126"/>
      <c r="AG47" s="1126"/>
      <c r="AH47" s="1126"/>
      <c r="AI47" s="1126"/>
      <c r="AJ47" s="1126"/>
      <c r="AK47" s="1126"/>
      <c r="AL47" s="1126"/>
      <c r="AM47" s="1126"/>
      <c r="AN47" s="1126"/>
      <c r="AO47" s="1126"/>
      <c r="AP47" s="1126"/>
      <c r="AQ47" s="1126"/>
      <c r="AR47" s="1126"/>
      <c r="AS47" s="1126"/>
      <c r="AT47" s="1126"/>
      <c r="AU47" s="413"/>
      <c r="AV47" s="1075"/>
    </row>
    <row r="48" spans="1:48" ht="15" customHeight="1" x14ac:dyDescent="0.2">
      <c r="A48" s="1076"/>
      <c r="B48" s="1045" t="str">
        <f t="shared" si="1"/>
        <v>Desk 40</v>
      </c>
      <c r="C48" s="1385" t="str">
        <f>IF('TB IMA general'!C125&lt;&gt;"",'TB IMA general'!C125,"")</f>
        <v/>
      </c>
      <c r="D48" s="1126"/>
      <c r="E48" s="1126"/>
      <c r="F48" s="1126"/>
      <c r="G48" s="1126"/>
      <c r="H48" s="1126"/>
      <c r="I48" s="1126"/>
      <c r="J48" s="1126"/>
      <c r="K48" s="1126"/>
      <c r="L48" s="1126"/>
      <c r="M48" s="1126"/>
      <c r="N48" s="1126"/>
      <c r="O48" s="1126"/>
      <c r="P48" s="1126"/>
      <c r="Q48" s="1126"/>
      <c r="R48" s="1126"/>
      <c r="S48" s="1126"/>
      <c r="T48" s="1126"/>
      <c r="U48" s="1126"/>
      <c r="V48" s="1126"/>
      <c r="W48" s="1126"/>
      <c r="X48" s="1126"/>
      <c r="Y48" s="1126"/>
      <c r="Z48" s="1126"/>
      <c r="AA48" s="1126"/>
      <c r="AB48" s="1126"/>
      <c r="AC48" s="1126"/>
      <c r="AD48" s="1126"/>
      <c r="AE48" s="1126"/>
      <c r="AF48" s="1126"/>
      <c r="AG48" s="1126"/>
      <c r="AH48" s="1126"/>
      <c r="AI48" s="1126"/>
      <c r="AJ48" s="1126"/>
      <c r="AK48" s="1126"/>
      <c r="AL48" s="1126"/>
      <c r="AM48" s="1126"/>
      <c r="AN48" s="1126"/>
      <c r="AO48" s="1126"/>
      <c r="AP48" s="1126"/>
      <c r="AQ48" s="1126"/>
      <c r="AR48" s="1126"/>
      <c r="AS48" s="1126"/>
      <c r="AT48" s="1126"/>
      <c r="AU48" s="413"/>
      <c r="AV48" s="1075"/>
    </row>
    <row r="49" spans="1:48" ht="15" customHeight="1" x14ac:dyDescent="0.2">
      <c r="A49" s="1076"/>
      <c r="B49" s="1045" t="str">
        <f t="shared" si="1"/>
        <v>Desk 41</v>
      </c>
      <c r="C49" s="1385" t="str">
        <f>IF('TB IMA general'!C126&lt;&gt;"",'TB IMA general'!C126,"")</f>
        <v/>
      </c>
      <c r="D49" s="1126"/>
      <c r="E49" s="1126"/>
      <c r="F49" s="1126"/>
      <c r="G49" s="1126"/>
      <c r="H49" s="1126"/>
      <c r="I49" s="1126"/>
      <c r="J49" s="1126"/>
      <c r="K49" s="1126"/>
      <c r="L49" s="1126"/>
      <c r="M49" s="1126"/>
      <c r="N49" s="1126"/>
      <c r="O49" s="1126"/>
      <c r="P49" s="1126"/>
      <c r="Q49" s="1126"/>
      <c r="R49" s="1126"/>
      <c r="S49" s="1126"/>
      <c r="T49" s="1126"/>
      <c r="U49" s="1126"/>
      <c r="V49" s="1126"/>
      <c r="W49" s="1126"/>
      <c r="X49" s="1126"/>
      <c r="Y49" s="1126"/>
      <c r="Z49" s="1126"/>
      <c r="AA49" s="1126"/>
      <c r="AB49" s="1126"/>
      <c r="AC49" s="1126"/>
      <c r="AD49" s="1126"/>
      <c r="AE49" s="1126"/>
      <c r="AF49" s="1126"/>
      <c r="AG49" s="1126"/>
      <c r="AH49" s="1126"/>
      <c r="AI49" s="1126"/>
      <c r="AJ49" s="1126"/>
      <c r="AK49" s="1126"/>
      <c r="AL49" s="1126"/>
      <c r="AM49" s="1126"/>
      <c r="AN49" s="1126"/>
      <c r="AO49" s="1126"/>
      <c r="AP49" s="1126"/>
      <c r="AQ49" s="1126"/>
      <c r="AR49" s="1126"/>
      <c r="AS49" s="1126"/>
      <c r="AT49" s="1126"/>
      <c r="AU49" s="413"/>
      <c r="AV49" s="1075"/>
    </row>
    <row r="50" spans="1:48" ht="15" customHeight="1" x14ac:dyDescent="0.2">
      <c r="A50" s="1076"/>
      <c r="B50" s="1045" t="str">
        <f t="shared" si="1"/>
        <v>Desk 42</v>
      </c>
      <c r="C50" s="1385" t="str">
        <f>IF('TB IMA general'!C127&lt;&gt;"",'TB IMA general'!C127,"")</f>
        <v/>
      </c>
      <c r="D50" s="1126"/>
      <c r="E50" s="1126"/>
      <c r="F50" s="1126"/>
      <c r="G50" s="1126"/>
      <c r="H50" s="1126"/>
      <c r="I50" s="1126"/>
      <c r="J50" s="1126"/>
      <c r="K50" s="1126"/>
      <c r="L50" s="1126"/>
      <c r="M50" s="1126"/>
      <c r="N50" s="1126"/>
      <c r="O50" s="1126"/>
      <c r="P50" s="1126"/>
      <c r="Q50" s="1126"/>
      <c r="R50" s="1126"/>
      <c r="S50" s="1126"/>
      <c r="T50" s="1126"/>
      <c r="U50" s="1126"/>
      <c r="V50" s="1126"/>
      <c r="W50" s="1126"/>
      <c r="X50" s="1126"/>
      <c r="Y50" s="1126"/>
      <c r="Z50" s="1126"/>
      <c r="AA50" s="1126"/>
      <c r="AB50" s="1126"/>
      <c r="AC50" s="1126"/>
      <c r="AD50" s="1126"/>
      <c r="AE50" s="1126"/>
      <c r="AF50" s="1126"/>
      <c r="AG50" s="1126"/>
      <c r="AH50" s="1126"/>
      <c r="AI50" s="1126"/>
      <c r="AJ50" s="1126"/>
      <c r="AK50" s="1126"/>
      <c r="AL50" s="1126"/>
      <c r="AM50" s="1126"/>
      <c r="AN50" s="1126"/>
      <c r="AO50" s="1126"/>
      <c r="AP50" s="1126"/>
      <c r="AQ50" s="1126"/>
      <c r="AR50" s="1126"/>
      <c r="AS50" s="1126"/>
      <c r="AT50" s="1126"/>
      <c r="AU50" s="413"/>
      <c r="AV50" s="1075"/>
    </row>
    <row r="51" spans="1:48" ht="15" customHeight="1" x14ac:dyDescent="0.2">
      <c r="A51" s="1076"/>
      <c r="B51" s="1045" t="str">
        <f t="shared" si="1"/>
        <v>Desk 43</v>
      </c>
      <c r="C51" s="1385" t="str">
        <f>IF('TB IMA general'!C128&lt;&gt;"",'TB IMA general'!C128,"")</f>
        <v/>
      </c>
      <c r="D51" s="1126"/>
      <c r="E51" s="1126"/>
      <c r="F51" s="1126"/>
      <c r="G51" s="1126"/>
      <c r="H51" s="1126"/>
      <c r="I51" s="1126"/>
      <c r="J51" s="1126"/>
      <c r="K51" s="1126"/>
      <c r="L51" s="1126"/>
      <c r="M51" s="1126"/>
      <c r="N51" s="1126"/>
      <c r="O51" s="1126"/>
      <c r="P51" s="1126"/>
      <c r="Q51" s="1126"/>
      <c r="R51" s="1126"/>
      <c r="S51" s="1126"/>
      <c r="T51" s="1126"/>
      <c r="U51" s="1126"/>
      <c r="V51" s="1126"/>
      <c r="W51" s="1126"/>
      <c r="X51" s="1126"/>
      <c r="Y51" s="1126"/>
      <c r="Z51" s="1126"/>
      <c r="AA51" s="1126"/>
      <c r="AB51" s="1126"/>
      <c r="AC51" s="1126"/>
      <c r="AD51" s="1126"/>
      <c r="AE51" s="1126"/>
      <c r="AF51" s="1126"/>
      <c r="AG51" s="1126"/>
      <c r="AH51" s="1126"/>
      <c r="AI51" s="1126"/>
      <c r="AJ51" s="1126"/>
      <c r="AK51" s="1126"/>
      <c r="AL51" s="1126"/>
      <c r="AM51" s="1126"/>
      <c r="AN51" s="1126"/>
      <c r="AO51" s="1126"/>
      <c r="AP51" s="1126"/>
      <c r="AQ51" s="1126"/>
      <c r="AR51" s="1126"/>
      <c r="AS51" s="1126"/>
      <c r="AT51" s="1126"/>
      <c r="AU51" s="413"/>
      <c r="AV51" s="1075"/>
    </row>
    <row r="52" spans="1:48" ht="15" customHeight="1" x14ac:dyDescent="0.2">
      <c r="A52" s="1076"/>
      <c r="B52" s="1045" t="str">
        <f t="shared" si="1"/>
        <v>Desk 44</v>
      </c>
      <c r="C52" s="1385" t="str">
        <f>IF('TB IMA general'!C129&lt;&gt;"",'TB IMA general'!C129,"")</f>
        <v/>
      </c>
      <c r="D52" s="1126"/>
      <c r="E52" s="1126"/>
      <c r="F52" s="1126"/>
      <c r="G52" s="1126"/>
      <c r="H52" s="1126"/>
      <c r="I52" s="1126"/>
      <c r="J52" s="1126"/>
      <c r="K52" s="1126"/>
      <c r="L52" s="1126"/>
      <c r="M52" s="1126"/>
      <c r="N52" s="1126"/>
      <c r="O52" s="1126"/>
      <c r="P52" s="1126"/>
      <c r="Q52" s="1126"/>
      <c r="R52" s="1126"/>
      <c r="S52" s="1126"/>
      <c r="T52" s="1126"/>
      <c r="U52" s="1126"/>
      <c r="V52" s="1126"/>
      <c r="W52" s="1126"/>
      <c r="X52" s="1126"/>
      <c r="Y52" s="1126"/>
      <c r="Z52" s="1126"/>
      <c r="AA52" s="1126"/>
      <c r="AB52" s="1126"/>
      <c r="AC52" s="1126"/>
      <c r="AD52" s="1126"/>
      <c r="AE52" s="1126"/>
      <c r="AF52" s="1126"/>
      <c r="AG52" s="1126"/>
      <c r="AH52" s="1126"/>
      <c r="AI52" s="1126"/>
      <c r="AJ52" s="1126"/>
      <c r="AK52" s="1126"/>
      <c r="AL52" s="1126"/>
      <c r="AM52" s="1126"/>
      <c r="AN52" s="1126"/>
      <c r="AO52" s="1126"/>
      <c r="AP52" s="1126"/>
      <c r="AQ52" s="1126"/>
      <c r="AR52" s="1126"/>
      <c r="AS52" s="1126"/>
      <c r="AT52" s="1126"/>
      <c r="AU52" s="413"/>
      <c r="AV52" s="1075"/>
    </row>
    <row r="53" spans="1:48" ht="15" customHeight="1" x14ac:dyDescent="0.2">
      <c r="A53" s="1076"/>
      <c r="B53" s="1045" t="str">
        <f t="shared" si="1"/>
        <v>Desk 45</v>
      </c>
      <c r="C53" s="1385" t="str">
        <f>IF('TB IMA general'!C130&lt;&gt;"",'TB IMA general'!C130,"")</f>
        <v/>
      </c>
      <c r="D53" s="1126"/>
      <c r="E53" s="1126"/>
      <c r="F53" s="1126"/>
      <c r="G53" s="1126"/>
      <c r="H53" s="1126"/>
      <c r="I53" s="1126"/>
      <c r="J53" s="1126"/>
      <c r="K53" s="1126"/>
      <c r="L53" s="1126"/>
      <c r="M53" s="1126"/>
      <c r="N53" s="1126"/>
      <c r="O53" s="1126"/>
      <c r="P53" s="1126"/>
      <c r="Q53" s="1126"/>
      <c r="R53" s="1126"/>
      <c r="S53" s="1126"/>
      <c r="T53" s="1126"/>
      <c r="U53" s="1126"/>
      <c r="V53" s="1126"/>
      <c r="W53" s="1126"/>
      <c r="X53" s="1126"/>
      <c r="Y53" s="1126"/>
      <c r="Z53" s="1126"/>
      <c r="AA53" s="1126"/>
      <c r="AB53" s="1126"/>
      <c r="AC53" s="1126"/>
      <c r="AD53" s="1126"/>
      <c r="AE53" s="1126"/>
      <c r="AF53" s="1126"/>
      <c r="AG53" s="1126"/>
      <c r="AH53" s="1126"/>
      <c r="AI53" s="1126"/>
      <c r="AJ53" s="1126"/>
      <c r="AK53" s="1126"/>
      <c r="AL53" s="1126"/>
      <c r="AM53" s="1126"/>
      <c r="AN53" s="1126"/>
      <c r="AO53" s="1126"/>
      <c r="AP53" s="1126"/>
      <c r="AQ53" s="1126"/>
      <c r="AR53" s="1126"/>
      <c r="AS53" s="1126"/>
      <c r="AT53" s="1126"/>
      <c r="AU53" s="413"/>
      <c r="AV53" s="1075"/>
    </row>
    <row r="54" spans="1:48" ht="15" customHeight="1" x14ac:dyDescent="0.2">
      <c r="A54" s="1076"/>
      <c r="B54" s="1045" t="str">
        <f t="shared" si="1"/>
        <v>Desk 46</v>
      </c>
      <c r="C54" s="1385" t="str">
        <f>IF('TB IMA general'!C131&lt;&gt;"",'TB IMA general'!C131,"")</f>
        <v/>
      </c>
      <c r="D54" s="1126"/>
      <c r="E54" s="1126"/>
      <c r="F54" s="1126"/>
      <c r="G54" s="1126"/>
      <c r="H54" s="1126"/>
      <c r="I54" s="1126"/>
      <c r="J54" s="1126"/>
      <c r="K54" s="1126"/>
      <c r="L54" s="1126"/>
      <c r="M54" s="1126"/>
      <c r="N54" s="1126"/>
      <c r="O54" s="1126"/>
      <c r="P54" s="1126"/>
      <c r="Q54" s="1126"/>
      <c r="R54" s="1126"/>
      <c r="S54" s="1126"/>
      <c r="T54" s="1126"/>
      <c r="U54" s="1126"/>
      <c r="V54" s="1126"/>
      <c r="W54" s="1126"/>
      <c r="X54" s="1126"/>
      <c r="Y54" s="1126"/>
      <c r="Z54" s="1126"/>
      <c r="AA54" s="1126"/>
      <c r="AB54" s="1126"/>
      <c r="AC54" s="1126"/>
      <c r="AD54" s="1126"/>
      <c r="AE54" s="1126"/>
      <c r="AF54" s="1126"/>
      <c r="AG54" s="1126"/>
      <c r="AH54" s="1126"/>
      <c r="AI54" s="1126"/>
      <c r="AJ54" s="1126"/>
      <c r="AK54" s="1126"/>
      <c r="AL54" s="1126"/>
      <c r="AM54" s="1126"/>
      <c r="AN54" s="1126"/>
      <c r="AO54" s="1126"/>
      <c r="AP54" s="1126"/>
      <c r="AQ54" s="1126"/>
      <c r="AR54" s="1126"/>
      <c r="AS54" s="1126"/>
      <c r="AT54" s="1126"/>
      <c r="AU54" s="413"/>
      <c r="AV54" s="1075"/>
    </row>
    <row r="55" spans="1:48" ht="15" customHeight="1" x14ac:dyDescent="0.2">
      <c r="A55" s="1076"/>
      <c r="B55" s="1045" t="str">
        <f t="shared" si="1"/>
        <v>Desk 47</v>
      </c>
      <c r="C55" s="1385" t="str">
        <f>IF('TB IMA general'!C132&lt;&gt;"",'TB IMA general'!C132,"")</f>
        <v/>
      </c>
      <c r="D55" s="1126"/>
      <c r="E55" s="1126"/>
      <c r="F55" s="1126"/>
      <c r="G55" s="1126"/>
      <c r="H55" s="1126"/>
      <c r="I55" s="1126"/>
      <c r="J55" s="1126"/>
      <c r="K55" s="1126"/>
      <c r="L55" s="1126"/>
      <c r="M55" s="1126"/>
      <c r="N55" s="1126"/>
      <c r="O55" s="1126"/>
      <c r="P55" s="1126"/>
      <c r="Q55" s="1126"/>
      <c r="R55" s="1126"/>
      <c r="S55" s="1126"/>
      <c r="T55" s="1126"/>
      <c r="U55" s="1126"/>
      <c r="V55" s="1126"/>
      <c r="W55" s="1126"/>
      <c r="X55" s="1126"/>
      <c r="Y55" s="1126"/>
      <c r="Z55" s="1126"/>
      <c r="AA55" s="1126"/>
      <c r="AB55" s="1126"/>
      <c r="AC55" s="1126"/>
      <c r="AD55" s="1126"/>
      <c r="AE55" s="1126"/>
      <c r="AF55" s="1126"/>
      <c r="AG55" s="1126"/>
      <c r="AH55" s="1126"/>
      <c r="AI55" s="1126"/>
      <c r="AJ55" s="1126"/>
      <c r="AK55" s="1126"/>
      <c r="AL55" s="1126"/>
      <c r="AM55" s="1126"/>
      <c r="AN55" s="1126"/>
      <c r="AO55" s="1126"/>
      <c r="AP55" s="1126"/>
      <c r="AQ55" s="1126"/>
      <c r="AR55" s="1126"/>
      <c r="AS55" s="1126"/>
      <c r="AT55" s="1126"/>
      <c r="AU55" s="413"/>
      <c r="AV55" s="1075"/>
    </row>
    <row r="56" spans="1:48" ht="15" customHeight="1" x14ac:dyDescent="0.2">
      <c r="A56" s="1076"/>
      <c r="B56" s="1045" t="str">
        <f t="shared" si="1"/>
        <v>Desk 48</v>
      </c>
      <c r="C56" s="1385" t="str">
        <f>IF('TB IMA general'!C133&lt;&gt;"",'TB IMA general'!C133,"")</f>
        <v/>
      </c>
      <c r="D56" s="1126"/>
      <c r="E56" s="1126"/>
      <c r="F56" s="1126"/>
      <c r="G56" s="1126"/>
      <c r="H56" s="1126"/>
      <c r="I56" s="1126"/>
      <c r="J56" s="1126"/>
      <c r="K56" s="1126"/>
      <c r="L56" s="1126"/>
      <c r="M56" s="1126"/>
      <c r="N56" s="1126"/>
      <c r="O56" s="1126"/>
      <c r="P56" s="1126"/>
      <c r="Q56" s="1126"/>
      <c r="R56" s="1126"/>
      <c r="S56" s="1126"/>
      <c r="T56" s="1126"/>
      <c r="U56" s="1126"/>
      <c r="V56" s="1126"/>
      <c r="W56" s="1126"/>
      <c r="X56" s="1126"/>
      <c r="Y56" s="1126"/>
      <c r="Z56" s="1126"/>
      <c r="AA56" s="1126"/>
      <c r="AB56" s="1126"/>
      <c r="AC56" s="1126"/>
      <c r="AD56" s="1126"/>
      <c r="AE56" s="1126"/>
      <c r="AF56" s="1126"/>
      <c r="AG56" s="1126"/>
      <c r="AH56" s="1126"/>
      <c r="AI56" s="1126"/>
      <c r="AJ56" s="1126"/>
      <c r="AK56" s="1126"/>
      <c r="AL56" s="1126"/>
      <c r="AM56" s="1126"/>
      <c r="AN56" s="1126"/>
      <c r="AO56" s="1126"/>
      <c r="AP56" s="1126"/>
      <c r="AQ56" s="1126"/>
      <c r="AR56" s="1126"/>
      <c r="AS56" s="1126"/>
      <c r="AT56" s="1126"/>
      <c r="AU56" s="413"/>
      <c r="AV56" s="1075"/>
    </row>
    <row r="57" spans="1:48" ht="15" customHeight="1" x14ac:dyDescent="0.2">
      <c r="A57" s="1076"/>
      <c r="B57" s="1045" t="str">
        <f t="shared" si="1"/>
        <v>Desk 49</v>
      </c>
      <c r="C57" s="1385" t="str">
        <f>IF('TB IMA general'!C134&lt;&gt;"",'TB IMA general'!C134,"")</f>
        <v/>
      </c>
      <c r="D57" s="1126"/>
      <c r="E57" s="1126"/>
      <c r="F57" s="1126"/>
      <c r="G57" s="1126"/>
      <c r="H57" s="1126"/>
      <c r="I57" s="1126"/>
      <c r="J57" s="1126"/>
      <c r="K57" s="1126"/>
      <c r="L57" s="1126"/>
      <c r="M57" s="1126"/>
      <c r="N57" s="1126"/>
      <c r="O57" s="1126"/>
      <c r="P57" s="1126"/>
      <c r="Q57" s="1126"/>
      <c r="R57" s="1126"/>
      <c r="S57" s="1126"/>
      <c r="T57" s="1126"/>
      <c r="U57" s="1126"/>
      <c r="V57" s="1126"/>
      <c r="W57" s="1126"/>
      <c r="X57" s="1126"/>
      <c r="Y57" s="1126"/>
      <c r="Z57" s="1126"/>
      <c r="AA57" s="1126"/>
      <c r="AB57" s="1126"/>
      <c r="AC57" s="1126"/>
      <c r="AD57" s="1126"/>
      <c r="AE57" s="1126"/>
      <c r="AF57" s="1126"/>
      <c r="AG57" s="1126"/>
      <c r="AH57" s="1126"/>
      <c r="AI57" s="1126"/>
      <c r="AJ57" s="1126"/>
      <c r="AK57" s="1126"/>
      <c r="AL57" s="1126"/>
      <c r="AM57" s="1126"/>
      <c r="AN57" s="1126"/>
      <c r="AO57" s="1126"/>
      <c r="AP57" s="1126"/>
      <c r="AQ57" s="1126"/>
      <c r="AR57" s="1126"/>
      <c r="AS57" s="1126"/>
      <c r="AT57" s="1126"/>
      <c r="AU57" s="413"/>
      <c r="AV57" s="1075"/>
    </row>
    <row r="58" spans="1:48" ht="15" customHeight="1" x14ac:dyDescent="0.2">
      <c r="A58" s="1076"/>
      <c r="B58" s="1045" t="str">
        <f t="shared" si="1"/>
        <v>Desk 50</v>
      </c>
      <c r="C58" s="1385" t="str">
        <f>IF('TB IMA general'!C135&lt;&gt;"",'TB IMA general'!C135,"")</f>
        <v/>
      </c>
      <c r="D58" s="1126"/>
      <c r="E58" s="1126"/>
      <c r="F58" s="1126"/>
      <c r="G58" s="1126"/>
      <c r="H58" s="1126"/>
      <c r="I58" s="1126"/>
      <c r="J58" s="1126"/>
      <c r="K58" s="1126"/>
      <c r="L58" s="1126"/>
      <c r="M58" s="1126"/>
      <c r="N58" s="1126"/>
      <c r="O58" s="1126"/>
      <c r="P58" s="1126"/>
      <c r="Q58" s="1126"/>
      <c r="R58" s="1126"/>
      <c r="S58" s="1126"/>
      <c r="T58" s="1126"/>
      <c r="U58" s="1126"/>
      <c r="V58" s="1126"/>
      <c r="W58" s="1126"/>
      <c r="X58" s="1126"/>
      <c r="Y58" s="1126"/>
      <c r="Z58" s="1126"/>
      <c r="AA58" s="1126"/>
      <c r="AB58" s="1126"/>
      <c r="AC58" s="1126"/>
      <c r="AD58" s="1126"/>
      <c r="AE58" s="1126"/>
      <c r="AF58" s="1126"/>
      <c r="AG58" s="1126"/>
      <c r="AH58" s="1126"/>
      <c r="AI58" s="1126"/>
      <c r="AJ58" s="1126"/>
      <c r="AK58" s="1126"/>
      <c r="AL58" s="1126"/>
      <c r="AM58" s="1126"/>
      <c r="AN58" s="1126"/>
      <c r="AO58" s="1126"/>
      <c r="AP58" s="1126"/>
      <c r="AQ58" s="1126"/>
      <c r="AR58" s="1126"/>
      <c r="AS58" s="1126"/>
      <c r="AT58" s="1126"/>
      <c r="AU58" s="413"/>
      <c r="AV58" s="1075"/>
    </row>
    <row r="59" spans="1:48" ht="15" customHeight="1" x14ac:dyDescent="0.2">
      <c r="A59" s="1076"/>
      <c r="B59" s="1045" t="str">
        <f t="shared" si="1"/>
        <v>Desk 51</v>
      </c>
      <c r="C59" s="1385" t="str">
        <f>IF('TB IMA general'!C136&lt;&gt;"",'TB IMA general'!C136,"")</f>
        <v/>
      </c>
      <c r="D59" s="1126"/>
      <c r="E59" s="1126"/>
      <c r="F59" s="1126"/>
      <c r="G59" s="1126"/>
      <c r="H59" s="1126"/>
      <c r="I59" s="1126"/>
      <c r="J59" s="1126"/>
      <c r="K59" s="1126"/>
      <c r="L59" s="1126"/>
      <c r="M59" s="1126"/>
      <c r="N59" s="1126"/>
      <c r="O59" s="1126"/>
      <c r="P59" s="1126"/>
      <c r="Q59" s="1126"/>
      <c r="R59" s="1126"/>
      <c r="S59" s="1126"/>
      <c r="T59" s="1126"/>
      <c r="U59" s="1126"/>
      <c r="V59" s="1126"/>
      <c r="W59" s="1126"/>
      <c r="X59" s="1126"/>
      <c r="Y59" s="1126"/>
      <c r="Z59" s="1126"/>
      <c r="AA59" s="1126"/>
      <c r="AB59" s="1126"/>
      <c r="AC59" s="1126"/>
      <c r="AD59" s="1126"/>
      <c r="AE59" s="1126"/>
      <c r="AF59" s="1126"/>
      <c r="AG59" s="1126"/>
      <c r="AH59" s="1126"/>
      <c r="AI59" s="1126"/>
      <c r="AJ59" s="1126"/>
      <c r="AK59" s="1126"/>
      <c r="AL59" s="1126"/>
      <c r="AM59" s="1126"/>
      <c r="AN59" s="1126"/>
      <c r="AO59" s="1126"/>
      <c r="AP59" s="1126"/>
      <c r="AQ59" s="1126"/>
      <c r="AR59" s="1126"/>
      <c r="AS59" s="1126"/>
      <c r="AT59" s="1126"/>
      <c r="AU59" s="413"/>
      <c r="AV59" s="1075"/>
    </row>
    <row r="60" spans="1:48" ht="15" customHeight="1" x14ac:dyDescent="0.2">
      <c r="A60" s="1076"/>
      <c r="B60" s="1045" t="str">
        <f t="shared" si="1"/>
        <v>Desk 52</v>
      </c>
      <c r="C60" s="1385" t="str">
        <f>IF('TB IMA general'!C137&lt;&gt;"",'TB IMA general'!C137,"")</f>
        <v/>
      </c>
      <c r="D60" s="1126"/>
      <c r="E60" s="1126"/>
      <c r="F60" s="1126"/>
      <c r="G60" s="1126"/>
      <c r="H60" s="1126"/>
      <c r="I60" s="1126"/>
      <c r="J60" s="1126"/>
      <c r="K60" s="1126"/>
      <c r="L60" s="1126"/>
      <c r="M60" s="1126"/>
      <c r="N60" s="1126"/>
      <c r="O60" s="1126"/>
      <c r="P60" s="1126"/>
      <c r="Q60" s="1126"/>
      <c r="R60" s="1126"/>
      <c r="S60" s="1126"/>
      <c r="T60" s="1126"/>
      <c r="U60" s="1126"/>
      <c r="V60" s="1126"/>
      <c r="W60" s="1126"/>
      <c r="X60" s="1126"/>
      <c r="Y60" s="1126"/>
      <c r="Z60" s="1126"/>
      <c r="AA60" s="1126"/>
      <c r="AB60" s="1126"/>
      <c r="AC60" s="1126"/>
      <c r="AD60" s="1126"/>
      <c r="AE60" s="1126"/>
      <c r="AF60" s="1126"/>
      <c r="AG60" s="1126"/>
      <c r="AH60" s="1126"/>
      <c r="AI60" s="1126"/>
      <c r="AJ60" s="1126"/>
      <c r="AK60" s="1126"/>
      <c r="AL60" s="1126"/>
      <c r="AM60" s="1126"/>
      <c r="AN60" s="1126"/>
      <c r="AO60" s="1126"/>
      <c r="AP60" s="1126"/>
      <c r="AQ60" s="1126"/>
      <c r="AR60" s="1126"/>
      <c r="AS60" s="1126"/>
      <c r="AT60" s="1126"/>
      <c r="AU60" s="413"/>
      <c r="AV60" s="1075"/>
    </row>
    <row r="61" spans="1:48" ht="15" customHeight="1" x14ac:dyDescent="0.2">
      <c r="A61" s="1076"/>
      <c r="B61" s="1045" t="str">
        <f t="shared" si="1"/>
        <v>Desk 53</v>
      </c>
      <c r="C61" s="1385" t="str">
        <f>IF('TB IMA general'!C138&lt;&gt;"",'TB IMA general'!C138,"")</f>
        <v/>
      </c>
      <c r="D61" s="1126"/>
      <c r="E61" s="1126"/>
      <c r="F61" s="1126"/>
      <c r="G61" s="1126"/>
      <c r="H61" s="1126"/>
      <c r="I61" s="1126"/>
      <c r="J61" s="1126"/>
      <c r="K61" s="1126"/>
      <c r="L61" s="1126"/>
      <c r="M61" s="1126"/>
      <c r="N61" s="1126"/>
      <c r="O61" s="1126"/>
      <c r="P61" s="1126"/>
      <c r="Q61" s="1126"/>
      <c r="R61" s="1126"/>
      <c r="S61" s="1126"/>
      <c r="T61" s="1126"/>
      <c r="U61" s="1126"/>
      <c r="V61" s="1126"/>
      <c r="W61" s="1126"/>
      <c r="X61" s="1126"/>
      <c r="Y61" s="1126"/>
      <c r="Z61" s="1126"/>
      <c r="AA61" s="1126"/>
      <c r="AB61" s="1126"/>
      <c r="AC61" s="1126"/>
      <c r="AD61" s="1126"/>
      <c r="AE61" s="1126"/>
      <c r="AF61" s="1126"/>
      <c r="AG61" s="1126"/>
      <c r="AH61" s="1126"/>
      <c r="AI61" s="1126"/>
      <c r="AJ61" s="1126"/>
      <c r="AK61" s="1126"/>
      <c r="AL61" s="1126"/>
      <c r="AM61" s="1126"/>
      <c r="AN61" s="1126"/>
      <c r="AO61" s="1126"/>
      <c r="AP61" s="1126"/>
      <c r="AQ61" s="1126"/>
      <c r="AR61" s="1126"/>
      <c r="AS61" s="1126"/>
      <c r="AT61" s="1126"/>
      <c r="AU61" s="413"/>
      <c r="AV61" s="1075"/>
    </row>
    <row r="62" spans="1:48" ht="15" customHeight="1" x14ac:dyDescent="0.2">
      <c r="A62" s="1076"/>
      <c r="B62" s="1045" t="str">
        <f t="shared" si="1"/>
        <v>Desk 54</v>
      </c>
      <c r="C62" s="1385" t="str">
        <f>IF('TB IMA general'!C139&lt;&gt;"",'TB IMA general'!C139,"")</f>
        <v/>
      </c>
      <c r="D62" s="1126"/>
      <c r="E62" s="1126"/>
      <c r="F62" s="1126"/>
      <c r="G62" s="1126"/>
      <c r="H62" s="1126"/>
      <c r="I62" s="1126"/>
      <c r="J62" s="1126"/>
      <c r="K62" s="1126"/>
      <c r="L62" s="1126"/>
      <c r="M62" s="1126"/>
      <c r="N62" s="1126"/>
      <c r="O62" s="1126"/>
      <c r="P62" s="1126"/>
      <c r="Q62" s="1126"/>
      <c r="R62" s="1126"/>
      <c r="S62" s="1126"/>
      <c r="T62" s="1126"/>
      <c r="U62" s="1126"/>
      <c r="V62" s="1126"/>
      <c r="W62" s="1126"/>
      <c r="X62" s="1126"/>
      <c r="Y62" s="1126"/>
      <c r="Z62" s="1126"/>
      <c r="AA62" s="1126"/>
      <c r="AB62" s="1126"/>
      <c r="AC62" s="1126"/>
      <c r="AD62" s="1126"/>
      <c r="AE62" s="1126"/>
      <c r="AF62" s="1126"/>
      <c r="AG62" s="1126"/>
      <c r="AH62" s="1126"/>
      <c r="AI62" s="1126"/>
      <c r="AJ62" s="1126"/>
      <c r="AK62" s="1126"/>
      <c r="AL62" s="1126"/>
      <c r="AM62" s="1126"/>
      <c r="AN62" s="1126"/>
      <c r="AO62" s="1126"/>
      <c r="AP62" s="1126"/>
      <c r="AQ62" s="1126"/>
      <c r="AR62" s="1126"/>
      <c r="AS62" s="1126"/>
      <c r="AT62" s="1126"/>
      <c r="AU62" s="413"/>
      <c r="AV62" s="1075"/>
    </row>
    <row r="63" spans="1:48" ht="15" customHeight="1" x14ac:dyDescent="0.2">
      <c r="A63" s="1076"/>
      <c r="B63" s="1045" t="str">
        <f t="shared" si="1"/>
        <v>Desk 55</v>
      </c>
      <c r="C63" s="1385" t="str">
        <f>IF('TB IMA general'!C140&lt;&gt;"",'TB IMA general'!C140,"")</f>
        <v/>
      </c>
      <c r="D63" s="1126"/>
      <c r="E63" s="1126"/>
      <c r="F63" s="1126"/>
      <c r="G63" s="1126"/>
      <c r="H63" s="1126"/>
      <c r="I63" s="1126"/>
      <c r="J63" s="1126"/>
      <c r="K63" s="1126"/>
      <c r="L63" s="1126"/>
      <c r="M63" s="1126"/>
      <c r="N63" s="1126"/>
      <c r="O63" s="1126"/>
      <c r="P63" s="1126"/>
      <c r="Q63" s="1126"/>
      <c r="R63" s="1126"/>
      <c r="S63" s="1126"/>
      <c r="T63" s="1126"/>
      <c r="U63" s="1126"/>
      <c r="V63" s="1126"/>
      <c r="W63" s="1126"/>
      <c r="X63" s="1126"/>
      <c r="Y63" s="1126"/>
      <c r="Z63" s="1126"/>
      <c r="AA63" s="1126"/>
      <c r="AB63" s="1126"/>
      <c r="AC63" s="1126"/>
      <c r="AD63" s="1126"/>
      <c r="AE63" s="1126"/>
      <c r="AF63" s="1126"/>
      <c r="AG63" s="1126"/>
      <c r="AH63" s="1126"/>
      <c r="AI63" s="1126"/>
      <c r="AJ63" s="1126"/>
      <c r="AK63" s="1126"/>
      <c r="AL63" s="1126"/>
      <c r="AM63" s="1126"/>
      <c r="AN63" s="1126"/>
      <c r="AO63" s="1126"/>
      <c r="AP63" s="1126"/>
      <c r="AQ63" s="1126"/>
      <c r="AR63" s="1126"/>
      <c r="AS63" s="1126"/>
      <c r="AT63" s="1126"/>
      <c r="AU63" s="413"/>
      <c r="AV63" s="1075"/>
    </row>
    <row r="64" spans="1:48" ht="15" customHeight="1" x14ac:dyDescent="0.2">
      <c r="A64" s="1076"/>
      <c r="B64" s="1045" t="str">
        <f t="shared" si="1"/>
        <v>Desk 56</v>
      </c>
      <c r="C64" s="1385" t="str">
        <f>IF('TB IMA general'!C141&lt;&gt;"",'TB IMA general'!C141,"")</f>
        <v/>
      </c>
      <c r="D64" s="1126"/>
      <c r="E64" s="1126"/>
      <c r="F64" s="1126"/>
      <c r="G64" s="1126"/>
      <c r="H64" s="1126"/>
      <c r="I64" s="1126"/>
      <c r="J64" s="1126"/>
      <c r="K64" s="1126"/>
      <c r="L64" s="1126"/>
      <c r="M64" s="1126"/>
      <c r="N64" s="1126"/>
      <c r="O64" s="1126"/>
      <c r="P64" s="1126"/>
      <c r="Q64" s="1126"/>
      <c r="R64" s="1126"/>
      <c r="S64" s="1126"/>
      <c r="T64" s="1126"/>
      <c r="U64" s="1126"/>
      <c r="V64" s="1126"/>
      <c r="W64" s="1126"/>
      <c r="X64" s="1126"/>
      <c r="Y64" s="1126"/>
      <c r="Z64" s="1126"/>
      <c r="AA64" s="1126"/>
      <c r="AB64" s="1126"/>
      <c r="AC64" s="1126"/>
      <c r="AD64" s="1126"/>
      <c r="AE64" s="1126"/>
      <c r="AF64" s="1126"/>
      <c r="AG64" s="1126"/>
      <c r="AH64" s="1126"/>
      <c r="AI64" s="1126"/>
      <c r="AJ64" s="1126"/>
      <c r="AK64" s="1126"/>
      <c r="AL64" s="1126"/>
      <c r="AM64" s="1126"/>
      <c r="AN64" s="1126"/>
      <c r="AO64" s="1126"/>
      <c r="AP64" s="1126"/>
      <c r="AQ64" s="1126"/>
      <c r="AR64" s="1126"/>
      <c r="AS64" s="1126"/>
      <c r="AT64" s="1126"/>
      <c r="AU64" s="413"/>
      <c r="AV64" s="1075"/>
    </row>
    <row r="65" spans="1:48" ht="15" customHeight="1" x14ac:dyDescent="0.2">
      <c r="A65" s="1076"/>
      <c r="B65" s="1045" t="str">
        <f t="shared" si="1"/>
        <v>Desk 57</v>
      </c>
      <c r="C65" s="1385" t="str">
        <f>IF('TB IMA general'!C142&lt;&gt;"",'TB IMA general'!C142,"")</f>
        <v/>
      </c>
      <c r="D65" s="1126"/>
      <c r="E65" s="1126"/>
      <c r="F65" s="1126"/>
      <c r="G65" s="1126"/>
      <c r="H65" s="1126"/>
      <c r="I65" s="1126"/>
      <c r="J65" s="1126"/>
      <c r="K65" s="1126"/>
      <c r="L65" s="1126"/>
      <c r="M65" s="1126"/>
      <c r="N65" s="1126"/>
      <c r="O65" s="1126"/>
      <c r="P65" s="1126"/>
      <c r="Q65" s="1126"/>
      <c r="R65" s="1126"/>
      <c r="S65" s="1126"/>
      <c r="T65" s="1126"/>
      <c r="U65" s="1126"/>
      <c r="V65" s="1126"/>
      <c r="W65" s="1126"/>
      <c r="X65" s="1126"/>
      <c r="Y65" s="1126"/>
      <c r="Z65" s="1126"/>
      <c r="AA65" s="1126"/>
      <c r="AB65" s="1126"/>
      <c r="AC65" s="1126"/>
      <c r="AD65" s="1126"/>
      <c r="AE65" s="1126"/>
      <c r="AF65" s="1126"/>
      <c r="AG65" s="1126"/>
      <c r="AH65" s="1126"/>
      <c r="AI65" s="1126"/>
      <c r="AJ65" s="1126"/>
      <c r="AK65" s="1126"/>
      <c r="AL65" s="1126"/>
      <c r="AM65" s="1126"/>
      <c r="AN65" s="1126"/>
      <c r="AO65" s="1126"/>
      <c r="AP65" s="1126"/>
      <c r="AQ65" s="1126"/>
      <c r="AR65" s="1126"/>
      <c r="AS65" s="1126"/>
      <c r="AT65" s="1126"/>
      <c r="AU65" s="413"/>
      <c r="AV65" s="1075"/>
    </row>
    <row r="66" spans="1:48" ht="15" customHeight="1" x14ac:dyDescent="0.2">
      <c r="A66" s="1076"/>
      <c r="B66" s="1045" t="str">
        <f t="shared" si="1"/>
        <v>Desk 58</v>
      </c>
      <c r="C66" s="1385" t="str">
        <f>IF('TB IMA general'!C143&lt;&gt;"",'TB IMA general'!C143,"")</f>
        <v/>
      </c>
      <c r="D66" s="1126"/>
      <c r="E66" s="1126"/>
      <c r="F66" s="1126"/>
      <c r="G66" s="1126"/>
      <c r="H66" s="1126"/>
      <c r="I66" s="1126"/>
      <c r="J66" s="1126"/>
      <c r="K66" s="1126"/>
      <c r="L66" s="1126"/>
      <c r="M66" s="1126"/>
      <c r="N66" s="1126"/>
      <c r="O66" s="1126"/>
      <c r="P66" s="1126"/>
      <c r="Q66" s="1126"/>
      <c r="R66" s="1126"/>
      <c r="S66" s="1126"/>
      <c r="T66" s="1126"/>
      <c r="U66" s="1126"/>
      <c r="V66" s="1126"/>
      <c r="W66" s="1126"/>
      <c r="X66" s="1126"/>
      <c r="Y66" s="1126"/>
      <c r="Z66" s="1126"/>
      <c r="AA66" s="1126"/>
      <c r="AB66" s="1126"/>
      <c r="AC66" s="1126"/>
      <c r="AD66" s="1126"/>
      <c r="AE66" s="1126"/>
      <c r="AF66" s="1126"/>
      <c r="AG66" s="1126"/>
      <c r="AH66" s="1126"/>
      <c r="AI66" s="1126"/>
      <c r="AJ66" s="1126"/>
      <c r="AK66" s="1126"/>
      <c r="AL66" s="1126"/>
      <c r="AM66" s="1126"/>
      <c r="AN66" s="1126"/>
      <c r="AO66" s="1126"/>
      <c r="AP66" s="1126"/>
      <c r="AQ66" s="1126"/>
      <c r="AR66" s="1126"/>
      <c r="AS66" s="1126"/>
      <c r="AT66" s="1126"/>
      <c r="AU66" s="413"/>
      <c r="AV66" s="1075"/>
    </row>
    <row r="67" spans="1:48" ht="15" customHeight="1" x14ac:dyDescent="0.2">
      <c r="A67" s="1076"/>
      <c r="B67" s="1045" t="str">
        <f t="shared" si="1"/>
        <v>Desk 59</v>
      </c>
      <c r="C67" s="1385" t="str">
        <f>IF('TB IMA general'!C144&lt;&gt;"",'TB IMA general'!C144,"")</f>
        <v/>
      </c>
      <c r="D67" s="1126"/>
      <c r="E67" s="1126"/>
      <c r="F67" s="1126"/>
      <c r="G67" s="1126"/>
      <c r="H67" s="1126"/>
      <c r="I67" s="1126"/>
      <c r="J67" s="1126"/>
      <c r="K67" s="1126"/>
      <c r="L67" s="1126"/>
      <c r="M67" s="1126"/>
      <c r="N67" s="1126"/>
      <c r="O67" s="1126"/>
      <c r="P67" s="1126"/>
      <c r="Q67" s="1126"/>
      <c r="R67" s="1126"/>
      <c r="S67" s="1126"/>
      <c r="T67" s="1126"/>
      <c r="U67" s="1126"/>
      <c r="V67" s="1126"/>
      <c r="W67" s="1126"/>
      <c r="X67" s="1126"/>
      <c r="Y67" s="1126"/>
      <c r="Z67" s="1126"/>
      <c r="AA67" s="1126"/>
      <c r="AB67" s="1126"/>
      <c r="AC67" s="1126"/>
      <c r="AD67" s="1126"/>
      <c r="AE67" s="1126"/>
      <c r="AF67" s="1126"/>
      <c r="AG67" s="1126"/>
      <c r="AH67" s="1126"/>
      <c r="AI67" s="1126"/>
      <c r="AJ67" s="1126"/>
      <c r="AK67" s="1126"/>
      <c r="AL67" s="1126"/>
      <c r="AM67" s="1126"/>
      <c r="AN67" s="1126"/>
      <c r="AO67" s="1126"/>
      <c r="AP67" s="1126"/>
      <c r="AQ67" s="1126"/>
      <c r="AR67" s="1126"/>
      <c r="AS67" s="1126"/>
      <c r="AT67" s="1126"/>
      <c r="AU67" s="413"/>
      <c r="AV67" s="1075"/>
    </row>
    <row r="68" spans="1:48" ht="15" customHeight="1" x14ac:dyDescent="0.2">
      <c r="A68" s="1076"/>
      <c r="B68" s="1045" t="str">
        <f t="shared" si="1"/>
        <v>Desk 60</v>
      </c>
      <c r="C68" s="1385" t="str">
        <f>IF('TB IMA general'!C145&lt;&gt;"",'TB IMA general'!C145,"")</f>
        <v/>
      </c>
      <c r="D68" s="1126"/>
      <c r="E68" s="1126"/>
      <c r="F68" s="1126"/>
      <c r="G68" s="1126"/>
      <c r="H68" s="1126"/>
      <c r="I68" s="1126"/>
      <c r="J68" s="1126"/>
      <c r="K68" s="1126"/>
      <c r="L68" s="1126"/>
      <c r="M68" s="1126"/>
      <c r="N68" s="1126"/>
      <c r="O68" s="1126"/>
      <c r="P68" s="1126"/>
      <c r="Q68" s="1126"/>
      <c r="R68" s="1126"/>
      <c r="S68" s="1126"/>
      <c r="T68" s="1126"/>
      <c r="U68" s="1126"/>
      <c r="V68" s="1126"/>
      <c r="W68" s="1126"/>
      <c r="X68" s="1126"/>
      <c r="Y68" s="1126"/>
      <c r="Z68" s="1126"/>
      <c r="AA68" s="1126"/>
      <c r="AB68" s="1126"/>
      <c r="AC68" s="1126"/>
      <c r="AD68" s="1126"/>
      <c r="AE68" s="1126"/>
      <c r="AF68" s="1126"/>
      <c r="AG68" s="1126"/>
      <c r="AH68" s="1126"/>
      <c r="AI68" s="1126"/>
      <c r="AJ68" s="1126"/>
      <c r="AK68" s="1126"/>
      <c r="AL68" s="1126"/>
      <c r="AM68" s="1126"/>
      <c r="AN68" s="1126"/>
      <c r="AO68" s="1126"/>
      <c r="AP68" s="1126"/>
      <c r="AQ68" s="1126"/>
      <c r="AR68" s="1126"/>
      <c r="AS68" s="1126"/>
      <c r="AT68" s="1126"/>
      <c r="AU68" s="413"/>
      <c r="AV68" s="1075"/>
    </row>
    <row r="69" spans="1:48" ht="15" customHeight="1" x14ac:dyDescent="0.2">
      <c r="A69" s="1076"/>
      <c r="B69" s="1045" t="str">
        <f t="shared" si="1"/>
        <v>Desk 61</v>
      </c>
      <c r="C69" s="1385" t="str">
        <f>IF('TB IMA general'!C146&lt;&gt;"",'TB IMA general'!C146,"")</f>
        <v/>
      </c>
      <c r="D69" s="1126"/>
      <c r="E69" s="1126"/>
      <c r="F69" s="1126"/>
      <c r="G69" s="1126"/>
      <c r="H69" s="1126"/>
      <c r="I69" s="1126"/>
      <c r="J69" s="1126"/>
      <c r="K69" s="1126"/>
      <c r="L69" s="1126"/>
      <c r="M69" s="1126"/>
      <c r="N69" s="1126"/>
      <c r="O69" s="1126"/>
      <c r="P69" s="1126"/>
      <c r="Q69" s="1126"/>
      <c r="R69" s="1126"/>
      <c r="S69" s="1126"/>
      <c r="T69" s="1126"/>
      <c r="U69" s="1126"/>
      <c r="V69" s="1126"/>
      <c r="W69" s="1126"/>
      <c r="X69" s="1126"/>
      <c r="Y69" s="1126"/>
      <c r="Z69" s="1126"/>
      <c r="AA69" s="1126"/>
      <c r="AB69" s="1126"/>
      <c r="AC69" s="1126"/>
      <c r="AD69" s="1126"/>
      <c r="AE69" s="1126"/>
      <c r="AF69" s="1126"/>
      <c r="AG69" s="1126"/>
      <c r="AH69" s="1126"/>
      <c r="AI69" s="1126"/>
      <c r="AJ69" s="1126"/>
      <c r="AK69" s="1126"/>
      <c r="AL69" s="1126"/>
      <c r="AM69" s="1126"/>
      <c r="AN69" s="1126"/>
      <c r="AO69" s="1126"/>
      <c r="AP69" s="1126"/>
      <c r="AQ69" s="1126"/>
      <c r="AR69" s="1126"/>
      <c r="AS69" s="1126"/>
      <c r="AT69" s="1126"/>
      <c r="AU69" s="413"/>
      <c r="AV69" s="1075"/>
    </row>
    <row r="70" spans="1:48" ht="15" customHeight="1" x14ac:dyDescent="0.2">
      <c r="A70" s="1076"/>
      <c r="B70" s="1045" t="str">
        <f t="shared" si="1"/>
        <v>Desk 62</v>
      </c>
      <c r="C70" s="1385" t="str">
        <f>IF('TB IMA general'!C147&lt;&gt;"",'TB IMA general'!C147,"")</f>
        <v/>
      </c>
      <c r="D70" s="1126"/>
      <c r="E70" s="1126"/>
      <c r="F70" s="1126"/>
      <c r="G70" s="1126"/>
      <c r="H70" s="1126"/>
      <c r="I70" s="1126"/>
      <c r="J70" s="1126"/>
      <c r="K70" s="1126"/>
      <c r="L70" s="1126"/>
      <c r="M70" s="1126"/>
      <c r="N70" s="1126"/>
      <c r="O70" s="1126"/>
      <c r="P70" s="1126"/>
      <c r="Q70" s="1126"/>
      <c r="R70" s="1126"/>
      <c r="S70" s="1126"/>
      <c r="T70" s="1126"/>
      <c r="U70" s="1126"/>
      <c r="V70" s="1126"/>
      <c r="W70" s="1126"/>
      <c r="X70" s="1126"/>
      <c r="Y70" s="1126"/>
      <c r="Z70" s="1126"/>
      <c r="AA70" s="1126"/>
      <c r="AB70" s="1126"/>
      <c r="AC70" s="1126"/>
      <c r="AD70" s="1126"/>
      <c r="AE70" s="1126"/>
      <c r="AF70" s="1126"/>
      <c r="AG70" s="1126"/>
      <c r="AH70" s="1126"/>
      <c r="AI70" s="1126"/>
      <c r="AJ70" s="1126"/>
      <c r="AK70" s="1126"/>
      <c r="AL70" s="1126"/>
      <c r="AM70" s="1126"/>
      <c r="AN70" s="1126"/>
      <c r="AO70" s="1126"/>
      <c r="AP70" s="1126"/>
      <c r="AQ70" s="1126"/>
      <c r="AR70" s="1126"/>
      <c r="AS70" s="1126"/>
      <c r="AT70" s="1126"/>
      <c r="AU70" s="413"/>
      <c r="AV70" s="1075"/>
    </row>
    <row r="71" spans="1:48" ht="15" customHeight="1" x14ac:dyDescent="0.2">
      <c r="A71" s="1076"/>
      <c r="B71" s="1045" t="str">
        <f t="shared" si="1"/>
        <v>Desk 63</v>
      </c>
      <c r="C71" s="1385" t="str">
        <f>IF('TB IMA general'!C148&lt;&gt;"",'TB IMA general'!C148,"")</f>
        <v/>
      </c>
      <c r="D71" s="1126"/>
      <c r="E71" s="1126"/>
      <c r="F71" s="1126"/>
      <c r="G71" s="1126"/>
      <c r="H71" s="1126"/>
      <c r="I71" s="1126"/>
      <c r="J71" s="1126"/>
      <c r="K71" s="1126"/>
      <c r="L71" s="1126"/>
      <c r="M71" s="1126"/>
      <c r="N71" s="1126"/>
      <c r="O71" s="1126"/>
      <c r="P71" s="1126"/>
      <c r="Q71" s="1126"/>
      <c r="R71" s="1126"/>
      <c r="S71" s="1126"/>
      <c r="T71" s="1126"/>
      <c r="U71" s="1126"/>
      <c r="V71" s="1126"/>
      <c r="W71" s="1126"/>
      <c r="X71" s="1126"/>
      <c r="Y71" s="1126"/>
      <c r="Z71" s="1126"/>
      <c r="AA71" s="1126"/>
      <c r="AB71" s="1126"/>
      <c r="AC71" s="1126"/>
      <c r="AD71" s="1126"/>
      <c r="AE71" s="1126"/>
      <c r="AF71" s="1126"/>
      <c r="AG71" s="1126"/>
      <c r="AH71" s="1126"/>
      <c r="AI71" s="1126"/>
      <c r="AJ71" s="1126"/>
      <c r="AK71" s="1126"/>
      <c r="AL71" s="1126"/>
      <c r="AM71" s="1126"/>
      <c r="AN71" s="1126"/>
      <c r="AO71" s="1126"/>
      <c r="AP71" s="1126"/>
      <c r="AQ71" s="1126"/>
      <c r="AR71" s="1126"/>
      <c r="AS71" s="1126"/>
      <c r="AT71" s="1126"/>
      <c r="AU71" s="413"/>
      <c r="AV71" s="1075"/>
    </row>
    <row r="72" spans="1:48" ht="15" customHeight="1" x14ac:dyDescent="0.2">
      <c r="A72" s="1076"/>
      <c r="B72" s="1045" t="str">
        <f t="shared" si="1"/>
        <v>Desk 64</v>
      </c>
      <c r="C72" s="1385" t="str">
        <f>IF('TB IMA general'!C149&lt;&gt;"",'TB IMA general'!C149,"")</f>
        <v/>
      </c>
      <c r="D72" s="1126"/>
      <c r="E72" s="1126"/>
      <c r="F72" s="1126"/>
      <c r="G72" s="1126"/>
      <c r="H72" s="1126"/>
      <c r="I72" s="1126"/>
      <c r="J72" s="1126"/>
      <c r="K72" s="1126"/>
      <c r="L72" s="1126"/>
      <c r="M72" s="1126"/>
      <c r="N72" s="1126"/>
      <c r="O72" s="1126"/>
      <c r="P72" s="1126"/>
      <c r="Q72" s="1126"/>
      <c r="R72" s="1126"/>
      <c r="S72" s="1126"/>
      <c r="T72" s="1126"/>
      <c r="U72" s="1126"/>
      <c r="V72" s="1126"/>
      <c r="W72" s="1126"/>
      <c r="X72" s="1126"/>
      <c r="Y72" s="1126"/>
      <c r="Z72" s="1126"/>
      <c r="AA72" s="1126"/>
      <c r="AB72" s="1126"/>
      <c r="AC72" s="1126"/>
      <c r="AD72" s="1126"/>
      <c r="AE72" s="1126"/>
      <c r="AF72" s="1126"/>
      <c r="AG72" s="1126"/>
      <c r="AH72" s="1126"/>
      <c r="AI72" s="1126"/>
      <c r="AJ72" s="1126"/>
      <c r="AK72" s="1126"/>
      <c r="AL72" s="1126"/>
      <c r="AM72" s="1126"/>
      <c r="AN72" s="1126"/>
      <c r="AO72" s="1126"/>
      <c r="AP72" s="1126"/>
      <c r="AQ72" s="1126"/>
      <c r="AR72" s="1126"/>
      <c r="AS72" s="1126"/>
      <c r="AT72" s="1126"/>
      <c r="AU72" s="413"/>
      <c r="AV72" s="1075"/>
    </row>
    <row r="73" spans="1:48" ht="15" customHeight="1" x14ac:dyDescent="0.2">
      <c r="A73" s="1076"/>
      <c r="B73" s="1045" t="str">
        <f t="shared" si="1"/>
        <v>Desk 65</v>
      </c>
      <c r="C73" s="1385" t="str">
        <f>IF('TB IMA general'!C150&lt;&gt;"",'TB IMA general'!C150,"")</f>
        <v/>
      </c>
      <c r="D73" s="1126"/>
      <c r="E73" s="1126"/>
      <c r="F73" s="1126"/>
      <c r="G73" s="1126"/>
      <c r="H73" s="1126"/>
      <c r="I73" s="1126"/>
      <c r="J73" s="1126"/>
      <c r="K73" s="1126"/>
      <c r="L73" s="1126"/>
      <c r="M73" s="1126"/>
      <c r="N73" s="1126"/>
      <c r="O73" s="1126"/>
      <c r="P73" s="1126"/>
      <c r="Q73" s="1126"/>
      <c r="R73" s="1126"/>
      <c r="S73" s="1126"/>
      <c r="T73" s="1126"/>
      <c r="U73" s="1126"/>
      <c r="V73" s="1126"/>
      <c r="W73" s="1126"/>
      <c r="X73" s="1126"/>
      <c r="Y73" s="1126"/>
      <c r="Z73" s="1126"/>
      <c r="AA73" s="1126"/>
      <c r="AB73" s="1126"/>
      <c r="AC73" s="1126"/>
      <c r="AD73" s="1126"/>
      <c r="AE73" s="1126"/>
      <c r="AF73" s="1126"/>
      <c r="AG73" s="1126"/>
      <c r="AH73" s="1126"/>
      <c r="AI73" s="1126"/>
      <c r="AJ73" s="1126"/>
      <c r="AK73" s="1126"/>
      <c r="AL73" s="1126"/>
      <c r="AM73" s="1126"/>
      <c r="AN73" s="1126"/>
      <c r="AO73" s="1126"/>
      <c r="AP73" s="1126"/>
      <c r="AQ73" s="1126"/>
      <c r="AR73" s="1126"/>
      <c r="AS73" s="1126"/>
      <c r="AT73" s="1126"/>
      <c r="AU73" s="413"/>
      <c r="AV73" s="1075"/>
    </row>
    <row r="74" spans="1:48" ht="15" customHeight="1" x14ac:dyDescent="0.2">
      <c r="A74" s="1076"/>
      <c r="B74" s="1045" t="str">
        <f t="shared" ref="B74:B108" si="2">"Desk " &amp; (ROW(B74)-ROW(B$8))</f>
        <v>Desk 66</v>
      </c>
      <c r="C74" s="1385" t="str">
        <f>IF('TB IMA general'!C151&lt;&gt;"",'TB IMA general'!C151,"")</f>
        <v/>
      </c>
      <c r="D74" s="1126"/>
      <c r="E74" s="1126"/>
      <c r="F74" s="1126"/>
      <c r="G74" s="1126"/>
      <c r="H74" s="1126"/>
      <c r="I74" s="1126"/>
      <c r="J74" s="1126"/>
      <c r="K74" s="1126"/>
      <c r="L74" s="1126"/>
      <c r="M74" s="1126"/>
      <c r="N74" s="1126"/>
      <c r="O74" s="1126"/>
      <c r="P74" s="1126"/>
      <c r="Q74" s="1126"/>
      <c r="R74" s="1126"/>
      <c r="S74" s="1126"/>
      <c r="T74" s="1126"/>
      <c r="U74" s="1126"/>
      <c r="V74" s="1126"/>
      <c r="W74" s="1126"/>
      <c r="X74" s="1126"/>
      <c r="Y74" s="1126"/>
      <c r="Z74" s="1126"/>
      <c r="AA74" s="1126"/>
      <c r="AB74" s="1126"/>
      <c r="AC74" s="1126"/>
      <c r="AD74" s="1126"/>
      <c r="AE74" s="1126"/>
      <c r="AF74" s="1126"/>
      <c r="AG74" s="1126"/>
      <c r="AH74" s="1126"/>
      <c r="AI74" s="1126"/>
      <c r="AJ74" s="1126"/>
      <c r="AK74" s="1126"/>
      <c r="AL74" s="1126"/>
      <c r="AM74" s="1126"/>
      <c r="AN74" s="1126"/>
      <c r="AO74" s="1126"/>
      <c r="AP74" s="1126"/>
      <c r="AQ74" s="1126"/>
      <c r="AR74" s="1126"/>
      <c r="AS74" s="1126"/>
      <c r="AT74" s="1126"/>
      <c r="AU74" s="413"/>
      <c r="AV74" s="1075"/>
    </row>
    <row r="75" spans="1:48" ht="15" customHeight="1" x14ac:dyDescent="0.2">
      <c r="A75" s="1076"/>
      <c r="B75" s="1045" t="str">
        <f t="shared" si="2"/>
        <v>Desk 67</v>
      </c>
      <c r="C75" s="1385" t="str">
        <f>IF('TB IMA general'!C152&lt;&gt;"",'TB IMA general'!C152,"")</f>
        <v/>
      </c>
      <c r="D75" s="1126"/>
      <c r="E75" s="1126"/>
      <c r="F75" s="1126"/>
      <c r="G75" s="1126"/>
      <c r="H75" s="1126"/>
      <c r="I75" s="1126"/>
      <c r="J75" s="1126"/>
      <c r="K75" s="1126"/>
      <c r="L75" s="1126"/>
      <c r="M75" s="1126"/>
      <c r="N75" s="1126"/>
      <c r="O75" s="1126"/>
      <c r="P75" s="1126"/>
      <c r="Q75" s="1126"/>
      <c r="R75" s="1126"/>
      <c r="S75" s="1126"/>
      <c r="T75" s="1126"/>
      <c r="U75" s="1126"/>
      <c r="V75" s="1126"/>
      <c r="W75" s="1126"/>
      <c r="X75" s="1126"/>
      <c r="Y75" s="1126"/>
      <c r="Z75" s="1126"/>
      <c r="AA75" s="1126"/>
      <c r="AB75" s="1126"/>
      <c r="AC75" s="1126"/>
      <c r="AD75" s="1126"/>
      <c r="AE75" s="1126"/>
      <c r="AF75" s="1126"/>
      <c r="AG75" s="1126"/>
      <c r="AH75" s="1126"/>
      <c r="AI75" s="1126"/>
      <c r="AJ75" s="1126"/>
      <c r="AK75" s="1126"/>
      <c r="AL75" s="1126"/>
      <c r="AM75" s="1126"/>
      <c r="AN75" s="1126"/>
      <c r="AO75" s="1126"/>
      <c r="AP75" s="1126"/>
      <c r="AQ75" s="1126"/>
      <c r="AR75" s="1126"/>
      <c r="AS75" s="1126"/>
      <c r="AT75" s="1126"/>
      <c r="AU75" s="413"/>
      <c r="AV75" s="1075"/>
    </row>
    <row r="76" spans="1:48" ht="15" customHeight="1" x14ac:dyDescent="0.2">
      <c r="A76" s="1076"/>
      <c r="B76" s="1045" t="str">
        <f t="shared" si="2"/>
        <v>Desk 68</v>
      </c>
      <c r="C76" s="1385" t="str">
        <f>IF('TB IMA general'!C153&lt;&gt;"",'TB IMA general'!C153,"")</f>
        <v/>
      </c>
      <c r="D76" s="1126"/>
      <c r="E76" s="1126"/>
      <c r="F76" s="1126"/>
      <c r="G76" s="1126"/>
      <c r="H76" s="1126"/>
      <c r="I76" s="1126"/>
      <c r="J76" s="1126"/>
      <c r="K76" s="1126"/>
      <c r="L76" s="1126"/>
      <c r="M76" s="1126"/>
      <c r="N76" s="1126"/>
      <c r="O76" s="1126"/>
      <c r="P76" s="1126"/>
      <c r="Q76" s="1126"/>
      <c r="R76" s="1126"/>
      <c r="S76" s="1126"/>
      <c r="T76" s="1126"/>
      <c r="U76" s="1126"/>
      <c r="V76" s="1126"/>
      <c r="W76" s="1126"/>
      <c r="X76" s="1126"/>
      <c r="Y76" s="1126"/>
      <c r="Z76" s="1126"/>
      <c r="AA76" s="1126"/>
      <c r="AB76" s="1126"/>
      <c r="AC76" s="1126"/>
      <c r="AD76" s="1126"/>
      <c r="AE76" s="1126"/>
      <c r="AF76" s="1126"/>
      <c r="AG76" s="1126"/>
      <c r="AH76" s="1126"/>
      <c r="AI76" s="1126"/>
      <c r="AJ76" s="1126"/>
      <c r="AK76" s="1126"/>
      <c r="AL76" s="1126"/>
      <c r="AM76" s="1126"/>
      <c r="AN76" s="1126"/>
      <c r="AO76" s="1126"/>
      <c r="AP76" s="1126"/>
      <c r="AQ76" s="1126"/>
      <c r="AR76" s="1126"/>
      <c r="AS76" s="1126"/>
      <c r="AT76" s="1126"/>
      <c r="AU76" s="413"/>
      <c r="AV76" s="1075"/>
    </row>
    <row r="77" spans="1:48" ht="15" customHeight="1" x14ac:dyDescent="0.2">
      <c r="A77" s="1076"/>
      <c r="B77" s="1045" t="str">
        <f t="shared" si="2"/>
        <v>Desk 69</v>
      </c>
      <c r="C77" s="1385" t="str">
        <f>IF('TB IMA general'!C154&lt;&gt;"",'TB IMA general'!C154,"")</f>
        <v/>
      </c>
      <c r="D77" s="1126"/>
      <c r="E77" s="1126"/>
      <c r="F77" s="1126"/>
      <c r="G77" s="1126"/>
      <c r="H77" s="1126"/>
      <c r="I77" s="1126"/>
      <c r="J77" s="1126"/>
      <c r="K77" s="1126"/>
      <c r="L77" s="1126"/>
      <c r="M77" s="1126"/>
      <c r="N77" s="1126"/>
      <c r="O77" s="1126"/>
      <c r="P77" s="1126"/>
      <c r="Q77" s="1126"/>
      <c r="R77" s="1126"/>
      <c r="S77" s="1126"/>
      <c r="T77" s="1126"/>
      <c r="U77" s="1126"/>
      <c r="V77" s="1126"/>
      <c r="W77" s="1126"/>
      <c r="X77" s="1126"/>
      <c r="Y77" s="1126"/>
      <c r="Z77" s="1126"/>
      <c r="AA77" s="1126"/>
      <c r="AB77" s="1126"/>
      <c r="AC77" s="1126"/>
      <c r="AD77" s="1126"/>
      <c r="AE77" s="1126"/>
      <c r="AF77" s="1126"/>
      <c r="AG77" s="1126"/>
      <c r="AH77" s="1126"/>
      <c r="AI77" s="1126"/>
      <c r="AJ77" s="1126"/>
      <c r="AK77" s="1126"/>
      <c r="AL77" s="1126"/>
      <c r="AM77" s="1126"/>
      <c r="AN77" s="1126"/>
      <c r="AO77" s="1126"/>
      <c r="AP77" s="1126"/>
      <c r="AQ77" s="1126"/>
      <c r="AR77" s="1126"/>
      <c r="AS77" s="1126"/>
      <c r="AT77" s="1126"/>
      <c r="AU77" s="413"/>
      <c r="AV77" s="1075"/>
    </row>
    <row r="78" spans="1:48" ht="15" customHeight="1" x14ac:dyDescent="0.2">
      <c r="A78" s="1076"/>
      <c r="B78" s="1045" t="str">
        <f t="shared" si="2"/>
        <v>Desk 70</v>
      </c>
      <c r="C78" s="1385" t="str">
        <f>IF('TB IMA general'!C155&lt;&gt;"",'TB IMA general'!C155,"")</f>
        <v/>
      </c>
      <c r="D78" s="1126"/>
      <c r="E78" s="1126"/>
      <c r="F78" s="1126"/>
      <c r="G78" s="1126"/>
      <c r="H78" s="1126"/>
      <c r="I78" s="1126"/>
      <c r="J78" s="1126"/>
      <c r="K78" s="1126"/>
      <c r="L78" s="1126"/>
      <c r="M78" s="1126"/>
      <c r="N78" s="1126"/>
      <c r="O78" s="1126"/>
      <c r="P78" s="1126"/>
      <c r="Q78" s="1126"/>
      <c r="R78" s="1126"/>
      <c r="S78" s="1126"/>
      <c r="T78" s="1126"/>
      <c r="U78" s="1126"/>
      <c r="V78" s="1126"/>
      <c r="W78" s="1126"/>
      <c r="X78" s="1126"/>
      <c r="Y78" s="1126"/>
      <c r="Z78" s="1126"/>
      <c r="AA78" s="1126"/>
      <c r="AB78" s="1126"/>
      <c r="AC78" s="1126"/>
      <c r="AD78" s="1126"/>
      <c r="AE78" s="1126"/>
      <c r="AF78" s="1126"/>
      <c r="AG78" s="1126"/>
      <c r="AH78" s="1126"/>
      <c r="AI78" s="1126"/>
      <c r="AJ78" s="1126"/>
      <c r="AK78" s="1126"/>
      <c r="AL78" s="1126"/>
      <c r="AM78" s="1126"/>
      <c r="AN78" s="1126"/>
      <c r="AO78" s="1126"/>
      <c r="AP78" s="1126"/>
      <c r="AQ78" s="1126"/>
      <c r="AR78" s="1126"/>
      <c r="AS78" s="1126"/>
      <c r="AT78" s="1126"/>
      <c r="AU78" s="413"/>
      <c r="AV78" s="1075"/>
    </row>
    <row r="79" spans="1:48" ht="15" customHeight="1" x14ac:dyDescent="0.2">
      <c r="A79" s="1076"/>
      <c r="B79" s="1045" t="str">
        <f t="shared" si="2"/>
        <v>Desk 71</v>
      </c>
      <c r="C79" s="1385" t="str">
        <f>IF('TB IMA general'!C156&lt;&gt;"",'TB IMA general'!C156,"")</f>
        <v/>
      </c>
      <c r="D79" s="1126"/>
      <c r="E79" s="1126"/>
      <c r="F79" s="1126"/>
      <c r="G79" s="1126"/>
      <c r="H79" s="1126"/>
      <c r="I79" s="1126"/>
      <c r="J79" s="1126"/>
      <c r="K79" s="1126"/>
      <c r="L79" s="1126"/>
      <c r="M79" s="1126"/>
      <c r="N79" s="1126"/>
      <c r="O79" s="1126"/>
      <c r="P79" s="1126"/>
      <c r="Q79" s="1126"/>
      <c r="R79" s="1126"/>
      <c r="S79" s="1126"/>
      <c r="T79" s="1126"/>
      <c r="U79" s="1126"/>
      <c r="V79" s="1126"/>
      <c r="W79" s="1126"/>
      <c r="X79" s="1126"/>
      <c r="Y79" s="1126"/>
      <c r="Z79" s="1126"/>
      <c r="AA79" s="1126"/>
      <c r="AB79" s="1126"/>
      <c r="AC79" s="1126"/>
      <c r="AD79" s="1126"/>
      <c r="AE79" s="1126"/>
      <c r="AF79" s="1126"/>
      <c r="AG79" s="1126"/>
      <c r="AH79" s="1126"/>
      <c r="AI79" s="1126"/>
      <c r="AJ79" s="1126"/>
      <c r="AK79" s="1126"/>
      <c r="AL79" s="1126"/>
      <c r="AM79" s="1126"/>
      <c r="AN79" s="1126"/>
      <c r="AO79" s="1126"/>
      <c r="AP79" s="1126"/>
      <c r="AQ79" s="1126"/>
      <c r="AR79" s="1126"/>
      <c r="AS79" s="1126"/>
      <c r="AT79" s="1126"/>
      <c r="AU79" s="413"/>
      <c r="AV79" s="1075"/>
    </row>
    <row r="80" spans="1:48" ht="15" customHeight="1" x14ac:dyDescent="0.2">
      <c r="A80" s="1076"/>
      <c r="B80" s="1045" t="str">
        <f t="shared" si="2"/>
        <v>Desk 72</v>
      </c>
      <c r="C80" s="1385" t="str">
        <f>IF('TB IMA general'!C157&lt;&gt;"",'TB IMA general'!C157,"")</f>
        <v/>
      </c>
      <c r="D80" s="1126"/>
      <c r="E80" s="1126"/>
      <c r="F80" s="1126"/>
      <c r="G80" s="1126"/>
      <c r="H80" s="1126"/>
      <c r="I80" s="1126"/>
      <c r="J80" s="1126"/>
      <c r="K80" s="1126"/>
      <c r="L80" s="1126"/>
      <c r="M80" s="1126"/>
      <c r="N80" s="1126"/>
      <c r="O80" s="1126"/>
      <c r="P80" s="1126"/>
      <c r="Q80" s="1126"/>
      <c r="R80" s="1126"/>
      <c r="S80" s="1126"/>
      <c r="T80" s="1126"/>
      <c r="U80" s="1126"/>
      <c r="V80" s="1126"/>
      <c r="W80" s="1126"/>
      <c r="X80" s="1126"/>
      <c r="Y80" s="1126"/>
      <c r="Z80" s="1126"/>
      <c r="AA80" s="1126"/>
      <c r="AB80" s="1126"/>
      <c r="AC80" s="1126"/>
      <c r="AD80" s="1126"/>
      <c r="AE80" s="1126"/>
      <c r="AF80" s="1126"/>
      <c r="AG80" s="1126"/>
      <c r="AH80" s="1126"/>
      <c r="AI80" s="1126"/>
      <c r="AJ80" s="1126"/>
      <c r="AK80" s="1126"/>
      <c r="AL80" s="1126"/>
      <c r="AM80" s="1126"/>
      <c r="AN80" s="1126"/>
      <c r="AO80" s="1126"/>
      <c r="AP80" s="1126"/>
      <c r="AQ80" s="1126"/>
      <c r="AR80" s="1126"/>
      <c r="AS80" s="1126"/>
      <c r="AT80" s="1126"/>
      <c r="AU80" s="413"/>
      <c r="AV80" s="1075"/>
    </row>
    <row r="81" spans="1:48" ht="15" customHeight="1" x14ac:dyDescent="0.2">
      <c r="A81" s="1076"/>
      <c r="B81" s="1045" t="str">
        <f t="shared" si="2"/>
        <v>Desk 73</v>
      </c>
      <c r="C81" s="1385" t="str">
        <f>IF('TB IMA general'!C158&lt;&gt;"",'TB IMA general'!C158,"")</f>
        <v/>
      </c>
      <c r="D81" s="1126"/>
      <c r="E81" s="1126"/>
      <c r="F81" s="1126"/>
      <c r="G81" s="1126"/>
      <c r="H81" s="1126"/>
      <c r="I81" s="1126"/>
      <c r="J81" s="1126"/>
      <c r="K81" s="1126"/>
      <c r="L81" s="1126"/>
      <c r="M81" s="1126"/>
      <c r="N81" s="1126"/>
      <c r="O81" s="1126"/>
      <c r="P81" s="1126"/>
      <c r="Q81" s="1126"/>
      <c r="R81" s="1126"/>
      <c r="S81" s="1126"/>
      <c r="T81" s="1126"/>
      <c r="U81" s="1126"/>
      <c r="V81" s="1126"/>
      <c r="W81" s="1126"/>
      <c r="X81" s="1126"/>
      <c r="Y81" s="1126"/>
      <c r="Z81" s="1126"/>
      <c r="AA81" s="1126"/>
      <c r="AB81" s="1126"/>
      <c r="AC81" s="1126"/>
      <c r="AD81" s="1126"/>
      <c r="AE81" s="1126"/>
      <c r="AF81" s="1126"/>
      <c r="AG81" s="1126"/>
      <c r="AH81" s="1126"/>
      <c r="AI81" s="1126"/>
      <c r="AJ81" s="1126"/>
      <c r="AK81" s="1126"/>
      <c r="AL81" s="1126"/>
      <c r="AM81" s="1126"/>
      <c r="AN81" s="1126"/>
      <c r="AO81" s="1126"/>
      <c r="AP81" s="1126"/>
      <c r="AQ81" s="1126"/>
      <c r="AR81" s="1126"/>
      <c r="AS81" s="1126"/>
      <c r="AT81" s="1126"/>
      <c r="AU81" s="413"/>
      <c r="AV81" s="1075"/>
    </row>
    <row r="82" spans="1:48" ht="15" customHeight="1" x14ac:dyDescent="0.2">
      <c r="A82" s="1076"/>
      <c r="B82" s="1045" t="str">
        <f t="shared" si="2"/>
        <v>Desk 74</v>
      </c>
      <c r="C82" s="1385" t="str">
        <f>IF('TB IMA general'!C159&lt;&gt;"",'TB IMA general'!C159,"")</f>
        <v/>
      </c>
      <c r="D82" s="1126"/>
      <c r="E82" s="1126"/>
      <c r="F82" s="1126"/>
      <c r="G82" s="1126"/>
      <c r="H82" s="1126"/>
      <c r="I82" s="1126"/>
      <c r="J82" s="1126"/>
      <c r="K82" s="1126"/>
      <c r="L82" s="1126"/>
      <c r="M82" s="1126"/>
      <c r="N82" s="1126"/>
      <c r="O82" s="1126"/>
      <c r="P82" s="1126"/>
      <c r="Q82" s="1126"/>
      <c r="R82" s="1126"/>
      <c r="S82" s="1126"/>
      <c r="T82" s="1126"/>
      <c r="U82" s="1126"/>
      <c r="V82" s="1126"/>
      <c r="W82" s="1126"/>
      <c r="X82" s="1126"/>
      <c r="Y82" s="1126"/>
      <c r="Z82" s="1126"/>
      <c r="AA82" s="1126"/>
      <c r="AB82" s="1126"/>
      <c r="AC82" s="1126"/>
      <c r="AD82" s="1126"/>
      <c r="AE82" s="1126"/>
      <c r="AF82" s="1126"/>
      <c r="AG82" s="1126"/>
      <c r="AH82" s="1126"/>
      <c r="AI82" s="1126"/>
      <c r="AJ82" s="1126"/>
      <c r="AK82" s="1126"/>
      <c r="AL82" s="1126"/>
      <c r="AM82" s="1126"/>
      <c r="AN82" s="1126"/>
      <c r="AO82" s="1126"/>
      <c r="AP82" s="1126"/>
      <c r="AQ82" s="1126"/>
      <c r="AR82" s="1126"/>
      <c r="AS82" s="1126"/>
      <c r="AT82" s="1126"/>
      <c r="AU82" s="413"/>
      <c r="AV82" s="1075"/>
    </row>
    <row r="83" spans="1:48" ht="15" customHeight="1" x14ac:dyDescent="0.2">
      <c r="A83" s="1076"/>
      <c r="B83" s="1045" t="str">
        <f t="shared" si="2"/>
        <v>Desk 75</v>
      </c>
      <c r="C83" s="1385" t="str">
        <f>IF('TB IMA general'!C160&lt;&gt;"",'TB IMA general'!C160,"")</f>
        <v/>
      </c>
      <c r="D83" s="1126"/>
      <c r="E83" s="1126"/>
      <c r="F83" s="1126"/>
      <c r="G83" s="1126"/>
      <c r="H83" s="1126"/>
      <c r="I83" s="1126"/>
      <c r="J83" s="1126"/>
      <c r="K83" s="1126"/>
      <c r="L83" s="1126"/>
      <c r="M83" s="1126"/>
      <c r="N83" s="1126"/>
      <c r="O83" s="1126"/>
      <c r="P83" s="1126"/>
      <c r="Q83" s="1126"/>
      <c r="R83" s="1126"/>
      <c r="S83" s="1126"/>
      <c r="T83" s="1126"/>
      <c r="U83" s="1126"/>
      <c r="V83" s="1126"/>
      <c r="W83" s="1126"/>
      <c r="X83" s="1126"/>
      <c r="Y83" s="1126"/>
      <c r="Z83" s="1126"/>
      <c r="AA83" s="1126"/>
      <c r="AB83" s="1126"/>
      <c r="AC83" s="1126"/>
      <c r="AD83" s="1126"/>
      <c r="AE83" s="1126"/>
      <c r="AF83" s="1126"/>
      <c r="AG83" s="1126"/>
      <c r="AH83" s="1126"/>
      <c r="AI83" s="1126"/>
      <c r="AJ83" s="1126"/>
      <c r="AK83" s="1126"/>
      <c r="AL83" s="1126"/>
      <c r="AM83" s="1126"/>
      <c r="AN83" s="1126"/>
      <c r="AO83" s="1126"/>
      <c r="AP83" s="1126"/>
      <c r="AQ83" s="1126"/>
      <c r="AR83" s="1126"/>
      <c r="AS83" s="1126"/>
      <c r="AT83" s="1126"/>
      <c r="AU83" s="413"/>
      <c r="AV83" s="1075"/>
    </row>
    <row r="84" spans="1:48" ht="15" customHeight="1" x14ac:dyDescent="0.2">
      <c r="A84" s="1076"/>
      <c r="B84" s="1045" t="str">
        <f t="shared" si="2"/>
        <v>Desk 76</v>
      </c>
      <c r="C84" s="1385" t="str">
        <f>IF('TB IMA general'!C161&lt;&gt;"",'TB IMA general'!C161,"")</f>
        <v/>
      </c>
      <c r="D84" s="1126"/>
      <c r="E84" s="1126"/>
      <c r="F84" s="1126"/>
      <c r="G84" s="1126"/>
      <c r="H84" s="1126"/>
      <c r="I84" s="1126"/>
      <c r="J84" s="1126"/>
      <c r="K84" s="1126"/>
      <c r="L84" s="1126"/>
      <c r="M84" s="1126"/>
      <c r="N84" s="1126"/>
      <c r="O84" s="1126"/>
      <c r="P84" s="1126"/>
      <c r="Q84" s="1126"/>
      <c r="R84" s="1126"/>
      <c r="S84" s="1126"/>
      <c r="T84" s="1126"/>
      <c r="U84" s="1126"/>
      <c r="V84" s="1126"/>
      <c r="W84" s="1126"/>
      <c r="X84" s="1126"/>
      <c r="Y84" s="1126"/>
      <c r="Z84" s="1126"/>
      <c r="AA84" s="1126"/>
      <c r="AB84" s="1126"/>
      <c r="AC84" s="1126"/>
      <c r="AD84" s="1126"/>
      <c r="AE84" s="1126"/>
      <c r="AF84" s="1126"/>
      <c r="AG84" s="1126"/>
      <c r="AH84" s="1126"/>
      <c r="AI84" s="1126"/>
      <c r="AJ84" s="1126"/>
      <c r="AK84" s="1126"/>
      <c r="AL84" s="1126"/>
      <c r="AM84" s="1126"/>
      <c r="AN84" s="1126"/>
      <c r="AO84" s="1126"/>
      <c r="AP84" s="1126"/>
      <c r="AQ84" s="1126"/>
      <c r="AR84" s="1126"/>
      <c r="AS84" s="1126"/>
      <c r="AT84" s="1126"/>
      <c r="AU84" s="413"/>
      <c r="AV84" s="1075"/>
    </row>
    <row r="85" spans="1:48" ht="15" customHeight="1" x14ac:dyDescent="0.2">
      <c r="A85" s="1076"/>
      <c r="B85" s="1045" t="str">
        <f t="shared" si="2"/>
        <v>Desk 77</v>
      </c>
      <c r="C85" s="1385" t="str">
        <f>IF('TB IMA general'!C162&lt;&gt;"",'TB IMA general'!C162,"")</f>
        <v/>
      </c>
      <c r="D85" s="1126"/>
      <c r="E85" s="1126"/>
      <c r="F85" s="1126"/>
      <c r="G85" s="1126"/>
      <c r="H85" s="1126"/>
      <c r="I85" s="1126"/>
      <c r="J85" s="1126"/>
      <c r="K85" s="1126"/>
      <c r="L85" s="1126"/>
      <c r="M85" s="1126"/>
      <c r="N85" s="1126"/>
      <c r="O85" s="1126"/>
      <c r="P85" s="1126"/>
      <c r="Q85" s="1126"/>
      <c r="R85" s="1126"/>
      <c r="S85" s="1126"/>
      <c r="T85" s="1126"/>
      <c r="U85" s="1126"/>
      <c r="V85" s="1126"/>
      <c r="W85" s="1126"/>
      <c r="X85" s="1126"/>
      <c r="Y85" s="1126"/>
      <c r="Z85" s="1126"/>
      <c r="AA85" s="1126"/>
      <c r="AB85" s="1126"/>
      <c r="AC85" s="1126"/>
      <c r="AD85" s="1126"/>
      <c r="AE85" s="1126"/>
      <c r="AF85" s="1126"/>
      <c r="AG85" s="1126"/>
      <c r="AH85" s="1126"/>
      <c r="AI85" s="1126"/>
      <c r="AJ85" s="1126"/>
      <c r="AK85" s="1126"/>
      <c r="AL85" s="1126"/>
      <c r="AM85" s="1126"/>
      <c r="AN85" s="1126"/>
      <c r="AO85" s="1126"/>
      <c r="AP85" s="1126"/>
      <c r="AQ85" s="1126"/>
      <c r="AR85" s="1126"/>
      <c r="AS85" s="1126"/>
      <c r="AT85" s="1126"/>
      <c r="AU85" s="413"/>
      <c r="AV85" s="1075"/>
    </row>
    <row r="86" spans="1:48" ht="15" customHeight="1" x14ac:dyDescent="0.2">
      <c r="A86" s="1076"/>
      <c r="B86" s="1045" t="str">
        <f t="shared" si="2"/>
        <v>Desk 78</v>
      </c>
      <c r="C86" s="1385" t="str">
        <f>IF('TB IMA general'!C163&lt;&gt;"",'TB IMA general'!C163,"")</f>
        <v/>
      </c>
      <c r="D86" s="1126"/>
      <c r="E86" s="1126"/>
      <c r="F86" s="1126"/>
      <c r="G86" s="1126"/>
      <c r="H86" s="1126"/>
      <c r="I86" s="1126"/>
      <c r="J86" s="1126"/>
      <c r="K86" s="1126"/>
      <c r="L86" s="1126"/>
      <c r="M86" s="1126"/>
      <c r="N86" s="1126"/>
      <c r="O86" s="1126"/>
      <c r="P86" s="1126"/>
      <c r="Q86" s="1126"/>
      <c r="R86" s="1126"/>
      <c r="S86" s="1126"/>
      <c r="T86" s="1126"/>
      <c r="U86" s="1126"/>
      <c r="V86" s="1126"/>
      <c r="W86" s="1126"/>
      <c r="X86" s="1126"/>
      <c r="Y86" s="1126"/>
      <c r="Z86" s="1126"/>
      <c r="AA86" s="1126"/>
      <c r="AB86" s="1126"/>
      <c r="AC86" s="1126"/>
      <c r="AD86" s="1126"/>
      <c r="AE86" s="1126"/>
      <c r="AF86" s="1126"/>
      <c r="AG86" s="1126"/>
      <c r="AH86" s="1126"/>
      <c r="AI86" s="1126"/>
      <c r="AJ86" s="1126"/>
      <c r="AK86" s="1126"/>
      <c r="AL86" s="1126"/>
      <c r="AM86" s="1126"/>
      <c r="AN86" s="1126"/>
      <c r="AO86" s="1126"/>
      <c r="AP86" s="1126"/>
      <c r="AQ86" s="1126"/>
      <c r="AR86" s="1126"/>
      <c r="AS86" s="1126"/>
      <c r="AT86" s="1126"/>
      <c r="AU86" s="413"/>
      <c r="AV86" s="1075"/>
    </row>
    <row r="87" spans="1:48" ht="15" customHeight="1" x14ac:dyDescent="0.2">
      <c r="A87" s="1076"/>
      <c r="B87" s="1045" t="str">
        <f t="shared" si="2"/>
        <v>Desk 79</v>
      </c>
      <c r="C87" s="1385" t="str">
        <f>IF('TB IMA general'!C164&lt;&gt;"",'TB IMA general'!C164,"")</f>
        <v/>
      </c>
      <c r="D87" s="1126"/>
      <c r="E87" s="1126"/>
      <c r="F87" s="1126"/>
      <c r="G87" s="1126"/>
      <c r="H87" s="1126"/>
      <c r="I87" s="1126"/>
      <c r="J87" s="1126"/>
      <c r="K87" s="1126"/>
      <c r="L87" s="1126"/>
      <c r="M87" s="1126"/>
      <c r="N87" s="1126"/>
      <c r="O87" s="1126"/>
      <c r="P87" s="1126"/>
      <c r="Q87" s="1126"/>
      <c r="R87" s="1126"/>
      <c r="S87" s="1126"/>
      <c r="T87" s="1126"/>
      <c r="U87" s="1126"/>
      <c r="V87" s="1126"/>
      <c r="W87" s="1126"/>
      <c r="X87" s="1126"/>
      <c r="Y87" s="1126"/>
      <c r="Z87" s="1126"/>
      <c r="AA87" s="1126"/>
      <c r="AB87" s="1126"/>
      <c r="AC87" s="1126"/>
      <c r="AD87" s="1126"/>
      <c r="AE87" s="1126"/>
      <c r="AF87" s="1126"/>
      <c r="AG87" s="1126"/>
      <c r="AH87" s="1126"/>
      <c r="AI87" s="1126"/>
      <c r="AJ87" s="1126"/>
      <c r="AK87" s="1126"/>
      <c r="AL87" s="1126"/>
      <c r="AM87" s="1126"/>
      <c r="AN87" s="1126"/>
      <c r="AO87" s="1126"/>
      <c r="AP87" s="1126"/>
      <c r="AQ87" s="1126"/>
      <c r="AR87" s="1126"/>
      <c r="AS87" s="1126"/>
      <c r="AT87" s="1126"/>
      <c r="AU87" s="413"/>
      <c r="AV87" s="1075"/>
    </row>
    <row r="88" spans="1:48" ht="15" customHeight="1" x14ac:dyDescent="0.2">
      <c r="A88" s="1076"/>
      <c r="B88" s="1045" t="str">
        <f t="shared" si="2"/>
        <v>Desk 80</v>
      </c>
      <c r="C88" s="1385" t="str">
        <f>IF('TB IMA general'!C165&lt;&gt;"",'TB IMA general'!C165,"")</f>
        <v/>
      </c>
      <c r="D88" s="1126"/>
      <c r="E88" s="1126"/>
      <c r="F88" s="1126"/>
      <c r="G88" s="1126"/>
      <c r="H88" s="1126"/>
      <c r="I88" s="1126"/>
      <c r="J88" s="1126"/>
      <c r="K88" s="1126"/>
      <c r="L88" s="1126"/>
      <c r="M88" s="1126"/>
      <c r="N88" s="1126"/>
      <c r="O88" s="1126"/>
      <c r="P88" s="1126"/>
      <c r="Q88" s="1126"/>
      <c r="R88" s="1126"/>
      <c r="S88" s="1126"/>
      <c r="T88" s="1126"/>
      <c r="U88" s="1126"/>
      <c r="V88" s="1126"/>
      <c r="W88" s="1126"/>
      <c r="X88" s="1126"/>
      <c r="Y88" s="1126"/>
      <c r="Z88" s="1126"/>
      <c r="AA88" s="1126"/>
      <c r="AB88" s="1126"/>
      <c r="AC88" s="1126"/>
      <c r="AD88" s="1126"/>
      <c r="AE88" s="1126"/>
      <c r="AF88" s="1126"/>
      <c r="AG88" s="1126"/>
      <c r="AH88" s="1126"/>
      <c r="AI88" s="1126"/>
      <c r="AJ88" s="1126"/>
      <c r="AK88" s="1126"/>
      <c r="AL88" s="1126"/>
      <c r="AM88" s="1126"/>
      <c r="AN88" s="1126"/>
      <c r="AO88" s="1126"/>
      <c r="AP88" s="1126"/>
      <c r="AQ88" s="1126"/>
      <c r="AR88" s="1126"/>
      <c r="AS88" s="1126"/>
      <c r="AT88" s="1126"/>
      <c r="AU88" s="413"/>
      <c r="AV88" s="1075"/>
    </row>
    <row r="89" spans="1:48" ht="15" customHeight="1" x14ac:dyDescent="0.2">
      <c r="A89" s="1076"/>
      <c r="B89" s="1045" t="str">
        <f t="shared" si="2"/>
        <v>Desk 81</v>
      </c>
      <c r="C89" s="1385" t="str">
        <f>IF('TB IMA general'!C166&lt;&gt;"",'TB IMA general'!C166,"")</f>
        <v/>
      </c>
      <c r="D89" s="1126"/>
      <c r="E89" s="1126"/>
      <c r="F89" s="1126"/>
      <c r="G89" s="1126"/>
      <c r="H89" s="1126"/>
      <c r="I89" s="1126"/>
      <c r="J89" s="1126"/>
      <c r="K89" s="1126"/>
      <c r="L89" s="1126"/>
      <c r="M89" s="1126"/>
      <c r="N89" s="1126"/>
      <c r="O89" s="1126"/>
      <c r="P89" s="1126"/>
      <c r="Q89" s="1126"/>
      <c r="R89" s="1126"/>
      <c r="S89" s="1126"/>
      <c r="T89" s="1126"/>
      <c r="U89" s="1126"/>
      <c r="V89" s="1126"/>
      <c r="W89" s="1126"/>
      <c r="X89" s="1126"/>
      <c r="Y89" s="1126"/>
      <c r="Z89" s="1126"/>
      <c r="AA89" s="1126"/>
      <c r="AB89" s="1126"/>
      <c r="AC89" s="1126"/>
      <c r="AD89" s="1126"/>
      <c r="AE89" s="1126"/>
      <c r="AF89" s="1126"/>
      <c r="AG89" s="1126"/>
      <c r="AH89" s="1126"/>
      <c r="AI89" s="1126"/>
      <c r="AJ89" s="1126"/>
      <c r="AK89" s="1126"/>
      <c r="AL89" s="1126"/>
      <c r="AM89" s="1126"/>
      <c r="AN89" s="1126"/>
      <c r="AO89" s="1126"/>
      <c r="AP89" s="1126"/>
      <c r="AQ89" s="1126"/>
      <c r="AR89" s="1126"/>
      <c r="AS89" s="1126"/>
      <c r="AT89" s="1126"/>
      <c r="AU89" s="413"/>
      <c r="AV89" s="1075"/>
    </row>
    <row r="90" spans="1:48" ht="15" customHeight="1" x14ac:dyDescent="0.2">
      <c r="A90" s="1076"/>
      <c r="B90" s="1045" t="str">
        <f t="shared" si="2"/>
        <v>Desk 82</v>
      </c>
      <c r="C90" s="1385" t="str">
        <f>IF('TB IMA general'!C167&lt;&gt;"",'TB IMA general'!C167,"")</f>
        <v/>
      </c>
      <c r="D90" s="1126"/>
      <c r="E90" s="1126"/>
      <c r="F90" s="1126"/>
      <c r="G90" s="1126"/>
      <c r="H90" s="1126"/>
      <c r="I90" s="1126"/>
      <c r="J90" s="1126"/>
      <c r="K90" s="1126"/>
      <c r="L90" s="1126"/>
      <c r="M90" s="1126"/>
      <c r="N90" s="1126"/>
      <c r="O90" s="1126"/>
      <c r="P90" s="1126"/>
      <c r="Q90" s="1126"/>
      <c r="R90" s="1126"/>
      <c r="S90" s="1126"/>
      <c r="T90" s="1126"/>
      <c r="U90" s="1126"/>
      <c r="V90" s="1126"/>
      <c r="W90" s="1126"/>
      <c r="X90" s="1126"/>
      <c r="Y90" s="1126"/>
      <c r="Z90" s="1126"/>
      <c r="AA90" s="1126"/>
      <c r="AB90" s="1126"/>
      <c r="AC90" s="1126"/>
      <c r="AD90" s="1126"/>
      <c r="AE90" s="1126"/>
      <c r="AF90" s="1126"/>
      <c r="AG90" s="1126"/>
      <c r="AH90" s="1126"/>
      <c r="AI90" s="1126"/>
      <c r="AJ90" s="1126"/>
      <c r="AK90" s="1126"/>
      <c r="AL90" s="1126"/>
      <c r="AM90" s="1126"/>
      <c r="AN90" s="1126"/>
      <c r="AO90" s="1126"/>
      <c r="AP90" s="1126"/>
      <c r="AQ90" s="1126"/>
      <c r="AR90" s="1126"/>
      <c r="AS90" s="1126"/>
      <c r="AT90" s="1126"/>
      <c r="AU90" s="413"/>
      <c r="AV90" s="1075"/>
    </row>
    <row r="91" spans="1:48" ht="15" customHeight="1" x14ac:dyDescent="0.2">
      <c r="A91" s="1076"/>
      <c r="B91" s="1045" t="str">
        <f t="shared" si="2"/>
        <v>Desk 83</v>
      </c>
      <c r="C91" s="1385" t="str">
        <f>IF('TB IMA general'!C168&lt;&gt;"",'TB IMA general'!C168,"")</f>
        <v/>
      </c>
      <c r="D91" s="1126"/>
      <c r="E91" s="1126"/>
      <c r="F91" s="1126"/>
      <c r="G91" s="1126"/>
      <c r="H91" s="1126"/>
      <c r="I91" s="1126"/>
      <c r="J91" s="1126"/>
      <c r="K91" s="1126"/>
      <c r="L91" s="1126"/>
      <c r="M91" s="1126"/>
      <c r="N91" s="1126"/>
      <c r="O91" s="1126"/>
      <c r="P91" s="1126"/>
      <c r="Q91" s="1126"/>
      <c r="R91" s="1126"/>
      <c r="S91" s="1126"/>
      <c r="T91" s="1126"/>
      <c r="U91" s="1126"/>
      <c r="V91" s="1126"/>
      <c r="W91" s="1126"/>
      <c r="X91" s="1126"/>
      <c r="Y91" s="1126"/>
      <c r="Z91" s="1126"/>
      <c r="AA91" s="1126"/>
      <c r="AB91" s="1126"/>
      <c r="AC91" s="1126"/>
      <c r="AD91" s="1126"/>
      <c r="AE91" s="1126"/>
      <c r="AF91" s="1126"/>
      <c r="AG91" s="1126"/>
      <c r="AH91" s="1126"/>
      <c r="AI91" s="1126"/>
      <c r="AJ91" s="1126"/>
      <c r="AK91" s="1126"/>
      <c r="AL91" s="1126"/>
      <c r="AM91" s="1126"/>
      <c r="AN91" s="1126"/>
      <c r="AO91" s="1126"/>
      <c r="AP91" s="1126"/>
      <c r="AQ91" s="1126"/>
      <c r="AR91" s="1126"/>
      <c r="AS91" s="1126"/>
      <c r="AT91" s="1126"/>
      <c r="AU91" s="413"/>
      <c r="AV91" s="1075"/>
    </row>
    <row r="92" spans="1:48" ht="15" customHeight="1" x14ac:dyDescent="0.2">
      <c r="A92" s="1076"/>
      <c r="B92" s="1045" t="str">
        <f t="shared" si="2"/>
        <v>Desk 84</v>
      </c>
      <c r="C92" s="1385" t="str">
        <f>IF('TB IMA general'!C169&lt;&gt;"",'TB IMA general'!C169,"")</f>
        <v/>
      </c>
      <c r="D92" s="1126"/>
      <c r="E92" s="1126"/>
      <c r="F92" s="1126"/>
      <c r="G92" s="1126"/>
      <c r="H92" s="1126"/>
      <c r="I92" s="1126"/>
      <c r="J92" s="1126"/>
      <c r="K92" s="1126"/>
      <c r="L92" s="1126"/>
      <c r="M92" s="1126"/>
      <c r="N92" s="1126"/>
      <c r="O92" s="1126"/>
      <c r="P92" s="1126"/>
      <c r="Q92" s="1126"/>
      <c r="R92" s="1126"/>
      <c r="S92" s="1126"/>
      <c r="T92" s="1126"/>
      <c r="U92" s="1126"/>
      <c r="V92" s="1126"/>
      <c r="W92" s="1126"/>
      <c r="X92" s="1126"/>
      <c r="Y92" s="1126"/>
      <c r="Z92" s="1126"/>
      <c r="AA92" s="1126"/>
      <c r="AB92" s="1126"/>
      <c r="AC92" s="1126"/>
      <c r="AD92" s="1126"/>
      <c r="AE92" s="1126"/>
      <c r="AF92" s="1126"/>
      <c r="AG92" s="1126"/>
      <c r="AH92" s="1126"/>
      <c r="AI92" s="1126"/>
      <c r="AJ92" s="1126"/>
      <c r="AK92" s="1126"/>
      <c r="AL92" s="1126"/>
      <c r="AM92" s="1126"/>
      <c r="AN92" s="1126"/>
      <c r="AO92" s="1126"/>
      <c r="AP92" s="1126"/>
      <c r="AQ92" s="1126"/>
      <c r="AR92" s="1126"/>
      <c r="AS92" s="1126"/>
      <c r="AT92" s="1126"/>
      <c r="AU92" s="413"/>
      <c r="AV92" s="1075"/>
    </row>
    <row r="93" spans="1:48" ht="15" customHeight="1" x14ac:dyDescent="0.2">
      <c r="A93" s="1076"/>
      <c r="B93" s="1045" t="str">
        <f t="shared" si="2"/>
        <v>Desk 85</v>
      </c>
      <c r="C93" s="1385" t="str">
        <f>IF('TB IMA general'!C170&lt;&gt;"",'TB IMA general'!C170,"")</f>
        <v/>
      </c>
      <c r="D93" s="1126"/>
      <c r="E93" s="1126"/>
      <c r="F93" s="1126"/>
      <c r="G93" s="1126"/>
      <c r="H93" s="1126"/>
      <c r="I93" s="1126"/>
      <c r="J93" s="1126"/>
      <c r="K93" s="1126"/>
      <c r="L93" s="1126"/>
      <c r="M93" s="1126"/>
      <c r="N93" s="1126"/>
      <c r="O93" s="1126"/>
      <c r="P93" s="1126"/>
      <c r="Q93" s="1126"/>
      <c r="R93" s="1126"/>
      <c r="S93" s="1126"/>
      <c r="T93" s="1126"/>
      <c r="U93" s="1126"/>
      <c r="V93" s="1126"/>
      <c r="W93" s="1126"/>
      <c r="X93" s="1126"/>
      <c r="Y93" s="1126"/>
      <c r="Z93" s="1126"/>
      <c r="AA93" s="1126"/>
      <c r="AB93" s="1126"/>
      <c r="AC93" s="1126"/>
      <c r="AD93" s="1126"/>
      <c r="AE93" s="1126"/>
      <c r="AF93" s="1126"/>
      <c r="AG93" s="1126"/>
      <c r="AH93" s="1126"/>
      <c r="AI93" s="1126"/>
      <c r="AJ93" s="1126"/>
      <c r="AK93" s="1126"/>
      <c r="AL93" s="1126"/>
      <c r="AM93" s="1126"/>
      <c r="AN93" s="1126"/>
      <c r="AO93" s="1126"/>
      <c r="AP93" s="1126"/>
      <c r="AQ93" s="1126"/>
      <c r="AR93" s="1126"/>
      <c r="AS93" s="1126"/>
      <c r="AT93" s="1126"/>
      <c r="AU93" s="413"/>
      <c r="AV93" s="1075"/>
    </row>
    <row r="94" spans="1:48" ht="15" customHeight="1" x14ac:dyDescent="0.2">
      <c r="A94" s="1076"/>
      <c r="B94" s="1045" t="str">
        <f t="shared" si="2"/>
        <v>Desk 86</v>
      </c>
      <c r="C94" s="1385" t="str">
        <f>IF('TB IMA general'!C171&lt;&gt;"",'TB IMA general'!C171,"")</f>
        <v/>
      </c>
      <c r="D94" s="1126"/>
      <c r="E94" s="1126"/>
      <c r="F94" s="1126"/>
      <c r="G94" s="1126"/>
      <c r="H94" s="1126"/>
      <c r="I94" s="1126"/>
      <c r="J94" s="1126"/>
      <c r="K94" s="1126"/>
      <c r="L94" s="1126"/>
      <c r="M94" s="1126"/>
      <c r="N94" s="1126"/>
      <c r="O94" s="1126"/>
      <c r="P94" s="1126"/>
      <c r="Q94" s="1126"/>
      <c r="R94" s="1126"/>
      <c r="S94" s="1126"/>
      <c r="T94" s="1126"/>
      <c r="U94" s="1126"/>
      <c r="V94" s="1126"/>
      <c r="W94" s="1126"/>
      <c r="X94" s="1126"/>
      <c r="Y94" s="1126"/>
      <c r="Z94" s="1126"/>
      <c r="AA94" s="1126"/>
      <c r="AB94" s="1126"/>
      <c r="AC94" s="1126"/>
      <c r="AD94" s="1126"/>
      <c r="AE94" s="1126"/>
      <c r="AF94" s="1126"/>
      <c r="AG94" s="1126"/>
      <c r="AH94" s="1126"/>
      <c r="AI94" s="1126"/>
      <c r="AJ94" s="1126"/>
      <c r="AK94" s="1126"/>
      <c r="AL94" s="1126"/>
      <c r="AM94" s="1126"/>
      <c r="AN94" s="1126"/>
      <c r="AO94" s="1126"/>
      <c r="AP94" s="1126"/>
      <c r="AQ94" s="1126"/>
      <c r="AR94" s="1126"/>
      <c r="AS94" s="1126"/>
      <c r="AT94" s="1126"/>
      <c r="AU94" s="413"/>
      <c r="AV94" s="1075"/>
    </row>
    <row r="95" spans="1:48" ht="15" customHeight="1" x14ac:dyDescent="0.2">
      <c r="A95" s="1076"/>
      <c r="B95" s="1045" t="str">
        <f t="shared" si="2"/>
        <v>Desk 87</v>
      </c>
      <c r="C95" s="1385" t="str">
        <f>IF('TB IMA general'!C172&lt;&gt;"",'TB IMA general'!C172,"")</f>
        <v/>
      </c>
      <c r="D95" s="1126"/>
      <c r="E95" s="1126"/>
      <c r="F95" s="1126"/>
      <c r="G95" s="1126"/>
      <c r="H95" s="1126"/>
      <c r="I95" s="1126"/>
      <c r="J95" s="1126"/>
      <c r="K95" s="1126"/>
      <c r="L95" s="1126"/>
      <c r="M95" s="1126"/>
      <c r="N95" s="1126"/>
      <c r="O95" s="1126"/>
      <c r="P95" s="1126"/>
      <c r="Q95" s="1126"/>
      <c r="R95" s="1126"/>
      <c r="S95" s="1126"/>
      <c r="T95" s="1126"/>
      <c r="U95" s="1126"/>
      <c r="V95" s="1126"/>
      <c r="W95" s="1126"/>
      <c r="X95" s="1126"/>
      <c r="Y95" s="1126"/>
      <c r="Z95" s="1126"/>
      <c r="AA95" s="1126"/>
      <c r="AB95" s="1126"/>
      <c r="AC95" s="1126"/>
      <c r="AD95" s="1126"/>
      <c r="AE95" s="1126"/>
      <c r="AF95" s="1126"/>
      <c r="AG95" s="1126"/>
      <c r="AH95" s="1126"/>
      <c r="AI95" s="1126"/>
      <c r="AJ95" s="1126"/>
      <c r="AK95" s="1126"/>
      <c r="AL95" s="1126"/>
      <c r="AM95" s="1126"/>
      <c r="AN95" s="1126"/>
      <c r="AO95" s="1126"/>
      <c r="AP95" s="1126"/>
      <c r="AQ95" s="1126"/>
      <c r="AR95" s="1126"/>
      <c r="AS95" s="1126"/>
      <c r="AT95" s="1126"/>
      <c r="AU95" s="413"/>
      <c r="AV95" s="1075"/>
    </row>
    <row r="96" spans="1:48" ht="15" customHeight="1" x14ac:dyDescent="0.2">
      <c r="A96" s="1076"/>
      <c r="B96" s="1045" t="str">
        <f t="shared" si="2"/>
        <v>Desk 88</v>
      </c>
      <c r="C96" s="1385" t="str">
        <f>IF('TB IMA general'!C173&lt;&gt;"",'TB IMA general'!C173,"")</f>
        <v/>
      </c>
      <c r="D96" s="1126"/>
      <c r="E96" s="1126"/>
      <c r="F96" s="1126"/>
      <c r="G96" s="1126"/>
      <c r="H96" s="1126"/>
      <c r="I96" s="1126"/>
      <c r="J96" s="1126"/>
      <c r="K96" s="1126"/>
      <c r="L96" s="1126"/>
      <c r="M96" s="1126"/>
      <c r="N96" s="1126"/>
      <c r="O96" s="1126"/>
      <c r="P96" s="1126"/>
      <c r="Q96" s="1126"/>
      <c r="R96" s="1126"/>
      <c r="S96" s="1126"/>
      <c r="T96" s="1126"/>
      <c r="U96" s="1126"/>
      <c r="V96" s="1126"/>
      <c r="W96" s="1126"/>
      <c r="X96" s="1126"/>
      <c r="Y96" s="1126"/>
      <c r="Z96" s="1126"/>
      <c r="AA96" s="1126"/>
      <c r="AB96" s="1126"/>
      <c r="AC96" s="1126"/>
      <c r="AD96" s="1126"/>
      <c r="AE96" s="1126"/>
      <c r="AF96" s="1126"/>
      <c r="AG96" s="1126"/>
      <c r="AH96" s="1126"/>
      <c r="AI96" s="1126"/>
      <c r="AJ96" s="1126"/>
      <c r="AK96" s="1126"/>
      <c r="AL96" s="1126"/>
      <c r="AM96" s="1126"/>
      <c r="AN96" s="1126"/>
      <c r="AO96" s="1126"/>
      <c r="AP96" s="1126"/>
      <c r="AQ96" s="1126"/>
      <c r="AR96" s="1126"/>
      <c r="AS96" s="1126"/>
      <c r="AT96" s="1126"/>
      <c r="AU96" s="413"/>
      <c r="AV96" s="1075"/>
    </row>
    <row r="97" spans="1:48" ht="15" customHeight="1" x14ac:dyDescent="0.2">
      <c r="A97" s="1076"/>
      <c r="B97" s="1045" t="str">
        <f t="shared" si="2"/>
        <v>Desk 89</v>
      </c>
      <c r="C97" s="1385" t="str">
        <f>IF('TB IMA general'!C174&lt;&gt;"",'TB IMA general'!C174,"")</f>
        <v/>
      </c>
      <c r="D97" s="1126"/>
      <c r="E97" s="1126"/>
      <c r="F97" s="1126"/>
      <c r="G97" s="1126"/>
      <c r="H97" s="1126"/>
      <c r="I97" s="1126"/>
      <c r="J97" s="1126"/>
      <c r="K97" s="1126"/>
      <c r="L97" s="1126"/>
      <c r="M97" s="1126"/>
      <c r="N97" s="1126"/>
      <c r="O97" s="1126"/>
      <c r="P97" s="1126"/>
      <c r="Q97" s="1126"/>
      <c r="R97" s="1126"/>
      <c r="S97" s="1126"/>
      <c r="T97" s="1126"/>
      <c r="U97" s="1126"/>
      <c r="V97" s="1126"/>
      <c r="W97" s="1126"/>
      <c r="X97" s="1126"/>
      <c r="Y97" s="1126"/>
      <c r="Z97" s="1126"/>
      <c r="AA97" s="1126"/>
      <c r="AB97" s="1126"/>
      <c r="AC97" s="1126"/>
      <c r="AD97" s="1126"/>
      <c r="AE97" s="1126"/>
      <c r="AF97" s="1126"/>
      <c r="AG97" s="1126"/>
      <c r="AH97" s="1126"/>
      <c r="AI97" s="1126"/>
      <c r="AJ97" s="1126"/>
      <c r="AK97" s="1126"/>
      <c r="AL97" s="1126"/>
      <c r="AM97" s="1126"/>
      <c r="AN97" s="1126"/>
      <c r="AO97" s="1126"/>
      <c r="AP97" s="1126"/>
      <c r="AQ97" s="1126"/>
      <c r="AR97" s="1126"/>
      <c r="AS97" s="1126"/>
      <c r="AT97" s="1126"/>
      <c r="AU97" s="413"/>
      <c r="AV97" s="1075"/>
    </row>
    <row r="98" spans="1:48" ht="15" customHeight="1" x14ac:dyDescent="0.2">
      <c r="A98" s="1076"/>
      <c r="B98" s="1045" t="str">
        <f t="shared" si="2"/>
        <v>Desk 90</v>
      </c>
      <c r="C98" s="1385" t="str">
        <f>IF('TB IMA general'!C175&lt;&gt;"",'TB IMA general'!C175,"")</f>
        <v/>
      </c>
      <c r="D98" s="1126"/>
      <c r="E98" s="1126"/>
      <c r="F98" s="1126"/>
      <c r="G98" s="1126"/>
      <c r="H98" s="1126"/>
      <c r="I98" s="1126"/>
      <c r="J98" s="1126"/>
      <c r="K98" s="1126"/>
      <c r="L98" s="1126"/>
      <c r="M98" s="1126"/>
      <c r="N98" s="1126"/>
      <c r="O98" s="1126"/>
      <c r="P98" s="1126"/>
      <c r="Q98" s="1126"/>
      <c r="R98" s="1126"/>
      <c r="S98" s="1126"/>
      <c r="T98" s="1126"/>
      <c r="U98" s="1126"/>
      <c r="V98" s="1126"/>
      <c r="W98" s="1126"/>
      <c r="X98" s="1126"/>
      <c r="Y98" s="1126"/>
      <c r="Z98" s="1126"/>
      <c r="AA98" s="1126"/>
      <c r="AB98" s="1126"/>
      <c r="AC98" s="1126"/>
      <c r="AD98" s="1126"/>
      <c r="AE98" s="1126"/>
      <c r="AF98" s="1126"/>
      <c r="AG98" s="1126"/>
      <c r="AH98" s="1126"/>
      <c r="AI98" s="1126"/>
      <c r="AJ98" s="1126"/>
      <c r="AK98" s="1126"/>
      <c r="AL98" s="1126"/>
      <c r="AM98" s="1126"/>
      <c r="AN98" s="1126"/>
      <c r="AO98" s="1126"/>
      <c r="AP98" s="1126"/>
      <c r="AQ98" s="1126"/>
      <c r="AR98" s="1126"/>
      <c r="AS98" s="1126"/>
      <c r="AT98" s="1126"/>
      <c r="AU98" s="413"/>
      <c r="AV98" s="1075"/>
    </row>
    <row r="99" spans="1:48" ht="15" customHeight="1" x14ac:dyDescent="0.2">
      <c r="A99" s="1076"/>
      <c r="B99" s="1045" t="str">
        <f t="shared" si="2"/>
        <v>Desk 91</v>
      </c>
      <c r="C99" s="1385" t="str">
        <f>IF('TB IMA general'!C176&lt;&gt;"",'TB IMA general'!C176,"")</f>
        <v/>
      </c>
      <c r="D99" s="1126"/>
      <c r="E99" s="1126"/>
      <c r="F99" s="1126"/>
      <c r="G99" s="1126"/>
      <c r="H99" s="1126"/>
      <c r="I99" s="1126"/>
      <c r="J99" s="1126"/>
      <c r="K99" s="1126"/>
      <c r="L99" s="1126"/>
      <c r="M99" s="1126"/>
      <c r="N99" s="1126"/>
      <c r="O99" s="1126"/>
      <c r="P99" s="1126"/>
      <c r="Q99" s="1126"/>
      <c r="R99" s="1126"/>
      <c r="S99" s="1126"/>
      <c r="T99" s="1126"/>
      <c r="U99" s="1126"/>
      <c r="V99" s="1126"/>
      <c r="W99" s="1126"/>
      <c r="X99" s="1126"/>
      <c r="Y99" s="1126"/>
      <c r="Z99" s="1126"/>
      <c r="AA99" s="1126"/>
      <c r="AB99" s="1126"/>
      <c r="AC99" s="1126"/>
      <c r="AD99" s="1126"/>
      <c r="AE99" s="1126"/>
      <c r="AF99" s="1126"/>
      <c r="AG99" s="1126"/>
      <c r="AH99" s="1126"/>
      <c r="AI99" s="1126"/>
      <c r="AJ99" s="1126"/>
      <c r="AK99" s="1126"/>
      <c r="AL99" s="1126"/>
      <c r="AM99" s="1126"/>
      <c r="AN99" s="1126"/>
      <c r="AO99" s="1126"/>
      <c r="AP99" s="1126"/>
      <c r="AQ99" s="1126"/>
      <c r="AR99" s="1126"/>
      <c r="AS99" s="1126"/>
      <c r="AT99" s="1126"/>
      <c r="AU99" s="413"/>
      <c r="AV99" s="1075"/>
    </row>
    <row r="100" spans="1:48" ht="15" customHeight="1" x14ac:dyDescent="0.2">
      <c r="A100" s="1076"/>
      <c r="B100" s="1045" t="str">
        <f t="shared" si="2"/>
        <v>Desk 92</v>
      </c>
      <c r="C100" s="1385" t="str">
        <f>IF('TB IMA general'!C177&lt;&gt;"",'TB IMA general'!C177,"")</f>
        <v/>
      </c>
      <c r="D100" s="1126"/>
      <c r="E100" s="1126"/>
      <c r="F100" s="1126"/>
      <c r="G100" s="1126"/>
      <c r="H100" s="1126"/>
      <c r="I100" s="1126"/>
      <c r="J100" s="1126"/>
      <c r="K100" s="1126"/>
      <c r="L100" s="1126"/>
      <c r="M100" s="1126"/>
      <c r="N100" s="1126"/>
      <c r="O100" s="1126"/>
      <c r="P100" s="1126"/>
      <c r="Q100" s="1126"/>
      <c r="R100" s="1126"/>
      <c r="S100" s="1126"/>
      <c r="T100" s="1126"/>
      <c r="U100" s="1126"/>
      <c r="V100" s="1126"/>
      <c r="W100" s="1126"/>
      <c r="X100" s="1126"/>
      <c r="Y100" s="1126"/>
      <c r="Z100" s="1126"/>
      <c r="AA100" s="1126"/>
      <c r="AB100" s="1126"/>
      <c r="AC100" s="1126"/>
      <c r="AD100" s="1126"/>
      <c r="AE100" s="1126"/>
      <c r="AF100" s="1126"/>
      <c r="AG100" s="1126"/>
      <c r="AH100" s="1126"/>
      <c r="AI100" s="1126"/>
      <c r="AJ100" s="1126"/>
      <c r="AK100" s="1126"/>
      <c r="AL100" s="1126"/>
      <c r="AM100" s="1126"/>
      <c r="AN100" s="1126"/>
      <c r="AO100" s="1126"/>
      <c r="AP100" s="1126"/>
      <c r="AQ100" s="1126"/>
      <c r="AR100" s="1126"/>
      <c r="AS100" s="1126"/>
      <c r="AT100" s="1126"/>
      <c r="AU100" s="413"/>
      <c r="AV100" s="1075"/>
    </row>
    <row r="101" spans="1:48" ht="15" customHeight="1" x14ac:dyDescent="0.2">
      <c r="A101" s="1076"/>
      <c r="B101" s="1045" t="str">
        <f t="shared" si="2"/>
        <v>Desk 93</v>
      </c>
      <c r="C101" s="1385" t="str">
        <f>IF('TB IMA general'!C178&lt;&gt;"",'TB IMA general'!C178,"")</f>
        <v/>
      </c>
      <c r="D101" s="1126"/>
      <c r="E101" s="1126"/>
      <c r="F101" s="1126"/>
      <c r="G101" s="1126"/>
      <c r="H101" s="1126"/>
      <c r="I101" s="1126"/>
      <c r="J101" s="1126"/>
      <c r="K101" s="1126"/>
      <c r="L101" s="1126"/>
      <c r="M101" s="1126"/>
      <c r="N101" s="1126"/>
      <c r="O101" s="1126"/>
      <c r="P101" s="1126"/>
      <c r="Q101" s="1126"/>
      <c r="R101" s="1126"/>
      <c r="S101" s="1126"/>
      <c r="T101" s="1126"/>
      <c r="U101" s="1126"/>
      <c r="V101" s="1126"/>
      <c r="W101" s="1126"/>
      <c r="X101" s="1126"/>
      <c r="Y101" s="1126"/>
      <c r="Z101" s="1126"/>
      <c r="AA101" s="1126"/>
      <c r="AB101" s="1126"/>
      <c r="AC101" s="1126"/>
      <c r="AD101" s="1126"/>
      <c r="AE101" s="1126"/>
      <c r="AF101" s="1126"/>
      <c r="AG101" s="1126"/>
      <c r="AH101" s="1126"/>
      <c r="AI101" s="1126"/>
      <c r="AJ101" s="1126"/>
      <c r="AK101" s="1126"/>
      <c r="AL101" s="1126"/>
      <c r="AM101" s="1126"/>
      <c r="AN101" s="1126"/>
      <c r="AO101" s="1126"/>
      <c r="AP101" s="1126"/>
      <c r="AQ101" s="1126"/>
      <c r="AR101" s="1126"/>
      <c r="AS101" s="1126"/>
      <c r="AT101" s="1126"/>
      <c r="AU101" s="413"/>
      <c r="AV101" s="1075"/>
    </row>
    <row r="102" spans="1:48" ht="15" customHeight="1" x14ac:dyDescent="0.2">
      <c r="A102" s="1076"/>
      <c r="B102" s="1045" t="str">
        <f t="shared" si="2"/>
        <v>Desk 94</v>
      </c>
      <c r="C102" s="1385" t="str">
        <f>IF('TB IMA general'!C179&lt;&gt;"",'TB IMA general'!C179,"")</f>
        <v/>
      </c>
      <c r="D102" s="1126"/>
      <c r="E102" s="1126"/>
      <c r="F102" s="1126"/>
      <c r="G102" s="1126"/>
      <c r="H102" s="1126"/>
      <c r="I102" s="1126"/>
      <c r="J102" s="1126"/>
      <c r="K102" s="1126"/>
      <c r="L102" s="1126"/>
      <c r="M102" s="1126"/>
      <c r="N102" s="1126"/>
      <c r="O102" s="1126"/>
      <c r="P102" s="1126"/>
      <c r="Q102" s="1126"/>
      <c r="R102" s="1126"/>
      <c r="S102" s="1126"/>
      <c r="T102" s="1126"/>
      <c r="U102" s="1126"/>
      <c r="V102" s="1126"/>
      <c r="W102" s="1126"/>
      <c r="X102" s="1126"/>
      <c r="Y102" s="1126"/>
      <c r="Z102" s="1126"/>
      <c r="AA102" s="1126"/>
      <c r="AB102" s="1126"/>
      <c r="AC102" s="1126"/>
      <c r="AD102" s="1126"/>
      <c r="AE102" s="1126"/>
      <c r="AF102" s="1126"/>
      <c r="AG102" s="1126"/>
      <c r="AH102" s="1126"/>
      <c r="AI102" s="1126"/>
      <c r="AJ102" s="1126"/>
      <c r="AK102" s="1126"/>
      <c r="AL102" s="1126"/>
      <c r="AM102" s="1126"/>
      <c r="AN102" s="1126"/>
      <c r="AO102" s="1126"/>
      <c r="AP102" s="1126"/>
      <c r="AQ102" s="1126"/>
      <c r="AR102" s="1126"/>
      <c r="AS102" s="1126"/>
      <c r="AT102" s="1126"/>
      <c r="AU102" s="413"/>
      <c r="AV102" s="1075"/>
    </row>
    <row r="103" spans="1:48" ht="15" customHeight="1" x14ac:dyDescent="0.2">
      <c r="A103" s="1076"/>
      <c r="B103" s="1045" t="str">
        <f t="shared" si="2"/>
        <v>Desk 95</v>
      </c>
      <c r="C103" s="1385" t="str">
        <f>IF('TB IMA general'!C180&lt;&gt;"",'TB IMA general'!C180,"")</f>
        <v/>
      </c>
      <c r="D103" s="1126"/>
      <c r="E103" s="1126"/>
      <c r="F103" s="1126"/>
      <c r="G103" s="1126"/>
      <c r="H103" s="1126"/>
      <c r="I103" s="1126"/>
      <c r="J103" s="1126"/>
      <c r="K103" s="1126"/>
      <c r="L103" s="1126"/>
      <c r="M103" s="1126"/>
      <c r="N103" s="1126"/>
      <c r="O103" s="1126"/>
      <c r="P103" s="1126"/>
      <c r="Q103" s="1126"/>
      <c r="R103" s="1126"/>
      <c r="S103" s="1126"/>
      <c r="T103" s="1126"/>
      <c r="U103" s="1126"/>
      <c r="V103" s="1126"/>
      <c r="W103" s="1126"/>
      <c r="X103" s="1126"/>
      <c r="Y103" s="1126"/>
      <c r="Z103" s="1126"/>
      <c r="AA103" s="1126"/>
      <c r="AB103" s="1126"/>
      <c r="AC103" s="1126"/>
      <c r="AD103" s="1126"/>
      <c r="AE103" s="1126"/>
      <c r="AF103" s="1126"/>
      <c r="AG103" s="1126"/>
      <c r="AH103" s="1126"/>
      <c r="AI103" s="1126"/>
      <c r="AJ103" s="1126"/>
      <c r="AK103" s="1126"/>
      <c r="AL103" s="1126"/>
      <c r="AM103" s="1126"/>
      <c r="AN103" s="1126"/>
      <c r="AO103" s="1126"/>
      <c r="AP103" s="1126"/>
      <c r="AQ103" s="1126"/>
      <c r="AR103" s="1126"/>
      <c r="AS103" s="1126"/>
      <c r="AT103" s="1126"/>
      <c r="AU103" s="413"/>
      <c r="AV103" s="1075"/>
    </row>
    <row r="104" spans="1:48" ht="15" customHeight="1" x14ac:dyDescent="0.2">
      <c r="A104" s="1076"/>
      <c r="B104" s="1045" t="str">
        <f t="shared" si="2"/>
        <v>Desk 96</v>
      </c>
      <c r="C104" s="1385" t="str">
        <f>IF('TB IMA general'!C181&lt;&gt;"",'TB IMA general'!C181,"")</f>
        <v/>
      </c>
      <c r="D104" s="1126"/>
      <c r="E104" s="1126"/>
      <c r="F104" s="1126"/>
      <c r="G104" s="1126"/>
      <c r="H104" s="1126"/>
      <c r="I104" s="1126"/>
      <c r="J104" s="1126"/>
      <c r="K104" s="1126"/>
      <c r="L104" s="1126"/>
      <c r="M104" s="1126"/>
      <c r="N104" s="1126"/>
      <c r="O104" s="1126"/>
      <c r="P104" s="1126"/>
      <c r="Q104" s="1126"/>
      <c r="R104" s="1126"/>
      <c r="S104" s="1126"/>
      <c r="T104" s="1126"/>
      <c r="U104" s="1126"/>
      <c r="V104" s="1126"/>
      <c r="W104" s="1126"/>
      <c r="X104" s="1126"/>
      <c r="Y104" s="1126"/>
      <c r="Z104" s="1126"/>
      <c r="AA104" s="1126"/>
      <c r="AB104" s="1126"/>
      <c r="AC104" s="1126"/>
      <c r="AD104" s="1126"/>
      <c r="AE104" s="1126"/>
      <c r="AF104" s="1126"/>
      <c r="AG104" s="1126"/>
      <c r="AH104" s="1126"/>
      <c r="AI104" s="1126"/>
      <c r="AJ104" s="1126"/>
      <c r="AK104" s="1126"/>
      <c r="AL104" s="1126"/>
      <c r="AM104" s="1126"/>
      <c r="AN104" s="1126"/>
      <c r="AO104" s="1126"/>
      <c r="AP104" s="1126"/>
      <c r="AQ104" s="1126"/>
      <c r="AR104" s="1126"/>
      <c r="AS104" s="1126"/>
      <c r="AT104" s="1126"/>
      <c r="AU104" s="413"/>
      <c r="AV104" s="1075"/>
    </row>
    <row r="105" spans="1:48" ht="15" customHeight="1" x14ac:dyDescent="0.2">
      <c r="A105" s="1076"/>
      <c r="B105" s="1045" t="str">
        <f t="shared" si="2"/>
        <v>Desk 97</v>
      </c>
      <c r="C105" s="1385" t="str">
        <f>IF('TB IMA general'!C182&lt;&gt;"",'TB IMA general'!C182,"")</f>
        <v/>
      </c>
      <c r="D105" s="1126"/>
      <c r="E105" s="1126"/>
      <c r="F105" s="1126"/>
      <c r="G105" s="1126"/>
      <c r="H105" s="1126"/>
      <c r="I105" s="1126"/>
      <c r="J105" s="1126"/>
      <c r="K105" s="1126"/>
      <c r="L105" s="1126"/>
      <c r="M105" s="1126"/>
      <c r="N105" s="1126"/>
      <c r="O105" s="1126"/>
      <c r="P105" s="1126"/>
      <c r="Q105" s="1126"/>
      <c r="R105" s="1126"/>
      <c r="S105" s="1126"/>
      <c r="T105" s="1126"/>
      <c r="U105" s="1126"/>
      <c r="V105" s="1126"/>
      <c r="W105" s="1126"/>
      <c r="X105" s="1126"/>
      <c r="Y105" s="1126"/>
      <c r="Z105" s="1126"/>
      <c r="AA105" s="1126"/>
      <c r="AB105" s="1126"/>
      <c r="AC105" s="1126"/>
      <c r="AD105" s="1126"/>
      <c r="AE105" s="1126"/>
      <c r="AF105" s="1126"/>
      <c r="AG105" s="1126"/>
      <c r="AH105" s="1126"/>
      <c r="AI105" s="1126"/>
      <c r="AJ105" s="1126"/>
      <c r="AK105" s="1126"/>
      <c r="AL105" s="1126"/>
      <c r="AM105" s="1126"/>
      <c r="AN105" s="1126"/>
      <c r="AO105" s="1126"/>
      <c r="AP105" s="1126"/>
      <c r="AQ105" s="1126"/>
      <c r="AR105" s="1126"/>
      <c r="AS105" s="1126"/>
      <c r="AT105" s="1126"/>
      <c r="AU105" s="413"/>
      <c r="AV105" s="1075"/>
    </row>
    <row r="106" spans="1:48" ht="15" customHeight="1" x14ac:dyDescent="0.2">
      <c r="A106" s="1076"/>
      <c r="B106" s="1045" t="str">
        <f t="shared" si="2"/>
        <v>Desk 98</v>
      </c>
      <c r="C106" s="1385" t="str">
        <f>IF('TB IMA general'!C183&lt;&gt;"",'TB IMA general'!C183,"")</f>
        <v/>
      </c>
      <c r="D106" s="1126"/>
      <c r="E106" s="1126"/>
      <c r="F106" s="1126"/>
      <c r="G106" s="1126"/>
      <c r="H106" s="1126"/>
      <c r="I106" s="1126"/>
      <c r="J106" s="1126"/>
      <c r="K106" s="1126"/>
      <c r="L106" s="1126"/>
      <c r="M106" s="1126"/>
      <c r="N106" s="1126"/>
      <c r="O106" s="1126"/>
      <c r="P106" s="1126"/>
      <c r="Q106" s="1126"/>
      <c r="R106" s="1126"/>
      <c r="S106" s="1126"/>
      <c r="T106" s="1126"/>
      <c r="U106" s="1126"/>
      <c r="V106" s="1126"/>
      <c r="W106" s="1126"/>
      <c r="X106" s="1126"/>
      <c r="Y106" s="1126"/>
      <c r="Z106" s="1126"/>
      <c r="AA106" s="1126"/>
      <c r="AB106" s="1126"/>
      <c r="AC106" s="1126"/>
      <c r="AD106" s="1126"/>
      <c r="AE106" s="1126"/>
      <c r="AF106" s="1126"/>
      <c r="AG106" s="1126"/>
      <c r="AH106" s="1126"/>
      <c r="AI106" s="1126"/>
      <c r="AJ106" s="1126"/>
      <c r="AK106" s="1126"/>
      <c r="AL106" s="1126"/>
      <c r="AM106" s="1126"/>
      <c r="AN106" s="1126"/>
      <c r="AO106" s="1126"/>
      <c r="AP106" s="1126"/>
      <c r="AQ106" s="1126"/>
      <c r="AR106" s="1126"/>
      <c r="AS106" s="1126"/>
      <c r="AT106" s="1126"/>
      <c r="AU106" s="413"/>
      <c r="AV106" s="1075"/>
    </row>
    <row r="107" spans="1:48" ht="15" customHeight="1" x14ac:dyDescent="0.2">
      <c r="A107" s="1076"/>
      <c r="B107" s="1045" t="str">
        <f t="shared" si="2"/>
        <v>Desk 99</v>
      </c>
      <c r="C107" s="1385" t="str">
        <f>IF('TB IMA general'!C184&lt;&gt;"",'TB IMA general'!C184,"")</f>
        <v/>
      </c>
      <c r="D107" s="1126"/>
      <c r="E107" s="1126"/>
      <c r="F107" s="1126"/>
      <c r="G107" s="1126"/>
      <c r="H107" s="1126"/>
      <c r="I107" s="1126"/>
      <c r="J107" s="1126"/>
      <c r="K107" s="1126"/>
      <c r="L107" s="1126"/>
      <c r="M107" s="1126"/>
      <c r="N107" s="1126"/>
      <c r="O107" s="1126"/>
      <c r="P107" s="1126"/>
      <c r="Q107" s="1126"/>
      <c r="R107" s="1126"/>
      <c r="S107" s="1126"/>
      <c r="T107" s="1126"/>
      <c r="U107" s="1126"/>
      <c r="V107" s="1126"/>
      <c r="W107" s="1126"/>
      <c r="X107" s="1126"/>
      <c r="Y107" s="1126"/>
      <c r="Z107" s="1126"/>
      <c r="AA107" s="1126"/>
      <c r="AB107" s="1126"/>
      <c r="AC107" s="1126"/>
      <c r="AD107" s="1126"/>
      <c r="AE107" s="1126"/>
      <c r="AF107" s="1126"/>
      <c r="AG107" s="1126"/>
      <c r="AH107" s="1126"/>
      <c r="AI107" s="1126"/>
      <c r="AJ107" s="1126"/>
      <c r="AK107" s="1126"/>
      <c r="AL107" s="1126"/>
      <c r="AM107" s="1126"/>
      <c r="AN107" s="1126"/>
      <c r="AO107" s="1126"/>
      <c r="AP107" s="1126"/>
      <c r="AQ107" s="1126"/>
      <c r="AR107" s="1126"/>
      <c r="AS107" s="1126"/>
      <c r="AT107" s="1126"/>
      <c r="AU107" s="413"/>
      <c r="AV107" s="1075"/>
    </row>
    <row r="108" spans="1:48" ht="15" customHeight="1" x14ac:dyDescent="0.2">
      <c r="A108" s="1076"/>
      <c r="B108" s="1045" t="str">
        <f t="shared" si="2"/>
        <v>Desk 100</v>
      </c>
      <c r="C108" s="1385" t="str">
        <f>IF('TB IMA general'!C185&lt;&gt;"",'TB IMA general'!C185,"")</f>
        <v/>
      </c>
      <c r="D108" s="1126"/>
      <c r="E108" s="1126"/>
      <c r="F108" s="1126"/>
      <c r="G108" s="1126"/>
      <c r="H108" s="1126"/>
      <c r="I108" s="1126"/>
      <c r="J108" s="1126"/>
      <c r="K108" s="1126"/>
      <c r="L108" s="1126"/>
      <c r="M108" s="1126"/>
      <c r="N108" s="1126"/>
      <c r="O108" s="1126"/>
      <c r="P108" s="1126"/>
      <c r="Q108" s="1126"/>
      <c r="R108" s="1126"/>
      <c r="S108" s="1126"/>
      <c r="T108" s="1126"/>
      <c r="U108" s="1126"/>
      <c r="V108" s="1126"/>
      <c r="W108" s="1126"/>
      <c r="X108" s="1126"/>
      <c r="Y108" s="1126"/>
      <c r="Z108" s="1126"/>
      <c r="AA108" s="1126"/>
      <c r="AB108" s="1126"/>
      <c r="AC108" s="1126"/>
      <c r="AD108" s="1126"/>
      <c r="AE108" s="1126"/>
      <c r="AF108" s="1126"/>
      <c r="AG108" s="1126"/>
      <c r="AH108" s="1126"/>
      <c r="AI108" s="1126"/>
      <c r="AJ108" s="1126"/>
      <c r="AK108" s="1126"/>
      <c r="AL108" s="1126"/>
      <c r="AM108" s="1126"/>
      <c r="AN108" s="1126"/>
      <c r="AO108" s="1126"/>
      <c r="AP108" s="1126"/>
      <c r="AQ108" s="1126"/>
      <c r="AR108" s="1126"/>
      <c r="AS108" s="1126"/>
      <c r="AT108" s="1126"/>
      <c r="AU108" s="413"/>
      <c r="AV108" s="1075"/>
    </row>
    <row r="109" spans="1:48" ht="15" customHeight="1" x14ac:dyDescent="0.2">
      <c r="A109" s="1076"/>
      <c r="B109" s="1324" t="s">
        <v>1171</v>
      </c>
      <c r="C109" s="1393"/>
      <c r="D109" s="1388"/>
      <c r="E109" s="1388"/>
      <c r="F109" s="1388"/>
      <c r="G109" s="1388"/>
      <c r="H109" s="1388"/>
      <c r="I109" s="1388"/>
      <c r="J109" s="1388"/>
      <c r="K109" s="1388"/>
      <c r="L109" s="1388"/>
      <c r="M109" s="1388"/>
      <c r="N109" s="1388"/>
      <c r="O109" s="1388"/>
      <c r="P109" s="1388"/>
      <c r="Q109" s="1388"/>
      <c r="R109" s="1388"/>
      <c r="S109" s="1388"/>
      <c r="T109" s="1388"/>
      <c r="U109" s="1388"/>
      <c r="V109" s="1388"/>
      <c r="W109" s="1388"/>
      <c r="X109" s="1388"/>
      <c r="Y109" s="1388"/>
      <c r="Z109" s="1388"/>
      <c r="AA109" s="1388"/>
      <c r="AB109" s="1388"/>
      <c r="AC109" s="1388"/>
      <c r="AD109" s="1388"/>
      <c r="AE109" s="1388"/>
      <c r="AF109" s="1388"/>
      <c r="AG109" s="1388"/>
      <c r="AH109" s="1388"/>
      <c r="AI109" s="1388"/>
      <c r="AJ109" s="1388"/>
      <c r="AK109" s="1388"/>
      <c r="AL109" s="1388"/>
      <c r="AM109" s="1388"/>
      <c r="AN109" s="1388"/>
      <c r="AO109" s="1388"/>
      <c r="AP109" s="1388"/>
      <c r="AQ109" s="1388"/>
      <c r="AR109" s="1388"/>
      <c r="AS109" s="1388"/>
      <c r="AT109" s="1388"/>
      <c r="AU109" s="1389"/>
      <c r="AV109" s="1075"/>
    </row>
    <row r="110" spans="1:48" ht="15" customHeight="1" x14ac:dyDescent="0.2">
      <c r="A110" s="1076"/>
      <c r="B110" s="1074"/>
      <c r="D110" s="1074"/>
      <c r="E110" s="1074"/>
      <c r="F110" s="1074"/>
      <c r="G110" s="1074"/>
      <c r="H110" s="1074"/>
      <c r="I110" s="1074"/>
      <c r="J110" s="1074"/>
      <c r="K110" s="1074"/>
      <c r="L110" s="1074"/>
      <c r="M110" s="1074"/>
      <c r="AV110" s="1075"/>
    </row>
    <row r="111" spans="1:48" ht="30" customHeight="1" x14ac:dyDescent="0.25">
      <c r="A111" s="1053" t="s">
        <v>1203</v>
      </c>
      <c r="B111" s="13"/>
      <c r="C111" s="14"/>
      <c r="D111" s="204"/>
      <c r="E111" s="204"/>
      <c r="F111" s="204"/>
      <c r="G111" s="204"/>
      <c r="H111" s="1074"/>
      <c r="I111" s="1074"/>
      <c r="J111" s="1074"/>
      <c r="K111" s="1074"/>
      <c r="L111" s="1074"/>
      <c r="M111" s="1074"/>
      <c r="AV111" s="1075"/>
    </row>
    <row r="112" spans="1:48" ht="15" customHeight="1" x14ac:dyDescent="0.2">
      <c r="A112" s="1076"/>
      <c r="B112" s="1074"/>
      <c r="D112" s="1074"/>
      <c r="E112" s="1074"/>
      <c r="F112" s="1074"/>
      <c r="G112" s="1074"/>
      <c r="H112" s="1074"/>
      <c r="I112" s="1074"/>
      <c r="J112" s="1074"/>
      <c r="K112" s="1074"/>
      <c r="L112" s="1074"/>
      <c r="M112" s="1074"/>
      <c r="AV112" s="1075"/>
    </row>
    <row r="113" spans="1:48" ht="15" customHeight="1" x14ac:dyDescent="0.2">
      <c r="A113" s="1076"/>
      <c r="B113" s="1044" t="str">
        <f>"Desk " &amp; (ROW(B113)-ROW(B$112))</f>
        <v>Desk 1</v>
      </c>
      <c r="C113" s="1383" t="str">
        <f>IF('TB IMA general'!C86&lt;&gt;"",'TB IMA general'!C86,"")</f>
        <v/>
      </c>
      <c r="D113" s="1043"/>
      <c r="E113" s="1043"/>
      <c r="F113" s="1043"/>
      <c r="G113" s="1043"/>
      <c r="H113" s="1043"/>
      <c r="I113" s="1043"/>
      <c r="J113" s="1043"/>
      <c r="K113" s="1043"/>
      <c r="L113" s="1043"/>
      <c r="M113" s="1043"/>
      <c r="N113" s="1043"/>
      <c r="O113" s="1043"/>
      <c r="P113" s="1043"/>
      <c r="Q113" s="1043"/>
      <c r="R113" s="1043"/>
      <c r="S113" s="1043"/>
      <c r="T113" s="1043"/>
      <c r="U113" s="1043"/>
      <c r="V113" s="1043"/>
      <c r="W113" s="1043"/>
      <c r="X113" s="1043"/>
      <c r="Y113" s="1043"/>
      <c r="Z113" s="1043"/>
      <c r="AA113" s="1043"/>
      <c r="AB113" s="1043"/>
      <c r="AC113" s="1043"/>
      <c r="AD113" s="1043"/>
      <c r="AE113" s="1043"/>
      <c r="AF113" s="1043"/>
      <c r="AG113" s="1043"/>
      <c r="AH113" s="1043"/>
      <c r="AI113" s="1043"/>
      <c r="AJ113" s="1043"/>
      <c r="AK113" s="1043"/>
      <c r="AL113" s="1043"/>
      <c r="AM113" s="1043"/>
      <c r="AN113" s="1043"/>
      <c r="AO113" s="1043"/>
      <c r="AP113" s="1043"/>
      <c r="AQ113" s="1043"/>
      <c r="AR113" s="1043"/>
      <c r="AS113" s="1043"/>
      <c r="AT113" s="1043"/>
      <c r="AU113" s="1066"/>
      <c r="AV113" s="1075"/>
    </row>
    <row r="114" spans="1:48" ht="15" customHeight="1" x14ac:dyDescent="0.2">
      <c r="A114" s="1076"/>
      <c r="B114" s="1380" t="str">
        <f t="shared" ref="B114:B177" si="3">"Desk " &amp; (ROW(B114)-ROW(B$112))</f>
        <v>Desk 2</v>
      </c>
      <c r="C114" s="1390" t="str">
        <f>IF('TB IMA general'!C87&lt;&gt;"",'TB IMA general'!C87,"")</f>
        <v/>
      </c>
      <c r="D114" s="1126"/>
      <c r="E114" s="1126"/>
      <c r="F114" s="1126"/>
      <c r="G114" s="1126"/>
      <c r="H114" s="1126"/>
      <c r="I114" s="1126"/>
      <c r="J114" s="1126"/>
      <c r="K114" s="1126"/>
      <c r="L114" s="1126"/>
      <c r="M114" s="1126"/>
      <c r="N114" s="1126"/>
      <c r="O114" s="1126"/>
      <c r="P114" s="1126"/>
      <c r="Q114" s="1126"/>
      <c r="R114" s="1126"/>
      <c r="S114" s="1126"/>
      <c r="T114" s="1126"/>
      <c r="U114" s="1126"/>
      <c r="V114" s="1126"/>
      <c r="W114" s="1126"/>
      <c r="X114" s="1126"/>
      <c r="Y114" s="1126"/>
      <c r="Z114" s="1126"/>
      <c r="AA114" s="1126"/>
      <c r="AB114" s="1126"/>
      <c r="AC114" s="1126"/>
      <c r="AD114" s="1126"/>
      <c r="AE114" s="1126"/>
      <c r="AF114" s="1126"/>
      <c r="AG114" s="1126"/>
      <c r="AH114" s="1126"/>
      <c r="AI114" s="1126"/>
      <c r="AJ114" s="1126"/>
      <c r="AK114" s="1126"/>
      <c r="AL114" s="1126"/>
      <c r="AM114" s="1126"/>
      <c r="AN114" s="1126"/>
      <c r="AO114" s="1126"/>
      <c r="AP114" s="1126"/>
      <c r="AQ114" s="1126"/>
      <c r="AR114" s="1126"/>
      <c r="AS114" s="1126"/>
      <c r="AT114" s="1126"/>
      <c r="AU114" s="413"/>
      <c r="AV114" s="1075"/>
    </row>
    <row r="115" spans="1:48" ht="15" customHeight="1" x14ac:dyDescent="0.2">
      <c r="A115" s="1076"/>
      <c r="B115" s="1380" t="str">
        <f t="shared" si="3"/>
        <v>Desk 3</v>
      </c>
      <c r="C115" s="1390" t="str">
        <f>IF('TB IMA general'!C88&lt;&gt;"",'TB IMA general'!C88,"")</f>
        <v/>
      </c>
      <c r="D115" s="1126"/>
      <c r="E115" s="1126"/>
      <c r="F115" s="1126"/>
      <c r="G115" s="1126"/>
      <c r="H115" s="1126"/>
      <c r="I115" s="1126"/>
      <c r="J115" s="1126"/>
      <c r="K115" s="1126"/>
      <c r="L115" s="1126"/>
      <c r="M115" s="1126"/>
      <c r="N115" s="1126"/>
      <c r="O115" s="1126"/>
      <c r="P115" s="1126"/>
      <c r="Q115" s="1126"/>
      <c r="R115" s="1126"/>
      <c r="S115" s="1126"/>
      <c r="T115" s="1126"/>
      <c r="U115" s="1126"/>
      <c r="V115" s="1126"/>
      <c r="W115" s="1126"/>
      <c r="X115" s="1126"/>
      <c r="Y115" s="1126"/>
      <c r="Z115" s="1126"/>
      <c r="AA115" s="1126"/>
      <c r="AB115" s="1126"/>
      <c r="AC115" s="1126"/>
      <c r="AD115" s="1126"/>
      <c r="AE115" s="1126"/>
      <c r="AF115" s="1126"/>
      <c r="AG115" s="1126"/>
      <c r="AH115" s="1126"/>
      <c r="AI115" s="1126"/>
      <c r="AJ115" s="1126"/>
      <c r="AK115" s="1126"/>
      <c r="AL115" s="1126"/>
      <c r="AM115" s="1126"/>
      <c r="AN115" s="1126"/>
      <c r="AO115" s="1126"/>
      <c r="AP115" s="1126"/>
      <c r="AQ115" s="1126"/>
      <c r="AR115" s="1126"/>
      <c r="AS115" s="1126"/>
      <c r="AT115" s="1126"/>
      <c r="AU115" s="413"/>
      <c r="AV115" s="1075"/>
    </row>
    <row r="116" spans="1:48" ht="15" customHeight="1" x14ac:dyDescent="0.2">
      <c r="A116" s="1076"/>
      <c r="B116" s="1380" t="str">
        <f t="shared" si="3"/>
        <v>Desk 4</v>
      </c>
      <c r="C116" s="1390" t="str">
        <f>IF('TB IMA general'!C89&lt;&gt;"",'TB IMA general'!C89,"")</f>
        <v/>
      </c>
      <c r="D116" s="1126"/>
      <c r="E116" s="1126"/>
      <c r="F116" s="1126"/>
      <c r="G116" s="1126"/>
      <c r="H116" s="1126"/>
      <c r="I116" s="1126"/>
      <c r="J116" s="1126"/>
      <c r="K116" s="1126"/>
      <c r="L116" s="1126"/>
      <c r="M116" s="1126"/>
      <c r="N116" s="1126"/>
      <c r="O116" s="1126"/>
      <c r="P116" s="1126"/>
      <c r="Q116" s="1126"/>
      <c r="R116" s="1126"/>
      <c r="S116" s="1126"/>
      <c r="T116" s="1126"/>
      <c r="U116" s="1126"/>
      <c r="V116" s="1126"/>
      <c r="W116" s="1126"/>
      <c r="X116" s="1126"/>
      <c r="Y116" s="1126"/>
      <c r="Z116" s="1126"/>
      <c r="AA116" s="1126"/>
      <c r="AB116" s="1126"/>
      <c r="AC116" s="1126"/>
      <c r="AD116" s="1126"/>
      <c r="AE116" s="1126"/>
      <c r="AF116" s="1126"/>
      <c r="AG116" s="1126"/>
      <c r="AH116" s="1126"/>
      <c r="AI116" s="1126"/>
      <c r="AJ116" s="1126"/>
      <c r="AK116" s="1126"/>
      <c r="AL116" s="1126"/>
      <c r="AM116" s="1126"/>
      <c r="AN116" s="1126"/>
      <c r="AO116" s="1126"/>
      <c r="AP116" s="1126"/>
      <c r="AQ116" s="1126"/>
      <c r="AR116" s="1126"/>
      <c r="AS116" s="1126"/>
      <c r="AT116" s="1126"/>
      <c r="AU116" s="413"/>
      <c r="AV116" s="1075"/>
    </row>
    <row r="117" spans="1:48" ht="15" customHeight="1" x14ac:dyDescent="0.2">
      <c r="A117" s="1076"/>
      <c r="B117" s="1380" t="str">
        <f t="shared" si="3"/>
        <v>Desk 5</v>
      </c>
      <c r="C117" s="1390" t="str">
        <f>IF('TB IMA general'!C90&lt;&gt;"",'TB IMA general'!C90,"")</f>
        <v/>
      </c>
      <c r="D117" s="1126"/>
      <c r="E117" s="1126"/>
      <c r="F117" s="1126"/>
      <c r="G117" s="1126"/>
      <c r="H117" s="1126"/>
      <c r="I117" s="1126"/>
      <c r="J117" s="1126"/>
      <c r="K117" s="1126"/>
      <c r="L117" s="1126"/>
      <c r="M117" s="1126"/>
      <c r="N117" s="1126"/>
      <c r="O117" s="1126"/>
      <c r="P117" s="1126"/>
      <c r="Q117" s="1126"/>
      <c r="R117" s="1126"/>
      <c r="S117" s="1126"/>
      <c r="T117" s="1126"/>
      <c r="U117" s="1126"/>
      <c r="V117" s="1126"/>
      <c r="W117" s="1126"/>
      <c r="X117" s="1126"/>
      <c r="Y117" s="1126"/>
      <c r="Z117" s="1126"/>
      <c r="AA117" s="1126"/>
      <c r="AB117" s="1126"/>
      <c r="AC117" s="1126"/>
      <c r="AD117" s="1126"/>
      <c r="AE117" s="1126"/>
      <c r="AF117" s="1126"/>
      <c r="AG117" s="1126"/>
      <c r="AH117" s="1126"/>
      <c r="AI117" s="1126"/>
      <c r="AJ117" s="1126"/>
      <c r="AK117" s="1126"/>
      <c r="AL117" s="1126"/>
      <c r="AM117" s="1126"/>
      <c r="AN117" s="1126"/>
      <c r="AO117" s="1126"/>
      <c r="AP117" s="1126"/>
      <c r="AQ117" s="1126"/>
      <c r="AR117" s="1126"/>
      <c r="AS117" s="1126"/>
      <c r="AT117" s="1126"/>
      <c r="AU117" s="413"/>
      <c r="AV117" s="1075"/>
    </row>
    <row r="118" spans="1:48" ht="15" customHeight="1" x14ac:dyDescent="0.2">
      <c r="A118" s="1076"/>
      <c r="B118" s="1380" t="str">
        <f t="shared" si="3"/>
        <v>Desk 6</v>
      </c>
      <c r="C118" s="1390" t="str">
        <f>IF('TB IMA general'!C91&lt;&gt;"",'TB IMA general'!C91,"")</f>
        <v/>
      </c>
      <c r="D118" s="1126"/>
      <c r="E118" s="1126"/>
      <c r="F118" s="1126"/>
      <c r="G118" s="1126"/>
      <c r="H118" s="1126"/>
      <c r="I118" s="1126"/>
      <c r="J118" s="1126"/>
      <c r="K118" s="1126"/>
      <c r="L118" s="1126"/>
      <c r="M118" s="1126"/>
      <c r="N118" s="1126"/>
      <c r="O118" s="1126"/>
      <c r="P118" s="1126"/>
      <c r="Q118" s="1126"/>
      <c r="R118" s="1126"/>
      <c r="S118" s="1126"/>
      <c r="T118" s="1126"/>
      <c r="U118" s="1126"/>
      <c r="V118" s="1126"/>
      <c r="W118" s="1126"/>
      <c r="X118" s="1126"/>
      <c r="Y118" s="1126"/>
      <c r="Z118" s="1126"/>
      <c r="AA118" s="1126"/>
      <c r="AB118" s="1126"/>
      <c r="AC118" s="1126"/>
      <c r="AD118" s="1126"/>
      <c r="AE118" s="1126"/>
      <c r="AF118" s="1126"/>
      <c r="AG118" s="1126"/>
      <c r="AH118" s="1126"/>
      <c r="AI118" s="1126"/>
      <c r="AJ118" s="1126"/>
      <c r="AK118" s="1126"/>
      <c r="AL118" s="1126"/>
      <c r="AM118" s="1126"/>
      <c r="AN118" s="1126"/>
      <c r="AO118" s="1126"/>
      <c r="AP118" s="1126"/>
      <c r="AQ118" s="1126"/>
      <c r="AR118" s="1126"/>
      <c r="AS118" s="1126"/>
      <c r="AT118" s="1126"/>
      <c r="AU118" s="413"/>
      <c r="AV118" s="1075"/>
    </row>
    <row r="119" spans="1:48" ht="15" customHeight="1" x14ac:dyDescent="0.2">
      <c r="A119" s="1076"/>
      <c r="B119" s="1380" t="str">
        <f t="shared" si="3"/>
        <v>Desk 7</v>
      </c>
      <c r="C119" s="1390" t="str">
        <f>IF('TB IMA general'!C92&lt;&gt;"",'TB IMA general'!C92,"")</f>
        <v/>
      </c>
      <c r="D119" s="1126"/>
      <c r="E119" s="1126"/>
      <c r="F119" s="1126"/>
      <c r="G119" s="1126"/>
      <c r="H119" s="1126"/>
      <c r="I119" s="1126"/>
      <c r="J119" s="1126"/>
      <c r="K119" s="1126"/>
      <c r="L119" s="1126"/>
      <c r="M119" s="1126"/>
      <c r="N119" s="1126"/>
      <c r="O119" s="1126"/>
      <c r="P119" s="1126"/>
      <c r="Q119" s="1126"/>
      <c r="R119" s="1126"/>
      <c r="S119" s="1126"/>
      <c r="T119" s="1126"/>
      <c r="U119" s="1126"/>
      <c r="V119" s="1126"/>
      <c r="W119" s="1126"/>
      <c r="X119" s="1126"/>
      <c r="Y119" s="1126"/>
      <c r="Z119" s="1126"/>
      <c r="AA119" s="1126"/>
      <c r="AB119" s="1126"/>
      <c r="AC119" s="1126"/>
      <c r="AD119" s="1126"/>
      <c r="AE119" s="1126"/>
      <c r="AF119" s="1126"/>
      <c r="AG119" s="1126"/>
      <c r="AH119" s="1126"/>
      <c r="AI119" s="1126"/>
      <c r="AJ119" s="1126"/>
      <c r="AK119" s="1126"/>
      <c r="AL119" s="1126"/>
      <c r="AM119" s="1126"/>
      <c r="AN119" s="1126"/>
      <c r="AO119" s="1126"/>
      <c r="AP119" s="1126"/>
      <c r="AQ119" s="1126"/>
      <c r="AR119" s="1126"/>
      <c r="AS119" s="1126"/>
      <c r="AT119" s="1126"/>
      <c r="AU119" s="413"/>
      <c r="AV119" s="1075"/>
    </row>
    <row r="120" spans="1:48" ht="15" customHeight="1" x14ac:dyDescent="0.2">
      <c r="A120" s="1076"/>
      <c r="B120" s="1380" t="str">
        <f t="shared" si="3"/>
        <v>Desk 8</v>
      </c>
      <c r="C120" s="1390" t="str">
        <f>IF('TB IMA general'!C93&lt;&gt;"",'TB IMA general'!C93,"")</f>
        <v/>
      </c>
      <c r="D120" s="1126"/>
      <c r="E120" s="1126"/>
      <c r="F120" s="1126"/>
      <c r="G120" s="1126"/>
      <c r="H120" s="1126"/>
      <c r="I120" s="1126"/>
      <c r="J120" s="1126"/>
      <c r="K120" s="1126"/>
      <c r="L120" s="1126"/>
      <c r="M120" s="1126"/>
      <c r="N120" s="1126"/>
      <c r="O120" s="1126"/>
      <c r="P120" s="1126"/>
      <c r="Q120" s="1126"/>
      <c r="R120" s="1126"/>
      <c r="S120" s="1126"/>
      <c r="T120" s="1126"/>
      <c r="U120" s="1126"/>
      <c r="V120" s="1126"/>
      <c r="W120" s="1126"/>
      <c r="X120" s="1126"/>
      <c r="Y120" s="1126"/>
      <c r="Z120" s="1126"/>
      <c r="AA120" s="1126"/>
      <c r="AB120" s="1126"/>
      <c r="AC120" s="1126"/>
      <c r="AD120" s="1126"/>
      <c r="AE120" s="1126"/>
      <c r="AF120" s="1126"/>
      <c r="AG120" s="1126"/>
      <c r="AH120" s="1126"/>
      <c r="AI120" s="1126"/>
      <c r="AJ120" s="1126"/>
      <c r="AK120" s="1126"/>
      <c r="AL120" s="1126"/>
      <c r="AM120" s="1126"/>
      <c r="AN120" s="1126"/>
      <c r="AO120" s="1126"/>
      <c r="AP120" s="1126"/>
      <c r="AQ120" s="1126"/>
      <c r="AR120" s="1126"/>
      <c r="AS120" s="1126"/>
      <c r="AT120" s="1126"/>
      <c r="AU120" s="413"/>
      <c r="AV120" s="1075"/>
    </row>
    <row r="121" spans="1:48" ht="15" customHeight="1" x14ac:dyDescent="0.2">
      <c r="A121" s="1076"/>
      <c r="B121" s="1380" t="str">
        <f t="shared" si="3"/>
        <v>Desk 9</v>
      </c>
      <c r="C121" s="1390" t="str">
        <f>IF('TB IMA general'!C94&lt;&gt;"",'TB IMA general'!C94,"")</f>
        <v/>
      </c>
      <c r="D121" s="1126"/>
      <c r="E121" s="1126"/>
      <c r="F121" s="1126"/>
      <c r="G121" s="1126"/>
      <c r="H121" s="1126"/>
      <c r="I121" s="1126"/>
      <c r="J121" s="1126"/>
      <c r="K121" s="1126"/>
      <c r="L121" s="1126"/>
      <c r="M121" s="1126"/>
      <c r="N121" s="1126"/>
      <c r="O121" s="1126"/>
      <c r="P121" s="1126"/>
      <c r="Q121" s="1126"/>
      <c r="R121" s="1126"/>
      <c r="S121" s="1126"/>
      <c r="T121" s="1126"/>
      <c r="U121" s="1126"/>
      <c r="V121" s="1126"/>
      <c r="W121" s="1126"/>
      <c r="X121" s="1126"/>
      <c r="Y121" s="1126"/>
      <c r="Z121" s="1126"/>
      <c r="AA121" s="1126"/>
      <c r="AB121" s="1126"/>
      <c r="AC121" s="1126"/>
      <c r="AD121" s="1126"/>
      <c r="AE121" s="1126"/>
      <c r="AF121" s="1126"/>
      <c r="AG121" s="1126"/>
      <c r="AH121" s="1126"/>
      <c r="AI121" s="1126"/>
      <c r="AJ121" s="1126"/>
      <c r="AK121" s="1126"/>
      <c r="AL121" s="1126"/>
      <c r="AM121" s="1126"/>
      <c r="AN121" s="1126"/>
      <c r="AO121" s="1126"/>
      <c r="AP121" s="1126"/>
      <c r="AQ121" s="1126"/>
      <c r="AR121" s="1126"/>
      <c r="AS121" s="1126"/>
      <c r="AT121" s="1126"/>
      <c r="AU121" s="413"/>
      <c r="AV121" s="1075"/>
    </row>
    <row r="122" spans="1:48" ht="15" customHeight="1" x14ac:dyDescent="0.2">
      <c r="A122" s="1076"/>
      <c r="B122" s="1380" t="str">
        <f t="shared" si="3"/>
        <v>Desk 10</v>
      </c>
      <c r="C122" s="1390" t="str">
        <f>IF('TB IMA general'!C95&lt;&gt;"",'TB IMA general'!C95,"")</f>
        <v/>
      </c>
      <c r="D122" s="1126"/>
      <c r="E122" s="1126"/>
      <c r="F122" s="1126"/>
      <c r="G122" s="1126"/>
      <c r="H122" s="1126"/>
      <c r="I122" s="1126"/>
      <c r="J122" s="1126"/>
      <c r="K122" s="1126"/>
      <c r="L122" s="1126"/>
      <c r="M122" s="1126"/>
      <c r="N122" s="1126"/>
      <c r="O122" s="1126"/>
      <c r="P122" s="1126"/>
      <c r="Q122" s="1126"/>
      <c r="R122" s="1126"/>
      <c r="S122" s="1126"/>
      <c r="T122" s="1126"/>
      <c r="U122" s="1126"/>
      <c r="V122" s="1126"/>
      <c r="W122" s="1126"/>
      <c r="X122" s="1126"/>
      <c r="Y122" s="1126"/>
      <c r="Z122" s="1126"/>
      <c r="AA122" s="1126"/>
      <c r="AB122" s="1126"/>
      <c r="AC122" s="1126"/>
      <c r="AD122" s="1126"/>
      <c r="AE122" s="1126"/>
      <c r="AF122" s="1126"/>
      <c r="AG122" s="1126"/>
      <c r="AH122" s="1126"/>
      <c r="AI122" s="1126"/>
      <c r="AJ122" s="1126"/>
      <c r="AK122" s="1126"/>
      <c r="AL122" s="1126"/>
      <c r="AM122" s="1126"/>
      <c r="AN122" s="1126"/>
      <c r="AO122" s="1126"/>
      <c r="AP122" s="1126"/>
      <c r="AQ122" s="1126"/>
      <c r="AR122" s="1126"/>
      <c r="AS122" s="1126"/>
      <c r="AT122" s="1126"/>
      <c r="AU122" s="413"/>
      <c r="AV122" s="1075"/>
    </row>
    <row r="123" spans="1:48" ht="15" customHeight="1" x14ac:dyDescent="0.2">
      <c r="A123" s="1076"/>
      <c r="B123" s="1380" t="str">
        <f t="shared" si="3"/>
        <v>Desk 11</v>
      </c>
      <c r="C123" s="1390" t="str">
        <f>IF('TB IMA general'!C96&lt;&gt;"",'TB IMA general'!C96,"")</f>
        <v/>
      </c>
      <c r="D123" s="1126"/>
      <c r="E123" s="1126"/>
      <c r="F123" s="1126"/>
      <c r="G123" s="1126"/>
      <c r="H123" s="1126"/>
      <c r="I123" s="1126"/>
      <c r="J123" s="1126"/>
      <c r="K123" s="1126"/>
      <c r="L123" s="1126"/>
      <c r="M123" s="1126"/>
      <c r="N123" s="1126"/>
      <c r="O123" s="1126"/>
      <c r="P123" s="1126"/>
      <c r="Q123" s="1126"/>
      <c r="R123" s="1126"/>
      <c r="S123" s="1126"/>
      <c r="T123" s="1126"/>
      <c r="U123" s="1126"/>
      <c r="V123" s="1126"/>
      <c r="W123" s="1126"/>
      <c r="X123" s="1126"/>
      <c r="Y123" s="1126"/>
      <c r="Z123" s="1126"/>
      <c r="AA123" s="1126"/>
      <c r="AB123" s="1126"/>
      <c r="AC123" s="1126"/>
      <c r="AD123" s="1126"/>
      <c r="AE123" s="1126"/>
      <c r="AF123" s="1126"/>
      <c r="AG123" s="1126"/>
      <c r="AH123" s="1126"/>
      <c r="AI123" s="1126"/>
      <c r="AJ123" s="1126"/>
      <c r="AK123" s="1126"/>
      <c r="AL123" s="1126"/>
      <c r="AM123" s="1126"/>
      <c r="AN123" s="1126"/>
      <c r="AO123" s="1126"/>
      <c r="AP123" s="1126"/>
      <c r="AQ123" s="1126"/>
      <c r="AR123" s="1126"/>
      <c r="AS123" s="1126"/>
      <c r="AT123" s="1126"/>
      <c r="AU123" s="413"/>
      <c r="AV123" s="1075"/>
    </row>
    <row r="124" spans="1:48" ht="15" customHeight="1" x14ac:dyDescent="0.2">
      <c r="A124" s="1076"/>
      <c r="B124" s="1380" t="str">
        <f t="shared" si="3"/>
        <v>Desk 12</v>
      </c>
      <c r="C124" s="1390" t="str">
        <f>IF('TB IMA general'!C97&lt;&gt;"",'TB IMA general'!C97,"")</f>
        <v/>
      </c>
      <c r="D124" s="1126"/>
      <c r="E124" s="1126"/>
      <c r="F124" s="1126"/>
      <c r="G124" s="1126"/>
      <c r="H124" s="1126"/>
      <c r="I124" s="1126"/>
      <c r="J124" s="1126"/>
      <c r="K124" s="1126"/>
      <c r="L124" s="1126"/>
      <c r="M124" s="1126"/>
      <c r="N124" s="1126"/>
      <c r="O124" s="1126"/>
      <c r="P124" s="1126"/>
      <c r="Q124" s="1126"/>
      <c r="R124" s="1126"/>
      <c r="S124" s="1126"/>
      <c r="T124" s="1126"/>
      <c r="U124" s="1126"/>
      <c r="V124" s="1126"/>
      <c r="W124" s="1126"/>
      <c r="X124" s="1126"/>
      <c r="Y124" s="1126"/>
      <c r="Z124" s="1126"/>
      <c r="AA124" s="1126"/>
      <c r="AB124" s="1126"/>
      <c r="AC124" s="1126"/>
      <c r="AD124" s="1126"/>
      <c r="AE124" s="1126"/>
      <c r="AF124" s="1126"/>
      <c r="AG124" s="1126"/>
      <c r="AH124" s="1126"/>
      <c r="AI124" s="1126"/>
      <c r="AJ124" s="1126"/>
      <c r="AK124" s="1126"/>
      <c r="AL124" s="1126"/>
      <c r="AM124" s="1126"/>
      <c r="AN124" s="1126"/>
      <c r="AO124" s="1126"/>
      <c r="AP124" s="1126"/>
      <c r="AQ124" s="1126"/>
      <c r="AR124" s="1126"/>
      <c r="AS124" s="1126"/>
      <c r="AT124" s="1126"/>
      <c r="AU124" s="413"/>
      <c r="AV124" s="1075"/>
    </row>
    <row r="125" spans="1:48" ht="15" customHeight="1" x14ac:dyDescent="0.2">
      <c r="A125" s="1076"/>
      <c r="B125" s="1380" t="str">
        <f t="shared" si="3"/>
        <v>Desk 13</v>
      </c>
      <c r="C125" s="1390" t="str">
        <f>IF('TB IMA general'!C98&lt;&gt;"",'TB IMA general'!C98,"")</f>
        <v/>
      </c>
      <c r="D125" s="1126"/>
      <c r="E125" s="1126"/>
      <c r="F125" s="1126"/>
      <c r="G125" s="1126"/>
      <c r="H125" s="1126"/>
      <c r="I125" s="1126"/>
      <c r="J125" s="1126"/>
      <c r="K125" s="1126"/>
      <c r="L125" s="1126"/>
      <c r="M125" s="1126"/>
      <c r="N125" s="1126"/>
      <c r="O125" s="1126"/>
      <c r="P125" s="1126"/>
      <c r="Q125" s="1126"/>
      <c r="R125" s="1126"/>
      <c r="S125" s="1126"/>
      <c r="T125" s="1126"/>
      <c r="U125" s="1126"/>
      <c r="V125" s="1126"/>
      <c r="W125" s="1126"/>
      <c r="X125" s="1126"/>
      <c r="Y125" s="1126"/>
      <c r="Z125" s="1126"/>
      <c r="AA125" s="1126"/>
      <c r="AB125" s="1126"/>
      <c r="AC125" s="1126"/>
      <c r="AD125" s="1126"/>
      <c r="AE125" s="1126"/>
      <c r="AF125" s="1126"/>
      <c r="AG125" s="1126"/>
      <c r="AH125" s="1126"/>
      <c r="AI125" s="1126"/>
      <c r="AJ125" s="1126"/>
      <c r="AK125" s="1126"/>
      <c r="AL125" s="1126"/>
      <c r="AM125" s="1126"/>
      <c r="AN125" s="1126"/>
      <c r="AO125" s="1126"/>
      <c r="AP125" s="1126"/>
      <c r="AQ125" s="1126"/>
      <c r="AR125" s="1126"/>
      <c r="AS125" s="1126"/>
      <c r="AT125" s="1126"/>
      <c r="AU125" s="413"/>
      <c r="AV125" s="1075"/>
    </row>
    <row r="126" spans="1:48" ht="15" customHeight="1" x14ac:dyDescent="0.2">
      <c r="A126" s="1076"/>
      <c r="B126" s="1380" t="str">
        <f t="shared" si="3"/>
        <v>Desk 14</v>
      </c>
      <c r="C126" s="1390" t="str">
        <f>IF('TB IMA general'!C99&lt;&gt;"",'TB IMA general'!C99,"")</f>
        <v/>
      </c>
      <c r="D126" s="1126"/>
      <c r="E126" s="1126"/>
      <c r="F126" s="1126"/>
      <c r="G126" s="1126"/>
      <c r="H126" s="1126"/>
      <c r="I126" s="1126"/>
      <c r="J126" s="1126"/>
      <c r="K126" s="1126"/>
      <c r="L126" s="1126"/>
      <c r="M126" s="1126"/>
      <c r="N126" s="1126"/>
      <c r="O126" s="1126"/>
      <c r="P126" s="1126"/>
      <c r="Q126" s="1126"/>
      <c r="R126" s="1126"/>
      <c r="S126" s="1126"/>
      <c r="T126" s="1126"/>
      <c r="U126" s="1126"/>
      <c r="V126" s="1126"/>
      <c r="W126" s="1126"/>
      <c r="X126" s="1126"/>
      <c r="Y126" s="1126"/>
      <c r="Z126" s="1126"/>
      <c r="AA126" s="1126"/>
      <c r="AB126" s="1126"/>
      <c r="AC126" s="1126"/>
      <c r="AD126" s="1126"/>
      <c r="AE126" s="1126"/>
      <c r="AF126" s="1126"/>
      <c r="AG126" s="1126"/>
      <c r="AH126" s="1126"/>
      <c r="AI126" s="1126"/>
      <c r="AJ126" s="1126"/>
      <c r="AK126" s="1126"/>
      <c r="AL126" s="1126"/>
      <c r="AM126" s="1126"/>
      <c r="AN126" s="1126"/>
      <c r="AO126" s="1126"/>
      <c r="AP126" s="1126"/>
      <c r="AQ126" s="1126"/>
      <c r="AR126" s="1126"/>
      <c r="AS126" s="1126"/>
      <c r="AT126" s="1126"/>
      <c r="AU126" s="413"/>
      <c r="AV126" s="1075"/>
    </row>
    <row r="127" spans="1:48" ht="15" customHeight="1" x14ac:dyDescent="0.2">
      <c r="A127" s="1076"/>
      <c r="B127" s="1380" t="str">
        <f t="shared" si="3"/>
        <v>Desk 15</v>
      </c>
      <c r="C127" s="1390" t="str">
        <f>IF('TB IMA general'!C100&lt;&gt;"",'TB IMA general'!C100,"")</f>
        <v/>
      </c>
      <c r="D127" s="1126"/>
      <c r="E127" s="1126"/>
      <c r="F127" s="1126"/>
      <c r="G127" s="1126"/>
      <c r="H127" s="1126"/>
      <c r="I127" s="1126"/>
      <c r="J127" s="1126"/>
      <c r="K127" s="1126"/>
      <c r="L127" s="1126"/>
      <c r="M127" s="1126"/>
      <c r="N127" s="1126"/>
      <c r="O127" s="1126"/>
      <c r="P127" s="1126"/>
      <c r="Q127" s="1126"/>
      <c r="R127" s="1126"/>
      <c r="S127" s="1126"/>
      <c r="T127" s="1126"/>
      <c r="U127" s="1126"/>
      <c r="V127" s="1126"/>
      <c r="W127" s="1126"/>
      <c r="X127" s="1126"/>
      <c r="Y127" s="1126"/>
      <c r="Z127" s="1126"/>
      <c r="AA127" s="1126"/>
      <c r="AB127" s="1126"/>
      <c r="AC127" s="1126"/>
      <c r="AD127" s="1126"/>
      <c r="AE127" s="1126"/>
      <c r="AF127" s="1126"/>
      <c r="AG127" s="1126"/>
      <c r="AH127" s="1126"/>
      <c r="AI127" s="1126"/>
      <c r="AJ127" s="1126"/>
      <c r="AK127" s="1126"/>
      <c r="AL127" s="1126"/>
      <c r="AM127" s="1126"/>
      <c r="AN127" s="1126"/>
      <c r="AO127" s="1126"/>
      <c r="AP127" s="1126"/>
      <c r="AQ127" s="1126"/>
      <c r="AR127" s="1126"/>
      <c r="AS127" s="1126"/>
      <c r="AT127" s="1126"/>
      <c r="AU127" s="413"/>
      <c r="AV127" s="1075"/>
    </row>
    <row r="128" spans="1:48" ht="15" customHeight="1" x14ac:dyDescent="0.2">
      <c r="A128" s="1076"/>
      <c r="B128" s="1380" t="str">
        <f t="shared" si="3"/>
        <v>Desk 16</v>
      </c>
      <c r="C128" s="1390" t="str">
        <f>IF('TB IMA general'!C101&lt;&gt;"",'TB IMA general'!C101,"")</f>
        <v/>
      </c>
      <c r="D128" s="1126"/>
      <c r="E128" s="1126"/>
      <c r="F128" s="1126"/>
      <c r="G128" s="1126"/>
      <c r="H128" s="1126"/>
      <c r="I128" s="1126"/>
      <c r="J128" s="1126"/>
      <c r="K128" s="1126"/>
      <c r="L128" s="1126"/>
      <c r="M128" s="1126"/>
      <c r="N128" s="1126"/>
      <c r="O128" s="1126"/>
      <c r="P128" s="1126"/>
      <c r="Q128" s="1126"/>
      <c r="R128" s="1126"/>
      <c r="S128" s="1126"/>
      <c r="T128" s="1126"/>
      <c r="U128" s="1126"/>
      <c r="V128" s="1126"/>
      <c r="W128" s="1126"/>
      <c r="X128" s="1126"/>
      <c r="Y128" s="1126"/>
      <c r="Z128" s="1126"/>
      <c r="AA128" s="1126"/>
      <c r="AB128" s="1126"/>
      <c r="AC128" s="1126"/>
      <c r="AD128" s="1126"/>
      <c r="AE128" s="1126"/>
      <c r="AF128" s="1126"/>
      <c r="AG128" s="1126"/>
      <c r="AH128" s="1126"/>
      <c r="AI128" s="1126"/>
      <c r="AJ128" s="1126"/>
      <c r="AK128" s="1126"/>
      <c r="AL128" s="1126"/>
      <c r="AM128" s="1126"/>
      <c r="AN128" s="1126"/>
      <c r="AO128" s="1126"/>
      <c r="AP128" s="1126"/>
      <c r="AQ128" s="1126"/>
      <c r="AR128" s="1126"/>
      <c r="AS128" s="1126"/>
      <c r="AT128" s="1126"/>
      <c r="AU128" s="413"/>
      <c r="AV128" s="1075"/>
    </row>
    <row r="129" spans="1:48" ht="15" customHeight="1" x14ac:dyDescent="0.2">
      <c r="A129" s="1076"/>
      <c r="B129" s="1380" t="str">
        <f t="shared" si="3"/>
        <v>Desk 17</v>
      </c>
      <c r="C129" s="1390" t="str">
        <f>IF('TB IMA general'!C102&lt;&gt;"",'TB IMA general'!C102,"")</f>
        <v/>
      </c>
      <c r="D129" s="1126"/>
      <c r="E129" s="1126"/>
      <c r="F129" s="1126"/>
      <c r="G129" s="1126"/>
      <c r="H129" s="1126"/>
      <c r="I129" s="1126"/>
      <c r="J129" s="1126"/>
      <c r="K129" s="1126"/>
      <c r="L129" s="1126"/>
      <c r="M129" s="1126"/>
      <c r="N129" s="1126"/>
      <c r="O129" s="1126"/>
      <c r="P129" s="1126"/>
      <c r="Q129" s="1126"/>
      <c r="R129" s="1126"/>
      <c r="S129" s="1126"/>
      <c r="T129" s="1126"/>
      <c r="U129" s="1126"/>
      <c r="V129" s="1126"/>
      <c r="W129" s="1126"/>
      <c r="X129" s="1126"/>
      <c r="Y129" s="1126"/>
      <c r="Z129" s="1126"/>
      <c r="AA129" s="1126"/>
      <c r="AB129" s="1126"/>
      <c r="AC129" s="1126"/>
      <c r="AD129" s="1126"/>
      <c r="AE129" s="1126"/>
      <c r="AF129" s="1126"/>
      <c r="AG129" s="1126"/>
      <c r="AH129" s="1126"/>
      <c r="AI129" s="1126"/>
      <c r="AJ129" s="1126"/>
      <c r="AK129" s="1126"/>
      <c r="AL129" s="1126"/>
      <c r="AM129" s="1126"/>
      <c r="AN129" s="1126"/>
      <c r="AO129" s="1126"/>
      <c r="AP129" s="1126"/>
      <c r="AQ129" s="1126"/>
      <c r="AR129" s="1126"/>
      <c r="AS129" s="1126"/>
      <c r="AT129" s="1126"/>
      <c r="AU129" s="413"/>
      <c r="AV129" s="1075"/>
    </row>
    <row r="130" spans="1:48" ht="15" customHeight="1" x14ac:dyDescent="0.2">
      <c r="A130" s="1076"/>
      <c r="B130" s="1380" t="str">
        <f t="shared" si="3"/>
        <v>Desk 18</v>
      </c>
      <c r="C130" s="1390" t="str">
        <f>IF('TB IMA general'!C103&lt;&gt;"",'TB IMA general'!C103,"")</f>
        <v/>
      </c>
      <c r="D130" s="1126"/>
      <c r="E130" s="1126"/>
      <c r="F130" s="1126"/>
      <c r="G130" s="1126"/>
      <c r="H130" s="1126"/>
      <c r="I130" s="1126"/>
      <c r="J130" s="1126"/>
      <c r="K130" s="1126"/>
      <c r="L130" s="1126"/>
      <c r="M130" s="1126"/>
      <c r="N130" s="1126"/>
      <c r="O130" s="1126"/>
      <c r="P130" s="1126"/>
      <c r="Q130" s="1126"/>
      <c r="R130" s="1126"/>
      <c r="S130" s="1126"/>
      <c r="T130" s="1126"/>
      <c r="U130" s="1126"/>
      <c r="V130" s="1126"/>
      <c r="W130" s="1126"/>
      <c r="X130" s="1126"/>
      <c r="Y130" s="1126"/>
      <c r="Z130" s="1126"/>
      <c r="AA130" s="1126"/>
      <c r="AB130" s="1126"/>
      <c r="AC130" s="1126"/>
      <c r="AD130" s="1126"/>
      <c r="AE130" s="1126"/>
      <c r="AF130" s="1126"/>
      <c r="AG130" s="1126"/>
      <c r="AH130" s="1126"/>
      <c r="AI130" s="1126"/>
      <c r="AJ130" s="1126"/>
      <c r="AK130" s="1126"/>
      <c r="AL130" s="1126"/>
      <c r="AM130" s="1126"/>
      <c r="AN130" s="1126"/>
      <c r="AO130" s="1126"/>
      <c r="AP130" s="1126"/>
      <c r="AQ130" s="1126"/>
      <c r="AR130" s="1126"/>
      <c r="AS130" s="1126"/>
      <c r="AT130" s="1126"/>
      <c r="AU130" s="413"/>
      <c r="AV130" s="1075"/>
    </row>
    <row r="131" spans="1:48" ht="15" customHeight="1" x14ac:dyDescent="0.2">
      <c r="A131" s="1076"/>
      <c r="B131" s="1380" t="str">
        <f t="shared" si="3"/>
        <v>Desk 19</v>
      </c>
      <c r="C131" s="1390" t="str">
        <f>IF('TB IMA general'!C104&lt;&gt;"",'TB IMA general'!C104,"")</f>
        <v/>
      </c>
      <c r="D131" s="1126"/>
      <c r="E131" s="1126"/>
      <c r="F131" s="1126"/>
      <c r="G131" s="1126"/>
      <c r="H131" s="1126"/>
      <c r="I131" s="1126"/>
      <c r="J131" s="1126"/>
      <c r="K131" s="1126"/>
      <c r="L131" s="1126"/>
      <c r="M131" s="1126"/>
      <c r="N131" s="1126"/>
      <c r="O131" s="1126"/>
      <c r="P131" s="1126"/>
      <c r="Q131" s="1126"/>
      <c r="R131" s="1126"/>
      <c r="S131" s="1126"/>
      <c r="T131" s="1126"/>
      <c r="U131" s="1126"/>
      <c r="V131" s="1126"/>
      <c r="W131" s="1126"/>
      <c r="X131" s="1126"/>
      <c r="Y131" s="1126"/>
      <c r="Z131" s="1126"/>
      <c r="AA131" s="1126"/>
      <c r="AB131" s="1126"/>
      <c r="AC131" s="1126"/>
      <c r="AD131" s="1126"/>
      <c r="AE131" s="1126"/>
      <c r="AF131" s="1126"/>
      <c r="AG131" s="1126"/>
      <c r="AH131" s="1126"/>
      <c r="AI131" s="1126"/>
      <c r="AJ131" s="1126"/>
      <c r="AK131" s="1126"/>
      <c r="AL131" s="1126"/>
      <c r="AM131" s="1126"/>
      <c r="AN131" s="1126"/>
      <c r="AO131" s="1126"/>
      <c r="AP131" s="1126"/>
      <c r="AQ131" s="1126"/>
      <c r="AR131" s="1126"/>
      <c r="AS131" s="1126"/>
      <c r="AT131" s="1126"/>
      <c r="AU131" s="413"/>
      <c r="AV131" s="1075"/>
    </row>
    <row r="132" spans="1:48" ht="15" customHeight="1" x14ac:dyDescent="0.2">
      <c r="A132" s="1076"/>
      <c r="B132" s="1380" t="str">
        <f t="shared" si="3"/>
        <v>Desk 20</v>
      </c>
      <c r="C132" s="1390" t="str">
        <f>IF('TB IMA general'!C105&lt;&gt;"",'TB IMA general'!C105,"")</f>
        <v/>
      </c>
      <c r="D132" s="1126"/>
      <c r="E132" s="1126"/>
      <c r="F132" s="1126"/>
      <c r="G132" s="1126"/>
      <c r="H132" s="1126"/>
      <c r="I132" s="1126"/>
      <c r="J132" s="1126"/>
      <c r="K132" s="1126"/>
      <c r="L132" s="1126"/>
      <c r="M132" s="1126"/>
      <c r="N132" s="1126"/>
      <c r="O132" s="1126"/>
      <c r="P132" s="1126"/>
      <c r="Q132" s="1126"/>
      <c r="R132" s="1126"/>
      <c r="S132" s="1126"/>
      <c r="T132" s="1126"/>
      <c r="U132" s="1126"/>
      <c r="V132" s="1126"/>
      <c r="W132" s="1126"/>
      <c r="X132" s="1126"/>
      <c r="Y132" s="1126"/>
      <c r="Z132" s="1126"/>
      <c r="AA132" s="1126"/>
      <c r="AB132" s="1126"/>
      <c r="AC132" s="1126"/>
      <c r="AD132" s="1126"/>
      <c r="AE132" s="1126"/>
      <c r="AF132" s="1126"/>
      <c r="AG132" s="1126"/>
      <c r="AH132" s="1126"/>
      <c r="AI132" s="1126"/>
      <c r="AJ132" s="1126"/>
      <c r="AK132" s="1126"/>
      <c r="AL132" s="1126"/>
      <c r="AM132" s="1126"/>
      <c r="AN132" s="1126"/>
      <c r="AO132" s="1126"/>
      <c r="AP132" s="1126"/>
      <c r="AQ132" s="1126"/>
      <c r="AR132" s="1126"/>
      <c r="AS132" s="1126"/>
      <c r="AT132" s="1126"/>
      <c r="AU132" s="413"/>
      <c r="AV132" s="1075"/>
    </row>
    <row r="133" spans="1:48" ht="15" customHeight="1" x14ac:dyDescent="0.2">
      <c r="A133" s="1076"/>
      <c r="B133" s="1380" t="str">
        <f t="shared" si="3"/>
        <v>Desk 21</v>
      </c>
      <c r="C133" s="1390" t="str">
        <f>IF('TB IMA general'!C106&lt;&gt;"",'TB IMA general'!C106,"")</f>
        <v/>
      </c>
      <c r="D133" s="1126"/>
      <c r="E133" s="1126"/>
      <c r="F133" s="1126"/>
      <c r="G133" s="1126"/>
      <c r="H133" s="1126"/>
      <c r="I133" s="1126"/>
      <c r="J133" s="1126"/>
      <c r="K133" s="1126"/>
      <c r="L133" s="1126"/>
      <c r="M133" s="1126"/>
      <c r="N133" s="1126"/>
      <c r="O133" s="1126"/>
      <c r="P133" s="1126"/>
      <c r="Q133" s="1126"/>
      <c r="R133" s="1126"/>
      <c r="S133" s="1126"/>
      <c r="T133" s="1126"/>
      <c r="U133" s="1126"/>
      <c r="V133" s="1126"/>
      <c r="W133" s="1126"/>
      <c r="X133" s="1126"/>
      <c r="Y133" s="1126"/>
      <c r="Z133" s="1126"/>
      <c r="AA133" s="1126"/>
      <c r="AB133" s="1126"/>
      <c r="AC133" s="1126"/>
      <c r="AD133" s="1126"/>
      <c r="AE133" s="1126"/>
      <c r="AF133" s="1126"/>
      <c r="AG133" s="1126"/>
      <c r="AH133" s="1126"/>
      <c r="AI133" s="1126"/>
      <c r="AJ133" s="1126"/>
      <c r="AK133" s="1126"/>
      <c r="AL133" s="1126"/>
      <c r="AM133" s="1126"/>
      <c r="AN133" s="1126"/>
      <c r="AO133" s="1126"/>
      <c r="AP133" s="1126"/>
      <c r="AQ133" s="1126"/>
      <c r="AR133" s="1126"/>
      <c r="AS133" s="1126"/>
      <c r="AT133" s="1126"/>
      <c r="AU133" s="413"/>
      <c r="AV133" s="1075"/>
    </row>
    <row r="134" spans="1:48" ht="15" customHeight="1" x14ac:dyDescent="0.2">
      <c r="A134" s="1076"/>
      <c r="B134" s="1380" t="str">
        <f t="shared" si="3"/>
        <v>Desk 22</v>
      </c>
      <c r="C134" s="1390" t="str">
        <f>IF('TB IMA general'!C107&lt;&gt;"",'TB IMA general'!C107,"")</f>
        <v/>
      </c>
      <c r="D134" s="1126"/>
      <c r="E134" s="1126"/>
      <c r="F134" s="1126"/>
      <c r="G134" s="1126"/>
      <c r="H134" s="1126"/>
      <c r="I134" s="1126"/>
      <c r="J134" s="1126"/>
      <c r="K134" s="1126"/>
      <c r="L134" s="1126"/>
      <c r="M134" s="1126"/>
      <c r="N134" s="1126"/>
      <c r="O134" s="1126"/>
      <c r="P134" s="1126"/>
      <c r="Q134" s="1126"/>
      <c r="R134" s="1126"/>
      <c r="S134" s="1126"/>
      <c r="T134" s="1126"/>
      <c r="U134" s="1126"/>
      <c r="V134" s="1126"/>
      <c r="W134" s="1126"/>
      <c r="X134" s="1126"/>
      <c r="Y134" s="1126"/>
      <c r="Z134" s="1126"/>
      <c r="AA134" s="1126"/>
      <c r="AB134" s="1126"/>
      <c r="AC134" s="1126"/>
      <c r="AD134" s="1126"/>
      <c r="AE134" s="1126"/>
      <c r="AF134" s="1126"/>
      <c r="AG134" s="1126"/>
      <c r="AH134" s="1126"/>
      <c r="AI134" s="1126"/>
      <c r="AJ134" s="1126"/>
      <c r="AK134" s="1126"/>
      <c r="AL134" s="1126"/>
      <c r="AM134" s="1126"/>
      <c r="AN134" s="1126"/>
      <c r="AO134" s="1126"/>
      <c r="AP134" s="1126"/>
      <c r="AQ134" s="1126"/>
      <c r="AR134" s="1126"/>
      <c r="AS134" s="1126"/>
      <c r="AT134" s="1126"/>
      <c r="AU134" s="413"/>
      <c r="AV134" s="1075"/>
    </row>
    <row r="135" spans="1:48" ht="15" customHeight="1" x14ac:dyDescent="0.2">
      <c r="A135" s="1076"/>
      <c r="B135" s="1380" t="str">
        <f t="shared" si="3"/>
        <v>Desk 23</v>
      </c>
      <c r="C135" s="1390" t="str">
        <f>IF('TB IMA general'!C108&lt;&gt;"",'TB IMA general'!C108,"")</f>
        <v/>
      </c>
      <c r="D135" s="1126"/>
      <c r="E135" s="1126"/>
      <c r="F135" s="1126"/>
      <c r="G135" s="1126"/>
      <c r="H135" s="1126"/>
      <c r="I135" s="1126"/>
      <c r="J135" s="1126"/>
      <c r="K135" s="1126"/>
      <c r="L135" s="1126"/>
      <c r="M135" s="1126"/>
      <c r="N135" s="1126"/>
      <c r="O135" s="1126"/>
      <c r="P135" s="1126"/>
      <c r="Q135" s="1126"/>
      <c r="R135" s="1126"/>
      <c r="S135" s="1126"/>
      <c r="T135" s="1126"/>
      <c r="U135" s="1126"/>
      <c r="V135" s="1126"/>
      <c r="W135" s="1126"/>
      <c r="X135" s="1126"/>
      <c r="Y135" s="1126"/>
      <c r="Z135" s="1126"/>
      <c r="AA135" s="1126"/>
      <c r="AB135" s="1126"/>
      <c r="AC135" s="1126"/>
      <c r="AD135" s="1126"/>
      <c r="AE135" s="1126"/>
      <c r="AF135" s="1126"/>
      <c r="AG135" s="1126"/>
      <c r="AH135" s="1126"/>
      <c r="AI135" s="1126"/>
      <c r="AJ135" s="1126"/>
      <c r="AK135" s="1126"/>
      <c r="AL135" s="1126"/>
      <c r="AM135" s="1126"/>
      <c r="AN135" s="1126"/>
      <c r="AO135" s="1126"/>
      <c r="AP135" s="1126"/>
      <c r="AQ135" s="1126"/>
      <c r="AR135" s="1126"/>
      <c r="AS135" s="1126"/>
      <c r="AT135" s="1126"/>
      <c r="AU135" s="413"/>
      <c r="AV135" s="1075"/>
    </row>
    <row r="136" spans="1:48" ht="15" customHeight="1" x14ac:dyDescent="0.2">
      <c r="A136" s="1076"/>
      <c r="B136" s="1380" t="str">
        <f t="shared" si="3"/>
        <v>Desk 24</v>
      </c>
      <c r="C136" s="1390" t="str">
        <f>IF('TB IMA general'!C109&lt;&gt;"",'TB IMA general'!C109,"")</f>
        <v/>
      </c>
      <c r="D136" s="1126"/>
      <c r="E136" s="1126"/>
      <c r="F136" s="1126"/>
      <c r="G136" s="1126"/>
      <c r="H136" s="1126"/>
      <c r="I136" s="1126"/>
      <c r="J136" s="1126"/>
      <c r="K136" s="1126"/>
      <c r="L136" s="1126"/>
      <c r="M136" s="1126"/>
      <c r="N136" s="1126"/>
      <c r="O136" s="1126"/>
      <c r="P136" s="1126"/>
      <c r="Q136" s="1126"/>
      <c r="R136" s="1126"/>
      <c r="S136" s="1126"/>
      <c r="T136" s="1126"/>
      <c r="U136" s="1126"/>
      <c r="V136" s="1126"/>
      <c r="W136" s="1126"/>
      <c r="X136" s="1126"/>
      <c r="Y136" s="1126"/>
      <c r="Z136" s="1126"/>
      <c r="AA136" s="1126"/>
      <c r="AB136" s="1126"/>
      <c r="AC136" s="1126"/>
      <c r="AD136" s="1126"/>
      <c r="AE136" s="1126"/>
      <c r="AF136" s="1126"/>
      <c r="AG136" s="1126"/>
      <c r="AH136" s="1126"/>
      <c r="AI136" s="1126"/>
      <c r="AJ136" s="1126"/>
      <c r="AK136" s="1126"/>
      <c r="AL136" s="1126"/>
      <c r="AM136" s="1126"/>
      <c r="AN136" s="1126"/>
      <c r="AO136" s="1126"/>
      <c r="AP136" s="1126"/>
      <c r="AQ136" s="1126"/>
      <c r="AR136" s="1126"/>
      <c r="AS136" s="1126"/>
      <c r="AT136" s="1126"/>
      <c r="AU136" s="413"/>
      <c r="AV136" s="1075"/>
    </row>
    <row r="137" spans="1:48" ht="15" customHeight="1" x14ac:dyDescent="0.2">
      <c r="A137" s="1076"/>
      <c r="B137" s="1380" t="str">
        <f t="shared" si="3"/>
        <v>Desk 25</v>
      </c>
      <c r="C137" s="1390" t="str">
        <f>IF('TB IMA general'!C110&lt;&gt;"",'TB IMA general'!C110,"")</f>
        <v/>
      </c>
      <c r="D137" s="1126"/>
      <c r="E137" s="1126"/>
      <c r="F137" s="1126"/>
      <c r="G137" s="1126"/>
      <c r="H137" s="1126"/>
      <c r="I137" s="1126"/>
      <c r="J137" s="1126"/>
      <c r="K137" s="1126"/>
      <c r="L137" s="1126"/>
      <c r="M137" s="1126"/>
      <c r="N137" s="1126"/>
      <c r="O137" s="1126"/>
      <c r="P137" s="1126"/>
      <c r="Q137" s="1126"/>
      <c r="R137" s="1126"/>
      <c r="S137" s="1126"/>
      <c r="T137" s="1126"/>
      <c r="U137" s="1126"/>
      <c r="V137" s="1126"/>
      <c r="W137" s="1126"/>
      <c r="X137" s="1126"/>
      <c r="Y137" s="1126"/>
      <c r="Z137" s="1126"/>
      <c r="AA137" s="1126"/>
      <c r="AB137" s="1126"/>
      <c r="AC137" s="1126"/>
      <c r="AD137" s="1126"/>
      <c r="AE137" s="1126"/>
      <c r="AF137" s="1126"/>
      <c r="AG137" s="1126"/>
      <c r="AH137" s="1126"/>
      <c r="AI137" s="1126"/>
      <c r="AJ137" s="1126"/>
      <c r="AK137" s="1126"/>
      <c r="AL137" s="1126"/>
      <c r="AM137" s="1126"/>
      <c r="AN137" s="1126"/>
      <c r="AO137" s="1126"/>
      <c r="AP137" s="1126"/>
      <c r="AQ137" s="1126"/>
      <c r="AR137" s="1126"/>
      <c r="AS137" s="1126"/>
      <c r="AT137" s="1126"/>
      <c r="AU137" s="413"/>
      <c r="AV137" s="1075"/>
    </row>
    <row r="138" spans="1:48" ht="15" customHeight="1" x14ac:dyDescent="0.2">
      <c r="A138" s="1076"/>
      <c r="B138" s="1380" t="str">
        <f t="shared" si="3"/>
        <v>Desk 26</v>
      </c>
      <c r="C138" s="1390" t="str">
        <f>IF('TB IMA general'!C111&lt;&gt;"",'TB IMA general'!C111,"")</f>
        <v/>
      </c>
      <c r="D138" s="1126"/>
      <c r="E138" s="1126"/>
      <c r="F138" s="1126"/>
      <c r="G138" s="1126"/>
      <c r="H138" s="1126"/>
      <c r="I138" s="1126"/>
      <c r="J138" s="1126"/>
      <c r="K138" s="1126"/>
      <c r="L138" s="1126"/>
      <c r="M138" s="1126"/>
      <c r="N138" s="1126"/>
      <c r="O138" s="1126"/>
      <c r="P138" s="1126"/>
      <c r="Q138" s="1126"/>
      <c r="R138" s="1126"/>
      <c r="S138" s="1126"/>
      <c r="T138" s="1126"/>
      <c r="U138" s="1126"/>
      <c r="V138" s="1126"/>
      <c r="W138" s="1126"/>
      <c r="X138" s="1126"/>
      <c r="Y138" s="1126"/>
      <c r="Z138" s="1126"/>
      <c r="AA138" s="1126"/>
      <c r="AB138" s="1126"/>
      <c r="AC138" s="1126"/>
      <c r="AD138" s="1126"/>
      <c r="AE138" s="1126"/>
      <c r="AF138" s="1126"/>
      <c r="AG138" s="1126"/>
      <c r="AH138" s="1126"/>
      <c r="AI138" s="1126"/>
      <c r="AJ138" s="1126"/>
      <c r="AK138" s="1126"/>
      <c r="AL138" s="1126"/>
      <c r="AM138" s="1126"/>
      <c r="AN138" s="1126"/>
      <c r="AO138" s="1126"/>
      <c r="AP138" s="1126"/>
      <c r="AQ138" s="1126"/>
      <c r="AR138" s="1126"/>
      <c r="AS138" s="1126"/>
      <c r="AT138" s="1126"/>
      <c r="AU138" s="413"/>
      <c r="AV138" s="1075"/>
    </row>
    <row r="139" spans="1:48" ht="15" customHeight="1" x14ac:dyDescent="0.2">
      <c r="A139" s="1076"/>
      <c r="B139" s="1380" t="str">
        <f t="shared" si="3"/>
        <v>Desk 27</v>
      </c>
      <c r="C139" s="1390" t="str">
        <f>IF('TB IMA general'!C112&lt;&gt;"",'TB IMA general'!C112,"")</f>
        <v/>
      </c>
      <c r="D139" s="1126"/>
      <c r="E139" s="1126"/>
      <c r="F139" s="1126"/>
      <c r="G139" s="1126"/>
      <c r="H139" s="1126"/>
      <c r="I139" s="1126"/>
      <c r="J139" s="1126"/>
      <c r="K139" s="1126"/>
      <c r="L139" s="1126"/>
      <c r="M139" s="1126"/>
      <c r="N139" s="1126"/>
      <c r="O139" s="1126"/>
      <c r="P139" s="1126"/>
      <c r="Q139" s="1126"/>
      <c r="R139" s="1126"/>
      <c r="S139" s="1126"/>
      <c r="T139" s="1126"/>
      <c r="U139" s="1126"/>
      <c r="V139" s="1126"/>
      <c r="W139" s="1126"/>
      <c r="X139" s="1126"/>
      <c r="Y139" s="1126"/>
      <c r="Z139" s="1126"/>
      <c r="AA139" s="1126"/>
      <c r="AB139" s="1126"/>
      <c r="AC139" s="1126"/>
      <c r="AD139" s="1126"/>
      <c r="AE139" s="1126"/>
      <c r="AF139" s="1126"/>
      <c r="AG139" s="1126"/>
      <c r="AH139" s="1126"/>
      <c r="AI139" s="1126"/>
      <c r="AJ139" s="1126"/>
      <c r="AK139" s="1126"/>
      <c r="AL139" s="1126"/>
      <c r="AM139" s="1126"/>
      <c r="AN139" s="1126"/>
      <c r="AO139" s="1126"/>
      <c r="AP139" s="1126"/>
      <c r="AQ139" s="1126"/>
      <c r="AR139" s="1126"/>
      <c r="AS139" s="1126"/>
      <c r="AT139" s="1126"/>
      <c r="AU139" s="413"/>
      <c r="AV139" s="1075"/>
    </row>
    <row r="140" spans="1:48" ht="15" customHeight="1" x14ac:dyDescent="0.2">
      <c r="A140" s="1076"/>
      <c r="B140" s="1380" t="str">
        <f t="shared" si="3"/>
        <v>Desk 28</v>
      </c>
      <c r="C140" s="1390" t="str">
        <f>IF('TB IMA general'!C113&lt;&gt;"",'TB IMA general'!C113,"")</f>
        <v/>
      </c>
      <c r="D140" s="1126"/>
      <c r="E140" s="1126"/>
      <c r="F140" s="1126"/>
      <c r="G140" s="1126"/>
      <c r="H140" s="1126"/>
      <c r="I140" s="1126"/>
      <c r="J140" s="1126"/>
      <c r="K140" s="1126"/>
      <c r="L140" s="1126"/>
      <c r="M140" s="1126"/>
      <c r="N140" s="1126"/>
      <c r="O140" s="1126"/>
      <c r="P140" s="1126"/>
      <c r="Q140" s="1126"/>
      <c r="R140" s="1126"/>
      <c r="S140" s="1126"/>
      <c r="T140" s="1126"/>
      <c r="U140" s="1126"/>
      <c r="V140" s="1126"/>
      <c r="W140" s="1126"/>
      <c r="X140" s="1126"/>
      <c r="Y140" s="1126"/>
      <c r="Z140" s="1126"/>
      <c r="AA140" s="1126"/>
      <c r="AB140" s="1126"/>
      <c r="AC140" s="1126"/>
      <c r="AD140" s="1126"/>
      <c r="AE140" s="1126"/>
      <c r="AF140" s="1126"/>
      <c r="AG140" s="1126"/>
      <c r="AH140" s="1126"/>
      <c r="AI140" s="1126"/>
      <c r="AJ140" s="1126"/>
      <c r="AK140" s="1126"/>
      <c r="AL140" s="1126"/>
      <c r="AM140" s="1126"/>
      <c r="AN140" s="1126"/>
      <c r="AO140" s="1126"/>
      <c r="AP140" s="1126"/>
      <c r="AQ140" s="1126"/>
      <c r="AR140" s="1126"/>
      <c r="AS140" s="1126"/>
      <c r="AT140" s="1126"/>
      <c r="AU140" s="413"/>
      <c r="AV140" s="1075"/>
    </row>
    <row r="141" spans="1:48" ht="15" customHeight="1" x14ac:dyDescent="0.2">
      <c r="A141" s="1076"/>
      <c r="B141" s="1380" t="str">
        <f t="shared" si="3"/>
        <v>Desk 29</v>
      </c>
      <c r="C141" s="1390" t="str">
        <f>IF('TB IMA general'!C114&lt;&gt;"",'TB IMA general'!C114,"")</f>
        <v/>
      </c>
      <c r="D141" s="1126"/>
      <c r="E141" s="1126"/>
      <c r="F141" s="1126"/>
      <c r="G141" s="1126"/>
      <c r="H141" s="1126"/>
      <c r="I141" s="1126"/>
      <c r="J141" s="1126"/>
      <c r="K141" s="1126"/>
      <c r="L141" s="1126"/>
      <c r="M141" s="1126"/>
      <c r="N141" s="1126"/>
      <c r="O141" s="1126"/>
      <c r="P141" s="1126"/>
      <c r="Q141" s="1126"/>
      <c r="R141" s="1126"/>
      <c r="S141" s="1126"/>
      <c r="T141" s="1126"/>
      <c r="U141" s="1126"/>
      <c r="V141" s="1126"/>
      <c r="W141" s="1126"/>
      <c r="X141" s="1126"/>
      <c r="Y141" s="1126"/>
      <c r="Z141" s="1126"/>
      <c r="AA141" s="1126"/>
      <c r="AB141" s="1126"/>
      <c r="AC141" s="1126"/>
      <c r="AD141" s="1126"/>
      <c r="AE141" s="1126"/>
      <c r="AF141" s="1126"/>
      <c r="AG141" s="1126"/>
      <c r="AH141" s="1126"/>
      <c r="AI141" s="1126"/>
      <c r="AJ141" s="1126"/>
      <c r="AK141" s="1126"/>
      <c r="AL141" s="1126"/>
      <c r="AM141" s="1126"/>
      <c r="AN141" s="1126"/>
      <c r="AO141" s="1126"/>
      <c r="AP141" s="1126"/>
      <c r="AQ141" s="1126"/>
      <c r="AR141" s="1126"/>
      <c r="AS141" s="1126"/>
      <c r="AT141" s="1126"/>
      <c r="AU141" s="413"/>
      <c r="AV141" s="1075"/>
    </row>
    <row r="142" spans="1:48" ht="15" customHeight="1" x14ac:dyDescent="0.2">
      <c r="A142" s="1076"/>
      <c r="B142" s="1380" t="str">
        <f t="shared" si="3"/>
        <v>Desk 30</v>
      </c>
      <c r="C142" s="1390" t="str">
        <f>IF('TB IMA general'!C115&lt;&gt;"",'TB IMA general'!C115,"")</f>
        <v/>
      </c>
      <c r="D142" s="1126"/>
      <c r="E142" s="1126"/>
      <c r="F142" s="1126"/>
      <c r="G142" s="1126"/>
      <c r="H142" s="1126"/>
      <c r="I142" s="1126"/>
      <c r="J142" s="1126"/>
      <c r="K142" s="1126"/>
      <c r="L142" s="1126"/>
      <c r="M142" s="1126"/>
      <c r="N142" s="1126"/>
      <c r="O142" s="1126"/>
      <c r="P142" s="1126"/>
      <c r="Q142" s="1126"/>
      <c r="R142" s="1126"/>
      <c r="S142" s="1126"/>
      <c r="T142" s="1126"/>
      <c r="U142" s="1126"/>
      <c r="V142" s="1126"/>
      <c r="W142" s="1126"/>
      <c r="X142" s="1126"/>
      <c r="Y142" s="1126"/>
      <c r="Z142" s="1126"/>
      <c r="AA142" s="1126"/>
      <c r="AB142" s="1126"/>
      <c r="AC142" s="1126"/>
      <c r="AD142" s="1126"/>
      <c r="AE142" s="1126"/>
      <c r="AF142" s="1126"/>
      <c r="AG142" s="1126"/>
      <c r="AH142" s="1126"/>
      <c r="AI142" s="1126"/>
      <c r="AJ142" s="1126"/>
      <c r="AK142" s="1126"/>
      <c r="AL142" s="1126"/>
      <c r="AM142" s="1126"/>
      <c r="AN142" s="1126"/>
      <c r="AO142" s="1126"/>
      <c r="AP142" s="1126"/>
      <c r="AQ142" s="1126"/>
      <c r="AR142" s="1126"/>
      <c r="AS142" s="1126"/>
      <c r="AT142" s="1126"/>
      <c r="AU142" s="413"/>
      <c r="AV142" s="1075"/>
    </row>
    <row r="143" spans="1:48" ht="15" customHeight="1" x14ac:dyDescent="0.2">
      <c r="A143" s="1076"/>
      <c r="B143" s="1380" t="str">
        <f t="shared" si="3"/>
        <v>Desk 31</v>
      </c>
      <c r="C143" s="1390" t="str">
        <f>IF('TB IMA general'!C116&lt;&gt;"",'TB IMA general'!C116,"")</f>
        <v/>
      </c>
      <c r="D143" s="1126"/>
      <c r="E143" s="1126"/>
      <c r="F143" s="1126"/>
      <c r="G143" s="1126"/>
      <c r="H143" s="1126"/>
      <c r="I143" s="1126"/>
      <c r="J143" s="1126"/>
      <c r="K143" s="1126"/>
      <c r="L143" s="1126"/>
      <c r="M143" s="1126"/>
      <c r="N143" s="1126"/>
      <c r="O143" s="1126"/>
      <c r="P143" s="1126"/>
      <c r="Q143" s="1126"/>
      <c r="R143" s="1126"/>
      <c r="S143" s="1126"/>
      <c r="T143" s="1126"/>
      <c r="U143" s="1126"/>
      <c r="V143" s="1126"/>
      <c r="W143" s="1126"/>
      <c r="X143" s="1126"/>
      <c r="Y143" s="1126"/>
      <c r="Z143" s="1126"/>
      <c r="AA143" s="1126"/>
      <c r="AB143" s="1126"/>
      <c r="AC143" s="1126"/>
      <c r="AD143" s="1126"/>
      <c r="AE143" s="1126"/>
      <c r="AF143" s="1126"/>
      <c r="AG143" s="1126"/>
      <c r="AH143" s="1126"/>
      <c r="AI143" s="1126"/>
      <c r="AJ143" s="1126"/>
      <c r="AK143" s="1126"/>
      <c r="AL143" s="1126"/>
      <c r="AM143" s="1126"/>
      <c r="AN143" s="1126"/>
      <c r="AO143" s="1126"/>
      <c r="AP143" s="1126"/>
      <c r="AQ143" s="1126"/>
      <c r="AR143" s="1126"/>
      <c r="AS143" s="1126"/>
      <c r="AT143" s="1126"/>
      <c r="AU143" s="413"/>
      <c r="AV143" s="1075"/>
    </row>
    <row r="144" spans="1:48" ht="15" customHeight="1" x14ac:dyDescent="0.2">
      <c r="A144" s="1076"/>
      <c r="B144" s="1380" t="str">
        <f t="shared" si="3"/>
        <v>Desk 32</v>
      </c>
      <c r="C144" s="1390" t="str">
        <f>IF('TB IMA general'!C117&lt;&gt;"",'TB IMA general'!C117,"")</f>
        <v/>
      </c>
      <c r="D144" s="1126"/>
      <c r="E144" s="1126"/>
      <c r="F144" s="1126"/>
      <c r="G144" s="1126"/>
      <c r="H144" s="1126"/>
      <c r="I144" s="1126"/>
      <c r="J144" s="1126"/>
      <c r="K144" s="1126"/>
      <c r="L144" s="1126"/>
      <c r="M144" s="1126"/>
      <c r="N144" s="1126"/>
      <c r="O144" s="1126"/>
      <c r="P144" s="1126"/>
      <c r="Q144" s="1126"/>
      <c r="R144" s="1126"/>
      <c r="S144" s="1126"/>
      <c r="T144" s="1126"/>
      <c r="U144" s="1126"/>
      <c r="V144" s="1126"/>
      <c r="W144" s="1126"/>
      <c r="X144" s="1126"/>
      <c r="Y144" s="1126"/>
      <c r="Z144" s="1126"/>
      <c r="AA144" s="1126"/>
      <c r="AB144" s="1126"/>
      <c r="AC144" s="1126"/>
      <c r="AD144" s="1126"/>
      <c r="AE144" s="1126"/>
      <c r="AF144" s="1126"/>
      <c r="AG144" s="1126"/>
      <c r="AH144" s="1126"/>
      <c r="AI144" s="1126"/>
      <c r="AJ144" s="1126"/>
      <c r="AK144" s="1126"/>
      <c r="AL144" s="1126"/>
      <c r="AM144" s="1126"/>
      <c r="AN144" s="1126"/>
      <c r="AO144" s="1126"/>
      <c r="AP144" s="1126"/>
      <c r="AQ144" s="1126"/>
      <c r="AR144" s="1126"/>
      <c r="AS144" s="1126"/>
      <c r="AT144" s="1126"/>
      <c r="AU144" s="413"/>
      <c r="AV144" s="1075"/>
    </row>
    <row r="145" spans="1:48" ht="15" customHeight="1" x14ac:dyDescent="0.2">
      <c r="A145" s="1076"/>
      <c r="B145" s="1380" t="str">
        <f t="shared" si="3"/>
        <v>Desk 33</v>
      </c>
      <c r="C145" s="1390" t="str">
        <f>IF('TB IMA general'!C118&lt;&gt;"",'TB IMA general'!C118,"")</f>
        <v/>
      </c>
      <c r="D145" s="1126"/>
      <c r="E145" s="1126"/>
      <c r="F145" s="1126"/>
      <c r="G145" s="1126"/>
      <c r="H145" s="1126"/>
      <c r="I145" s="1126"/>
      <c r="J145" s="1126"/>
      <c r="K145" s="1126"/>
      <c r="L145" s="1126"/>
      <c r="M145" s="1126"/>
      <c r="N145" s="1126"/>
      <c r="O145" s="1126"/>
      <c r="P145" s="1126"/>
      <c r="Q145" s="1126"/>
      <c r="R145" s="1126"/>
      <c r="S145" s="1126"/>
      <c r="T145" s="1126"/>
      <c r="U145" s="1126"/>
      <c r="V145" s="1126"/>
      <c r="W145" s="1126"/>
      <c r="X145" s="1126"/>
      <c r="Y145" s="1126"/>
      <c r="Z145" s="1126"/>
      <c r="AA145" s="1126"/>
      <c r="AB145" s="1126"/>
      <c r="AC145" s="1126"/>
      <c r="AD145" s="1126"/>
      <c r="AE145" s="1126"/>
      <c r="AF145" s="1126"/>
      <c r="AG145" s="1126"/>
      <c r="AH145" s="1126"/>
      <c r="AI145" s="1126"/>
      <c r="AJ145" s="1126"/>
      <c r="AK145" s="1126"/>
      <c r="AL145" s="1126"/>
      <c r="AM145" s="1126"/>
      <c r="AN145" s="1126"/>
      <c r="AO145" s="1126"/>
      <c r="AP145" s="1126"/>
      <c r="AQ145" s="1126"/>
      <c r="AR145" s="1126"/>
      <c r="AS145" s="1126"/>
      <c r="AT145" s="1126"/>
      <c r="AU145" s="413"/>
      <c r="AV145" s="1075"/>
    </row>
    <row r="146" spans="1:48" ht="15" customHeight="1" x14ac:dyDescent="0.2">
      <c r="A146" s="1076"/>
      <c r="B146" s="1380" t="str">
        <f t="shared" si="3"/>
        <v>Desk 34</v>
      </c>
      <c r="C146" s="1390" t="str">
        <f>IF('TB IMA general'!C119&lt;&gt;"",'TB IMA general'!C119,"")</f>
        <v/>
      </c>
      <c r="D146" s="1126"/>
      <c r="E146" s="1126"/>
      <c r="F146" s="1126"/>
      <c r="G146" s="1126"/>
      <c r="H146" s="1126"/>
      <c r="I146" s="1126"/>
      <c r="J146" s="1126"/>
      <c r="K146" s="1126"/>
      <c r="L146" s="1126"/>
      <c r="M146" s="1126"/>
      <c r="N146" s="1126"/>
      <c r="O146" s="1126"/>
      <c r="P146" s="1126"/>
      <c r="Q146" s="1126"/>
      <c r="R146" s="1126"/>
      <c r="S146" s="1126"/>
      <c r="T146" s="1126"/>
      <c r="U146" s="1126"/>
      <c r="V146" s="1126"/>
      <c r="W146" s="1126"/>
      <c r="X146" s="1126"/>
      <c r="Y146" s="1126"/>
      <c r="Z146" s="1126"/>
      <c r="AA146" s="1126"/>
      <c r="AB146" s="1126"/>
      <c r="AC146" s="1126"/>
      <c r="AD146" s="1126"/>
      <c r="AE146" s="1126"/>
      <c r="AF146" s="1126"/>
      <c r="AG146" s="1126"/>
      <c r="AH146" s="1126"/>
      <c r="AI146" s="1126"/>
      <c r="AJ146" s="1126"/>
      <c r="AK146" s="1126"/>
      <c r="AL146" s="1126"/>
      <c r="AM146" s="1126"/>
      <c r="AN146" s="1126"/>
      <c r="AO146" s="1126"/>
      <c r="AP146" s="1126"/>
      <c r="AQ146" s="1126"/>
      <c r="AR146" s="1126"/>
      <c r="AS146" s="1126"/>
      <c r="AT146" s="1126"/>
      <c r="AU146" s="413"/>
      <c r="AV146" s="1075"/>
    </row>
    <row r="147" spans="1:48" ht="15" customHeight="1" x14ac:dyDescent="0.2">
      <c r="A147" s="1076"/>
      <c r="B147" s="1380" t="str">
        <f t="shared" si="3"/>
        <v>Desk 35</v>
      </c>
      <c r="C147" s="1390" t="str">
        <f>IF('TB IMA general'!C120&lt;&gt;"",'TB IMA general'!C120,"")</f>
        <v/>
      </c>
      <c r="D147" s="1126"/>
      <c r="E147" s="1126"/>
      <c r="F147" s="1126"/>
      <c r="G147" s="1126"/>
      <c r="H147" s="1126"/>
      <c r="I147" s="1126"/>
      <c r="J147" s="1126"/>
      <c r="K147" s="1126"/>
      <c r="L147" s="1126"/>
      <c r="M147" s="1126"/>
      <c r="N147" s="1126"/>
      <c r="O147" s="1126"/>
      <c r="P147" s="1126"/>
      <c r="Q147" s="1126"/>
      <c r="R147" s="1126"/>
      <c r="S147" s="1126"/>
      <c r="T147" s="1126"/>
      <c r="U147" s="1126"/>
      <c r="V147" s="1126"/>
      <c r="W147" s="1126"/>
      <c r="X147" s="1126"/>
      <c r="Y147" s="1126"/>
      <c r="Z147" s="1126"/>
      <c r="AA147" s="1126"/>
      <c r="AB147" s="1126"/>
      <c r="AC147" s="1126"/>
      <c r="AD147" s="1126"/>
      <c r="AE147" s="1126"/>
      <c r="AF147" s="1126"/>
      <c r="AG147" s="1126"/>
      <c r="AH147" s="1126"/>
      <c r="AI147" s="1126"/>
      <c r="AJ147" s="1126"/>
      <c r="AK147" s="1126"/>
      <c r="AL147" s="1126"/>
      <c r="AM147" s="1126"/>
      <c r="AN147" s="1126"/>
      <c r="AO147" s="1126"/>
      <c r="AP147" s="1126"/>
      <c r="AQ147" s="1126"/>
      <c r="AR147" s="1126"/>
      <c r="AS147" s="1126"/>
      <c r="AT147" s="1126"/>
      <c r="AU147" s="413"/>
      <c r="AV147" s="1075"/>
    </row>
    <row r="148" spans="1:48" ht="15" customHeight="1" x14ac:dyDescent="0.2">
      <c r="A148" s="1076"/>
      <c r="B148" s="1380" t="str">
        <f t="shared" si="3"/>
        <v>Desk 36</v>
      </c>
      <c r="C148" s="1390" t="str">
        <f>IF('TB IMA general'!C121&lt;&gt;"",'TB IMA general'!C121,"")</f>
        <v/>
      </c>
      <c r="D148" s="1126"/>
      <c r="E148" s="1126"/>
      <c r="F148" s="1126"/>
      <c r="G148" s="1126"/>
      <c r="H148" s="1126"/>
      <c r="I148" s="1126"/>
      <c r="J148" s="1126"/>
      <c r="K148" s="1126"/>
      <c r="L148" s="1126"/>
      <c r="M148" s="1126"/>
      <c r="N148" s="1126"/>
      <c r="O148" s="1126"/>
      <c r="P148" s="1126"/>
      <c r="Q148" s="1126"/>
      <c r="R148" s="1126"/>
      <c r="S148" s="1126"/>
      <c r="T148" s="1126"/>
      <c r="U148" s="1126"/>
      <c r="V148" s="1126"/>
      <c r="W148" s="1126"/>
      <c r="X148" s="1126"/>
      <c r="Y148" s="1126"/>
      <c r="Z148" s="1126"/>
      <c r="AA148" s="1126"/>
      <c r="AB148" s="1126"/>
      <c r="AC148" s="1126"/>
      <c r="AD148" s="1126"/>
      <c r="AE148" s="1126"/>
      <c r="AF148" s="1126"/>
      <c r="AG148" s="1126"/>
      <c r="AH148" s="1126"/>
      <c r="AI148" s="1126"/>
      <c r="AJ148" s="1126"/>
      <c r="AK148" s="1126"/>
      <c r="AL148" s="1126"/>
      <c r="AM148" s="1126"/>
      <c r="AN148" s="1126"/>
      <c r="AO148" s="1126"/>
      <c r="AP148" s="1126"/>
      <c r="AQ148" s="1126"/>
      <c r="AR148" s="1126"/>
      <c r="AS148" s="1126"/>
      <c r="AT148" s="1126"/>
      <c r="AU148" s="413"/>
      <c r="AV148" s="1075"/>
    </row>
    <row r="149" spans="1:48" ht="15" customHeight="1" x14ac:dyDescent="0.2">
      <c r="A149" s="1076"/>
      <c r="B149" s="1380" t="str">
        <f t="shared" si="3"/>
        <v>Desk 37</v>
      </c>
      <c r="C149" s="1390" t="str">
        <f>IF('TB IMA general'!C122&lt;&gt;"",'TB IMA general'!C122,"")</f>
        <v/>
      </c>
      <c r="D149" s="1126"/>
      <c r="E149" s="1126"/>
      <c r="F149" s="1126"/>
      <c r="G149" s="1126"/>
      <c r="H149" s="1126"/>
      <c r="I149" s="1126"/>
      <c r="J149" s="1126"/>
      <c r="K149" s="1126"/>
      <c r="L149" s="1126"/>
      <c r="M149" s="1126"/>
      <c r="N149" s="1126"/>
      <c r="O149" s="1126"/>
      <c r="P149" s="1126"/>
      <c r="Q149" s="1126"/>
      <c r="R149" s="1126"/>
      <c r="S149" s="1126"/>
      <c r="T149" s="1126"/>
      <c r="U149" s="1126"/>
      <c r="V149" s="1126"/>
      <c r="W149" s="1126"/>
      <c r="X149" s="1126"/>
      <c r="Y149" s="1126"/>
      <c r="Z149" s="1126"/>
      <c r="AA149" s="1126"/>
      <c r="AB149" s="1126"/>
      <c r="AC149" s="1126"/>
      <c r="AD149" s="1126"/>
      <c r="AE149" s="1126"/>
      <c r="AF149" s="1126"/>
      <c r="AG149" s="1126"/>
      <c r="AH149" s="1126"/>
      <c r="AI149" s="1126"/>
      <c r="AJ149" s="1126"/>
      <c r="AK149" s="1126"/>
      <c r="AL149" s="1126"/>
      <c r="AM149" s="1126"/>
      <c r="AN149" s="1126"/>
      <c r="AO149" s="1126"/>
      <c r="AP149" s="1126"/>
      <c r="AQ149" s="1126"/>
      <c r="AR149" s="1126"/>
      <c r="AS149" s="1126"/>
      <c r="AT149" s="1126"/>
      <c r="AU149" s="413"/>
      <c r="AV149" s="1075"/>
    </row>
    <row r="150" spans="1:48" ht="15" customHeight="1" x14ac:dyDescent="0.2">
      <c r="A150" s="1076"/>
      <c r="B150" s="1380" t="str">
        <f t="shared" si="3"/>
        <v>Desk 38</v>
      </c>
      <c r="C150" s="1390" t="str">
        <f>IF('TB IMA general'!C123&lt;&gt;"",'TB IMA general'!C123,"")</f>
        <v/>
      </c>
      <c r="D150" s="1126"/>
      <c r="E150" s="1126"/>
      <c r="F150" s="1126"/>
      <c r="G150" s="1126"/>
      <c r="H150" s="1126"/>
      <c r="I150" s="1126"/>
      <c r="J150" s="1126"/>
      <c r="K150" s="1126"/>
      <c r="L150" s="1126"/>
      <c r="M150" s="1126"/>
      <c r="N150" s="1126"/>
      <c r="O150" s="1126"/>
      <c r="P150" s="1126"/>
      <c r="Q150" s="1126"/>
      <c r="R150" s="1126"/>
      <c r="S150" s="1126"/>
      <c r="T150" s="1126"/>
      <c r="U150" s="1126"/>
      <c r="V150" s="1126"/>
      <c r="W150" s="1126"/>
      <c r="X150" s="1126"/>
      <c r="Y150" s="1126"/>
      <c r="Z150" s="1126"/>
      <c r="AA150" s="1126"/>
      <c r="AB150" s="1126"/>
      <c r="AC150" s="1126"/>
      <c r="AD150" s="1126"/>
      <c r="AE150" s="1126"/>
      <c r="AF150" s="1126"/>
      <c r="AG150" s="1126"/>
      <c r="AH150" s="1126"/>
      <c r="AI150" s="1126"/>
      <c r="AJ150" s="1126"/>
      <c r="AK150" s="1126"/>
      <c r="AL150" s="1126"/>
      <c r="AM150" s="1126"/>
      <c r="AN150" s="1126"/>
      <c r="AO150" s="1126"/>
      <c r="AP150" s="1126"/>
      <c r="AQ150" s="1126"/>
      <c r="AR150" s="1126"/>
      <c r="AS150" s="1126"/>
      <c r="AT150" s="1126"/>
      <c r="AU150" s="413"/>
      <c r="AV150" s="1075"/>
    </row>
    <row r="151" spans="1:48" ht="15" customHeight="1" x14ac:dyDescent="0.2">
      <c r="A151" s="1076"/>
      <c r="B151" s="1380" t="str">
        <f t="shared" si="3"/>
        <v>Desk 39</v>
      </c>
      <c r="C151" s="1390" t="str">
        <f>IF('TB IMA general'!C124&lt;&gt;"",'TB IMA general'!C124,"")</f>
        <v/>
      </c>
      <c r="D151" s="1126"/>
      <c r="E151" s="1126"/>
      <c r="F151" s="1126"/>
      <c r="G151" s="1126"/>
      <c r="H151" s="1126"/>
      <c r="I151" s="1126"/>
      <c r="J151" s="1126"/>
      <c r="K151" s="1126"/>
      <c r="L151" s="1126"/>
      <c r="M151" s="1126"/>
      <c r="N151" s="1126"/>
      <c r="O151" s="1126"/>
      <c r="P151" s="1126"/>
      <c r="Q151" s="1126"/>
      <c r="R151" s="1126"/>
      <c r="S151" s="1126"/>
      <c r="T151" s="1126"/>
      <c r="U151" s="1126"/>
      <c r="V151" s="1126"/>
      <c r="W151" s="1126"/>
      <c r="X151" s="1126"/>
      <c r="Y151" s="1126"/>
      <c r="Z151" s="1126"/>
      <c r="AA151" s="1126"/>
      <c r="AB151" s="1126"/>
      <c r="AC151" s="1126"/>
      <c r="AD151" s="1126"/>
      <c r="AE151" s="1126"/>
      <c r="AF151" s="1126"/>
      <c r="AG151" s="1126"/>
      <c r="AH151" s="1126"/>
      <c r="AI151" s="1126"/>
      <c r="AJ151" s="1126"/>
      <c r="AK151" s="1126"/>
      <c r="AL151" s="1126"/>
      <c r="AM151" s="1126"/>
      <c r="AN151" s="1126"/>
      <c r="AO151" s="1126"/>
      <c r="AP151" s="1126"/>
      <c r="AQ151" s="1126"/>
      <c r="AR151" s="1126"/>
      <c r="AS151" s="1126"/>
      <c r="AT151" s="1126"/>
      <c r="AU151" s="413"/>
      <c r="AV151" s="1075"/>
    </row>
    <row r="152" spans="1:48" ht="15" customHeight="1" x14ac:dyDescent="0.2">
      <c r="A152" s="1076"/>
      <c r="B152" s="1380" t="str">
        <f t="shared" si="3"/>
        <v>Desk 40</v>
      </c>
      <c r="C152" s="1390" t="str">
        <f>IF('TB IMA general'!C125&lt;&gt;"",'TB IMA general'!C125,"")</f>
        <v/>
      </c>
      <c r="D152" s="1126"/>
      <c r="E152" s="1126"/>
      <c r="F152" s="1126"/>
      <c r="G152" s="1126"/>
      <c r="H152" s="1126"/>
      <c r="I152" s="1126"/>
      <c r="J152" s="1126"/>
      <c r="K152" s="1126"/>
      <c r="L152" s="1126"/>
      <c r="M152" s="1126"/>
      <c r="N152" s="1126"/>
      <c r="O152" s="1126"/>
      <c r="P152" s="1126"/>
      <c r="Q152" s="1126"/>
      <c r="R152" s="1126"/>
      <c r="S152" s="1126"/>
      <c r="T152" s="1126"/>
      <c r="U152" s="1126"/>
      <c r="V152" s="1126"/>
      <c r="W152" s="1126"/>
      <c r="X152" s="1126"/>
      <c r="Y152" s="1126"/>
      <c r="Z152" s="1126"/>
      <c r="AA152" s="1126"/>
      <c r="AB152" s="1126"/>
      <c r="AC152" s="1126"/>
      <c r="AD152" s="1126"/>
      <c r="AE152" s="1126"/>
      <c r="AF152" s="1126"/>
      <c r="AG152" s="1126"/>
      <c r="AH152" s="1126"/>
      <c r="AI152" s="1126"/>
      <c r="AJ152" s="1126"/>
      <c r="AK152" s="1126"/>
      <c r="AL152" s="1126"/>
      <c r="AM152" s="1126"/>
      <c r="AN152" s="1126"/>
      <c r="AO152" s="1126"/>
      <c r="AP152" s="1126"/>
      <c r="AQ152" s="1126"/>
      <c r="AR152" s="1126"/>
      <c r="AS152" s="1126"/>
      <c r="AT152" s="1126"/>
      <c r="AU152" s="413"/>
      <c r="AV152" s="1075"/>
    </row>
    <row r="153" spans="1:48" ht="15" customHeight="1" x14ac:dyDescent="0.2">
      <c r="A153" s="1076"/>
      <c r="B153" s="1380" t="str">
        <f t="shared" si="3"/>
        <v>Desk 41</v>
      </c>
      <c r="C153" s="1390" t="str">
        <f>IF('TB IMA general'!C126&lt;&gt;"",'TB IMA general'!C126,"")</f>
        <v/>
      </c>
      <c r="D153" s="1126"/>
      <c r="E153" s="1126"/>
      <c r="F153" s="1126"/>
      <c r="G153" s="1126"/>
      <c r="H153" s="1126"/>
      <c r="I153" s="1126"/>
      <c r="J153" s="1126"/>
      <c r="K153" s="1126"/>
      <c r="L153" s="1126"/>
      <c r="M153" s="1126"/>
      <c r="N153" s="1126"/>
      <c r="O153" s="1126"/>
      <c r="P153" s="1126"/>
      <c r="Q153" s="1126"/>
      <c r="R153" s="1126"/>
      <c r="S153" s="1126"/>
      <c r="T153" s="1126"/>
      <c r="U153" s="1126"/>
      <c r="V153" s="1126"/>
      <c r="W153" s="1126"/>
      <c r="X153" s="1126"/>
      <c r="Y153" s="1126"/>
      <c r="Z153" s="1126"/>
      <c r="AA153" s="1126"/>
      <c r="AB153" s="1126"/>
      <c r="AC153" s="1126"/>
      <c r="AD153" s="1126"/>
      <c r="AE153" s="1126"/>
      <c r="AF153" s="1126"/>
      <c r="AG153" s="1126"/>
      <c r="AH153" s="1126"/>
      <c r="AI153" s="1126"/>
      <c r="AJ153" s="1126"/>
      <c r="AK153" s="1126"/>
      <c r="AL153" s="1126"/>
      <c r="AM153" s="1126"/>
      <c r="AN153" s="1126"/>
      <c r="AO153" s="1126"/>
      <c r="AP153" s="1126"/>
      <c r="AQ153" s="1126"/>
      <c r="AR153" s="1126"/>
      <c r="AS153" s="1126"/>
      <c r="AT153" s="1126"/>
      <c r="AU153" s="413"/>
      <c r="AV153" s="1075"/>
    </row>
    <row r="154" spans="1:48" ht="15" customHeight="1" x14ac:dyDescent="0.2">
      <c r="A154" s="1076"/>
      <c r="B154" s="1380" t="str">
        <f t="shared" si="3"/>
        <v>Desk 42</v>
      </c>
      <c r="C154" s="1390" t="str">
        <f>IF('TB IMA general'!C127&lt;&gt;"",'TB IMA general'!C127,"")</f>
        <v/>
      </c>
      <c r="D154" s="1126"/>
      <c r="E154" s="1126"/>
      <c r="F154" s="1126"/>
      <c r="G154" s="1126"/>
      <c r="H154" s="1126"/>
      <c r="I154" s="1126"/>
      <c r="J154" s="1126"/>
      <c r="K154" s="1126"/>
      <c r="L154" s="1126"/>
      <c r="M154" s="1126"/>
      <c r="N154" s="1126"/>
      <c r="O154" s="1126"/>
      <c r="P154" s="1126"/>
      <c r="Q154" s="1126"/>
      <c r="R154" s="1126"/>
      <c r="S154" s="1126"/>
      <c r="T154" s="1126"/>
      <c r="U154" s="1126"/>
      <c r="V154" s="1126"/>
      <c r="W154" s="1126"/>
      <c r="X154" s="1126"/>
      <c r="Y154" s="1126"/>
      <c r="Z154" s="1126"/>
      <c r="AA154" s="1126"/>
      <c r="AB154" s="1126"/>
      <c r="AC154" s="1126"/>
      <c r="AD154" s="1126"/>
      <c r="AE154" s="1126"/>
      <c r="AF154" s="1126"/>
      <c r="AG154" s="1126"/>
      <c r="AH154" s="1126"/>
      <c r="AI154" s="1126"/>
      <c r="AJ154" s="1126"/>
      <c r="AK154" s="1126"/>
      <c r="AL154" s="1126"/>
      <c r="AM154" s="1126"/>
      <c r="AN154" s="1126"/>
      <c r="AO154" s="1126"/>
      <c r="AP154" s="1126"/>
      <c r="AQ154" s="1126"/>
      <c r="AR154" s="1126"/>
      <c r="AS154" s="1126"/>
      <c r="AT154" s="1126"/>
      <c r="AU154" s="413"/>
      <c r="AV154" s="1075"/>
    </row>
    <row r="155" spans="1:48" ht="15" customHeight="1" x14ac:dyDescent="0.2">
      <c r="A155" s="1076"/>
      <c r="B155" s="1380" t="str">
        <f t="shared" si="3"/>
        <v>Desk 43</v>
      </c>
      <c r="C155" s="1390" t="str">
        <f>IF('TB IMA general'!C128&lt;&gt;"",'TB IMA general'!C128,"")</f>
        <v/>
      </c>
      <c r="D155" s="1126"/>
      <c r="E155" s="1126"/>
      <c r="F155" s="1126"/>
      <c r="G155" s="1126"/>
      <c r="H155" s="1126"/>
      <c r="I155" s="1126"/>
      <c r="J155" s="1126"/>
      <c r="K155" s="1126"/>
      <c r="L155" s="1126"/>
      <c r="M155" s="1126"/>
      <c r="N155" s="1126"/>
      <c r="O155" s="1126"/>
      <c r="P155" s="1126"/>
      <c r="Q155" s="1126"/>
      <c r="R155" s="1126"/>
      <c r="S155" s="1126"/>
      <c r="T155" s="1126"/>
      <c r="U155" s="1126"/>
      <c r="V155" s="1126"/>
      <c r="W155" s="1126"/>
      <c r="X155" s="1126"/>
      <c r="Y155" s="1126"/>
      <c r="Z155" s="1126"/>
      <c r="AA155" s="1126"/>
      <c r="AB155" s="1126"/>
      <c r="AC155" s="1126"/>
      <c r="AD155" s="1126"/>
      <c r="AE155" s="1126"/>
      <c r="AF155" s="1126"/>
      <c r="AG155" s="1126"/>
      <c r="AH155" s="1126"/>
      <c r="AI155" s="1126"/>
      <c r="AJ155" s="1126"/>
      <c r="AK155" s="1126"/>
      <c r="AL155" s="1126"/>
      <c r="AM155" s="1126"/>
      <c r="AN155" s="1126"/>
      <c r="AO155" s="1126"/>
      <c r="AP155" s="1126"/>
      <c r="AQ155" s="1126"/>
      <c r="AR155" s="1126"/>
      <c r="AS155" s="1126"/>
      <c r="AT155" s="1126"/>
      <c r="AU155" s="413"/>
      <c r="AV155" s="1075"/>
    </row>
    <row r="156" spans="1:48" ht="15" customHeight="1" x14ac:dyDescent="0.2">
      <c r="A156" s="1076"/>
      <c r="B156" s="1380" t="str">
        <f t="shared" si="3"/>
        <v>Desk 44</v>
      </c>
      <c r="C156" s="1390" t="str">
        <f>IF('TB IMA general'!C129&lt;&gt;"",'TB IMA general'!C129,"")</f>
        <v/>
      </c>
      <c r="D156" s="1126"/>
      <c r="E156" s="1126"/>
      <c r="F156" s="1126"/>
      <c r="G156" s="1126"/>
      <c r="H156" s="1126"/>
      <c r="I156" s="1126"/>
      <c r="J156" s="1126"/>
      <c r="K156" s="1126"/>
      <c r="L156" s="1126"/>
      <c r="M156" s="1126"/>
      <c r="N156" s="1126"/>
      <c r="O156" s="1126"/>
      <c r="P156" s="1126"/>
      <c r="Q156" s="1126"/>
      <c r="R156" s="1126"/>
      <c r="S156" s="1126"/>
      <c r="T156" s="1126"/>
      <c r="U156" s="1126"/>
      <c r="V156" s="1126"/>
      <c r="W156" s="1126"/>
      <c r="X156" s="1126"/>
      <c r="Y156" s="1126"/>
      <c r="Z156" s="1126"/>
      <c r="AA156" s="1126"/>
      <c r="AB156" s="1126"/>
      <c r="AC156" s="1126"/>
      <c r="AD156" s="1126"/>
      <c r="AE156" s="1126"/>
      <c r="AF156" s="1126"/>
      <c r="AG156" s="1126"/>
      <c r="AH156" s="1126"/>
      <c r="AI156" s="1126"/>
      <c r="AJ156" s="1126"/>
      <c r="AK156" s="1126"/>
      <c r="AL156" s="1126"/>
      <c r="AM156" s="1126"/>
      <c r="AN156" s="1126"/>
      <c r="AO156" s="1126"/>
      <c r="AP156" s="1126"/>
      <c r="AQ156" s="1126"/>
      <c r="AR156" s="1126"/>
      <c r="AS156" s="1126"/>
      <c r="AT156" s="1126"/>
      <c r="AU156" s="413"/>
      <c r="AV156" s="1075"/>
    </row>
    <row r="157" spans="1:48" ht="15" customHeight="1" x14ac:dyDescent="0.2">
      <c r="A157" s="1076"/>
      <c r="B157" s="1380" t="str">
        <f t="shared" si="3"/>
        <v>Desk 45</v>
      </c>
      <c r="C157" s="1390" t="str">
        <f>IF('TB IMA general'!C130&lt;&gt;"",'TB IMA general'!C130,"")</f>
        <v/>
      </c>
      <c r="D157" s="1126"/>
      <c r="E157" s="1126"/>
      <c r="F157" s="1126"/>
      <c r="G157" s="1126"/>
      <c r="H157" s="1126"/>
      <c r="I157" s="1126"/>
      <c r="J157" s="1126"/>
      <c r="K157" s="1126"/>
      <c r="L157" s="1126"/>
      <c r="M157" s="1126"/>
      <c r="N157" s="1126"/>
      <c r="O157" s="1126"/>
      <c r="P157" s="1126"/>
      <c r="Q157" s="1126"/>
      <c r="R157" s="1126"/>
      <c r="S157" s="1126"/>
      <c r="T157" s="1126"/>
      <c r="U157" s="1126"/>
      <c r="V157" s="1126"/>
      <c r="W157" s="1126"/>
      <c r="X157" s="1126"/>
      <c r="Y157" s="1126"/>
      <c r="Z157" s="1126"/>
      <c r="AA157" s="1126"/>
      <c r="AB157" s="1126"/>
      <c r="AC157" s="1126"/>
      <c r="AD157" s="1126"/>
      <c r="AE157" s="1126"/>
      <c r="AF157" s="1126"/>
      <c r="AG157" s="1126"/>
      <c r="AH157" s="1126"/>
      <c r="AI157" s="1126"/>
      <c r="AJ157" s="1126"/>
      <c r="AK157" s="1126"/>
      <c r="AL157" s="1126"/>
      <c r="AM157" s="1126"/>
      <c r="AN157" s="1126"/>
      <c r="AO157" s="1126"/>
      <c r="AP157" s="1126"/>
      <c r="AQ157" s="1126"/>
      <c r="AR157" s="1126"/>
      <c r="AS157" s="1126"/>
      <c r="AT157" s="1126"/>
      <c r="AU157" s="413"/>
      <c r="AV157" s="1075"/>
    </row>
    <row r="158" spans="1:48" ht="15" customHeight="1" x14ac:dyDescent="0.2">
      <c r="A158" s="1076"/>
      <c r="B158" s="1380" t="str">
        <f t="shared" si="3"/>
        <v>Desk 46</v>
      </c>
      <c r="C158" s="1390" t="str">
        <f>IF('TB IMA general'!C131&lt;&gt;"",'TB IMA general'!C131,"")</f>
        <v/>
      </c>
      <c r="D158" s="1126"/>
      <c r="E158" s="1126"/>
      <c r="F158" s="1126"/>
      <c r="G158" s="1126"/>
      <c r="H158" s="1126"/>
      <c r="I158" s="1126"/>
      <c r="J158" s="1126"/>
      <c r="K158" s="1126"/>
      <c r="L158" s="1126"/>
      <c r="M158" s="1126"/>
      <c r="N158" s="1126"/>
      <c r="O158" s="1126"/>
      <c r="P158" s="1126"/>
      <c r="Q158" s="1126"/>
      <c r="R158" s="1126"/>
      <c r="S158" s="1126"/>
      <c r="T158" s="1126"/>
      <c r="U158" s="1126"/>
      <c r="V158" s="1126"/>
      <c r="W158" s="1126"/>
      <c r="X158" s="1126"/>
      <c r="Y158" s="1126"/>
      <c r="Z158" s="1126"/>
      <c r="AA158" s="1126"/>
      <c r="AB158" s="1126"/>
      <c r="AC158" s="1126"/>
      <c r="AD158" s="1126"/>
      <c r="AE158" s="1126"/>
      <c r="AF158" s="1126"/>
      <c r="AG158" s="1126"/>
      <c r="AH158" s="1126"/>
      <c r="AI158" s="1126"/>
      <c r="AJ158" s="1126"/>
      <c r="AK158" s="1126"/>
      <c r="AL158" s="1126"/>
      <c r="AM158" s="1126"/>
      <c r="AN158" s="1126"/>
      <c r="AO158" s="1126"/>
      <c r="AP158" s="1126"/>
      <c r="AQ158" s="1126"/>
      <c r="AR158" s="1126"/>
      <c r="AS158" s="1126"/>
      <c r="AT158" s="1126"/>
      <c r="AU158" s="413"/>
      <c r="AV158" s="1075"/>
    </row>
    <row r="159" spans="1:48" ht="15" customHeight="1" x14ac:dyDescent="0.2">
      <c r="A159" s="1076"/>
      <c r="B159" s="1380" t="str">
        <f t="shared" si="3"/>
        <v>Desk 47</v>
      </c>
      <c r="C159" s="1390" t="str">
        <f>IF('TB IMA general'!C132&lt;&gt;"",'TB IMA general'!C132,"")</f>
        <v/>
      </c>
      <c r="D159" s="1126"/>
      <c r="E159" s="1126"/>
      <c r="F159" s="1126"/>
      <c r="G159" s="1126"/>
      <c r="H159" s="1126"/>
      <c r="I159" s="1126"/>
      <c r="J159" s="1126"/>
      <c r="K159" s="1126"/>
      <c r="L159" s="1126"/>
      <c r="M159" s="1126"/>
      <c r="N159" s="1126"/>
      <c r="O159" s="1126"/>
      <c r="P159" s="1126"/>
      <c r="Q159" s="1126"/>
      <c r="R159" s="1126"/>
      <c r="S159" s="1126"/>
      <c r="T159" s="1126"/>
      <c r="U159" s="1126"/>
      <c r="V159" s="1126"/>
      <c r="W159" s="1126"/>
      <c r="X159" s="1126"/>
      <c r="Y159" s="1126"/>
      <c r="Z159" s="1126"/>
      <c r="AA159" s="1126"/>
      <c r="AB159" s="1126"/>
      <c r="AC159" s="1126"/>
      <c r="AD159" s="1126"/>
      <c r="AE159" s="1126"/>
      <c r="AF159" s="1126"/>
      <c r="AG159" s="1126"/>
      <c r="AH159" s="1126"/>
      <c r="AI159" s="1126"/>
      <c r="AJ159" s="1126"/>
      <c r="AK159" s="1126"/>
      <c r="AL159" s="1126"/>
      <c r="AM159" s="1126"/>
      <c r="AN159" s="1126"/>
      <c r="AO159" s="1126"/>
      <c r="AP159" s="1126"/>
      <c r="AQ159" s="1126"/>
      <c r="AR159" s="1126"/>
      <c r="AS159" s="1126"/>
      <c r="AT159" s="1126"/>
      <c r="AU159" s="413"/>
      <c r="AV159" s="1075"/>
    </row>
    <row r="160" spans="1:48" ht="15" customHeight="1" x14ac:dyDescent="0.2">
      <c r="A160" s="1076"/>
      <c r="B160" s="1380" t="str">
        <f t="shared" si="3"/>
        <v>Desk 48</v>
      </c>
      <c r="C160" s="1390" t="str">
        <f>IF('TB IMA general'!C133&lt;&gt;"",'TB IMA general'!C133,"")</f>
        <v/>
      </c>
      <c r="D160" s="1126"/>
      <c r="E160" s="1126"/>
      <c r="F160" s="1126"/>
      <c r="G160" s="1126"/>
      <c r="H160" s="1126"/>
      <c r="I160" s="1126"/>
      <c r="J160" s="1126"/>
      <c r="K160" s="1126"/>
      <c r="L160" s="1126"/>
      <c r="M160" s="1126"/>
      <c r="N160" s="1126"/>
      <c r="O160" s="1126"/>
      <c r="P160" s="1126"/>
      <c r="Q160" s="1126"/>
      <c r="R160" s="1126"/>
      <c r="S160" s="1126"/>
      <c r="T160" s="1126"/>
      <c r="U160" s="1126"/>
      <c r="V160" s="1126"/>
      <c r="W160" s="1126"/>
      <c r="X160" s="1126"/>
      <c r="Y160" s="1126"/>
      <c r="Z160" s="1126"/>
      <c r="AA160" s="1126"/>
      <c r="AB160" s="1126"/>
      <c r="AC160" s="1126"/>
      <c r="AD160" s="1126"/>
      <c r="AE160" s="1126"/>
      <c r="AF160" s="1126"/>
      <c r="AG160" s="1126"/>
      <c r="AH160" s="1126"/>
      <c r="AI160" s="1126"/>
      <c r="AJ160" s="1126"/>
      <c r="AK160" s="1126"/>
      <c r="AL160" s="1126"/>
      <c r="AM160" s="1126"/>
      <c r="AN160" s="1126"/>
      <c r="AO160" s="1126"/>
      <c r="AP160" s="1126"/>
      <c r="AQ160" s="1126"/>
      <c r="AR160" s="1126"/>
      <c r="AS160" s="1126"/>
      <c r="AT160" s="1126"/>
      <c r="AU160" s="413"/>
      <c r="AV160" s="1075"/>
    </row>
    <row r="161" spans="1:48" ht="15" customHeight="1" x14ac:dyDescent="0.2">
      <c r="A161" s="1076"/>
      <c r="B161" s="1380" t="str">
        <f t="shared" si="3"/>
        <v>Desk 49</v>
      </c>
      <c r="C161" s="1390" t="str">
        <f>IF('TB IMA general'!C134&lt;&gt;"",'TB IMA general'!C134,"")</f>
        <v/>
      </c>
      <c r="D161" s="1126"/>
      <c r="E161" s="1126"/>
      <c r="F161" s="1126"/>
      <c r="G161" s="1126"/>
      <c r="H161" s="1126"/>
      <c r="I161" s="1126"/>
      <c r="J161" s="1126"/>
      <c r="K161" s="1126"/>
      <c r="L161" s="1126"/>
      <c r="M161" s="1126"/>
      <c r="N161" s="1126"/>
      <c r="O161" s="1126"/>
      <c r="P161" s="1126"/>
      <c r="Q161" s="1126"/>
      <c r="R161" s="1126"/>
      <c r="S161" s="1126"/>
      <c r="T161" s="1126"/>
      <c r="U161" s="1126"/>
      <c r="V161" s="1126"/>
      <c r="W161" s="1126"/>
      <c r="X161" s="1126"/>
      <c r="Y161" s="1126"/>
      <c r="Z161" s="1126"/>
      <c r="AA161" s="1126"/>
      <c r="AB161" s="1126"/>
      <c r="AC161" s="1126"/>
      <c r="AD161" s="1126"/>
      <c r="AE161" s="1126"/>
      <c r="AF161" s="1126"/>
      <c r="AG161" s="1126"/>
      <c r="AH161" s="1126"/>
      <c r="AI161" s="1126"/>
      <c r="AJ161" s="1126"/>
      <c r="AK161" s="1126"/>
      <c r="AL161" s="1126"/>
      <c r="AM161" s="1126"/>
      <c r="AN161" s="1126"/>
      <c r="AO161" s="1126"/>
      <c r="AP161" s="1126"/>
      <c r="AQ161" s="1126"/>
      <c r="AR161" s="1126"/>
      <c r="AS161" s="1126"/>
      <c r="AT161" s="1126"/>
      <c r="AU161" s="413"/>
      <c r="AV161" s="1075"/>
    </row>
    <row r="162" spans="1:48" ht="15" customHeight="1" x14ac:dyDescent="0.2">
      <c r="A162" s="1076"/>
      <c r="B162" s="1380" t="str">
        <f t="shared" si="3"/>
        <v>Desk 50</v>
      </c>
      <c r="C162" s="1390" t="str">
        <f>IF('TB IMA general'!C135&lt;&gt;"",'TB IMA general'!C135,"")</f>
        <v/>
      </c>
      <c r="D162" s="1126"/>
      <c r="E162" s="1126"/>
      <c r="F162" s="1126"/>
      <c r="G162" s="1126"/>
      <c r="H162" s="1126"/>
      <c r="I162" s="1126"/>
      <c r="J162" s="1126"/>
      <c r="K162" s="1126"/>
      <c r="L162" s="1126"/>
      <c r="M162" s="1126"/>
      <c r="N162" s="1126"/>
      <c r="O162" s="1126"/>
      <c r="P162" s="1126"/>
      <c r="Q162" s="1126"/>
      <c r="R162" s="1126"/>
      <c r="S162" s="1126"/>
      <c r="T162" s="1126"/>
      <c r="U162" s="1126"/>
      <c r="V162" s="1126"/>
      <c r="W162" s="1126"/>
      <c r="X162" s="1126"/>
      <c r="Y162" s="1126"/>
      <c r="Z162" s="1126"/>
      <c r="AA162" s="1126"/>
      <c r="AB162" s="1126"/>
      <c r="AC162" s="1126"/>
      <c r="AD162" s="1126"/>
      <c r="AE162" s="1126"/>
      <c r="AF162" s="1126"/>
      <c r="AG162" s="1126"/>
      <c r="AH162" s="1126"/>
      <c r="AI162" s="1126"/>
      <c r="AJ162" s="1126"/>
      <c r="AK162" s="1126"/>
      <c r="AL162" s="1126"/>
      <c r="AM162" s="1126"/>
      <c r="AN162" s="1126"/>
      <c r="AO162" s="1126"/>
      <c r="AP162" s="1126"/>
      <c r="AQ162" s="1126"/>
      <c r="AR162" s="1126"/>
      <c r="AS162" s="1126"/>
      <c r="AT162" s="1126"/>
      <c r="AU162" s="413"/>
      <c r="AV162" s="1075"/>
    </row>
    <row r="163" spans="1:48" ht="15" customHeight="1" x14ac:dyDescent="0.2">
      <c r="A163" s="1076"/>
      <c r="B163" s="1380" t="str">
        <f t="shared" si="3"/>
        <v>Desk 51</v>
      </c>
      <c r="C163" s="1390" t="str">
        <f>IF('TB IMA general'!C136&lt;&gt;"",'TB IMA general'!C136,"")</f>
        <v/>
      </c>
      <c r="D163" s="1126"/>
      <c r="E163" s="1126"/>
      <c r="F163" s="1126"/>
      <c r="G163" s="1126"/>
      <c r="H163" s="1126"/>
      <c r="I163" s="1126"/>
      <c r="J163" s="1126"/>
      <c r="K163" s="1126"/>
      <c r="L163" s="1126"/>
      <c r="M163" s="1126"/>
      <c r="N163" s="1126"/>
      <c r="O163" s="1126"/>
      <c r="P163" s="1126"/>
      <c r="Q163" s="1126"/>
      <c r="R163" s="1126"/>
      <c r="S163" s="1126"/>
      <c r="T163" s="1126"/>
      <c r="U163" s="1126"/>
      <c r="V163" s="1126"/>
      <c r="W163" s="1126"/>
      <c r="X163" s="1126"/>
      <c r="Y163" s="1126"/>
      <c r="Z163" s="1126"/>
      <c r="AA163" s="1126"/>
      <c r="AB163" s="1126"/>
      <c r="AC163" s="1126"/>
      <c r="AD163" s="1126"/>
      <c r="AE163" s="1126"/>
      <c r="AF163" s="1126"/>
      <c r="AG163" s="1126"/>
      <c r="AH163" s="1126"/>
      <c r="AI163" s="1126"/>
      <c r="AJ163" s="1126"/>
      <c r="AK163" s="1126"/>
      <c r="AL163" s="1126"/>
      <c r="AM163" s="1126"/>
      <c r="AN163" s="1126"/>
      <c r="AO163" s="1126"/>
      <c r="AP163" s="1126"/>
      <c r="AQ163" s="1126"/>
      <c r="AR163" s="1126"/>
      <c r="AS163" s="1126"/>
      <c r="AT163" s="1126"/>
      <c r="AU163" s="413"/>
      <c r="AV163" s="1075"/>
    </row>
    <row r="164" spans="1:48" ht="15" customHeight="1" x14ac:dyDescent="0.2">
      <c r="A164" s="1076"/>
      <c r="B164" s="1380" t="str">
        <f t="shared" si="3"/>
        <v>Desk 52</v>
      </c>
      <c r="C164" s="1390" t="str">
        <f>IF('TB IMA general'!C137&lt;&gt;"",'TB IMA general'!C137,"")</f>
        <v/>
      </c>
      <c r="D164" s="1126"/>
      <c r="E164" s="1126"/>
      <c r="F164" s="1126"/>
      <c r="G164" s="1126"/>
      <c r="H164" s="1126"/>
      <c r="I164" s="1126"/>
      <c r="J164" s="1126"/>
      <c r="K164" s="1126"/>
      <c r="L164" s="1126"/>
      <c r="M164" s="1126"/>
      <c r="N164" s="1126"/>
      <c r="O164" s="1126"/>
      <c r="P164" s="1126"/>
      <c r="Q164" s="1126"/>
      <c r="R164" s="1126"/>
      <c r="S164" s="1126"/>
      <c r="T164" s="1126"/>
      <c r="U164" s="1126"/>
      <c r="V164" s="1126"/>
      <c r="W164" s="1126"/>
      <c r="X164" s="1126"/>
      <c r="Y164" s="1126"/>
      <c r="Z164" s="1126"/>
      <c r="AA164" s="1126"/>
      <c r="AB164" s="1126"/>
      <c r="AC164" s="1126"/>
      <c r="AD164" s="1126"/>
      <c r="AE164" s="1126"/>
      <c r="AF164" s="1126"/>
      <c r="AG164" s="1126"/>
      <c r="AH164" s="1126"/>
      <c r="AI164" s="1126"/>
      <c r="AJ164" s="1126"/>
      <c r="AK164" s="1126"/>
      <c r="AL164" s="1126"/>
      <c r="AM164" s="1126"/>
      <c r="AN164" s="1126"/>
      <c r="AO164" s="1126"/>
      <c r="AP164" s="1126"/>
      <c r="AQ164" s="1126"/>
      <c r="AR164" s="1126"/>
      <c r="AS164" s="1126"/>
      <c r="AT164" s="1126"/>
      <c r="AU164" s="413"/>
      <c r="AV164" s="1075"/>
    </row>
    <row r="165" spans="1:48" ht="15" customHeight="1" x14ac:dyDescent="0.2">
      <c r="A165" s="1076"/>
      <c r="B165" s="1380" t="str">
        <f t="shared" si="3"/>
        <v>Desk 53</v>
      </c>
      <c r="C165" s="1390" t="str">
        <f>IF('TB IMA general'!C138&lt;&gt;"",'TB IMA general'!C138,"")</f>
        <v/>
      </c>
      <c r="D165" s="1126"/>
      <c r="E165" s="1126"/>
      <c r="F165" s="1126"/>
      <c r="G165" s="1126"/>
      <c r="H165" s="1126"/>
      <c r="I165" s="1126"/>
      <c r="J165" s="1126"/>
      <c r="K165" s="1126"/>
      <c r="L165" s="1126"/>
      <c r="M165" s="1126"/>
      <c r="N165" s="1126"/>
      <c r="O165" s="1126"/>
      <c r="P165" s="1126"/>
      <c r="Q165" s="1126"/>
      <c r="R165" s="1126"/>
      <c r="S165" s="1126"/>
      <c r="T165" s="1126"/>
      <c r="U165" s="1126"/>
      <c r="V165" s="1126"/>
      <c r="W165" s="1126"/>
      <c r="X165" s="1126"/>
      <c r="Y165" s="1126"/>
      <c r="Z165" s="1126"/>
      <c r="AA165" s="1126"/>
      <c r="AB165" s="1126"/>
      <c r="AC165" s="1126"/>
      <c r="AD165" s="1126"/>
      <c r="AE165" s="1126"/>
      <c r="AF165" s="1126"/>
      <c r="AG165" s="1126"/>
      <c r="AH165" s="1126"/>
      <c r="AI165" s="1126"/>
      <c r="AJ165" s="1126"/>
      <c r="AK165" s="1126"/>
      <c r="AL165" s="1126"/>
      <c r="AM165" s="1126"/>
      <c r="AN165" s="1126"/>
      <c r="AO165" s="1126"/>
      <c r="AP165" s="1126"/>
      <c r="AQ165" s="1126"/>
      <c r="AR165" s="1126"/>
      <c r="AS165" s="1126"/>
      <c r="AT165" s="1126"/>
      <c r="AU165" s="413"/>
      <c r="AV165" s="1075"/>
    </row>
    <row r="166" spans="1:48" ht="15" customHeight="1" x14ac:dyDescent="0.2">
      <c r="A166" s="1076"/>
      <c r="B166" s="1380" t="str">
        <f t="shared" si="3"/>
        <v>Desk 54</v>
      </c>
      <c r="C166" s="1390" t="str">
        <f>IF('TB IMA general'!C139&lt;&gt;"",'TB IMA general'!C139,"")</f>
        <v/>
      </c>
      <c r="D166" s="1126"/>
      <c r="E166" s="1126"/>
      <c r="F166" s="1126"/>
      <c r="G166" s="1126"/>
      <c r="H166" s="1126"/>
      <c r="I166" s="1126"/>
      <c r="J166" s="1126"/>
      <c r="K166" s="1126"/>
      <c r="L166" s="1126"/>
      <c r="M166" s="1126"/>
      <c r="N166" s="1126"/>
      <c r="O166" s="1126"/>
      <c r="P166" s="1126"/>
      <c r="Q166" s="1126"/>
      <c r="R166" s="1126"/>
      <c r="S166" s="1126"/>
      <c r="T166" s="1126"/>
      <c r="U166" s="1126"/>
      <c r="V166" s="1126"/>
      <c r="W166" s="1126"/>
      <c r="X166" s="1126"/>
      <c r="Y166" s="1126"/>
      <c r="Z166" s="1126"/>
      <c r="AA166" s="1126"/>
      <c r="AB166" s="1126"/>
      <c r="AC166" s="1126"/>
      <c r="AD166" s="1126"/>
      <c r="AE166" s="1126"/>
      <c r="AF166" s="1126"/>
      <c r="AG166" s="1126"/>
      <c r="AH166" s="1126"/>
      <c r="AI166" s="1126"/>
      <c r="AJ166" s="1126"/>
      <c r="AK166" s="1126"/>
      <c r="AL166" s="1126"/>
      <c r="AM166" s="1126"/>
      <c r="AN166" s="1126"/>
      <c r="AO166" s="1126"/>
      <c r="AP166" s="1126"/>
      <c r="AQ166" s="1126"/>
      <c r="AR166" s="1126"/>
      <c r="AS166" s="1126"/>
      <c r="AT166" s="1126"/>
      <c r="AU166" s="413"/>
      <c r="AV166" s="1075"/>
    </row>
    <row r="167" spans="1:48" ht="15" customHeight="1" x14ac:dyDescent="0.2">
      <c r="A167" s="1076"/>
      <c r="B167" s="1380" t="str">
        <f t="shared" si="3"/>
        <v>Desk 55</v>
      </c>
      <c r="C167" s="1390" t="str">
        <f>IF('TB IMA general'!C140&lt;&gt;"",'TB IMA general'!C140,"")</f>
        <v/>
      </c>
      <c r="D167" s="1126"/>
      <c r="E167" s="1126"/>
      <c r="F167" s="1126"/>
      <c r="G167" s="1126"/>
      <c r="H167" s="1126"/>
      <c r="I167" s="1126"/>
      <c r="J167" s="1126"/>
      <c r="K167" s="1126"/>
      <c r="L167" s="1126"/>
      <c r="M167" s="1126"/>
      <c r="N167" s="1126"/>
      <c r="O167" s="1126"/>
      <c r="P167" s="1126"/>
      <c r="Q167" s="1126"/>
      <c r="R167" s="1126"/>
      <c r="S167" s="1126"/>
      <c r="T167" s="1126"/>
      <c r="U167" s="1126"/>
      <c r="V167" s="1126"/>
      <c r="W167" s="1126"/>
      <c r="X167" s="1126"/>
      <c r="Y167" s="1126"/>
      <c r="Z167" s="1126"/>
      <c r="AA167" s="1126"/>
      <c r="AB167" s="1126"/>
      <c r="AC167" s="1126"/>
      <c r="AD167" s="1126"/>
      <c r="AE167" s="1126"/>
      <c r="AF167" s="1126"/>
      <c r="AG167" s="1126"/>
      <c r="AH167" s="1126"/>
      <c r="AI167" s="1126"/>
      <c r="AJ167" s="1126"/>
      <c r="AK167" s="1126"/>
      <c r="AL167" s="1126"/>
      <c r="AM167" s="1126"/>
      <c r="AN167" s="1126"/>
      <c r="AO167" s="1126"/>
      <c r="AP167" s="1126"/>
      <c r="AQ167" s="1126"/>
      <c r="AR167" s="1126"/>
      <c r="AS167" s="1126"/>
      <c r="AT167" s="1126"/>
      <c r="AU167" s="413"/>
      <c r="AV167" s="1075"/>
    </row>
    <row r="168" spans="1:48" ht="15" customHeight="1" x14ac:dyDescent="0.2">
      <c r="A168" s="1076"/>
      <c r="B168" s="1380" t="str">
        <f t="shared" si="3"/>
        <v>Desk 56</v>
      </c>
      <c r="C168" s="1390" t="str">
        <f>IF('TB IMA general'!C141&lt;&gt;"",'TB IMA general'!C141,"")</f>
        <v/>
      </c>
      <c r="D168" s="1126"/>
      <c r="E168" s="1126"/>
      <c r="F168" s="1126"/>
      <c r="G168" s="1126"/>
      <c r="H168" s="1126"/>
      <c r="I168" s="1126"/>
      <c r="J168" s="1126"/>
      <c r="K168" s="1126"/>
      <c r="L168" s="1126"/>
      <c r="M168" s="1126"/>
      <c r="N168" s="1126"/>
      <c r="O168" s="1126"/>
      <c r="P168" s="1126"/>
      <c r="Q168" s="1126"/>
      <c r="R168" s="1126"/>
      <c r="S168" s="1126"/>
      <c r="T168" s="1126"/>
      <c r="U168" s="1126"/>
      <c r="V168" s="1126"/>
      <c r="W168" s="1126"/>
      <c r="X168" s="1126"/>
      <c r="Y168" s="1126"/>
      <c r="Z168" s="1126"/>
      <c r="AA168" s="1126"/>
      <c r="AB168" s="1126"/>
      <c r="AC168" s="1126"/>
      <c r="AD168" s="1126"/>
      <c r="AE168" s="1126"/>
      <c r="AF168" s="1126"/>
      <c r="AG168" s="1126"/>
      <c r="AH168" s="1126"/>
      <c r="AI168" s="1126"/>
      <c r="AJ168" s="1126"/>
      <c r="AK168" s="1126"/>
      <c r="AL168" s="1126"/>
      <c r="AM168" s="1126"/>
      <c r="AN168" s="1126"/>
      <c r="AO168" s="1126"/>
      <c r="AP168" s="1126"/>
      <c r="AQ168" s="1126"/>
      <c r="AR168" s="1126"/>
      <c r="AS168" s="1126"/>
      <c r="AT168" s="1126"/>
      <c r="AU168" s="413"/>
      <c r="AV168" s="1075"/>
    </row>
    <row r="169" spans="1:48" ht="15" customHeight="1" x14ac:dyDescent="0.2">
      <c r="A169" s="1076"/>
      <c r="B169" s="1380" t="str">
        <f t="shared" si="3"/>
        <v>Desk 57</v>
      </c>
      <c r="C169" s="1390" t="str">
        <f>IF('TB IMA general'!C142&lt;&gt;"",'TB IMA general'!C142,"")</f>
        <v/>
      </c>
      <c r="D169" s="1126"/>
      <c r="E169" s="1126"/>
      <c r="F169" s="1126"/>
      <c r="G169" s="1126"/>
      <c r="H169" s="1126"/>
      <c r="I169" s="1126"/>
      <c r="J169" s="1126"/>
      <c r="K169" s="1126"/>
      <c r="L169" s="1126"/>
      <c r="M169" s="1126"/>
      <c r="N169" s="1126"/>
      <c r="O169" s="1126"/>
      <c r="P169" s="1126"/>
      <c r="Q169" s="1126"/>
      <c r="R169" s="1126"/>
      <c r="S169" s="1126"/>
      <c r="T169" s="1126"/>
      <c r="U169" s="1126"/>
      <c r="V169" s="1126"/>
      <c r="W169" s="1126"/>
      <c r="X169" s="1126"/>
      <c r="Y169" s="1126"/>
      <c r="Z169" s="1126"/>
      <c r="AA169" s="1126"/>
      <c r="AB169" s="1126"/>
      <c r="AC169" s="1126"/>
      <c r="AD169" s="1126"/>
      <c r="AE169" s="1126"/>
      <c r="AF169" s="1126"/>
      <c r="AG169" s="1126"/>
      <c r="AH169" s="1126"/>
      <c r="AI169" s="1126"/>
      <c r="AJ169" s="1126"/>
      <c r="AK169" s="1126"/>
      <c r="AL169" s="1126"/>
      <c r="AM169" s="1126"/>
      <c r="AN169" s="1126"/>
      <c r="AO169" s="1126"/>
      <c r="AP169" s="1126"/>
      <c r="AQ169" s="1126"/>
      <c r="AR169" s="1126"/>
      <c r="AS169" s="1126"/>
      <c r="AT169" s="1126"/>
      <c r="AU169" s="413"/>
      <c r="AV169" s="1075"/>
    </row>
    <row r="170" spans="1:48" ht="15" customHeight="1" x14ac:dyDescent="0.2">
      <c r="A170" s="1076"/>
      <c r="B170" s="1380" t="str">
        <f t="shared" si="3"/>
        <v>Desk 58</v>
      </c>
      <c r="C170" s="1390" t="str">
        <f>IF('TB IMA general'!C143&lt;&gt;"",'TB IMA general'!C143,"")</f>
        <v/>
      </c>
      <c r="D170" s="1126"/>
      <c r="E170" s="1126"/>
      <c r="F170" s="1126"/>
      <c r="G170" s="1126"/>
      <c r="H170" s="1126"/>
      <c r="I170" s="1126"/>
      <c r="J170" s="1126"/>
      <c r="K170" s="1126"/>
      <c r="L170" s="1126"/>
      <c r="M170" s="1126"/>
      <c r="N170" s="1126"/>
      <c r="O170" s="1126"/>
      <c r="P170" s="1126"/>
      <c r="Q170" s="1126"/>
      <c r="R170" s="1126"/>
      <c r="S170" s="1126"/>
      <c r="T170" s="1126"/>
      <c r="U170" s="1126"/>
      <c r="V170" s="1126"/>
      <c r="W170" s="1126"/>
      <c r="X170" s="1126"/>
      <c r="Y170" s="1126"/>
      <c r="Z170" s="1126"/>
      <c r="AA170" s="1126"/>
      <c r="AB170" s="1126"/>
      <c r="AC170" s="1126"/>
      <c r="AD170" s="1126"/>
      <c r="AE170" s="1126"/>
      <c r="AF170" s="1126"/>
      <c r="AG170" s="1126"/>
      <c r="AH170" s="1126"/>
      <c r="AI170" s="1126"/>
      <c r="AJ170" s="1126"/>
      <c r="AK170" s="1126"/>
      <c r="AL170" s="1126"/>
      <c r="AM170" s="1126"/>
      <c r="AN170" s="1126"/>
      <c r="AO170" s="1126"/>
      <c r="AP170" s="1126"/>
      <c r="AQ170" s="1126"/>
      <c r="AR170" s="1126"/>
      <c r="AS170" s="1126"/>
      <c r="AT170" s="1126"/>
      <c r="AU170" s="413"/>
      <c r="AV170" s="1075"/>
    </row>
    <row r="171" spans="1:48" ht="15" customHeight="1" x14ac:dyDescent="0.2">
      <c r="A171" s="1076"/>
      <c r="B171" s="1380" t="str">
        <f t="shared" si="3"/>
        <v>Desk 59</v>
      </c>
      <c r="C171" s="1390" t="str">
        <f>IF('TB IMA general'!C144&lt;&gt;"",'TB IMA general'!C144,"")</f>
        <v/>
      </c>
      <c r="D171" s="1126"/>
      <c r="E171" s="1126"/>
      <c r="F171" s="1126"/>
      <c r="G171" s="1126"/>
      <c r="H171" s="1126"/>
      <c r="I171" s="1126"/>
      <c r="J171" s="1126"/>
      <c r="K171" s="1126"/>
      <c r="L171" s="1126"/>
      <c r="M171" s="1126"/>
      <c r="N171" s="1126"/>
      <c r="O171" s="1126"/>
      <c r="P171" s="1126"/>
      <c r="Q171" s="1126"/>
      <c r="R171" s="1126"/>
      <c r="S171" s="1126"/>
      <c r="T171" s="1126"/>
      <c r="U171" s="1126"/>
      <c r="V171" s="1126"/>
      <c r="W171" s="1126"/>
      <c r="X171" s="1126"/>
      <c r="Y171" s="1126"/>
      <c r="Z171" s="1126"/>
      <c r="AA171" s="1126"/>
      <c r="AB171" s="1126"/>
      <c r="AC171" s="1126"/>
      <c r="AD171" s="1126"/>
      <c r="AE171" s="1126"/>
      <c r="AF171" s="1126"/>
      <c r="AG171" s="1126"/>
      <c r="AH171" s="1126"/>
      <c r="AI171" s="1126"/>
      <c r="AJ171" s="1126"/>
      <c r="AK171" s="1126"/>
      <c r="AL171" s="1126"/>
      <c r="AM171" s="1126"/>
      <c r="AN171" s="1126"/>
      <c r="AO171" s="1126"/>
      <c r="AP171" s="1126"/>
      <c r="AQ171" s="1126"/>
      <c r="AR171" s="1126"/>
      <c r="AS171" s="1126"/>
      <c r="AT171" s="1126"/>
      <c r="AU171" s="413"/>
      <c r="AV171" s="1075"/>
    </row>
    <row r="172" spans="1:48" ht="15" customHeight="1" x14ac:dyDescent="0.2">
      <c r="A172" s="1076"/>
      <c r="B172" s="1380" t="str">
        <f t="shared" si="3"/>
        <v>Desk 60</v>
      </c>
      <c r="C172" s="1390" t="str">
        <f>IF('TB IMA general'!C145&lt;&gt;"",'TB IMA general'!C145,"")</f>
        <v/>
      </c>
      <c r="D172" s="1126"/>
      <c r="E172" s="1126"/>
      <c r="F172" s="1126"/>
      <c r="G172" s="1126"/>
      <c r="H172" s="1126"/>
      <c r="I172" s="1126"/>
      <c r="J172" s="1126"/>
      <c r="K172" s="1126"/>
      <c r="L172" s="1126"/>
      <c r="M172" s="1126"/>
      <c r="N172" s="1126"/>
      <c r="O172" s="1126"/>
      <c r="P172" s="1126"/>
      <c r="Q172" s="1126"/>
      <c r="R172" s="1126"/>
      <c r="S172" s="1126"/>
      <c r="T172" s="1126"/>
      <c r="U172" s="1126"/>
      <c r="V172" s="1126"/>
      <c r="W172" s="1126"/>
      <c r="X172" s="1126"/>
      <c r="Y172" s="1126"/>
      <c r="Z172" s="1126"/>
      <c r="AA172" s="1126"/>
      <c r="AB172" s="1126"/>
      <c r="AC172" s="1126"/>
      <c r="AD172" s="1126"/>
      <c r="AE172" s="1126"/>
      <c r="AF172" s="1126"/>
      <c r="AG172" s="1126"/>
      <c r="AH172" s="1126"/>
      <c r="AI172" s="1126"/>
      <c r="AJ172" s="1126"/>
      <c r="AK172" s="1126"/>
      <c r="AL172" s="1126"/>
      <c r="AM172" s="1126"/>
      <c r="AN172" s="1126"/>
      <c r="AO172" s="1126"/>
      <c r="AP172" s="1126"/>
      <c r="AQ172" s="1126"/>
      <c r="AR172" s="1126"/>
      <c r="AS172" s="1126"/>
      <c r="AT172" s="1126"/>
      <c r="AU172" s="413"/>
      <c r="AV172" s="1075"/>
    </row>
    <row r="173" spans="1:48" ht="15" customHeight="1" x14ac:dyDescent="0.2">
      <c r="A173" s="1076"/>
      <c r="B173" s="1380" t="str">
        <f t="shared" si="3"/>
        <v>Desk 61</v>
      </c>
      <c r="C173" s="1390" t="str">
        <f>IF('TB IMA general'!C146&lt;&gt;"",'TB IMA general'!C146,"")</f>
        <v/>
      </c>
      <c r="D173" s="1126"/>
      <c r="E173" s="1126"/>
      <c r="F173" s="1126"/>
      <c r="G173" s="1126"/>
      <c r="H173" s="1126"/>
      <c r="I173" s="1126"/>
      <c r="J173" s="1126"/>
      <c r="K173" s="1126"/>
      <c r="L173" s="1126"/>
      <c r="M173" s="1126"/>
      <c r="N173" s="1126"/>
      <c r="O173" s="1126"/>
      <c r="P173" s="1126"/>
      <c r="Q173" s="1126"/>
      <c r="R173" s="1126"/>
      <c r="S173" s="1126"/>
      <c r="T173" s="1126"/>
      <c r="U173" s="1126"/>
      <c r="V173" s="1126"/>
      <c r="W173" s="1126"/>
      <c r="X173" s="1126"/>
      <c r="Y173" s="1126"/>
      <c r="Z173" s="1126"/>
      <c r="AA173" s="1126"/>
      <c r="AB173" s="1126"/>
      <c r="AC173" s="1126"/>
      <c r="AD173" s="1126"/>
      <c r="AE173" s="1126"/>
      <c r="AF173" s="1126"/>
      <c r="AG173" s="1126"/>
      <c r="AH173" s="1126"/>
      <c r="AI173" s="1126"/>
      <c r="AJ173" s="1126"/>
      <c r="AK173" s="1126"/>
      <c r="AL173" s="1126"/>
      <c r="AM173" s="1126"/>
      <c r="AN173" s="1126"/>
      <c r="AO173" s="1126"/>
      <c r="AP173" s="1126"/>
      <c r="AQ173" s="1126"/>
      <c r="AR173" s="1126"/>
      <c r="AS173" s="1126"/>
      <c r="AT173" s="1126"/>
      <c r="AU173" s="413"/>
      <c r="AV173" s="1075"/>
    </row>
    <row r="174" spans="1:48" ht="15" customHeight="1" x14ac:dyDescent="0.2">
      <c r="A174" s="1076"/>
      <c r="B174" s="1380" t="str">
        <f t="shared" si="3"/>
        <v>Desk 62</v>
      </c>
      <c r="C174" s="1390" t="str">
        <f>IF('TB IMA general'!C147&lt;&gt;"",'TB IMA general'!C147,"")</f>
        <v/>
      </c>
      <c r="D174" s="1126"/>
      <c r="E174" s="1126"/>
      <c r="F174" s="1126"/>
      <c r="G174" s="1126"/>
      <c r="H174" s="1126"/>
      <c r="I174" s="1126"/>
      <c r="J174" s="1126"/>
      <c r="K174" s="1126"/>
      <c r="L174" s="1126"/>
      <c r="M174" s="1126"/>
      <c r="N174" s="1126"/>
      <c r="O174" s="1126"/>
      <c r="P174" s="1126"/>
      <c r="Q174" s="1126"/>
      <c r="R174" s="1126"/>
      <c r="S174" s="1126"/>
      <c r="T174" s="1126"/>
      <c r="U174" s="1126"/>
      <c r="V174" s="1126"/>
      <c r="W174" s="1126"/>
      <c r="X174" s="1126"/>
      <c r="Y174" s="1126"/>
      <c r="Z174" s="1126"/>
      <c r="AA174" s="1126"/>
      <c r="AB174" s="1126"/>
      <c r="AC174" s="1126"/>
      <c r="AD174" s="1126"/>
      <c r="AE174" s="1126"/>
      <c r="AF174" s="1126"/>
      <c r="AG174" s="1126"/>
      <c r="AH174" s="1126"/>
      <c r="AI174" s="1126"/>
      <c r="AJ174" s="1126"/>
      <c r="AK174" s="1126"/>
      <c r="AL174" s="1126"/>
      <c r="AM174" s="1126"/>
      <c r="AN174" s="1126"/>
      <c r="AO174" s="1126"/>
      <c r="AP174" s="1126"/>
      <c r="AQ174" s="1126"/>
      <c r="AR174" s="1126"/>
      <c r="AS174" s="1126"/>
      <c r="AT174" s="1126"/>
      <c r="AU174" s="413"/>
      <c r="AV174" s="1075"/>
    </row>
    <row r="175" spans="1:48" ht="15" customHeight="1" x14ac:dyDescent="0.2">
      <c r="A175" s="1076"/>
      <c r="B175" s="1380" t="str">
        <f t="shared" si="3"/>
        <v>Desk 63</v>
      </c>
      <c r="C175" s="1390" t="str">
        <f>IF('TB IMA general'!C148&lt;&gt;"",'TB IMA general'!C148,"")</f>
        <v/>
      </c>
      <c r="D175" s="1126"/>
      <c r="E175" s="1126"/>
      <c r="F175" s="1126"/>
      <c r="G175" s="1126"/>
      <c r="H175" s="1126"/>
      <c r="I175" s="1126"/>
      <c r="J175" s="1126"/>
      <c r="K175" s="1126"/>
      <c r="L175" s="1126"/>
      <c r="M175" s="1126"/>
      <c r="N175" s="1126"/>
      <c r="O175" s="1126"/>
      <c r="P175" s="1126"/>
      <c r="Q175" s="1126"/>
      <c r="R175" s="1126"/>
      <c r="S175" s="1126"/>
      <c r="T175" s="1126"/>
      <c r="U175" s="1126"/>
      <c r="V175" s="1126"/>
      <c r="W175" s="1126"/>
      <c r="X175" s="1126"/>
      <c r="Y175" s="1126"/>
      <c r="Z175" s="1126"/>
      <c r="AA175" s="1126"/>
      <c r="AB175" s="1126"/>
      <c r="AC175" s="1126"/>
      <c r="AD175" s="1126"/>
      <c r="AE175" s="1126"/>
      <c r="AF175" s="1126"/>
      <c r="AG175" s="1126"/>
      <c r="AH175" s="1126"/>
      <c r="AI175" s="1126"/>
      <c r="AJ175" s="1126"/>
      <c r="AK175" s="1126"/>
      <c r="AL175" s="1126"/>
      <c r="AM175" s="1126"/>
      <c r="AN175" s="1126"/>
      <c r="AO175" s="1126"/>
      <c r="AP175" s="1126"/>
      <c r="AQ175" s="1126"/>
      <c r="AR175" s="1126"/>
      <c r="AS175" s="1126"/>
      <c r="AT175" s="1126"/>
      <c r="AU175" s="413"/>
      <c r="AV175" s="1075"/>
    </row>
    <row r="176" spans="1:48" ht="15" customHeight="1" x14ac:dyDescent="0.2">
      <c r="A176" s="1076"/>
      <c r="B176" s="1380" t="str">
        <f t="shared" si="3"/>
        <v>Desk 64</v>
      </c>
      <c r="C176" s="1390" t="str">
        <f>IF('TB IMA general'!C149&lt;&gt;"",'TB IMA general'!C149,"")</f>
        <v/>
      </c>
      <c r="D176" s="1126"/>
      <c r="E176" s="1126"/>
      <c r="F176" s="1126"/>
      <c r="G176" s="1126"/>
      <c r="H176" s="1126"/>
      <c r="I176" s="1126"/>
      <c r="J176" s="1126"/>
      <c r="K176" s="1126"/>
      <c r="L176" s="1126"/>
      <c r="M176" s="1126"/>
      <c r="N176" s="1126"/>
      <c r="O176" s="1126"/>
      <c r="P176" s="1126"/>
      <c r="Q176" s="1126"/>
      <c r="R176" s="1126"/>
      <c r="S176" s="1126"/>
      <c r="T176" s="1126"/>
      <c r="U176" s="1126"/>
      <c r="V176" s="1126"/>
      <c r="W176" s="1126"/>
      <c r="X176" s="1126"/>
      <c r="Y176" s="1126"/>
      <c r="Z176" s="1126"/>
      <c r="AA176" s="1126"/>
      <c r="AB176" s="1126"/>
      <c r="AC176" s="1126"/>
      <c r="AD176" s="1126"/>
      <c r="AE176" s="1126"/>
      <c r="AF176" s="1126"/>
      <c r="AG176" s="1126"/>
      <c r="AH176" s="1126"/>
      <c r="AI176" s="1126"/>
      <c r="AJ176" s="1126"/>
      <c r="AK176" s="1126"/>
      <c r="AL176" s="1126"/>
      <c r="AM176" s="1126"/>
      <c r="AN176" s="1126"/>
      <c r="AO176" s="1126"/>
      <c r="AP176" s="1126"/>
      <c r="AQ176" s="1126"/>
      <c r="AR176" s="1126"/>
      <c r="AS176" s="1126"/>
      <c r="AT176" s="1126"/>
      <c r="AU176" s="413"/>
      <c r="AV176" s="1075"/>
    </row>
    <row r="177" spans="1:48" ht="15" customHeight="1" x14ac:dyDescent="0.2">
      <c r="A177" s="1076"/>
      <c r="B177" s="1380" t="str">
        <f t="shared" si="3"/>
        <v>Desk 65</v>
      </c>
      <c r="C177" s="1390" t="str">
        <f>IF('TB IMA general'!C150&lt;&gt;"",'TB IMA general'!C150,"")</f>
        <v/>
      </c>
      <c r="D177" s="1126"/>
      <c r="E177" s="1126"/>
      <c r="F177" s="1126"/>
      <c r="G177" s="1126"/>
      <c r="H177" s="1126"/>
      <c r="I177" s="1126"/>
      <c r="J177" s="1126"/>
      <c r="K177" s="1126"/>
      <c r="L177" s="1126"/>
      <c r="M177" s="1126"/>
      <c r="N177" s="1126"/>
      <c r="O177" s="1126"/>
      <c r="P177" s="1126"/>
      <c r="Q177" s="1126"/>
      <c r="R177" s="1126"/>
      <c r="S177" s="1126"/>
      <c r="T177" s="1126"/>
      <c r="U177" s="1126"/>
      <c r="V177" s="1126"/>
      <c r="W177" s="1126"/>
      <c r="X177" s="1126"/>
      <c r="Y177" s="1126"/>
      <c r="Z177" s="1126"/>
      <c r="AA177" s="1126"/>
      <c r="AB177" s="1126"/>
      <c r="AC177" s="1126"/>
      <c r="AD177" s="1126"/>
      <c r="AE177" s="1126"/>
      <c r="AF177" s="1126"/>
      <c r="AG177" s="1126"/>
      <c r="AH177" s="1126"/>
      <c r="AI177" s="1126"/>
      <c r="AJ177" s="1126"/>
      <c r="AK177" s="1126"/>
      <c r="AL177" s="1126"/>
      <c r="AM177" s="1126"/>
      <c r="AN177" s="1126"/>
      <c r="AO177" s="1126"/>
      <c r="AP177" s="1126"/>
      <c r="AQ177" s="1126"/>
      <c r="AR177" s="1126"/>
      <c r="AS177" s="1126"/>
      <c r="AT177" s="1126"/>
      <c r="AU177" s="413"/>
      <c r="AV177" s="1075"/>
    </row>
    <row r="178" spans="1:48" ht="15" customHeight="1" x14ac:dyDescent="0.2">
      <c r="A178" s="1076"/>
      <c r="B178" s="1380" t="str">
        <f t="shared" ref="B178:B212" si="4">"Desk " &amp; (ROW(B178)-ROW(B$112))</f>
        <v>Desk 66</v>
      </c>
      <c r="C178" s="1390" t="str">
        <f>IF('TB IMA general'!C151&lt;&gt;"",'TB IMA general'!C151,"")</f>
        <v/>
      </c>
      <c r="D178" s="1126"/>
      <c r="E178" s="1126"/>
      <c r="F178" s="1126"/>
      <c r="G178" s="1126"/>
      <c r="H178" s="1126"/>
      <c r="I178" s="1126"/>
      <c r="J178" s="1126"/>
      <c r="K178" s="1126"/>
      <c r="L178" s="1126"/>
      <c r="M178" s="1126"/>
      <c r="N178" s="1126"/>
      <c r="O178" s="1126"/>
      <c r="P178" s="1126"/>
      <c r="Q178" s="1126"/>
      <c r="R178" s="1126"/>
      <c r="S178" s="1126"/>
      <c r="T178" s="1126"/>
      <c r="U178" s="1126"/>
      <c r="V178" s="1126"/>
      <c r="W178" s="1126"/>
      <c r="X178" s="1126"/>
      <c r="Y178" s="1126"/>
      <c r="Z178" s="1126"/>
      <c r="AA178" s="1126"/>
      <c r="AB178" s="1126"/>
      <c r="AC178" s="1126"/>
      <c r="AD178" s="1126"/>
      <c r="AE178" s="1126"/>
      <c r="AF178" s="1126"/>
      <c r="AG178" s="1126"/>
      <c r="AH178" s="1126"/>
      <c r="AI178" s="1126"/>
      <c r="AJ178" s="1126"/>
      <c r="AK178" s="1126"/>
      <c r="AL178" s="1126"/>
      <c r="AM178" s="1126"/>
      <c r="AN178" s="1126"/>
      <c r="AO178" s="1126"/>
      <c r="AP178" s="1126"/>
      <c r="AQ178" s="1126"/>
      <c r="AR178" s="1126"/>
      <c r="AS178" s="1126"/>
      <c r="AT178" s="1126"/>
      <c r="AU178" s="413"/>
      <c r="AV178" s="1075"/>
    </row>
    <row r="179" spans="1:48" ht="15" customHeight="1" x14ac:dyDescent="0.2">
      <c r="A179" s="1076"/>
      <c r="B179" s="1380" t="str">
        <f t="shared" si="4"/>
        <v>Desk 67</v>
      </c>
      <c r="C179" s="1390" t="str">
        <f>IF('TB IMA general'!C152&lt;&gt;"",'TB IMA general'!C152,"")</f>
        <v/>
      </c>
      <c r="D179" s="1126"/>
      <c r="E179" s="1126"/>
      <c r="F179" s="1126"/>
      <c r="G179" s="1126"/>
      <c r="H179" s="1126"/>
      <c r="I179" s="1126"/>
      <c r="J179" s="1126"/>
      <c r="K179" s="1126"/>
      <c r="L179" s="1126"/>
      <c r="M179" s="1126"/>
      <c r="N179" s="1126"/>
      <c r="O179" s="1126"/>
      <c r="P179" s="1126"/>
      <c r="Q179" s="1126"/>
      <c r="R179" s="1126"/>
      <c r="S179" s="1126"/>
      <c r="T179" s="1126"/>
      <c r="U179" s="1126"/>
      <c r="V179" s="1126"/>
      <c r="W179" s="1126"/>
      <c r="X179" s="1126"/>
      <c r="Y179" s="1126"/>
      <c r="Z179" s="1126"/>
      <c r="AA179" s="1126"/>
      <c r="AB179" s="1126"/>
      <c r="AC179" s="1126"/>
      <c r="AD179" s="1126"/>
      <c r="AE179" s="1126"/>
      <c r="AF179" s="1126"/>
      <c r="AG179" s="1126"/>
      <c r="AH179" s="1126"/>
      <c r="AI179" s="1126"/>
      <c r="AJ179" s="1126"/>
      <c r="AK179" s="1126"/>
      <c r="AL179" s="1126"/>
      <c r="AM179" s="1126"/>
      <c r="AN179" s="1126"/>
      <c r="AO179" s="1126"/>
      <c r="AP179" s="1126"/>
      <c r="AQ179" s="1126"/>
      <c r="AR179" s="1126"/>
      <c r="AS179" s="1126"/>
      <c r="AT179" s="1126"/>
      <c r="AU179" s="413"/>
      <c r="AV179" s="1075"/>
    </row>
    <row r="180" spans="1:48" ht="15" customHeight="1" x14ac:dyDescent="0.2">
      <c r="A180" s="1076"/>
      <c r="B180" s="1380" t="str">
        <f t="shared" si="4"/>
        <v>Desk 68</v>
      </c>
      <c r="C180" s="1390" t="str">
        <f>IF('TB IMA general'!C153&lt;&gt;"",'TB IMA general'!C153,"")</f>
        <v/>
      </c>
      <c r="D180" s="1126"/>
      <c r="E180" s="1126"/>
      <c r="F180" s="1126"/>
      <c r="G180" s="1126"/>
      <c r="H180" s="1126"/>
      <c r="I180" s="1126"/>
      <c r="J180" s="1126"/>
      <c r="K180" s="1126"/>
      <c r="L180" s="1126"/>
      <c r="M180" s="1126"/>
      <c r="N180" s="1126"/>
      <c r="O180" s="1126"/>
      <c r="P180" s="1126"/>
      <c r="Q180" s="1126"/>
      <c r="R180" s="1126"/>
      <c r="S180" s="1126"/>
      <c r="T180" s="1126"/>
      <c r="U180" s="1126"/>
      <c r="V180" s="1126"/>
      <c r="W180" s="1126"/>
      <c r="X180" s="1126"/>
      <c r="Y180" s="1126"/>
      <c r="Z180" s="1126"/>
      <c r="AA180" s="1126"/>
      <c r="AB180" s="1126"/>
      <c r="AC180" s="1126"/>
      <c r="AD180" s="1126"/>
      <c r="AE180" s="1126"/>
      <c r="AF180" s="1126"/>
      <c r="AG180" s="1126"/>
      <c r="AH180" s="1126"/>
      <c r="AI180" s="1126"/>
      <c r="AJ180" s="1126"/>
      <c r="AK180" s="1126"/>
      <c r="AL180" s="1126"/>
      <c r="AM180" s="1126"/>
      <c r="AN180" s="1126"/>
      <c r="AO180" s="1126"/>
      <c r="AP180" s="1126"/>
      <c r="AQ180" s="1126"/>
      <c r="AR180" s="1126"/>
      <c r="AS180" s="1126"/>
      <c r="AT180" s="1126"/>
      <c r="AU180" s="413"/>
      <c r="AV180" s="1075"/>
    </row>
    <row r="181" spans="1:48" ht="15" customHeight="1" x14ac:dyDescent="0.2">
      <c r="A181" s="1076"/>
      <c r="B181" s="1380" t="str">
        <f t="shared" si="4"/>
        <v>Desk 69</v>
      </c>
      <c r="C181" s="1390" t="str">
        <f>IF('TB IMA general'!C154&lt;&gt;"",'TB IMA general'!C154,"")</f>
        <v/>
      </c>
      <c r="D181" s="1126"/>
      <c r="E181" s="1126"/>
      <c r="F181" s="1126"/>
      <c r="G181" s="1126"/>
      <c r="H181" s="1126"/>
      <c r="I181" s="1126"/>
      <c r="J181" s="1126"/>
      <c r="K181" s="1126"/>
      <c r="L181" s="1126"/>
      <c r="M181" s="1126"/>
      <c r="N181" s="1126"/>
      <c r="O181" s="1126"/>
      <c r="P181" s="1126"/>
      <c r="Q181" s="1126"/>
      <c r="R181" s="1126"/>
      <c r="S181" s="1126"/>
      <c r="T181" s="1126"/>
      <c r="U181" s="1126"/>
      <c r="V181" s="1126"/>
      <c r="W181" s="1126"/>
      <c r="X181" s="1126"/>
      <c r="Y181" s="1126"/>
      <c r="Z181" s="1126"/>
      <c r="AA181" s="1126"/>
      <c r="AB181" s="1126"/>
      <c r="AC181" s="1126"/>
      <c r="AD181" s="1126"/>
      <c r="AE181" s="1126"/>
      <c r="AF181" s="1126"/>
      <c r="AG181" s="1126"/>
      <c r="AH181" s="1126"/>
      <c r="AI181" s="1126"/>
      <c r="AJ181" s="1126"/>
      <c r="AK181" s="1126"/>
      <c r="AL181" s="1126"/>
      <c r="AM181" s="1126"/>
      <c r="AN181" s="1126"/>
      <c r="AO181" s="1126"/>
      <c r="AP181" s="1126"/>
      <c r="AQ181" s="1126"/>
      <c r="AR181" s="1126"/>
      <c r="AS181" s="1126"/>
      <c r="AT181" s="1126"/>
      <c r="AU181" s="413"/>
      <c r="AV181" s="1075"/>
    </row>
    <row r="182" spans="1:48" ht="15" customHeight="1" x14ac:dyDescent="0.2">
      <c r="A182" s="1076"/>
      <c r="B182" s="1380" t="str">
        <f t="shared" si="4"/>
        <v>Desk 70</v>
      </c>
      <c r="C182" s="1390" t="str">
        <f>IF('TB IMA general'!C155&lt;&gt;"",'TB IMA general'!C155,"")</f>
        <v/>
      </c>
      <c r="D182" s="1126"/>
      <c r="E182" s="1126"/>
      <c r="F182" s="1126"/>
      <c r="G182" s="1126"/>
      <c r="H182" s="1126"/>
      <c r="I182" s="1126"/>
      <c r="J182" s="1126"/>
      <c r="K182" s="1126"/>
      <c r="L182" s="1126"/>
      <c r="M182" s="1126"/>
      <c r="N182" s="1126"/>
      <c r="O182" s="1126"/>
      <c r="P182" s="1126"/>
      <c r="Q182" s="1126"/>
      <c r="R182" s="1126"/>
      <c r="S182" s="1126"/>
      <c r="T182" s="1126"/>
      <c r="U182" s="1126"/>
      <c r="V182" s="1126"/>
      <c r="W182" s="1126"/>
      <c r="X182" s="1126"/>
      <c r="Y182" s="1126"/>
      <c r="Z182" s="1126"/>
      <c r="AA182" s="1126"/>
      <c r="AB182" s="1126"/>
      <c r="AC182" s="1126"/>
      <c r="AD182" s="1126"/>
      <c r="AE182" s="1126"/>
      <c r="AF182" s="1126"/>
      <c r="AG182" s="1126"/>
      <c r="AH182" s="1126"/>
      <c r="AI182" s="1126"/>
      <c r="AJ182" s="1126"/>
      <c r="AK182" s="1126"/>
      <c r="AL182" s="1126"/>
      <c r="AM182" s="1126"/>
      <c r="AN182" s="1126"/>
      <c r="AO182" s="1126"/>
      <c r="AP182" s="1126"/>
      <c r="AQ182" s="1126"/>
      <c r="AR182" s="1126"/>
      <c r="AS182" s="1126"/>
      <c r="AT182" s="1126"/>
      <c r="AU182" s="413"/>
      <c r="AV182" s="1075"/>
    </row>
    <row r="183" spans="1:48" ht="15" customHeight="1" x14ac:dyDescent="0.2">
      <c r="A183" s="1076"/>
      <c r="B183" s="1380" t="str">
        <f t="shared" si="4"/>
        <v>Desk 71</v>
      </c>
      <c r="C183" s="1390" t="str">
        <f>IF('TB IMA general'!C156&lt;&gt;"",'TB IMA general'!C156,"")</f>
        <v/>
      </c>
      <c r="D183" s="1126"/>
      <c r="E183" s="1126"/>
      <c r="F183" s="1126"/>
      <c r="G183" s="1126"/>
      <c r="H183" s="1126"/>
      <c r="I183" s="1126"/>
      <c r="J183" s="1126"/>
      <c r="K183" s="1126"/>
      <c r="L183" s="1126"/>
      <c r="M183" s="1126"/>
      <c r="N183" s="1126"/>
      <c r="O183" s="1126"/>
      <c r="P183" s="1126"/>
      <c r="Q183" s="1126"/>
      <c r="R183" s="1126"/>
      <c r="S183" s="1126"/>
      <c r="T183" s="1126"/>
      <c r="U183" s="1126"/>
      <c r="V183" s="1126"/>
      <c r="W183" s="1126"/>
      <c r="X183" s="1126"/>
      <c r="Y183" s="1126"/>
      <c r="Z183" s="1126"/>
      <c r="AA183" s="1126"/>
      <c r="AB183" s="1126"/>
      <c r="AC183" s="1126"/>
      <c r="AD183" s="1126"/>
      <c r="AE183" s="1126"/>
      <c r="AF183" s="1126"/>
      <c r="AG183" s="1126"/>
      <c r="AH183" s="1126"/>
      <c r="AI183" s="1126"/>
      <c r="AJ183" s="1126"/>
      <c r="AK183" s="1126"/>
      <c r="AL183" s="1126"/>
      <c r="AM183" s="1126"/>
      <c r="AN183" s="1126"/>
      <c r="AO183" s="1126"/>
      <c r="AP183" s="1126"/>
      <c r="AQ183" s="1126"/>
      <c r="AR183" s="1126"/>
      <c r="AS183" s="1126"/>
      <c r="AT183" s="1126"/>
      <c r="AU183" s="413"/>
      <c r="AV183" s="1075"/>
    </row>
    <row r="184" spans="1:48" ht="15" customHeight="1" x14ac:dyDescent="0.2">
      <c r="A184" s="1076"/>
      <c r="B184" s="1380" t="str">
        <f t="shared" si="4"/>
        <v>Desk 72</v>
      </c>
      <c r="C184" s="1390" t="str">
        <f>IF('TB IMA general'!C157&lt;&gt;"",'TB IMA general'!C157,"")</f>
        <v/>
      </c>
      <c r="D184" s="1126"/>
      <c r="E184" s="1126"/>
      <c r="F184" s="1126"/>
      <c r="G184" s="1126"/>
      <c r="H184" s="1126"/>
      <c r="I184" s="1126"/>
      <c r="J184" s="1126"/>
      <c r="K184" s="1126"/>
      <c r="L184" s="1126"/>
      <c r="M184" s="1126"/>
      <c r="N184" s="1126"/>
      <c r="O184" s="1126"/>
      <c r="P184" s="1126"/>
      <c r="Q184" s="1126"/>
      <c r="R184" s="1126"/>
      <c r="S184" s="1126"/>
      <c r="T184" s="1126"/>
      <c r="U184" s="1126"/>
      <c r="V184" s="1126"/>
      <c r="W184" s="1126"/>
      <c r="X184" s="1126"/>
      <c r="Y184" s="1126"/>
      <c r="Z184" s="1126"/>
      <c r="AA184" s="1126"/>
      <c r="AB184" s="1126"/>
      <c r="AC184" s="1126"/>
      <c r="AD184" s="1126"/>
      <c r="AE184" s="1126"/>
      <c r="AF184" s="1126"/>
      <c r="AG184" s="1126"/>
      <c r="AH184" s="1126"/>
      <c r="AI184" s="1126"/>
      <c r="AJ184" s="1126"/>
      <c r="AK184" s="1126"/>
      <c r="AL184" s="1126"/>
      <c r="AM184" s="1126"/>
      <c r="AN184" s="1126"/>
      <c r="AO184" s="1126"/>
      <c r="AP184" s="1126"/>
      <c r="AQ184" s="1126"/>
      <c r="AR184" s="1126"/>
      <c r="AS184" s="1126"/>
      <c r="AT184" s="1126"/>
      <c r="AU184" s="413"/>
      <c r="AV184" s="1075"/>
    </row>
    <row r="185" spans="1:48" ht="15" customHeight="1" x14ac:dyDescent="0.2">
      <c r="A185" s="1076"/>
      <c r="B185" s="1380" t="str">
        <f t="shared" si="4"/>
        <v>Desk 73</v>
      </c>
      <c r="C185" s="1390" t="str">
        <f>IF('TB IMA general'!C158&lt;&gt;"",'TB IMA general'!C158,"")</f>
        <v/>
      </c>
      <c r="D185" s="1126"/>
      <c r="E185" s="1126"/>
      <c r="F185" s="1126"/>
      <c r="G185" s="1126"/>
      <c r="H185" s="1126"/>
      <c r="I185" s="1126"/>
      <c r="J185" s="1126"/>
      <c r="K185" s="1126"/>
      <c r="L185" s="1126"/>
      <c r="M185" s="1126"/>
      <c r="N185" s="1126"/>
      <c r="O185" s="1126"/>
      <c r="P185" s="1126"/>
      <c r="Q185" s="1126"/>
      <c r="R185" s="1126"/>
      <c r="S185" s="1126"/>
      <c r="T185" s="1126"/>
      <c r="U185" s="1126"/>
      <c r="V185" s="1126"/>
      <c r="W185" s="1126"/>
      <c r="X185" s="1126"/>
      <c r="Y185" s="1126"/>
      <c r="Z185" s="1126"/>
      <c r="AA185" s="1126"/>
      <c r="AB185" s="1126"/>
      <c r="AC185" s="1126"/>
      <c r="AD185" s="1126"/>
      <c r="AE185" s="1126"/>
      <c r="AF185" s="1126"/>
      <c r="AG185" s="1126"/>
      <c r="AH185" s="1126"/>
      <c r="AI185" s="1126"/>
      <c r="AJ185" s="1126"/>
      <c r="AK185" s="1126"/>
      <c r="AL185" s="1126"/>
      <c r="AM185" s="1126"/>
      <c r="AN185" s="1126"/>
      <c r="AO185" s="1126"/>
      <c r="AP185" s="1126"/>
      <c r="AQ185" s="1126"/>
      <c r="AR185" s="1126"/>
      <c r="AS185" s="1126"/>
      <c r="AT185" s="1126"/>
      <c r="AU185" s="413"/>
      <c r="AV185" s="1075"/>
    </row>
    <row r="186" spans="1:48" ht="15" customHeight="1" x14ac:dyDescent="0.2">
      <c r="A186" s="1076"/>
      <c r="B186" s="1380" t="str">
        <f t="shared" si="4"/>
        <v>Desk 74</v>
      </c>
      <c r="C186" s="1390" t="str">
        <f>IF('TB IMA general'!C159&lt;&gt;"",'TB IMA general'!C159,"")</f>
        <v/>
      </c>
      <c r="D186" s="1126"/>
      <c r="E186" s="1126"/>
      <c r="F186" s="1126"/>
      <c r="G186" s="1126"/>
      <c r="H186" s="1126"/>
      <c r="I186" s="1126"/>
      <c r="J186" s="1126"/>
      <c r="K186" s="1126"/>
      <c r="L186" s="1126"/>
      <c r="M186" s="1126"/>
      <c r="N186" s="1126"/>
      <c r="O186" s="1126"/>
      <c r="P186" s="1126"/>
      <c r="Q186" s="1126"/>
      <c r="R186" s="1126"/>
      <c r="S186" s="1126"/>
      <c r="T186" s="1126"/>
      <c r="U186" s="1126"/>
      <c r="V186" s="1126"/>
      <c r="W186" s="1126"/>
      <c r="X186" s="1126"/>
      <c r="Y186" s="1126"/>
      <c r="Z186" s="1126"/>
      <c r="AA186" s="1126"/>
      <c r="AB186" s="1126"/>
      <c r="AC186" s="1126"/>
      <c r="AD186" s="1126"/>
      <c r="AE186" s="1126"/>
      <c r="AF186" s="1126"/>
      <c r="AG186" s="1126"/>
      <c r="AH186" s="1126"/>
      <c r="AI186" s="1126"/>
      <c r="AJ186" s="1126"/>
      <c r="AK186" s="1126"/>
      <c r="AL186" s="1126"/>
      <c r="AM186" s="1126"/>
      <c r="AN186" s="1126"/>
      <c r="AO186" s="1126"/>
      <c r="AP186" s="1126"/>
      <c r="AQ186" s="1126"/>
      <c r="AR186" s="1126"/>
      <c r="AS186" s="1126"/>
      <c r="AT186" s="1126"/>
      <c r="AU186" s="413"/>
      <c r="AV186" s="1075"/>
    </row>
    <row r="187" spans="1:48" ht="15" customHeight="1" x14ac:dyDescent="0.2">
      <c r="A187" s="1076"/>
      <c r="B187" s="1380" t="str">
        <f t="shared" si="4"/>
        <v>Desk 75</v>
      </c>
      <c r="C187" s="1390" t="str">
        <f>IF('TB IMA general'!C160&lt;&gt;"",'TB IMA general'!C160,"")</f>
        <v/>
      </c>
      <c r="D187" s="1126"/>
      <c r="E187" s="1126"/>
      <c r="F187" s="1126"/>
      <c r="G187" s="1126"/>
      <c r="H187" s="1126"/>
      <c r="I187" s="1126"/>
      <c r="J187" s="1126"/>
      <c r="K187" s="1126"/>
      <c r="L187" s="1126"/>
      <c r="M187" s="1126"/>
      <c r="N187" s="1126"/>
      <c r="O187" s="1126"/>
      <c r="P187" s="1126"/>
      <c r="Q187" s="1126"/>
      <c r="R187" s="1126"/>
      <c r="S187" s="1126"/>
      <c r="T187" s="1126"/>
      <c r="U187" s="1126"/>
      <c r="V187" s="1126"/>
      <c r="W187" s="1126"/>
      <c r="X187" s="1126"/>
      <c r="Y187" s="1126"/>
      <c r="Z187" s="1126"/>
      <c r="AA187" s="1126"/>
      <c r="AB187" s="1126"/>
      <c r="AC187" s="1126"/>
      <c r="AD187" s="1126"/>
      <c r="AE187" s="1126"/>
      <c r="AF187" s="1126"/>
      <c r="AG187" s="1126"/>
      <c r="AH187" s="1126"/>
      <c r="AI187" s="1126"/>
      <c r="AJ187" s="1126"/>
      <c r="AK187" s="1126"/>
      <c r="AL187" s="1126"/>
      <c r="AM187" s="1126"/>
      <c r="AN187" s="1126"/>
      <c r="AO187" s="1126"/>
      <c r="AP187" s="1126"/>
      <c r="AQ187" s="1126"/>
      <c r="AR187" s="1126"/>
      <c r="AS187" s="1126"/>
      <c r="AT187" s="1126"/>
      <c r="AU187" s="413"/>
      <c r="AV187" s="1075"/>
    </row>
    <row r="188" spans="1:48" ht="15" customHeight="1" x14ac:dyDescent="0.2">
      <c r="A188" s="1076"/>
      <c r="B188" s="1380" t="str">
        <f t="shared" si="4"/>
        <v>Desk 76</v>
      </c>
      <c r="C188" s="1390" t="str">
        <f>IF('TB IMA general'!C161&lt;&gt;"",'TB IMA general'!C161,"")</f>
        <v/>
      </c>
      <c r="D188" s="1126"/>
      <c r="E188" s="1126"/>
      <c r="F188" s="1126"/>
      <c r="G188" s="1126"/>
      <c r="H188" s="1126"/>
      <c r="I188" s="1126"/>
      <c r="J188" s="1126"/>
      <c r="K188" s="1126"/>
      <c r="L188" s="1126"/>
      <c r="M188" s="1126"/>
      <c r="N188" s="1126"/>
      <c r="O188" s="1126"/>
      <c r="P188" s="1126"/>
      <c r="Q188" s="1126"/>
      <c r="R188" s="1126"/>
      <c r="S188" s="1126"/>
      <c r="T188" s="1126"/>
      <c r="U188" s="1126"/>
      <c r="V188" s="1126"/>
      <c r="W188" s="1126"/>
      <c r="X188" s="1126"/>
      <c r="Y188" s="1126"/>
      <c r="Z188" s="1126"/>
      <c r="AA188" s="1126"/>
      <c r="AB188" s="1126"/>
      <c r="AC188" s="1126"/>
      <c r="AD188" s="1126"/>
      <c r="AE188" s="1126"/>
      <c r="AF188" s="1126"/>
      <c r="AG188" s="1126"/>
      <c r="AH188" s="1126"/>
      <c r="AI188" s="1126"/>
      <c r="AJ188" s="1126"/>
      <c r="AK188" s="1126"/>
      <c r="AL188" s="1126"/>
      <c r="AM188" s="1126"/>
      <c r="AN188" s="1126"/>
      <c r="AO188" s="1126"/>
      <c r="AP188" s="1126"/>
      <c r="AQ188" s="1126"/>
      <c r="AR188" s="1126"/>
      <c r="AS188" s="1126"/>
      <c r="AT188" s="1126"/>
      <c r="AU188" s="413"/>
      <c r="AV188" s="1075"/>
    </row>
    <row r="189" spans="1:48" ht="15" customHeight="1" x14ac:dyDescent="0.2">
      <c r="A189" s="1076"/>
      <c r="B189" s="1380" t="str">
        <f t="shared" si="4"/>
        <v>Desk 77</v>
      </c>
      <c r="C189" s="1390" t="str">
        <f>IF('TB IMA general'!C162&lt;&gt;"",'TB IMA general'!C162,"")</f>
        <v/>
      </c>
      <c r="D189" s="1126"/>
      <c r="E189" s="1126"/>
      <c r="F189" s="1126"/>
      <c r="G189" s="1126"/>
      <c r="H189" s="1126"/>
      <c r="I189" s="1126"/>
      <c r="J189" s="1126"/>
      <c r="K189" s="1126"/>
      <c r="L189" s="1126"/>
      <c r="M189" s="1126"/>
      <c r="N189" s="1126"/>
      <c r="O189" s="1126"/>
      <c r="P189" s="1126"/>
      <c r="Q189" s="1126"/>
      <c r="R189" s="1126"/>
      <c r="S189" s="1126"/>
      <c r="T189" s="1126"/>
      <c r="U189" s="1126"/>
      <c r="V189" s="1126"/>
      <c r="W189" s="1126"/>
      <c r="X189" s="1126"/>
      <c r="Y189" s="1126"/>
      <c r="Z189" s="1126"/>
      <c r="AA189" s="1126"/>
      <c r="AB189" s="1126"/>
      <c r="AC189" s="1126"/>
      <c r="AD189" s="1126"/>
      <c r="AE189" s="1126"/>
      <c r="AF189" s="1126"/>
      <c r="AG189" s="1126"/>
      <c r="AH189" s="1126"/>
      <c r="AI189" s="1126"/>
      <c r="AJ189" s="1126"/>
      <c r="AK189" s="1126"/>
      <c r="AL189" s="1126"/>
      <c r="AM189" s="1126"/>
      <c r="AN189" s="1126"/>
      <c r="AO189" s="1126"/>
      <c r="AP189" s="1126"/>
      <c r="AQ189" s="1126"/>
      <c r="AR189" s="1126"/>
      <c r="AS189" s="1126"/>
      <c r="AT189" s="1126"/>
      <c r="AU189" s="413"/>
      <c r="AV189" s="1075"/>
    </row>
    <row r="190" spans="1:48" ht="15" customHeight="1" x14ac:dyDescent="0.2">
      <c r="A190" s="1076"/>
      <c r="B190" s="1380" t="str">
        <f t="shared" si="4"/>
        <v>Desk 78</v>
      </c>
      <c r="C190" s="1390" t="str">
        <f>IF('TB IMA general'!C163&lt;&gt;"",'TB IMA general'!C163,"")</f>
        <v/>
      </c>
      <c r="D190" s="1126"/>
      <c r="E190" s="1126"/>
      <c r="F190" s="1126"/>
      <c r="G190" s="1126"/>
      <c r="H190" s="1126"/>
      <c r="I190" s="1126"/>
      <c r="J190" s="1126"/>
      <c r="K190" s="1126"/>
      <c r="L190" s="1126"/>
      <c r="M190" s="1126"/>
      <c r="N190" s="1126"/>
      <c r="O190" s="1126"/>
      <c r="P190" s="1126"/>
      <c r="Q190" s="1126"/>
      <c r="R190" s="1126"/>
      <c r="S190" s="1126"/>
      <c r="T190" s="1126"/>
      <c r="U190" s="1126"/>
      <c r="V190" s="1126"/>
      <c r="W190" s="1126"/>
      <c r="X190" s="1126"/>
      <c r="Y190" s="1126"/>
      <c r="Z190" s="1126"/>
      <c r="AA190" s="1126"/>
      <c r="AB190" s="1126"/>
      <c r="AC190" s="1126"/>
      <c r="AD190" s="1126"/>
      <c r="AE190" s="1126"/>
      <c r="AF190" s="1126"/>
      <c r="AG190" s="1126"/>
      <c r="AH190" s="1126"/>
      <c r="AI190" s="1126"/>
      <c r="AJ190" s="1126"/>
      <c r="AK190" s="1126"/>
      <c r="AL190" s="1126"/>
      <c r="AM190" s="1126"/>
      <c r="AN190" s="1126"/>
      <c r="AO190" s="1126"/>
      <c r="AP190" s="1126"/>
      <c r="AQ190" s="1126"/>
      <c r="AR190" s="1126"/>
      <c r="AS190" s="1126"/>
      <c r="AT190" s="1126"/>
      <c r="AU190" s="413"/>
      <c r="AV190" s="1075"/>
    </row>
    <row r="191" spans="1:48" ht="15" customHeight="1" x14ac:dyDescent="0.2">
      <c r="A191" s="1076"/>
      <c r="B191" s="1380" t="str">
        <f t="shared" si="4"/>
        <v>Desk 79</v>
      </c>
      <c r="C191" s="1390" t="str">
        <f>IF('TB IMA general'!C164&lt;&gt;"",'TB IMA general'!C164,"")</f>
        <v/>
      </c>
      <c r="D191" s="1126"/>
      <c r="E191" s="1126"/>
      <c r="F191" s="1126"/>
      <c r="G191" s="1126"/>
      <c r="H191" s="1126"/>
      <c r="I191" s="1126"/>
      <c r="J191" s="1126"/>
      <c r="K191" s="1126"/>
      <c r="L191" s="1126"/>
      <c r="M191" s="1126"/>
      <c r="N191" s="1126"/>
      <c r="O191" s="1126"/>
      <c r="P191" s="1126"/>
      <c r="Q191" s="1126"/>
      <c r="R191" s="1126"/>
      <c r="S191" s="1126"/>
      <c r="T191" s="1126"/>
      <c r="U191" s="1126"/>
      <c r="V191" s="1126"/>
      <c r="W191" s="1126"/>
      <c r="X191" s="1126"/>
      <c r="Y191" s="1126"/>
      <c r="Z191" s="1126"/>
      <c r="AA191" s="1126"/>
      <c r="AB191" s="1126"/>
      <c r="AC191" s="1126"/>
      <c r="AD191" s="1126"/>
      <c r="AE191" s="1126"/>
      <c r="AF191" s="1126"/>
      <c r="AG191" s="1126"/>
      <c r="AH191" s="1126"/>
      <c r="AI191" s="1126"/>
      <c r="AJ191" s="1126"/>
      <c r="AK191" s="1126"/>
      <c r="AL191" s="1126"/>
      <c r="AM191" s="1126"/>
      <c r="AN191" s="1126"/>
      <c r="AO191" s="1126"/>
      <c r="AP191" s="1126"/>
      <c r="AQ191" s="1126"/>
      <c r="AR191" s="1126"/>
      <c r="AS191" s="1126"/>
      <c r="AT191" s="1126"/>
      <c r="AU191" s="413"/>
      <c r="AV191" s="1075"/>
    </row>
    <row r="192" spans="1:48" ht="15" customHeight="1" x14ac:dyDescent="0.2">
      <c r="A192" s="1076"/>
      <c r="B192" s="1380" t="str">
        <f t="shared" si="4"/>
        <v>Desk 80</v>
      </c>
      <c r="C192" s="1390" t="str">
        <f>IF('TB IMA general'!C165&lt;&gt;"",'TB IMA general'!C165,"")</f>
        <v/>
      </c>
      <c r="D192" s="1126"/>
      <c r="E192" s="1126"/>
      <c r="F192" s="1126"/>
      <c r="G192" s="1126"/>
      <c r="H192" s="1126"/>
      <c r="I192" s="1126"/>
      <c r="J192" s="1126"/>
      <c r="K192" s="1126"/>
      <c r="L192" s="1126"/>
      <c r="M192" s="1126"/>
      <c r="N192" s="1126"/>
      <c r="O192" s="1126"/>
      <c r="P192" s="1126"/>
      <c r="Q192" s="1126"/>
      <c r="R192" s="1126"/>
      <c r="S192" s="1126"/>
      <c r="T192" s="1126"/>
      <c r="U192" s="1126"/>
      <c r="V192" s="1126"/>
      <c r="W192" s="1126"/>
      <c r="X192" s="1126"/>
      <c r="Y192" s="1126"/>
      <c r="Z192" s="1126"/>
      <c r="AA192" s="1126"/>
      <c r="AB192" s="1126"/>
      <c r="AC192" s="1126"/>
      <c r="AD192" s="1126"/>
      <c r="AE192" s="1126"/>
      <c r="AF192" s="1126"/>
      <c r="AG192" s="1126"/>
      <c r="AH192" s="1126"/>
      <c r="AI192" s="1126"/>
      <c r="AJ192" s="1126"/>
      <c r="AK192" s="1126"/>
      <c r="AL192" s="1126"/>
      <c r="AM192" s="1126"/>
      <c r="AN192" s="1126"/>
      <c r="AO192" s="1126"/>
      <c r="AP192" s="1126"/>
      <c r="AQ192" s="1126"/>
      <c r="AR192" s="1126"/>
      <c r="AS192" s="1126"/>
      <c r="AT192" s="1126"/>
      <c r="AU192" s="413"/>
      <c r="AV192" s="1075"/>
    </row>
    <row r="193" spans="1:48" ht="15" customHeight="1" x14ac:dyDescent="0.2">
      <c r="A193" s="1076"/>
      <c r="B193" s="1380" t="str">
        <f t="shared" si="4"/>
        <v>Desk 81</v>
      </c>
      <c r="C193" s="1390" t="str">
        <f>IF('TB IMA general'!C166&lt;&gt;"",'TB IMA general'!C166,"")</f>
        <v/>
      </c>
      <c r="D193" s="1126"/>
      <c r="E193" s="1126"/>
      <c r="F193" s="1126"/>
      <c r="G193" s="1126"/>
      <c r="H193" s="1126"/>
      <c r="I193" s="1126"/>
      <c r="J193" s="1126"/>
      <c r="K193" s="1126"/>
      <c r="L193" s="1126"/>
      <c r="M193" s="1126"/>
      <c r="N193" s="1126"/>
      <c r="O193" s="1126"/>
      <c r="P193" s="1126"/>
      <c r="Q193" s="1126"/>
      <c r="R193" s="1126"/>
      <c r="S193" s="1126"/>
      <c r="T193" s="1126"/>
      <c r="U193" s="1126"/>
      <c r="V193" s="1126"/>
      <c r="W193" s="1126"/>
      <c r="X193" s="1126"/>
      <c r="Y193" s="1126"/>
      <c r="Z193" s="1126"/>
      <c r="AA193" s="1126"/>
      <c r="AB193" s="1126"/>
      <c r="AC193" s="1126"/>
      <c r="AD193" s="1126"/>
      <c r="AE193" s="1126"/>
      <c r="AF193" s="1126"/>
      <c r="AG193" s="1126"/>
      <c r="AH193" s="1126"/>
      <c r="AI193" s="1126"/>
      <c r="AJ193" s="1126"/>
      <c r="AK193" s="1126"/>
      <c r="AL193" s="1126"/>
      <c r="AM193" s="1126"/>
      <c r="AN193" s="1126"/>
      <c r="AO193" s="1126"/>
      <c r="AP193" s="1126"/>
      <c r="AQ193" s="1126"/>
      <c r="AR193" s="1126"/>
      <c r="AS193" s="1126"/>
      <c r="AT193" s="1126"/>
      <c r="AU193" s="413"/>
      <c r="AV193" s="1075"/>
    </row>
    <row r="194" spans="1:48" ht="15" customHeight="1" x14ac:dyDescent="0.2">
      <c r="A194" s="1076"/>
      <c r="B194" s="1380" t="str">
        <f t="shared" si="4"/>
        <v>Desk 82</v>
      </c>
      <c r="C194" s="1390" t="str">
        <f>IF('TB IMA general'!C167&lt;&gt;"",'TB IMA general'!C167,"")</f>
        <v/>
      </c>
      <c r="D194" s="1126"/>
      <c r="E194" s="1126"/>
      <c r="F194" s="1126"/>
      <c r="G194" s="1126"/>
      <c r="H194" s="1126"/>
      <c r="I194" s="1126"/>
      <c r="J194" s="1126"/>
      <c r="K194" s="1126"/>
      <c r="L194" s="1126"/>
      <c r="M194" s="1126"/>
      <c r="N194" s="1126"/>
      <c r="O194" s="1126"/>
      <c r="P194" s="1126"/>
      <c r="Q194" s="1126"/>
      <c r="R194" s="1126"/>
      <c r="S194" s="1126"/>
      <c r="T194" s="1126"/>
      <c r="U194" s="1126"/>
      <c r="V194" s="1126"/>
      <c r="W194" s="1126"/>
      <c r="X194" s="1126"/>
      <c r="Y194" s="1126"/>
      <c r="Z194" s="1126"/>
      <c r="AA194" s="1126"/>
      <c r="AB194" s="1126"/>
      <c r="AC194" s="1126"/>
      <c r="AD194" s="1126"/>
      <c r="AE194" s="1126"/>
      <c r="AF194" s="1126"/>
      <c r="AG194" s="1126"/>
      <c r="AH194" s="1126"/>
      <c r="AI194" s="1126"/>
      <c r="AJ194" s="1126"/>
      <c r="AK194" s="1126"/>
      <c r="AL194" s="1126"/>
      <c r="AM194" s="1126"/>
      <c r="AN194" s="1126"/>
      <c r="AO194" s="1126"/>
      <c r="AP194" s="1126"/>
      <c r="AQ194" s="1126"/>
      <c r="AR194" s="1126"/>
      <c r="AS194" s="1126"/>
      <c r="AT194" s="1126"/>
      <c r="AU194" s="413"/>
      <c r="AV194" s="1075"/>
    </row>
    <row r="195" spans="1:48" ht="15" customHeight="1" x14ac:dyDescent="0.2">
      <c r="A195" s="1076"/>
      <c r="B195" s="1380" t="str">
        <f t="shared" si="4"/>
        <v>Desk 83</v>
      </c>
      <c r="C195" s="1390" t="str">
        <f>IF('TB IMA general'!C168&lt;&gt;"",'TB IMA general'!C168,"")</f>
        <v/>
      </c>
      <c r="D195" s="1126"/>
      <c r="E195" s="1126"/>
      <c r="F195" s="1126"/>
      <c r="G195" s="1126"/>
      <c r="H195" s="1126"/>
      <c r="I195" s="1126"/>
      <c r="J195" s="1126"/>
      <c r="K195" s="1126"/>
      <c r="L195" s="1126"/>
      <c r="M195" s="1126"/>
      <c r="N195" s="1126"/>
      <c r="O195" s="1126"/>
      <c r="P195" s="1126"/>
      <c r="Q195" s="1126"/>
      <c r="R195" s="1126"/>
      <c r="S195" s="1126"/>
      <c r="T195" s="1126"/>
      <c r="U195" s="1126"/>
      <c r="V195" s="1126"/>
      <c r="W195" s="1126"/>
      <c r="X195" s="1126"/>
      <c r="Y195" s="1126"/>
      <c r="Z195" s="1126"/>
      <c r="AA195" s="1126"/>
      <c r="AB195" s="1126"/>
      <c r="AC195" s="1126"/>
      <c r="AD195" s="1126"/>
      <c r="AE195" s="1126"/>
      <c r="AF195" s="1126"/>
      <c r="AG195" s="1126"/>
      <c r="AH195" s="1126"/>
      <c r="AI195" s="1126"/>
      <c r="AJ195" s="1126"/>
      <c r="AK195" s="1126"/>
      <c r="AL195" s="1126"/>
      <c r="AM195" s="1126"/>
      <c r="AN195" s="1126"/>
      <c r="AO195" s="1126"/>
      <c r="AP195" s="1126"/>
      <c r="AQ195" s="1126"/>
      <c r="AR195" s="1126"/>
      <c r="AS195" s="1126"/>
      <c r="AT195" s="1126"/>
      <c r="AU195" s="413"/>
      <c r="AV195" s="1075"/>
    </row>
    <row r="196" spans="1:48" ht="15" customHeight="1" x14ac:dyDescent="0.2">
      <c r="A196" s="1076"/>
      <c r="B196" s="1380" t="str">
        <f t="shared" si="4"/>
        <v>Desk 84</v>
      </c>
      <c r="C196" s="1390" t="str">
        <f>IF('TB IMA general'!C169&lt;&gt;"",'TB IMA general'!C169,"")</f>
        <v/>
      </c>
      <c r="D196" s="1126"/>
      <c r="E196" s="1126"/>
      <c r="F196" s="1126"/>
      <c r="G196" s="1126"/>
      <c r="H196" s="1126"/>
      <c r="I196" s="1126"/>
      <c r="J196" s="1126"/>
      <c r="K196" s="1126"/>
      <c r="L196" s="1126"/>
      <c r="M196" s="1126"/>
      <c r="N196" s="1126"/>
      <c r="O196" s="1126"/>
      <c r="P196" s="1126"/>
      <c r="Q196" s="1126"/>
      <c r="R196" s="1126"/>
      <c r="S196" s="1126"/>
      <c r="T196" s="1126"/>
      <c r="U196" s="1126"/>
      <c r="V196" s="1126"/>
      <c r="W196" s="1126"/>
      <c r="X196" s="1126"/>
      <c r="Y196" s="1126"/>
      <c r="Z196" s="1126"/>
      <c r="AA196" s="1126"/>
      <c r="AB196" s="1126"/>
      <c r="AC196" s="1126"/>
      <c r="AD196" s="1126"/>
      <c r="AE196" s="1126"/>
      <c r="AF196" s="1126"/>
      <c r="AG196" s="1126"/>
      <c r="AH196" s="1126"/>
      <c r="AI196" s="1126"/>
      <c r="AJ196" s="1126"/>
      <c r="AK196" s="1126"/>
      <c r="AL196" s="1126"/>
      <c r="AM196" s="1126"/>
      <c r="AN196" s="1126"/>
      <c r="AO196" s="1126"/>
      <c r="AP196" s="1126"/>
      <c r="AQ196" s="1126"/>
      <c r="AR196" s="1126"/>
      <c r="AS196" s="1126"/>
      <c r="AT196" s="1126"/>
      <c r="AU196" s="413"/>
      <c r="AV196" s="1075"/>
    </row>
    <row r="197" spans="1:48" ht="15" customHeight="1" x14ac:dyDescent="0.2">
      <c r="A197" s="1076"/>
      <c r="B197" s="1380" t="str">
        <f t="shared" si="4"/>
        <v>Desk 85</v>
      </c>
      <c r="C197" s="1390" t="str">
        <f>IF('TB IMA general'!C170&lt;&gt;"",'TB IMA general'!C170,"")</f>
        <v/>
      </c>
      <c r="D197" s="1126"/>
      <c r="E197" s="1126"/>
      <c r="F197" s="1126"/>
      <c r="G197" s="1126"/>
      <c r="H197" s="1126"/>
      <c r="I197" s="1126"/>
      <c r="J197" s="1126"/>
      <c r="K197" s="1126"/>
      <c r="L197" s="1126"/>
      <c r="M197" s="1126"/>
      <c r="N197" s="1126"/>
      <c r="O197" s="1126"/>
      <c r="P197" s="1126"/>
      <c r="Q197" s="1126"/>
      <c r="R197" s="1126"/>
      <c r="S197" s="1126"/>
      <c r="T197" s="1126"/>
      <c r="U197" s="1126"/>
      <c r="V197" s="1126"/>
      <c r="W197" s="1126"/>
      <c r="X197" s="1126"/>
      <c r="Y197" s="1126"/>
      <c r="Z197" s="1126"/>
      <c r="AA197" s="1126"/>
      <c r="AB197" s="1126"/>
      <c r="AC197" s="1126"/>
      <c r="AD197" s="1126"/>
      <c r="AE197" s="1126"/>
      <c r="AF197" s="1126"/>
      <c r="AG197" s="1126"/>
      <c r="AH197" s="1126"/>
      <c r="AI197" s="1126"/>
      <c r="AJ197" s="1126"/>
      <c r="AK197" s="1126"/>
      <c r="AL197" s="1126"/>
      <c r="AM197" s="1126"/>
      <c r="AN197" s="1126"/>
      <c r="AO197" s="1126"/>
      <c r="AP197" s="1126"/>
      <c r="AQ197" s="1126"/>
      <c r="AR197" s="1126"/>
      <c r="AS197" s="1126"/>
      <c r="AT197" s="1126"/>
      <c r="AU197" s="413"/>
      <c r="AV197" s="1075"/>
    </row>
    <row r="198" spans="1:48" ht="15" customHeight="1" x14ac:dyDescent="0.2">
      <c r="A198" s="1076"/>
      <c r="B198" s="1380" t="str">
        <f t="shared" si="4"/>
        <v>Desk 86</v>
      </c>
      <c r="C198" s="1390" t="str">
        <f>IF('TB IMA general'!C171&lt;&gt;"",'TB IMA general'!C171,"")</f>
        <v/>
      </c>
      <c r="D198" s="1126"/>
      <c r="E198" s="1126"/>
      <c r="F198" s="1126"/>
      <c r="G198" s="1126"/>
      <c r="H198" s="1126"/>
      <c r="I198" s="1126"/>
      <c r="J198" s="1126"/>
      <c r="K198" s="1126"/>
      <c r="L198" s="1126"/>
      <c r="M198" s="1126"/>
      <c r="N198" s="1126"/>
      <c r="O198" s="1126"/>
      <c r="P198" s="1126"/>
      <c r="Q198" s="1126"/>
      <c r="R198" s="1126"/>
      <c r="S198" s="1126"/>
      <c r="T198" s="1126"/>
      <c r="U198" s="1126"/>
      <c r="V198" s="1126"/>
      <c r="W198" s="1126"/>
      <c r="X198" s="1126"/>
      <c r="Y198" s="1126"/>
      <c r="Z198" s="1126"/>
      <c r="AA198" s="1126"/>
      <c r="AB198" s="1126"/>
      <c r="AC198" s="1126"/>
      <c r="AD198" s="1126"/>
      <c r="AE198" s="1126"/>
      <c r="AF198" s="1126"/>
      <c r="AG198" s="1126"/>
      <c r="AH198" s="1126"/>
      <c r="AI198" s="1126"/>
      <c r="AJ198" s="1126"/>
      <c r="AK198" s="1126"/>
      <c r="AL198" s="1126"/>
      <c r="AM198" s="1126"/>
      <c r="AN198" s="1126"/>
      <c r="AO198" s="1126"/>
      <c r="AP198" s="1126"/>
      <c r="AQ198" s="1126"/>
      <c r="AR198" s="1126"/>
      <c r="AS198" s="1126"/>
      <c r="AT198" s="1126"/>
      <c r="AU198" s="413"/>
      <c r="AV198" s="1075"/>
    </row>
    <row r="199" spans="1:48" ht="15" customHeight="1" x14ac:dyDescent="0.2">
      <c r="A199" s="1076"/>
      <c r="B199" s="1380" t="str">
        <f t="shared" si="4"/>
        <v>Desk 87</v>
      </c>
      <c r="C199" s="1390" t="str">
        <f>IF('TB IMA general'!C172&lt;&gt;"",'TB IMA general'!C172,"")</f>
        <v/>
      </c>
      <c r="D199" s="1126"/>
      <c r="E199" s="1126"/>
      <c r="F199" s="1126"/>
      <c r="G199" s="1126"/>
      <c r="H199" s="1126"/>
      <c r="I199" s="1126"/>
      <c r="J199" s="1126"/>
      <c r="K199" s="1126"/>
      <c r="L199" s="1126"/>
      <c r="M199" s="1126"/>
      <c r="N199" s="1126"/>
      <c r="O199" s="1126"/>
      <c r="P199" s="1126"/>
      <c r="Q199" s="1126"/>
      <c r="R199" s="1126"/>
      <c r="S199" s="1126"/>
      <c r="T199" s="1126"/>
      <c r="U199" s="1126"/>
      <c r="V199" s="1126"/>
      <c r="W199" s="1126"/>
      <c r="X199" s="1126"/>
      <c r="Y199" s="1126"/>
      <c r="Z199" s="1126"/>
      <c r="AA199" s="1126"/>
      <c r="AB199" s="1126"/>
      <c r="AC199" s="1126"/>
      <c r="AD199" s="1126"/>
      <c r="AE199" s="1126"/>
      <c r="AF199" s="1126"/>
      <c r="AG199" s="1126"/>
      <c r="AH199" s="1126"/>
      <c r="AI199" s="1126"/>
      <c r="AJ199" s="1126"/>
      <c r="AK199" s="1126"/>
      <c r="AL199" s="1126"/>
      <c r="AM199" s="1126"/>
      <c r="AN199" s="1126"/>
      <c r="AO199" s="1126"/>
      <c r="AP199" s="1126"/>
      <c r="AQ199" s="1126"/>
      <c r="AR199" s="1126"/>
      <c r="AS199" s="1126"/>
      <c r="AT199" s="1126"/>
      <c r="AU199" s="413"/>
      <c r="AV199" s="1075"/>
    </row>
    <row r="200" spans="1:48" ht="15" customHeight="1" x14ac:dyDescent="0.2">
      <c r="A200" s="1076"/>
      <c r="B200" s="1380" t="str">
        <f t="shared" si="4"/>
        <v>Desk 88</v>
      </c>
      <c r="C200" s="1390" t="str">
        <f>IF('TB IMA general'!C173&lt;&gt;"",'TB IMA general'!C173,"")</f>
        <v/>
      </c>
      <c r="D200" s="1126"/>
      <c r="E200" s="1126"/>
      <c r="F200" s="1126"/>
      <c r="G200" s="1126"/>
      <c r="H200" s="1126"/>
      <c r="I200" s="1126"/>
      <c r="J200" s="1126"/>
      <c r="K200" s="1126"/>
      <c r="L200" s="1126"/>
      <c r="M200" s="1126"/>
      <c r="N200" s="1126"/>
      <c r="O200" s="1126"/>
      <c r="P200" s="1126"/>
      <c r="Q200" s="1126"/>
      <c r="R200" s="1126"/>
      <c r="S200" s="1126"/>
      <c r="T200" s="1126"/>
      <c r="U200" s="1126"/>
      <c r="V200" s="1126"/>
      <c r="W200" s="1126"/>
      <c r="X200" s="1126"/>
      <c r="Y200" s="1126"/>
      <c r="Z200" s="1126"/>
      <c r="AA200" s="1126"/>
      <c r="AB200" s="1126"/>
      <c r="AC200" s="1126"/>
      <c r="AD200" s="1126"/>
      <c r="AE200" s="1126"/>
      <c r="AF200" s="1126"/>
      <c r="AG200" s="1126"/>
      <c r="AH200" s="1126"/>
      <c r="AI200" s="1126"/>
      <c r="AJ200" s="1126"/>
      <c r="AK200" s="1126"/>
      <c r="AL200" s="1126"/>
      <c r="AM200" s="1126"/>
      <c r="AN200" s="1126"/>
      <c r="AO200" s="1126"/>
      <c r="AP200" s="1126"/>
      <c r="AQ200" s="1126"/>
      <c r="AR200" s="1126"/>
      <c r="AS200" s="1126"/>
      <c r="AT200" s="1126"/>
      <c r="AU200" s="413"/>
      <c r="AV200" s="1075"/>
    </row>
    <row r="201" spans="1:48" ht="15" customHeight="1" x14ac:dyDescent="0.2">
      <c r="A201" s="1076"/>
      <c r="B201" s="1380" t="str">
        <f t="shared" si="4"/>
        <v>Desk 89</v>
      </c>
      <c r="C201" s="1390" t="str">
        <f>IF('TB IMA general'!C174&lt;&gt;"",'TB IMA general'!C174,"")</f>
        <v/>
      </c>
      <c r="D201" s="1126"/>
      <c r="E201" s="1126"/>
      <c r="F201" s="1126"/>
      <c r="G201" s="1126"/>
      <c r="H201" s="1126"/>
      <c r="I201" s="1126"/>
      <c r="J201" s="1126"/>
      <c r="K201" s="1126"/>
      <c r="L201" s="1126"/>
      <c r="M201" s="1126"/>
      <c r="N201" s="1126"/>
      <c r="O201" s="1126"/>
      <c r="P201" s="1126"/>
      <c r="Q201" s="1126"/>
      <c r="R201" s="1126"/>
      <c r="S201" s="1126"/>
      <c r="T201" s="1126"/>
      <c r="U201" s="1126"/>
      <c r="V201" s="1126"/>
      <c r="W201" s="1126"/>
      <c r="X201" s="1126"/>
      <c r="Y201" s="1126"/>
      <c r="Z201" s="1126"/>
      <c r="AA201" s="1126"/>
      <c r="AB201" s="1126"/>
      <c r="AC201" s="1126"/>
      <c r="AD201" s="1126"/>
      <c r="AE201" s="1126"/>
      <c r="AF201" s="1126"/>
      <c r="AG201" s="1126"/>
      <c r="AH201" s="1126"/>
      <c r="AI201" s="1126"/>
      <c r="AJ201" s="1126"/>
      <c r="AK201" s="1126"/>
      <c r="AL201" s="1126"/>
      <c r="AM201" s="1126"/>
      <c r="AN201" s="1126"/>
      <c r="AO201" s="1126"/>
      <c r="AP201" s="1126"/>
      <c r="AQ201" s="1126"/>
      <c r="AR201" s="1126"/>
      <c r="AS201" s="1126"/>
      <c r="AT201" s="1126"/>
      <c r="AU201" s="413"/>
      <c r="AV201" s="1075"/>
    </row>
    <row r="202" spans="1:48" ht="15" customHeight="1" x14ac:dyDescent="0.2">
      <c r="A202" s="1076"/>
      <c r="B202" s="1380" t="str">
        <f t="shared" si="4"/>
        <v>Desk 90</v>
      </c>
      <c r="C202" s="1390" t="str">
        <f>IF('TB IMA general'!C175&lt;&gt;"",'TB IMA general'!C175,"")</f>
        <v/>
      </c>
      <c r="D202" s="1126"/>
      <c r="E202" s="1126"/>
      <c r="F202" s="1126"/>
      <c r="G202" s="1126"/>
      <c r="H202" s="1126"/>
      <c r="I202" s="1126"/>
      <c r="J202" s="1126"/>
      <c r="K202" s="1126"/>
      <c r="L202" s="1126"/>
      <c r="M202" s="1126"/>
      <c r="N202" s="1126"/>
      <c r="O202" s="1126"/>
      <c r="P202" s="1126"/>
      <c r="Q202" s="1126"/>
      <c r="R202" s="1126"/>
      <c r="S202" s="1126"/>
      <c r="T202" s="1126"/>
      <c r="U202" s="1126"/>
      <c r="V202" s="1126"/>
      <c r="W202" s="1126"/>
      <c r="X202" s="1126"/>
      <c r="Y202" s="1126"/>
      <c r="Z202" s="1126"/>
      <c r="AA202" s="1126"/>
      <c r="AB202" s="1126"/>
      <c r="AC202" s="1126"/>
      <c r="AD202" s="1126"/>
      <c r="AE202" s="1126"/>
      <c r="AF202" s="1126"/>
      <c r="AG202" s="1126"/>
      <c r="AH202" s="1126"/>
      <c r="AI202" s="1126"/>
      <c r="AJ202" s="1126"/>
      <c r="AK202" s="1126"/>
      <c r="AL202" s="1126"/>
      <c r="AM202" s="1126"/>
      <c r="AN202" s="1126"/>
      <c r="AO202" s="1126"/>
      <c r="AP202" s="1126"/>
      <c r="AQ202" s="1126"/>
      <c r="AR202" s="1126"/>
      <c r="AS202" s="1126"/>
      <c r="AT202" s="1126"/>
      <c r="AU202" s="413"/>
      <c r="AV202" s="1075"/>
    </row>
    <row r="203" spans="1:48" ht="15" customHeight="1" x14ac:dyDescent="0.2">
      <c r="A203" s="1076"/>
      <c r="B203" s="1380" t="str">
        <f t="shared" si="4"/>
        <v>Desk 91</v>
      </c>
      <c r="C203" s="1390" t="str">
        <f>IF('TB IMA general'!C176&lt;&gt;"",'TB IMA general'!C176,"")</f>
        <v/>
      </c>
      <c r="D203" s="1126"/>
      <c r="E203" s="1126"/>
      <c r="F203" s="1126"/>
      <c r="G203" s="1126"/>
      <c r="H203" s="1126"/>
      <c r="I203" s="1126"/>
      <c r="J203" s="1126"/>
      <c r="K203" s="1126"/>
      <c r="L203" s="1126"/>
      <c r="M203" s="1126"/>
      <c r="N203" s="1126"/>
      <c r="O203" s="1126"/>
      <c r="P203" s="1126"/>
      <c r="Q203" s="1126"/>
      <c r="R203" s="1126"/>
      <c r="S203" s="1126"/>
      <c r="T203" s="1126"/>
      <c r="U203" s="1126"/>
      <c r="V203" s="1126"/>
      <c r="W203" s="1126"/>
      <c r="X203" s="1126"/>
      <c r="Y203" s="1126"/>
      <c r="Z203" s="1126"/>
      <c r="AA203" s="1126"/>
      <c r="AB203" s="1126"/>
      <c r="AC203" s="1126"/>
      <c r="AD203" s="1126"/>
      <c r="AE203" s="1126"/>
      <c r="AF203" s="1126"/>
      <c r="AG203" s="1126"/>
      <c r="AH203" s="1126"/>
      <c r="AI203" s="1126"/>
      <c r="AJ203" s="1126"/>
      <c r="AK203" s="1126"/>
      <c r="AL203" s="1126"/>
      <c r="AM203" s="1126"/>
      <c r="AN203" s="1126"/>
      <c r="AO203" s="1126"/>
      <c r="AP203" s="1126"/>
      <c r="AQ203" s="1126"/>
      <c r="AR203" s="1126"/>
      <c r="AS203" s="1126"/>
      <c r="AT203" s="1126"/>
      <c r="AU203" s="413"/>
      <c r="AV203" s="1075"/>
    </row>
    <row r="204" spans="1:48" ht="15" customHeight="1" x14ac:dyDescent="0.2">
      <c r="A204" s="1076"/>
      <c r="B204" s="1380" t="str">
        <f t="shared" si="4"/>
        <v>Desk 92</v>
      </c>
      <c r="C204" s="1390" t="str">
        <f>IF('TB IMA general'!C177&lt;&gt;"",'TB IMA general'!C177,"")</f>
        <v/>
      </c>
      <c r="D204" s="1126"/>
      <c r="E204" s="1126"/>
      <c r="F204" s="1126"/>
      <c r="G204" s="1126"/>
      <c r="H204" s="1126"/>
      <c r="I204" s="1126"/>
      <c r="J204" s="1126"/>
      <c r="K204" s="1126"/>
      <c r="L204" s="1126"/>
      <c r="M204" s="1126"/>
      <c r="N204" s="1126"/>
      <c r="O204" s="1126"/>
      <c r="P204" s="1126"/>
      <c r="Q204" s="1126"/>
      <c r="R204" s="1126"/>
      <c r="S204" s="1126"/>
      <c r="T204" s="1126"/>
      <c r="U204" s="1126"/>
      <c r="V204" s="1126"/>
      <c r="W204" s="1126"/>
      <c r="X204" s="1126"/>
      <c r="Y204" s="1126"/>
      <c r="Z204" s="1126"/>
      <c r="AA204" s="1126"/>
      <c r="AB204" s="1126"/>
      <c r="AC204" s="1126"/>
      <c r="AD204" s="1126"/>
      <c r="AE204" s="1126"/>
      <c r="AF204" s="1126"/>
      <c r="AG204" s="1126"/>
      <c r="AH204" s="1126"/>
      <c r="AI204" s="1126"/>
      <c r="AJ204" s="1126"/>
      <c r="AK204" s="1126"/>
      <c r="AL204" s="1126"/>
      <c r="AM204" s="1126"/>
      <c r="AN204" s="1126"/>
      <c r="AO204" s="1126"/>
      <c r="AP204" s="1126"/>
      <c r="AQ204" s="1126"/>
      <c r="AR204" s="1126"/>
      <c r="AS204" s="1126"/>
      <c r="AT204" s="1126"/>
      <c r="AU204" s="413"/>
      <c r="AV204" s="1075"/>
    </row>
    <row r="205" spans="1:48" ht="15" customHeight="1" x14ac:dyDescent="0.2">
      <c r="A205" s="1076"/>
      <c r="B205" s="1380" t="str">
        <f t="shared" si="4"/>
        <v>Desk 93</v>
      </c>
      <c r="C205" s="1390" t="str">
        <f>IF('TB IMA general'!C178&lt;&gt;"",'TB IMA general'!C178,"")</f>
        <v/>
      </c>
      <c r="D205" s="1126"/>
      <c r="E205" s="1126"/>
      <c r="F205" s="1126"/>
      <c r="G205" s="1126"/>
      <c r="H205" s="1126"/>
      <c r="I205" s="1490"/>
      <c r="J205" s="1126"/>
      <c r="K205" s="1126"/>
      <c r="L205" s="1126"/>
      <c r="M205" s="1126"/>
      <c r="N205" s="1126"/>
      <c r="O205" s="1126"/>
      <c r="P205" s="1126"/>
      <c r="Q205" s="1126"/>
      <c r="R205" s="1126"/>
      <c r="S205" s="1126"/>
      <c r="T205" s="1126"/>
      <c r="U205" s="1126"/>
      <c r="V205" s="1126"/>
      <c r="W205" s="1126"/>
      <c r="X205" s="1126"/>
      <c r="Y205" s="1126"/>
      <c r="Z205" s="1126"/>
      <c r="AA205" s="1126"/>
      <c r="AB205" s="1126"/>
      <c r="AC205" s="1126"/>
      <c r="AD205" s="1126"/>
      <c r="AE205" s="1126"/>
      <c r="AF205" s="1126"/>
      <c r="AG205" s="1126"/>
      <c r="AH205" s="1126"/>
      <c r="AI205" s="1126"/>
      <c r="AJ205" s="1126"/>
      <c r="AK205" s="1126"/>
      <c r="AL205" s="1126"/>
      <c r="AM205" s="1126"/>
      <c r="AN205" s="1126"/>
      <c r="AO205" s="1126"/>
      <c r="AP205" s="1126"/>
      <c r="AQ205" s="1126"/>
      <c r="AR205" s="1126"/>
      <c r="AS205" s="1126"/>
      <c r="AT205" s="1126"/>
      <c r="AU205" s="413"/>
      <c r="AV205" s="1075"/>
    </row>
    <row r="206" spans="1:48" ht="15" customHeight="1" x14ac:dyDescent="0.2">
      <c r="A206" s="1076"/>
      <c r="B206" s="1380" t="str">
        <f t="shared" si="4"/>
        <v>Desk 94</v>
      </c>
      <c r="C206" s="1390" t="str">
        <f>IF('TB IMA general'!C179&lt;&gt;"",'TB IMA general'!C179,"")</f>
        <v/>
      </c>
      <c r="D206" s="1126"/>
      <c r="E206" s="1126"/>
      <c r="F206" s="1126"/>
      <c r="G206" s="1126"/>
      <c r="H206" s="1126"/>
      <c r="I206" s="1126"/>
      <c r="J206" s="1126"/>
      <c r="K206" s="1126"/>
      <c r="L206" s="1126"/>
      <c r="M206" s="1126"/>
      <c r="N206" s="1126"/>
      <c r="O206" s="1126"/>
      <c r="P206" s="1126"/>
      <c r="Q206" s="1126"/>
      <c r="R206" s="1126"/>
      <c r="S206" s="1126"/>
      <c r="T206" s="1126"/>
      <c r="U206" s="1126"/>
      <c r="V206" s="1126"/>
      <c r="W206" s="1126"/>
      <c r="X206" s="1126"/>
      <c r="Y206" s="1126"/>
      <c r="Z206" s="1126"/>
      <c r="AA206" s="1126"/>
      <c r="AB206" s="1126"/>
      <c r="AC206" s="1126"/>
      <c r="AD206" s="1126"/>
      <c r="AE206" s="1126"/>
      <c r="AF206" s="1126"/>
      <c r="AG206" s="1126"/>
      <c r="AH206" s="1126"/>
      <c r="AI206" s="1126"/>
      <c r="AJ206" s="1126"/>
      <c r="AK206" s="1126"/>
      <c r="AL206" s="1126"/>
      <c r="AM206" s="1126"/>
      <c r="AN206" s="1126"/>
      <c r="AO206" s="1126"/>
      <c r="AP206" s="1126"/>
      <c r="AQ206" s="1126"/>
      <c r="AR206" s="1126"/>
      <c r="AS206" s="1126"/>
      <c r="AT206" s="1126"/>
      <c r="AU206" s="413"/>
      <c r="AV206" s="1075"/>
    </row>
    <row r="207" spans="1:48" ht="15" customHeight="1" x14ac:dyDescent="0.2">
      <c r="A207" s="1076"/>
      <c r="B207" s="1380" t="str">
        <f t="shared" si="4"/>
        <v>Desk 95</v>
      </c>
      <c r="C207" s="1390" t="str">
        <f>IF('TB IMA general'!C180&lt;&gt;"",'TB IMA general'!C180,"")</f>
        <v/>
      </c>
      <c r="D207" s="1126"/>
      <c r="E207" s="1126"/>
      <c r="F207" s="1126"/>
      <c r="G207" s="1126"/>
      <c r="H207" s="1126"/>
      <c r="I207" s="1126"/>
      <c r="J207" s="1126"/>
      <c r="K207" s="1126"/>
      <c r="L207" s="1126"/>
      <c r="M207" s="1126"/>
      <c r="N207" s="1126"/>
      <c r="O207" s="1126"/>
      <c r="P207" s="1126"/>
      <c r="Q207" s="1126"/>
      <c r="R207" s="1126"/>
      <c r="S207" s="1126"/>
      <c r="T207" s="1126"/>
      <c r="U207" s="1126"/>
      <c r="V207" s="1126"/>
      <c r="W207" s="1126"/>
      <c r="X207" s="1126"/>
      <c r="Y207" s="1126"/>
      <c r="Z207" s="1126"/>
      <c r="AA207" s="1126"/>
      <c r="AB207" s="1126"/>
      <c r="AC207" s="1126"/>
      <c r="AD207" s="1126"/>
      <c r="AE207" s="1126"/>
      <c r="AF207" s="1126"/>
      <c r="AG207" s="1126"/>
      <c r="AH207" s="1126"/>
      <c r="AI207" s="1126"/>
      <c r="AJ207" s="1126"/>
      <c r="AK207" s="1126"/>
      <c r="AL207" s="1126"/>
      <c r="AM207" s="1126"/>
      <c r="AN207" s="1126"/>
      <c r="AO207" s="1126"/>
      <c r="AP207" s="1126"/>
      <c r="AQ207" s="1126"/>
      <c r="AR207" s="1126"/>
      <c r="AS207" s="1126"/>
      <c r="AT207" s="1126"/>
      <c r="AU207" s="413"/>
      <c r="AV207" s="1075"/>
    </row>
    <row r="208" spans="1:48" ht="15" customHeight="1" x14ac:dyDescent="0.2">
      <c r="A208" s="1076"/>
      <c r="B208" s="1380" t="str">
        <f t="shared" si="4"/>
        <v>Desk 96</v>
      </c>
      <c r="C208" s="1390" t="str">
        <f>IF('TB IMA general'!C181&lt;&gt;"",'TB IMA general'!C181,"")</f>
        <v/>
      </c>
      <c r="D208" s="1126"/>
      <c r="E208" s="1126"/>
      <c r="F208" s="1126"/>
      <c r="G208" s="1126"/>
      <c r="H208" s="1126"/>
      <c r="I208" s="1126"/>
      <c r="J208" s="1126"/>
      <c r="K208" s="1126"/>
      <c r="L208" s="1126"/>
      <c r="M208" s="1126"/>
      <c r="N208" s="1126"/>
      <c r="O208" s="1126"/>
      <c r="P208" s="1126"/>
      <c r="Q208" s="1126"/>
      <c r="R208" s="1126"/>
      <c r="S208" s="1126"/>
      <c r="T208" s="1126"/>
      <c r="U208" s="1126"/>
      <c r="V208" s="1126"/>
      <c r="W208" s="1126"/>
      <c r="X208" s="1126"/>
      <c r="Y208" s="1126"/>
      <c r="Z208" s="1126"/>
      <c r="AA208" s="1126"/>
      <c r="AB208" s="1126"/>
      <c r="AC208" s="1126"/>
      <c r="AD208" s="1126"/>
      <c r="AE208" s="1126"/>
      <c r="AF208" s="1126"/>
      <c r="AG208" s="1126"/>
      <c r="AH208" s="1126"/>
      <c r="AI208" s="1126"/>
      <c r="AJ208" s="1126"/>
      <c r="AK208" s="1126"/>
      <c r="AL208" s="1126"/>
      <c r="AM208" s="1126"/>
      <c r="AN208" s="1126"/>
      <c r="AO208" s="1126"/>
      <c r="AP208" s="1126"/>
      <c r="AQ208" s="1126"/>
      <c r="AR208" s="1126"/>
      <c r="AS208" s="1126"/>
      <c r="AT208" s="1126"/>
      <c r="AU208" s="413"/>
      <c r="AV208" s="1075"/>
    </row>
    <row r="209" spans="1:48" ht="15" customHeight="1" x14ac:dyDescent="0.2">
      <c r="A209" s="1076"/>
      <c r="B209" s="1380" t="str">
        <f t="shared" si="4"/>
        <v>Desk 97</v>
      </c>
      <c r="C209" s="1390" t="str">
        <f>IF('TB IMA general'!C182&lt;&gt;"",'TB IMA general'!C182,"")</f>
        <v/>
      </c>
      <c r="D209" s="1126"/>
      <c r="E209" s="1126"/>
      <c r="F209" s="1126"/>
      <c r="G209" s="1126"/>
      <c r="H209" s="1126"/>
      <c r="I209" s="1126"/>
      <c r="J209" s="1126"/>
      <c r="K209" s="1126"/>
      <c r="L209" s="1126"/>
      <c r="M209" s="1126"/>
      <c r="N209" s="1126"/>
      <c r="O209" s="1126"/>
      <c r="P209" s="1126"/>
      <c r="Q209" s="1126"/>
      <c r="R209" s="1126"/>
      <c r="S209" s="1126"/>
      <c r="T209" s="1126"/>
      <c r="U209" s="1126"/>
      <c r="V209" s="1126"/>
      <c r="W209" s="1126"/>
      <c r="X209" s="1126"/>
      <c r="Y209" s="1126"/>
      <c r="Z209" s="1126"/>
      <c r="AA209" s="1126"/>
      <c r="AB209" s="1126"/>
      <c r="AC209" s="1126"/>
      <c r="AD209" s="1126"/>
      <c r="AE209" s="1126"/>
      <c r="AF209" s="1126"/>
      <c r="AG209" s="1126"/>
      <c r="AH209" s="1126"/>
      <c r="AI209" s="1126"/>
      <c r="AJ209" s="1126"/>
      <c r="AK209" s="1126"/>
      <c r="AL209" s="1126"/>
      <c r="AM209" s="1126"/>
      <c r="AN209" s="1126"/>
      <c r="AO209" s="1126"/>
      <c r="AP209" s="1126"/>
      <c r="AQ209" s="1126"/>
      <c r="AR209" s="1126"/>
      <c r="AS209" s="1126"/>
      <c r="AT209" s="1126"/>
      <c r="AU209" s="413"/>
      <c r="AV209" s="1075"/>
    </row>
    <row r="210" spans="1:48" ht="15" customHeight="1" x14ac:dyDescent="0.2">
      <c r="A210" s="1076"/>
      <c r="B210" s="1380" t="str">
        <f t="shared" si="4"/>
        <v>Desk 98</v>
      </c>
      <c r="C210" s="1390" t="str">
        <f>IF('TB IMA general'!C183&lt;&gt;"",'TB IMA general'!C183,"")</f>
        <v/>
      </c>
      <c r="D210" s="1126"/>
      <c r="E210" s="1126"/>
      <c r="F210" s="1126"/>
      <c r="G210" s="1126"/>
      <c r="H210" s="1126"/>
      <c r="I210" s="1126"/>
      <c r="J210" s="1126"/>
      <c r="K210" s="1126"/>
      <c r="L210" s="1126"/>
      <c r="M210" s="1126"/>
      <c r="N210" s="1126"/>
      <c r="O210" s="1126"/>
      <c r="P210" s="1126"/>
      <c r="Q210" s="1126"/>
      <c r="R210" s="1126"/>
      <c r="S210" s="1126"/>
      <c r="T210" s="1126"/>
      <c r="U210" s="1126"/>
      <c r="V210" s="1126"/>
      <c r="W210" s="1126"/>
      <c r="X210" s="1126"/>
      <c r="Y210" s="1126"/>
      <c r="Z210" s="1126"/>
      <c r="AA210" s="1126"/>
      <c r="AB210" s="1126"/>
      <c r="AC210" s="1126"/>
      <c r="AD210" s="1126"/>
      <c r="AE210" s="1126"/>
      <c r="AF210" s="1126"/>
      <c r="AG210" s="1126"/>
      <c r="AH210" s="1126"/>
      <c r="AI210" s="1126"/>
      <c r="AJ210" s="1126"/>
      <c r="AK210" s="1126"/>
      <c r="AL210" s="1126"/>
      <c r="AM210" s="1126"/>
      <c r="AN210" s="1126"/>
      <c r="AO210" s="1126"/>
      <c r="AP210" s="1126"/>
      <c r="AQ210" s="1126"/>
      <c r="AR210" s="1126"/>
      <c r="AS210" s="1126"/>
      <c r="AT210" s="1126"/>
      <c r="AU210" s="413"/>
      <c r="AV210" s="1075"/>
    </row>
    <row r="211" spans="1:48" ht="15" customHeight="1" x14ac:dyDescent="0.2">
      <c r="A211" s="1076"/>
      <c r="B211" s="1380" t="str">
        <f t="shared" si="4"/>
        <v>Desk 99</v>
      </c>
      <c r="C211" s="1390" t="str">
        <f>IF('TB IMA general'!C184&lt;&gt;"",'TB IMA general'!C184,"")</f>
        <v/>
      </c>
      <c r="D211" s="1126"/>
      <c r="E211" s="1126"/>
      <c r="F211" s="1126"/>
      <c r="G211" s="1126"/>
      <c r="H211" s="1126"/>
      <c r="I211" s="1126"/>
      <c r="J211" s="1126"/>
      <c r="K211" s="1126"/>
      <c r="L211" s="1126"/>
      <c r="M211" s="1126"/>
      <c r="N211" s="1126"/>
      <c r="O211" s="1126"/>
      <c r="P211" s="1126"/>
      <c r="Q211" s="1126"/>
      <c r="R211" s="1126"/>
      <c r="S211" s="1126"/>
      <c r="T211" s="1126"/>
      <c r="U211" s="1126"/>
      <c r="V211" s="1126"/>
      <c r="W211" s="1126"/>
      <c r="X211" s="1126"/>
      <c r="Y211" s="1126"/>
      <c r="Z211" s="1126"/>
      <c r="AA211" s="1126"/>
      <c r="AB211" s="1126"/>
      <c r="AC211" s="1126"/>
      <c r="AD211" s="1126"/>
      <c r="AE211" s="1126"/>
      <c r="AF211" s="1126"/>
      <c r="AG211" s="1126"/>
      <c r="AH211" s="1126"/>
      <c r="AI211" s="1126"/>
      <c r="AJ211" s="1126"/>
      <c r="AK211" s="1126"/>
      <c r="AL211" s="1126"/>
      <c r="AM211" s="1126"/>
      <c r="AN211" s="1126"/>
      <c r="AO211" s="1126"/>
      <c r="AP211" s="1126"/>
      <c r="AQ211" s="1126"/>
      <c r="AR211" s="1126"/>
      <c r="AS211" s="1126"/>
      <c r="AT211" s="1126"/>
      <c r="AU211" s="413"/>
      <c r="AV211" s="1075"/>
    </row>
    <row r="212" spans="1:48" ht="15" customHeight="1" x14ac:dyDescent="0.2">
      <c r="A212" s="1076"/>
      <c r="B212" s="1380" t="str">
        <f t="shared" si="4"/>
        <v>Desk 100</v>
      </c>
      <c r="C212" s="1390" t="str">
        <f>IF('TB IMA general'!C185&lt;&gt;"",'TB IMA general'!C185,"")</f>
        <v/>
      </c>
      <c r="D212" s="1126"/>
      <c r="E212" s="1126"/>
      <c r="F212" s="1126"/>
      <c r="G212" s="1126"/>
      <c r="H212" s="1126"/>
      <c r="I212" s="1126"/>
      <c r="J212" s="1126"/>
      <c r="K212" s="1126"/>
      <c r="L212" s="1126"/>
      <c r="M212" s="1126"/>
      <c r="N212" s="1126"/>
      <c r="O212" s="1126"/>
      <c r="P212" s="1126"/>
      <c r="Q212" s="1126"/>
      <c r="R212" s="1126"/>
      <c r="S212" s="1126"/>
      <c r="T212" s="1126"/>
      <c r="U212" s="1126"/>
      <c r="V212" s="1126"/>
      <c r="W212" s="1126"/>
      <c r="X212" s="1126"/>
      <c r="Y212" s="1126"/>
      <c r="Z212" s="1126"/>
      <c r="AA212" s="1126"/>
      <c r="AB212" s="1126"/>
      <c r="AC212" s="1126"/>
      <c r="AD212" s="1126"/>
      <c r="AE212" s="1126"/>
      <c r="AF212" s="1126"/>
      <c r="AG212" s="1126"/>
      <c r="AH212" s="1126"/>
      <c r="AI212" s="1126"/>
      <c r="AJ212" s="1126"/>
      <c r="AK212" s="1126"/>
      <c r="AL212" s="1126"/>
      <c r="AM212" s="1126"/>
      <c r="AN212" s="1126"/>
      <c r="AO212" s="1126"/>
      <c r="AP212" s="1126"/>
      <c r="AQ212" s="1126"/>
      <c r="AR212" s="1126"/>
      <c r="AS212" s="1126"/>
      <c r="AT212" s="1126"/>
      <c r="AU212" s="413"/>
      <c r="AV212" s="1075"/>
    </row>
    <row r="213" spans="1:48" ht="15" customHeight="1" x14ac:dyDescent="0.2">
      <c r="A213" s="1076"/>
      <c r="B213" s="1324" t="s">
        <v>1171</v>
      </c>
      <c r="C213" s="1393"/>
      <c r="D213" s="1388"/>
      <c r="E213" s="1388"/>
      <c r="F213" s="1388"/>
      <c r="G213" s="1388"/>
      <c r="H213" s="1388"/>
      <c r="I213" s="1388"/>
      <c r="J213" s="1388"/>
      <c r="K213" s="1388"/>
      <c r="L213" s="1388"/>
      <c r="M213" s="1388"/>
      <c r="N213" s="1388"/>
      <c r="O213" s="1388"/>
      <c r="P213" s="1388"/>
      <c r="Q213" s="1388"/>
      <c r="R213" s="1388"/>
      <c r="S213" s="1388"/>
      <c r="T213" s="1388"/>
      <c r="U213" s="1388"/>
      <c r="V213" s="1388"/>
      <c r="W213" s="1388"/>
      <c r="X213" s="1388"/>
      <c r="Y213" s="1388"/>
      <c r="Z213" s="1388"/>
      <c r="AA213" s="1388"/>
      <c r="AB213" s="1388"/>
      <c r="AC213" s="1388"/>
      <c r="AD213" s="1388"/>
      <c r="AE213" s="1388"/>
      <c r="AF213" s="1388"/>
      <c r="AG213" s="1388"/>
      <c r="AH213" s="1388"/>
      <c r="AI213" s="1388"/>
      <c r="AJ213" s="1388"/>
      <c r="AK213" s="1388"/>
      <c r="AL213" s="1388"/>
      <c r="AM213" s="1388"/>
      <c r="AN213" s="1388"/>
      <c r="AO213" s="1388"/>
      <c r="AP213" s="1388"/>
      <c r="AQ213" s="1388"/>
      <c r="AR213" s="1388"/>
      <c r="AS213" s="1388"/>
      <c r="AT213" s="1388"/>
      <c r="AU213" s="1389"/>
      <c r="AV213" s="1075"/>
    </row>
    <row r="214" spans="1:48" ht="15" customHeight="1" x14ac:dyDescent="0.2">
      <c r="A214" s="1076"/>
      <c r="B214" s="1074"/>
      <c r="D214" s="1074"/>
      <c r="E214" s="1074"/>
      <c r="F214" s="1074"/>
      <c r="G214" s="1074"/>
      <c r="H214" s="1074"/>
      <c r="I214" s="1074"/>
      <c r="J214" s="1074"/>
      <c r="K214" s="1074"/>
      <c r="L214" s="1074"/>
      <c r="M214" s="1074"/>
      <c r="AV214" s="1075"/>
    </row>
    <row r="215" spans="1:48" ht="30" customHeight="1" x14ac:dyDescent="0.25">
      <c r="A215" s="1557" t="s">
        <v>1489</v>
      </c>
      <c r="B215" s="13"/>
      <c r="C215" s="14"/>
      <c r="D215" s="204"/>
      <c r="E215" s="204"/>
      <c r="F215" s="204"/>
      <c r="G215" s="204"/>
      <c r="H215" s="1074"/>
      <c r="I215" s="1074"/>
      <c r="J215" s="1074"/>
      <c r="K215" s="1074"/>
      <c r="L215" s="1074"/>
      <c r="M215" s="1074"/>
      <c r="AV215" s="1075"/>
    </row>
    <row r="216" spans="1:48" ht="15" customHeight="1" x14ac:dyDescent="0.2">
      <c r="A216" s="1076"/>
      <c r="B216" s="1074"/>
      <c r="D216" s="1074"/>
      <c r="E216" s="1074"/>
      <c r="F216" s="1074"/>
      <c r="G216" s="1074"/>
      <c r="H216" s="1074"/>
      <c r="I216" s="1074"/>
      <c r="J216" s="1074"/>
      <c r="K216" s="1074"/>
      <c r="L216" s="1074"/>
      <c r="M216" s="1074"/>
      <c r="AV216" s="1075"/>
    </row>
    <row r="217" spans="1:48" ht="15" customHeight="1" x14ac:dyDescent="0.2">
      <c r="A217" s="1076"/>
      <c r="B217" s="1044" t="str">
        <f>"Desk " &amp; (ROW(B217)-ROW(B$216))</f>
        <v>Desk 1</v>
      </c>
      <c r="C217" s="1383" t="str">
        <f>IF('TB IMA general'!C86&lt;&gt;"",'TB IMA general'!C86,"")</f>
        <v/>
      </c>
      <c r="D217" s="1043"/>
      <c r="E217" s="1043"/>
      <c r="F217" s="1043"/>
      <c r="G217" s="1043"/>
      <c r="H217" s="1043"/>
      <c r="I217" s="1043"/>
      <c r="J217" s="1043"/>
      <c r="K217" s="1043"/>
      <c r="L217" s="1043"/>
      <c r="M217" s="1043"/>
      <c r="N217" s="1043"/>
      <c r="O217" s="1043"/>
      <c r="P217" s="1043"/>
      <c r="Q217" s="1043"/>
      <c r="R217" s="1043"/>
      <c r="S217" s="1043"/>
      <c r="T217" s="1043"/>
      <c r="U217" s="1043"/>
      <c r="V217" s="1043"/>
      <c r="W217" s="1043"/>
      <c r="X217" s="1043"/>
      <c r="Y217" s="1043"/>
      <c r="Z217" s="1043"/>
      <c r="AA217" s="1043"/>
      <c r="AB217" s="1043"/>
      <c r="AC217" s="1043"/>
      <c r="AD217" s="1043"/>
      <c r="AE217" s="1043"/>
      <c r="AF217" s="1043"/>
      <c r="AG217" s="1043"/>
      <c r="AH217" s="1043"/>
      <c r="AI217" s="1043"/>
      <c r="AJ217" s="1043"/>
      <c r="AK217" s="1043"/>
      <c r="AL217" s="1043"/>
      <c r="AM217" s="1043"/>
      <c r="AN217" s="1043"/>
      <c r="AO217" s="1043"/>
      <c r="AP217" s="1043"/>
      <c r="AQ217" s="1043"/>
      <c r="AR217" s="1043"/>
      <c r="AS217" s="1043"/>
      <c r="AT217" s="1043"/>
      <c r="AU217" s="1066"/>
      <c r="AV217" s="1075"/>
    </row>
    <row r="218" spans="1:48" ht="15" customHeight="1" x14ac:dyDescent="0.2">
      <c r="A218" s="1076"/>
      <c r="B218" s="1380" t="str">
        <f t="shared" ref="B218:B281" si="5">"Desk " &amp; (ROW(B218)-ROW(B$216))</f>
        <v>Desk 2</v>
      </c>
      <c r="C218" s="1390" t="str">
        <f>IF('TB IMA general'!C87&lt;&gt;"",'TB IMA general'!C87,"")</f>
        <v/>
      </c>
      <c r="D218" s="1126"/>
      <c r="E218" s="1126"/>
      <c r="F218" s="1126"/>
      <c r="G218" s="1126"/>
      <c r="H218" s="1126"/>
      <c r="I218" s="1126"/>
      <c r="J218" s="1126"/>
      <c r="K218" s="1126"/>
      <c r="L218" s="1126"/>
      <c r="M218" s="1126"/>
      <c r="N218" s="1126"/>
      <c r="O218" s="1126"/>
      <c r="P218" s="1126"/>
      <c r="Q218" s="1126"/>
      <c r="R218" s="1126"/>
      <c r="S218" s="1126"/>
      <c r="T218" s="1126"/>
      <c r="U218" s="1126"/>
      <c r="V218" s="1126"/>
      <c r="W218" s="1126"/>
      <c r="X218" s="1126"/>
      <c r="Y218" s="1126"/>
      <c r="Z218" s="1126"/>
      <c r="AA218" s="1126"/>
      <c r="AB218" s="1126"/>
      <c r="AC218" s="1126"/>
      <c r="AD218" s="1126"/>
      <c r="AE218" s="1126"/>
      <c r="AF218" s="1126"/>
      <c r="AG218" s="1126"/>
      <c r="AH218" s="1126"/>
      <c r="AI218" s="1126"/>
      <c r="AJ218" s="1126"/>
      <c r="AK218" s="1126"/>
      <c r="AL218" s="1126"/>
      <c r="AM218" s="1126"/>
      <c r="AN218" s="1126"/>
      <c r="AO218" s="1126"/>
      <c r="AP218" s="1126"/>
      <c r="AQ218" s="1126"/>
      <c r="AR218" s="1126"/>
      <c r="AS218" s="1126"/>
      <c r="AT218" s="1126"/>
      <c r="AU218" s="413"/>
      <c r="AV218" s="1075"/>
    </row>
    <row r="219" spans="1:48" ht="15" customHeight="1" x14ac:dyDescent="0.2">
      <c r="A219" s="1076"/>
      <c r="B219" s="1380" t="str">
        <f t="shared" si="5"/>
        <v>Desk 3</v>
      </c>
      <c r="C219" s="1390" t="str">
        <f>IF('TB IMA general'!C88&lt;&gt;"",'TB IMA general'!C88,"")</f>
        <v/>
      </c>
      <c r="D219" s="1126"/>
      <c r="E219" s="1126"/>
      <c r="F219" s="1126"/>
      <c r="G219" s="1126"/>
      <c r="H219" s="1126"/>
      <c r="I219" s="1126"/>
      <c r="J219" s="1126"/>
      <c r="K219" s="1126"/>
      <c r="L219" s="1126"/>
      <c r="M219" s="1126"/>
      <c r="N219" s="1126"/>
      <c r="O219" s="1126"/>
      <c r="P219" s="1126"/>
      <c r="Q219" s="1126"/>
      <c r="R219" s="1126"/>
      <c r="S219" s="1126"/>
      <c r="T219" s="1126"/>
      <c r="U219" s="1126"/>
      <c r="V219" s="1126"/>
      <c r="W219" s="1126"/>
      <c r="X219" s="1126"/>
      <c r="Y219" s="1126"/>
      <c r="Z219" s="1126"/>
      <c r="AA219" s="1126"/>
      <c r="AB219" s="1126"/>
      <c r="AC219" s="1126"/>
      <c r="AD219" s="1126"/>
      <c r="AE219" s="1126"/>
      <c r="AF219" s="1126"/>
      <c r="AG219" s="1126"/>
      <c r="AH219" s="1126"/>
      <c r="AI219" s="1126"/>
      <c r="AJ219" s="1126"/>
      <c r="AK219" s="1126"/>
      <c r="AL219" s="1126"/>
      <c r="AM219" s="1126"/>
      <c r="AN219" s="1126"/>
      <c r="AO219" s="1126"/>
      <c r="AP219" s="1126"/>
      <c r="AQ219" s="1126"/>
      <c r="AR219" s="1126"/>
      <c r="AS219" s="1126"/>
      <c r="AT219" s="1126"/>
      <c r="AU219" s="413"/>
      <c r="AV219" s="1075"/>
    </row>
    <row r="220" spans="1:48" ht="15" customHeight="1" x14ac:dyDescent="0.2">
      <c r="A220" s="1076"/>
      <c r="B220" s="1380" t="str">
        <f t="shared" si="5"/>
        <v>Desk 4</v>
      </c>
      <c r="C220" s="1390" t="str">
        <f>IF('TB IMA general'!C89&lt;&gt;"",'TB IMA general'!C89,"")</f>
        <v/>
      </c>
      <c r="D220" s="1126"/>
      <c r="E220" s="1126"/>
      <c r="F220" s="1126"/>
      <c r="G220" s="1126"/>
      <c r="H220" s="1126"/>
      <c r="I220" s="1126"/>
      <c r="J220" s="1126"/>
      <c r="K220" s="1126"/>
      <c r="L220" s="1126"/>
      <c r="M220" s="1126"/>
      <c r="N220" s="1126"/>
      <c r="O220" s="1126"/>
      <c r="P220" s="1126"/>
      <c r="Q220" s="1126"/>
      <c r="R220" s="1126"/>
      <c r="S220" s="1126"/>
      <c r="T220" s="1126"/>
      <c r="U220" s="1126"/>
      <c r="V220" s="1126"/>
      <c r="W220" s="1126"/>
      <c r="X220" s="1126"/>
      <c r="Y220" s="1126"/>
      <c r="Z220" s="1126"/>
      <c r="AA220" s="1126"/>
      <c r="AB220" s="1126"/>
      <c r="AC220" s="1126"/>
      <c r="AD220" s="1126"/>
      <c r="AE220" s="1126"/>
      <c r="AF220" s="1126"/>
      <c r="AG220" s="1126"/>
      <c r="AH220" s="1126"/>
      <c r="AI220" s="1126"/>
      <c r="AJ220" s="1126"/>
      <c r="AK220" s="1126"/>
      <c r="AL220" s="1126"/>
      <c r="AM220" s="1126"/>
      <c r="AN220" s="1126"/>
      <c r="AO220" s="1126"/>
      <c r="AP220" s="1126"/>
      <c r="AQ220" s="1126"/>
      <c r="AR220" s="1126"/>
      <c r="AS220" s="1126"/>
      <c r="AT220" s="1126"/>
      <c r="AU220" s="413"/>
      <c r="AV220" s="1075"/>
    </row>
    <row r="221" spans="1:48" ht="15" customHeight="1" x14ac:dyDescent="0.2">
      <c r="A221" s="1076"/>
      <c r="B221" s="1380" t="str">
        <f t="shared" si="5"/>
        <v>Desk 5</v>
      </c>
      <c r="C221" s="1390" t="str">
        <f>IF('TB IMA general'!C90&lt;&gt;"",'TB IMA general'!C90,"")</f>
        <v/>
      </c>
      <c r="D221" s="1126"/>
      <c r="E221" s="1126"/>
      <c r="F221" s="1126"/>
      <c r="G221" s="1126"/>
      <c r="H221" s="1126"/>
      <c r="I221" s="1126"/>
      <c r="J221" s="1126"/>
      <c r="K221" s="1126"/>
      <c r="L221" s="1126"/>
      <c r="M221" s="1126"/>
      <c r="N221" s="1126"/>
      <c r="O221" s="1126"/>
      <c r="P221" s="1126"/>
      <c r="Q221" s="1126"/>
      <c r="R221" s="1126"/>
      <c r="S221" s="1126"/>
      <c r="T221" s="1126"/>
      <c r="U221" s="1126"/>
      <c r="V221" s="1126"/>
      <c r="W221" s="1126"/>
      <c r="X221" s="1126"/>
      <c r="Y221" s="1126"/>
      <c r="Z221" s="1126"/>
      <c r="AA221" s="1126"/>
      <c r="AB221" s="1126"/>
      <c r="AC221" s="1126"/>
      <c r="AD221" s="1126"/>
      <c r="AE221" s="1126"/>
      <c r="AF221" s="1126"/>
      <c r="AG221" s="1126"/>
      <c r="AH221" s="1126"/>
      <c r="AI221" s="1126"/>
      <c r="AJ221" s="1126"/>
      <c r="AK221" s="1126"/>
      <c r="AL221" s="1126"/>
      <c r="AM221" s="1126"/>
      <c r="AN221" s="1126"/>
      <c r="AO221" s="1126"/>
      <c r="AP221" s="1126"/>
      <c r="AQ221" s="1126"/>
      <c r="AR221" s="1126"/>
      <c r="AS221" s="1126"/>
      <c r="AT221" s="1126"/>
      <c r="AU221" s="413"/>
      <c r="AV221" s="1075"/>
    </row>
    <row r="222" spans="1:48" ht="15" customHeight="1" x14ac:dyDescent="0.2">
      <c r="A222" s="1076"/>
      <c r="B222" s="1380" t="str">
        <f t="shared" si="5"/>
        <v>Desk 6</v>
      </c>
      <c r="C222" s="1390" t="str">
        <f>IF('TB IMA general'!C91&lt;&gt;"",'TB IMA general'!C91,"")</f>
        <v/>
      </c>
      <c r="D222" s="1126"/>
      <c r="E222" s="1126"/>
      <c r="F222" s="1126"/>
      <c r="G222" s="1126"/>
      <c r="H222" s="1126"/>
      <c r="I222" s="1126"/>
      <c r="J222" s="1126"/>
      <c r="K222" s="1126"/>
      <c r="L222" s="1126"/>
      <c r="M222" s="1126"/>
      <c r="N222" s="1126"/>
      <c r="O222" s="1126"/>
      <c r="P222" s="1126"/>
      <c r="Q222" s="1126"/>
      <c r="R222" s="1126"/>
      <c r="S222" s="1126"/>
      <c r="T222" s="1126"/>
      <c r="U222" s="1126"/>
      <c r="V222" s="1126"/>
      <c r="W222" s="1126"/>
      <c r="X222" s="1126"/>
      <c r="Y222" s="1126"/>
      <c r="Z222" s="1126"/>
      <c r="AA222" s="1126"/>
      <c r="AB222" s="1126"/>
      <c r="AC222" s="1126"/>
      <c r="AD222" s="1126"/>
      <c r="AE222" s="1126"/>
      <c r="AF222" s="1126"/>
      <c r="AG222" s="1126"/>
      <c r="AH222" s="1126"/>
      <c r="AI222" s="1126"/>
      <c r="AJ222" s="1126"/>
      <c r="AK222" s="1126"/>
      <c r="AL222" s="1126"/>
      <c r="AM222" s="1126"/>
      <c r="AN222" s="1126"/>
      <c r="AO222" s="1126"/>
      <c r="AP222" s="1126"/>
      <c r="AQ222" s="1126"/>
      <c r="AR222" s="1126"/>
      <c r="AS222" s="1126"/>
      <c r="AT222" s="1126"/>
      <c r="AU222" s="413"/>
      <c r="AV222" s="1075"/>
    </row>
    <row r="223" spans="1:48" ht="15" customHeight="1" x14ac:dyDescent="0.2">
      <c r="A223" s="1076"/>
      <c r="B223" s="1380" t="str">
        <f t="shared" si="5"/>
        <v>Desk 7</v>
      </c>
      <c r="C223" s="1390" t="str">
        <f>IF('TB IMA general'!C92&lt;&gt;"",'TB IMA general'!C92,"")</f>
        <v/>
      </c>
      <c r="D223" s="1126"/>
      <c r="E223" s="1126"/>
      <c r="F223" s="1126"/>
      <c r="G223" s="1126"/>
      <c r="H223" s="1126"/>
      <c r="I223" s="1126"/>
      <c r="J223" s="1126"/>
      <c r="K223" s="1126"/>
      <c r="L223" s="1126"/>
      <c r="M223" s="1126"/>
      <c r="N223" s="1126"/>
      <c r="O223" s="1126"/>
      <c r="P223" s="1126"/>
      <c r="Q223" s="1126"/>
      <c r="R223" s="1126"/>
      <c r="S223" s="1126"/>
      <c r="T223" s="1126"/>
      <c r="U223" s="1126"/>
      <c r="V223" s="1126"/>
      <c r="W223" s="1126"/>
      <c r="X223" s="1126"/>
      <c r="Y223" s="1126"/>
      <c r="Z223" s="1126"/>
      <c r="AA223" s="1126"/>
      <c r="AB223" s="1126"/>
      <c r="AC223" s="1126"/>
      <c r="AD223" s="1126"/>
      <c r="AE223" s="1126"/>
      <c r="AF223" s="1126"/>
      <c r="AG223" s="1126"/>
      <c r="AH223" s="1126"/>
      <c r="AI223" s="1126"/>
      <c r="AJ223" s="1126"/>
      <c r="AK223" s="1126"/>
      <c r="AL223" s="1126"/>
      <c r="AM223" s="1126"/>
      <c r="AN223" s="1126"/>
      <c r="AO223" s="1126"/>
      <c r="AP223" s="1126"/>
      <c r="AQ223" s="1126"/>
      <c r="AR223" s="1126"/>
      <c r="AS223" s="1126"/>
      <c r="AT223" s="1126"/>
      <c r="AU223" s="413"/>
      <c r="AV223" s="1075"/>
    </row>
    <row r="224" spans="1:48" ht="15" customHeight="1" x14ac:dyDescent="0.2">
      <c r="A224" s="1076"/>
      <c r="B224" s="1380" t="str">
        <f t="shared" si="5"/>
        <v>Desk 8</v>
      </c>
      <c r="C224" s="1390" t="str">
        <f>IF('TB IMA general'!C93&lt;&gt;"",'TB IMA general'!C93,"")</f>
        <v/>
      </c>
      <c r="D224" s="1126"/>
      <c r="E224" s="1126"/>
      <c r="F224" s="1126"/>
      <c r="G224" s="1126"/>
      <c r="H224" s="1126"/>
      <c r="I224" s="1126"/>
      <c r="J224" s="1126"/>
      <c r="K224" s="1126"/>
      <c r="L224" s="1126"/>
      <c r="M224" s="1126"/>
      <c r="N224" s="1126"/>
      <c r="O224" s="1126"/>
      <c r="P224" s="1126"/>
      <c r="Q224" s="1126"/>
      <c r="R224" s="1126"/>
      <c r="S224" s="1126"/>
      <c r="T224" s="1126"/>
      <c r="U224" s="1126"/>
      <c r="V224" s="1126"/>
      <c r="W224" s="1126"/>
      <c r="X224" s="1126"/>
      <c r="Y224" s="1126"/>
      <c r="Z224" s="1126"/>
      <c r="AA224" s="1126"/>
      <c r="AB224" s="1126"/>
      <c r="AC224" s="1126"/>
      <c r="AD224" s="1126"/>
      <c r="AE224" s="1126"/>
      <c r="AF224" s="1126"/>
      <c r="AG224" s="1126"/>
      <c r="AH224" s="1126"/>
      <c r="AI224" s="1126"/>
      <c r="AJ224" s="1126"/>
      <c r="AK224" s="1126"/>
      <c r="AL224" s="1126"/>
      <c r="AM224" s="1126"/>
      <c r="AN224" s="1126"/>
      <c r="AO224" s="1126"/>
      <c r="AP224" s="1126"/>
      <c r="AQ224" s="1126"/>
      <c r="AR224" s="1126"/>
      <c r="AS224" s="1126"/>
      <c r="AT224" s="1126"/>
      <c r="AU224" s="413"/>
      <c r="AV224" s="1075"/>
    </row>
    <row r="225" spans="1:48" ht="15" customHeight="1" x14ac:dyDescent="0.2">
      <c r="A225" s="1076"/>
      <c r="B225" s="1380" t="str">
        <f t="shared" si="5"/>
        <v>Desk 9</v>
      </c>
      <c r="C225" s="1390" t="str">
        <f>IF('TB IMA general'!C94&lt;&gt;"",'TB IMA general'!C94,"")</f>
        <v/>
      </c>
      <c r="D225" s="1126"/>
      <c r="E225" s="1126"/>
      <c r="F225" s="1126"/>
      <c r="G225" s="1126"/>
      <c r="H225" s="1126"/>
      <c r="I225" s="1126"/>
      <c r="J225" s="1126"/>
      <c r="K225" s="1126"/>
      <c r="L225" s="1126"/>
      <c r="M225" s="1126"/>
      <c r="N225" s="1126"/>
      <c r="O225" s="1126"/>
      <c r="P225" s="1126"/>
      <c r="Q225" s="1126"/>
      <c r="R225" s="1126"/>
      <c r="S225" s="1126"/>
      <c r="T225" s="1126"/>
      <c r="U225" s="1126"/>
      <c r="V225" s="1126"/>
      <c r="W225" s="1126"/>
      <c r="X225" s="1126"/>
      <c r="Y225" s="1126"/>
      <c r="Z225" s="1126"/>
      <c r="AA225" s="1126"/>
      <c r="AB225" s="1126"/>
      <c r="AC225" s="1126"/>
      <c r="AD225" s="1126"/>
      <c r="AE225" s="1126"/>
      <c r="AF225" s="1126"/>
      <c r="AG225" s="1126"/>
      <c r="AH225" s="1126"/>
      <c r="AI225" s="1126"/>
      <c r="AJ225" s="1126"/>
      <c r="AK225" s="1126"/>
      <c r="AL225" s="1126"/>
      <c r="AM225" s="1126"/>
      <c r="AN225" s="1126"/>
      <c r="AO225" s="1126"/>
      <c r="AP225" s="1126"/>
      <c r="AQ225" s="1126"/>
      <c r="AR225" s="1126"/>
      <c r="AS225" s="1126"/>
      <c r="AT225" s="1126"/>
      <c r="AU225" s="413"/>
      <c r="AV225" s="1075"/>
    </row>
    <row r="226" spans="1:48" ht="15" customHeight="1" x14ac:dyDescent="0.2">
      <c r="A226" s="1076"/>
      <c r="B226" s="1380" t="str">
        <f t="shared" si="5"/>
        <v>Desk 10</v>
      </c>
      <c r="C226" s="1390" t="str">
        <f>IF('TB IMA general'!C95&lt;&gt;"",'TB IMA general'!C95,"")</f>
        <v/>
      </c>
      <c r="D226" s="1126"/>
      <c r="E226" s="1126"/>
      <c r="F226" s="1126"/>
      <c r="G226" s="1126"/>
      <c r="H226" s="1126"/>
      <c r="I226" s="1126"/>
      <c r="J226" s="1126"/>
      <c r="K226" s="1126"/>
      <c r="L226" s="1126"/>
      <c r="M226" s="1126"/>
      <c r="N226" s="1126"/>
      <c r="O226" s="1126"/>
      <c r="P226" s="1126"/>
      <c r="Q226" s="1126"/>
      <c r="R226" s="1126"/>
      <c r="S226" s="1126"/>
      <c r="T226" s="1126"/>
      <c r="U226" s="1126"/>
      <c r="V226" s="1126"/>
      <c r="W226" s="1126"/>
      <c r="X226" s="1126"/>
      <c r="Y226" s="1126"/>
      <c r="Z226" s="1126"/>
      <c r="AA226" s="1126"/>
      <c r="AB226" s="1126"/>
      <c r="AC226" s="1126"/>
      <c r="AD226" s="1126"/>
      <c r="AE226" s="1126"/>
      <c r="AF226" s="1126"/>
      <c r="AG226" s="1126"/>
      <c r="AH226" s="1126"/>
      <c r="AI226" s="1126"/>
      <c r="AJ226" s="1126"/>
      <c r="AK226" s="1126"/>
      <c r="AL226" s="1126"/>
      <c r="AM226" s="1126"/>
      <c r="AN226" s="1126"/>
      <c r="AO226" s="1126"/>
      <c r="AP226" s="1126"/>
      <c r="AQ226" s="1126"/>
      <c r="AR226" s="1126"/>
      <c r="AS226" s="1126"/>
      <c r="AT226" s="1126"/>
      <c r="AU226" s="413"/>
      <c r="AV226" s="1075"/>
    </row>
    <row r="227" spans="1:48" ht="15" customHeight="1" x14ac:dyDescent="0.2">
      <c r="A227" s="1076"/>
      <c r="B227" s="1380" t="str">
        <f t="shared" si="5"/>
        <v>Desk 11</v>
      </c>
      <c r="C227" s="1390" t="str">
        <f>IF('TB IMA general'!C96&lt;&gt;"",'TB IMA general'!C96,"")</f>
        <v/>
      </c>
      <c r="D227" s="1126"/>
      <c r="E227" s="1126"/>
      <c r="F227" s="1126"/>
      <c r="G227" s="1126"/>
      <c r="H227" s="1126"/>
      <c r="I227" s="1126"/>
      <c r="J227" s="1126"/>
      <c r="K227" s="1126"/>
      <c r="L227" s="1126"/>
      <c r="M227" s="1126"/>
      <c r="N227" s="1126"/>
      <c r="O227" s="1126"/>
      <c r="P227" s="1126"/>
      <c r="Q227" s="1126"/>
      <c r="R227" s="1126"/>
      <c r="S227" s="1126"/>
      <c r="T227" s="1126"/>
      <c r="U227" s="1126"/>
      <c r="V227" s="1126"/>
      <c r="W227" s="1126"/>
      <c r="X227" s="1126"/>
      <c r="Y227" s="1126"/>
      <c r="Z227" s="1126"/>
      <c r="AA227" s="1126"/>
      <c r="AB227" s="1126"/>
      <c r="AC227" s="1126"/>
      <c r="AD227" s="1126"/>
      <c r="AE227" s="1126"/>
      <c r="AF227" s="1126"/>
      <c r="AG227" s="1126"/>
      <c r="AH227" s="1126"/>
      <c r="AI227" s="1126"/>
      <c r="AJ227" s="1126"/>
      <c r="AK227" s="1126"/>
      <c r="AL227" s="1126"/>
      <c r="AM227" s="1126"/>
      <c r="AN227" s="1126"/>
      <c r="AO227" s="1126"/>
      <c r="AP227" s="1126"/>
      <c r="AQ227" s="1126"/>
      <c r="AR227" s="1126"/>
      <c r="AS227" s="1126"/>
      <c r="AT227" s="1126"/>
      <c r="AU227" s="413"/>
      <c r="AV227" s="1075"/>
    </row>
    <row r="228" spans="1:48" ht="15" customHeight="1" x14ac:dyDescent="0.2">
      <c r="A228" s="1076"/>
      <c r="B228" s="1380" t="str">
        <f t="shared" si="5"/>
        <v>Desk 12</v>
      </c>
      <c r="C228" s="1390" t="str">
        <f>IF('TB IMA general'!C97&lt;&gt;"",'TB IMA general'!C97,"")</f>
        <v/>
      </c>
      <c r="D228" s="1126"/>
      <c r="E228" s="1126"/>
      <c r="F228" s="1126"/>
      <c r="G228" s="1126"/>
      <c r="H228" s="1126"/>
      <c r="I228" s="1126"/>
      <c r="J228" s="1126"/>
      <c r="K228" s="1126"/>
      <c r="L228" s="1126"/>
      <c r="M228" s="1126"/>
      <c r="N228" s="1126"/>
      <c r="O228" s="1126"/>
      <c r="P228" s="1126"/>
      <c r="Q228" s="1126"/>
      <c r="R228" s="1126"/>
      <c r="S228" s="1126"/>
      <c r="T228" s="1126"/>
      <c r="U228" s="1126"/>
      <c r="V228" s="1126"/>
      <c r="W228" s="1126"/>
      <c r="X228" s="1126"/>
      <c r="Y228" s="1126"/>
      <c r="Z228" s="1126"/>
      <c r="AA228" s="1126"/>
      <c r="AB228" s="1126"/>
      <c r="AC228" s="1126"/>
      <c r="AD228" s="1126"/>
      <c r="AE228" s="1126"/>
      <c r="AF228" s="1126"/>
      <c r="AG228" s="1126"/>
      <c r="AH228" s="1126"/>
      <c r="AI228" s="1126"/>
      <c r="AJ228" s="1126"/>
      <c r="AK228" s="1126"/>
      <c r="AL228" s="1126"/>
      <c r="AM228" s="1126"/>
      <c r="AN228" s="1126"/>
      <c r="AO228" s="1126"/>
      <c r="AP228" s="1126"/>
      <c r="AQ228" s="1126"/>
      <c r="AR228" s="1126"/>
      <c r="AS228" s="1126"/>
      <c r="AT228" s="1126"/>
      <c r="AU228" s="413"/>
      <c r="AV228" s="1075"/>
    </row>
    <row r="229" spans="1:48" ht="15" customHeight="1" x14ac:dyDescent="0.2">
      <c r="A229" s="1076"/>
      <c r="B229" s="1380" t="str">
        <f t="shared" si="5"/>
        <v>Desk 13</v>
      </c>
      <c r="C229" s="1390" t="str">
        <f>IF('TB IMA general'!C98&lt;&gt;"",'TB IMA general'!C98,"")</f>
        <v/>
      </c>
      <c r="D229" s="1126"/>
      <c r="E229" s="1126"/>
      <c r="F229" s="1126"/>
      <c r="G229" s="1126"/>
      <c r="H229" s="1126"/>
      <c r="I229" s="1126"/>
      <c r="J229" s="1126"/>
      <c r="K229" s="1126"/>
      <c r="L229" s="1126"/>
      <c r="M229" s="1126"/>
      <c r="N229" s="1126"/>
      <c r="O229" s="1126"/>
      <c r="P229" s="1126"/>
      <c r="Q229" s="1126"/>
      <c r="R229" s="1126"/>
      <c r="S229" s="1126"/>
      <c r="T229" s="1126"/>
      <c r="U229" s="1126"/>
      <c r="V229" s="1126"/>
      <c r="W229" s="1126"/>
      <c r="X229" s="1126"/>
      <c r="Y229" s="1126"/>
      <c r="Z229" s="1126"/>
      <c r="AA229" s="1126"/>
      <c r="AB229" s="1126"/>
      <c r="AC229" s="1126"/>
      <c r="AD229" s="1126"/>
      <c r="AE229" s="1126"/>
      <c r="AF229" s="1126"/>
      <c r="AG229" s="1126"/>
      <c r="AH229" s="1126"/>
      <c r="AI229" s="1126"/>
      <c r="AJ229" s="1126"/>
      <c r="AK229" s="1126"/>
      <c r="AL229" s="1126"/>
      <c r="AM229" s="1126"/>
      <c r="AN229" s="1126"/>
      <c r="AO229" s="1126"/>
      <c r="AP229" s="1126"/>
      <c r="AQ229" s="1126"/>
      <c r="AR229" s="1126"/>
      <c r="AS229" s="1126"/>
      <c r="AT229" s="1126"/>
      <c r="AU229" s="413"/>
      <c r="AV229" s="1075"/>
    </row>
    <row r="230" spans="1:48" ht="15" customHeight="1" x14ac:dyDescent="0.2">
      <c r="A230" s="1076"/>
      <c r="B230" s="1380" t="str">
        <f t="shared" si="5"/>
        <v>Desk 14</v>
      </c>
      <c r="C230" s="1390" t="str">
        <f>IF('TB IMA general'!C99&lt;&gt;"",'TB IMA general'!C99,"")</f>
        <v/>
      </c>
      <c r="D230" s="1126"/>
      <c r="E230" s="1126"/>
      <c r="F230" s="1126"/>
      <c r="G230" s="1126"/>
      <c r="H230" s="1126"/>
      <c r="I230" s="1126"/>
      <c r="J230" s="1126"/>
      <c r="K230" s="1126"/>
      <c r="L230" s="1126"/>
      <c r="M230" s="1126"/>
      <c r="N230" s="1126"/>
      <c r="O230" s="1126"/>
      <c r="P230" s="1126"/>
      <c r="Q230" s="1126"/>
      <c r="R230" s="1126"/>
      <c r="S230" s="1126"/>
      <c r="T230" s="1126"/>
      <c r="U230" s="1126"/>
      <c r="V230" s="1126"/>
      <c r="W230" s="1126"/>
      <c r="X230" s="1126"/>
      <c r="Y230" s="1126"/>
      <c r="Z230" s="1126"/>
      <c r="AA230" s="1126"/>
      <c r="AB230" s="1126"/>
      <c r="AC230" s="1126"/>
      <c r="AD230" s="1126"/>
      <c r="AE230" s="1126"/>
      <c r="AF230" s="1126"/>
      <c r="AG230" s="1126"/>
      <c r="AH230" s="1126"/>
      <c r="AI230" s="1126"/>
      <c r="AJ230" s="1126"/>
      <c r="AK230" s="1126"/>
      <c r="AL230" s="1126"/>
      <c r="AM230" s="1126"/>
      <c r="AN230" s="1126"/>
      <c r="AO230" s="1126"/>
      <c r="AP230" s="1126"/>
      <c r="AQ230" s="1126"/>
      <c r="AR230" s="1126"/>
      <c r="AS230" s="1126"/>
      <c r="AT230" s="1126"/>
      <c r="AU230" s="413"/>
      <c r="AV230" s="1075"/>
    </row>
    <row r="231" spans="1:48" ht="15" customHeight="1" x14ac:dyDescent="0.2">
      <c r="A231" s="1076"/>
      <c r="B231" s="1380" t="str">
        <f t="shared" si="5"/>
        <v>Desk 15</v>
      </c>
      <c r="C231" s="1390" t="str">
        <f>IF('TB IMA general'!C100&lt;&gt;"",'TB IMA general'!C100,"")</f>
        <v/>
      </c>
      <c r="D231" s="1126"/>
      <c r="E231" s="1126"/>
      <c r="F231" s="1126"/>
      <c r="G231" s="1126"/>
      <c r="H231" s="1126"/>
      <c r="I231" s="1126"/>
      <c r="J231" s="1126"/>
      <c r="K231" s="1126"/>
      <c r="L231" s="1126"/>
      <c r="M231" s="1126"/>
      <c r="N231" s="1126"/>
      <c r="O231" s="1126"/>
      <c r="P231" s="1126"/>
      <c r="Q231" s="1126"/>
      <c r="R231" s="1126"/>
      <c r="S231" s="1126"/>
      <c r="T231" s="1126"/>
      <c r="U231" s="1126"/>
      <c r="V231" s="1126"/>
      <c r="W231" s="1126"/>
      <c r="X231" s="1126"/>
      <c r="Y231" s="1126"/>
      <c r="Z231" s="1126"/>
      <c r="AA231" s="1126"/>
      <c r="AB231" s="1126"/>
      <c r="AC231" s="1126"/>
      <c r="AD231" s="1126"/>
      <c r="AE231" s="1126"/>
      <c r="AF231" s="1126"/>
      <c r="AG231" s="1126"/>
      <c r="AH231" s="1126"/>
      <c r="AI231" s="1126"/>
      <c r="AJ231" s="1126"/>
      <c r="AK231" s="1126"/>
      <c r="AL231" s="1126"/>
      <c r="AM231" s="1126"/>
      <c r="AN231" s="1126"/>
      <c r="AO231" s="1126"/>
      <c r="AP231" s="1126"/>
      <c r="AQ231" s="1126"/>
      <c r="AR231" s="1126"/>
      <c r="AS231" s="1126"/>
      <c r="AT231" s="1126"/>
      <c r="AU231" s="413"/>
      <c r="AV231" s="1075"/>
    </row>
    <row r="232" spans="1:48" ht="15" customHeight="1" x14ac:dyDescent="0.2">
      <c r="A232" s="1076"/>
      <c r="B232" s="1380" t="str">
        <f t="shared" si="5"/>
        <v>Desk 16</v>
      </c>
      <c r="C232" s="1390" t="str">
        <f>IF('TB IMA general'!C101&lt;&gt;"",'TB IMA general'!C101,"")</f>
        <v/>
      </c>
      <c r="D232" s="1126"/>
      <c r="E232" s="1126"/>
      <c r="F232" s="1126"/>
      <c r="G232" s="1126"/>
      <c r="H232" s="1126"/>
      <c r="I232" s="1126"/>
      <c r="J232" s="1126"/>
      <c r="K232" s="1126"/>
      <c r="L232" s="1126"/>
      <c r="M232" s="1126"/>
      <c r="N232" s="1126"/>
      <c r="O232" s="1126"/>
      <c r="P232" s="1126"/>
      <c r="Q232" s="1126"/>
      <c r="R232" s="1126"/>
      <c r="S232" s="1126"/>
      <c r="T232" s="1126"/>
      <c r="U232" s="1126"/>
      <c r="V232" s="1126"/>
      <c r="W232" s="1126"/>
      <c r="X232" s="1126"/>
      <c r="Y232" s="1126"/>
      <c r="Z232" s="1126"/>
      <c r="AA232" s="1126"/>
      <c r="AB232" s="1126"/>
      <c r="AC232" s="1126"/>
      <c r="AD232" s="1126"/>
      <c r="AE232" s="1126"/>
      <c r="AF232" s="1126"/>
      <c r="AG232" s="1126"/>
      <c r="AH232" s="1126"/>
      <c r="AI232" s="1126"/>
      <c r="AJ232" s="1126"/>
      <c r="AK232" s="1126"/>
      <c r="AL232" s="1126"/>
      <c r="AM232" s="1126"/>
      <c r="AN232" s="1126"/>
      <c r="AO232" s="1126"/>
      <c r="AP232" s="1126"/>
      <c r="AQ232" s="1126"/>
      <c r="AR232" s="1126"/>
      <c r="AS232" s="1126"/>
      <c r="AT232" s="1126"/>
      <c r="AU232" s="413"/>
      <c r="AV232" s="1075"/>
    </row>
    <row r="233" spans="1:48" ht="15" customHeight="1" x14ac:dyDescent="0.2">
      <c r="A233" s="1076"/>
      <c r="B233" s="1380" t="str">
        <f t="shared" si="5"/>
        <v>Desk 17</v>
      </c>
      <c r="C233" s="1390" t="str">
        <f>IF('TB IMA general'!C102&lt;&gt;"",'TB IMA general'!C102,"")</f>
        <v/>
      </c>
      <c r="D233" s="1126"/>
      <c r="E233" s="1126"/>
      <c r="F233" s="1126"/>
      <c r="G233" s="1126"/>
      <c r="H233" s="1126"/>
      <c r="I233" s="1126"/>
      <c r="J233" s="1126"/>
      <c r="K233" s="1126"/>
      <c r="L233" s="1126"/>
      <c r="M233" s="1126"/>
      <c r="N233" s="1126"/>
      <c r="O233" s="1126"/>
      <c r="P233" s="1126"/>
      <c r="Q233" s="1126"/>
      <c r="R233" s="1126"/>
      <c r="S233" s="1126"/>
      <c r="T233" s="1126"/>
      <c r="U233" s="1126"/>
      <c r="V233" s="1126"/>
      <c r="W233" s="1126"/>
      <c r="X233" s="1126"/>
      <c r="Y233" s="1126"/>
      <c r="Z233" s="1126"/>
      <c r="AA233" s="1126"/>
      <c r="AB233" s="1126"/>
      <c r="AC233" s="1126"/>
      <c r="AD233" s="1126"/>
      <c r="AE233" s="1126"/>
      <c r="AF233" s="1126"/>
      <c r="AG233" s="1126"/>
      <c r="AH233" s="1126"/>
      <c r="AI233" s="1126"/>
      <c r="AJ233" s="1126"/>
      <c r="AK233" s="1126"/>
      <c r="AL233" s="1126"/>
      <c r="AM233" s="1126"/>
      <c r="AN233" s="1126"/>
      <c r="AO233" s="1126"/>
      <c r="AP233" s="1126"/>
      <c r="AQ233" s="1126"/>
      <c r="AR233" s="1126"/>
      <c r="AS233" s="1126"/>
      <c r="AT233" s="1126"/>
      <c r="AU233" s="413"/>
      <c r="AV233" s="1075"/>
    </row>
    <row r="234" spans="1:48" ht="15" customHeight="1" x14ac:dyDescent="0.2">
      <c r="A234" s="1076"/>
      <c r="B234" s="1380" t="str">
        <f t="shared" si="5"/>
        <v>Desk 18</v>
      </c>
      <c r="C234" s="1390" t="str">
        <f>IF('TB IMA general'!C103&lt;&gt;"",'TB IMA general'!C103,"")</f>
        <v/>
      </c>
      <c r="D234" s="1126"/>
      <c r="E234" s="1126"/>
      <c r="F234" s="1126"/>
      <c r="G234" s="1126"/>
      <c r="H234" s="1126"/>
      <c r="I234" s="1126"/>
      <c r="J234" s="1126"/>
      <c r="K234" s="1126"/>
      <c r="L234" s="1126"/>
      <c r="M234" s="1126"/>
      <c r="N234" s="1126"/>
      <c r="O234" s="1126"/>
      <c r="P234" s="1126"/>
      <c r="Q234" s="1126"/>
      <c r="R234" s="1126"/>
      <c r="S234" s="1126"/>
      <c r="T234" s="1126"/>
      <c r="U234" s="1126"/>
      <c r="V234" s="1126"/>
      <c r="W234" s="1126"/>
      <c r="X234" s="1126"/>
      <c r="Y234" s="1126"/>
      <c r="Z234" s="1126"/>
      <c r="AA234" s="1126"/>
      <c r="AB234" s="1126"/>
      <c r="AC234" s="1126"/>
      <c r="AD234" s="1126"/>
      <c r="AE234" s="1126"/>
      <c r="AF234" s="1126"/>
      <c r="AG234" s="1126"/>
      <c r="AH234" s="1126"/>
      <c r="AI234" s="1126"/>
      <c r="AJ234" s="1126"/>
      <c r="AK234" s="1126"/>
      <c r="AL234" s="1126"/>
      <c r="AM234" s="1126"/>
      <c r="AN234" s="1126"/>
      <c r="AO234" s="1126"/>
      <c r="AP234" s="1126"/>
      <c r="AQ234" s="1126"/>
      <c r="AR234" s="1126"/>
      <c r="AS234" s="1126"/>
      <c r="AT234" s="1126"/>
      <c r="AU234" s="413"/>
      <c r="AV234" s="1075"/>
    </row>
    <row r="235" spans="1:48" ht="15" customHeight="1" x14ac:dyDescent="0.2">
      <c r="A235" s="1076"/>
      <c r="B235" s="1380" t="str">
        <f t="shared" si="5"/>
        <v>Desk 19</v>
      </c>
      <c r="C235" s="1390" t="str">
        <f>IF('TB IMA general'!C104&lt;&gt;"",'TB IMA general'!C104,"")</f>
        <v/>
      </c>
      <c r="D235" s="1126"/>
      <c r="E235" s="1126"/>
      <c r="F235" s="1126"/>
      <c r="G235" s="1126"/>
      <c r="H235" s="1126"/>
      <c r="I235" s="1126"/>
      <c r="J235" s="1126"/>
      <c r="K235" s="1126"/>
      <c r="L235" s="1126"/>
      <c r="M235" s="1126"/>
      <c r="N235" s="1126"/>
      <c r="O235" s="1126"/>
      <c r="P235" s="1126"/>
      <c r="Q235" s="1126"/>
      <c r="R235" s="1126"/>
      <c r="S235" s="1126"/>
      <c r="T235" s="1126"/>
      <c r="U235" s="1126"/>
      <c r="V235" s="1126"/>
      <c r="W235" s="1126"/>
      <c r="X235" s="1126"/>
      <c r="Y235" s="1126"/>
      <c r="Z235" s="1126"/>
      <c r="AA235" s="1126"/>
      <c r="AB235" s="1126"/>
      <c r="AC235" s="1126"/>
      <c r="AD235" s="1126"/>
      <c r="AE235" s="1126"/>
      <c r="AF235" s="1126"/>
      <c r="AG235" s="1126"/>
      <c r="AH235" s="1126"/>
      <c r="AI235" s="1126"/>
      <c r="AJ235" s="1126"/>
      <c r="AK235" s="1126"/>
      <c r="AL235" s="1126"/>
      <c r="AM235" s="1126"/>
      <c r="AN235" s="1126"/>
      <c r="AO235" s="1126"/>
      <c r="AP235" s="1126"/>
      <c r="AQ235" s="1126"/>
      <c r="AR235" s="1126"/>
      <c r="AS235" s="1126"/>
      <c r="AT235" s="1126"/>
      <c r="AU235" s="413"/>
      <c r="AV235" s="1075"/>
    </row>
    <row r="236" spans="1:48" ht="15" customHeight="1" x14ac:dyDescent="0.2">
      <c r="A236" s="1076"/>
      <c r="B236" s="1380" t="str">
        <f t="shared" si="5"/>
        <v>Desk 20</v>
      </c>
      <c r="C236" s="1390" t="str">
        <f>IF('TB IMA general'!C105&lt;&gt;"",'TB IMA general'!C105,"")</f>
        <v/>
      </c>
      <c r="D236" s="1126"/>
      <c r="E236" s="1126"/>
      <c r="F236" s="1126"/>
      <c r="G236" s="1126"/>
      <c r="H236" s="1126"/>
      <c r="I236" s="1126"/>
      <c r="J236" s="1126"/>
      <c r="K236" s="1126"/>
      <c r="L236" s="1126"/>
      <c r="M236" s="1126"/>
      <c r="N236" s="1126"/>
      <c r="O236" s="1126"/>
      <c r="P236" s="1126"/>
      <c r="Q236" s="1126"/>
      <c r="R236" s="1126"/>
      <c r="S236" s="1126"/>
      <c r="T236" s="1126"/>
      <c r="U236" s="1126"/>
      <c r="V236" s="1126"/>
      <c r="W236" s="1126"/>
      <c r="X236" s="1126"/>
      <c r="Y236" s="1126"/>
      <c r="Z236" s="1126"/>
      <c r="AA236" s="1126"/>
      <c r="AB236" s="1126"/>
      <c r="AC236" s="1126"/>
      <c r="AD236" s="1126"/>
      <c r="AE236" s="1126"/>
      <c r="AF236" s="1126"/>
      <c r="AG236" s="1126"/>
      <c r="AH236" s="1126"/>
      <c r="AI236" s="1126"/>
      <c r="AJ236" s="1126"/>
      <c r="AK236" s="1126"/>
      <c r="AL236" s="1126"/>
      <c r="AM236" s="1126"/>
      <c r="AN236" s="1126"/>
      <c r="AO236" s="1126"/>
      <c r="AP236" s="1126"/>
      <c r="AQ236" s="1126"/>
      <c r="AR236" s="1126"/>
      <c r="AS236" s="1126"/>
      <c r="AT236" s="1126"/>
      <c r="AU236" s="413"/>
      <c r="AV236" s="1075"/>
    </row>
    <row r="237" spans="1:48" ht="15" customHeight="1" x14ac:dyDescent="0.2">
      <c r="A237" s="1076"/>
      <c r="B237" s="1380" t="str">
        <f t="shared" si="5"/>
        <v>Desk 21</v>
      </c>
      <c r="C237" s="1390" t="str">
        <f>IF('TB IMA general'!C106&lt;&gt;"",'TB IMA general'!C106,"")</f>
        <v/>
      </c>
      <c r="D237" s="1126"/>
      <c r="E237" s="1126"/>
      <c r="F237" s="1126"/>
      <c r="G237" s="1126"/>
      <c r="H237" s="1126"/>
      <c r="I237" s="1126"/>
      <c r="J237" s="1126"/>
      <c r="K237" s="1126"/>
      <c r="L237" s="1126"/>
      <c r="M237" s="1126"/>
      <c r="N237" s="1126"/>
      <c r="O237" s="1126"/>
      <c r="P237" s="1126"/>
      <c r="Q237" s="1126"/>
      <c r="R237" s="1126"/>
      <c r="S237" s="1126"/>
      <c r="T237" s="1126"/>
      <c r="U237" s="1126"/>
      <c r="V237" s="1126"/>
      <c r="W237" s="1126"/>
      <c r="X237" s="1126"/>
      <c r="Y237" s="1126"/>
      <c r="Z237" s="1126"/>
      <c r="AA237" s="1126"/>
      <c r="AB237" s="1126"/>
      <c r="AC237" s="1126"/>
      <c r="AD237" s="1126"/>
      <c r="AE237" s="1126"/>
      <c r="AF237" s="1126"/>
      <c r="AG237" s="1126"/>
      <c r="AH237" s="1126"/>
      <c r="AI237" s="1126"/>
      <c r="AJ237" s="1126"/>
      <c r="AK237" s="1126"/>
      <c r="AL237" s="1126"/>
      <c r="AM237" s="1126"/>
      <c r="AN237" s="1126"/>
      <c r="AO237" s="1126"/>
      <c r="AP237" s="1126"/>
      <c r="AQ237" s="1126"/>
      <c r="AR237" s="1126"/>
      <c r="AS237" s="1126"/>
      <c r="AT237" s="1126"/>
      <c r="AU237" s="413"/>
      <c r="AV237" s="1075"/>
    </row>
    <row r="238" spans="1:48" ht="15" customHeight="1" x14ac:dyDescent="0.2">
      <c r="A238" s="1076"/>
      <c r="B238" s="1380" t="str">
        <f t="shared" si="5"/>
        <v>Desk 22</v>
      </c>
      <c r="C238" s="1390" t="str">
        <f>IF('TB IMA general'!C107&lt;&gt;"",'TB IMA general'!C107,"")</f>
        <v/>
      </c>
      <c r="D238" s="1126"/>
      <c r="E238" s="1126"/>
      <c r="F238" s="1126"/>
      <c r="G238" s="1126"/>
      <c r="H238" s="1126"/>
      <c r="I238" s="1126"/>
      <c r="J238" s="1126"/>
      <c r="K238" s="1126"/>
      <c r="L238" s="1126"/>
      <c r="M238" s="1126"/>
      <c r="N238" s="1126"/>
      <c r="O238" s="1126"/>
      <c r="P238" s="1126"/>
      <c r="Q238" s="1126"/>
      <c r="R238" s="1126"/>
      <c r="S238" s="1126"/>
      <c r="T238" s="1126"/>
      <c r="U238" s="1126"/>
      <c r="V238" s="1126"/>
      <c r="W238" s="1126"/>
      <c r="X238" s="1126"/>
      <c r="Y238" s="1126"/>
      <c r="Z238" s="1126"/>
      <c r="AA238" s="1126"/>
      <c r="AB238" s="1126"/>
      <c r="AC238" s="1126"/>
      <c r="AD238" s="1126"/>
      <c r="AE238" s="1126"/>
      <c r="AF238" s="1126"/>
      <c r="AG238" s="1126"/>
      <c r="AH238" s="1126"/>
      <c r="AI238" s="1126"/>
      <c r="AJ238" s="1126"/>
      <c r="AK238" s="1126"/>
      <c r="AL238" s="1126"/>
      <c r="AM238" s="1126"/>
      <c r="AN238" s="1126"/>
      <c r="AO238" s="1126"/>
      <c r="AP238" s="1126"/>
      <c r="AQ238" s="1126"/>
      <c r="AR238" s="1126"/>
      <c r="AS238" s="1126"/>
      <c r="AT238" s="1126"/>
      <c r="AU238" s="413"/>
      <c r="AV238" s="1075"/>
    </row>
    <row r="239" spans="1:48" ht="15" customHeight="1" x14ac:dyDescent="0.2">
      <c r="A239" s="1076"/>
      <c r="B239" s="1380" t="str">
        <f t="shared" si="5"/>
        <v>Desk 23</v>
      </c>
      <c r="C239" s="1390" t="str">
        <f>IF('TB IMA general'!C108&lt;&gt;"",'TB IMA general'!C108,"")</f>
        <v/>
      </c>
      <c r="D239" s="1126"/>
      <c r="E239" s="1126"/>
      <c r="F239" s="1126"/>
      <c r="G239" s="1126"/>
      <c r="H239" s="1126"/>
      <c r="I239" s="1126"/>
      <c r="J239" s="1126"/>
      <c r="K239" s="1126"/>
      <c r="L239" s="1126"/>
      <c r="M239" s="1126"/>
      <c r="N239" s="1126"/>
      <c r="O239" s="1126"/>
      <c r="P239" s="1126"/>
      <c r="Q239" s="1126"/>
      <c r="R239" s="1126"/>
      <c r="S239" s="1126"/>
      <c r="T239" s="1126"/>
      <c r="U239" s="1126"/>
      <c r="V239" s="1126"/>
      <c r="W239" s="1126"/>
      <c r="X239" s="1126"/>
      <c r="Y239" s="1126"/>
      <c r="Z239" s="1126"/>
      <c r="AA239" s="1126"/>
      <c r="AB239" s="1126"/>
      <c r="AC239" s="1126"/>
      <c r="AD239" s="1126"/>
      <c r="AE239" s="1126"/>
      <c r="AF239" s="1126"/>
      <c r="AG239" s="1126"/>
      <c r="AH239" s="1126"/>
      <c r="AI239" s="1126"/>
      <c r="AJ239" s="1126"/>
      <c r="AK239" s="1126"/>
      <c r="AL239" s="1126"/>
      <c r="AM239" s="1126"/>
      <c r="AN239" s="1126"/>
      <c r="AO239" s="1126"/>
      <c r="AP239" s="1126"/>
      <c r="AQ239" s="1126"/>
      <c r="AR239" s="1126"/>
      <c r="AS239" s="1126"/>
      <c r="AT239" s="1126"/>
      <c r="AU239" s="413"/>
      <c r="AV239" s="1075"/>
    </row>
    <row r="240" spans="1:48" ht="15" customHeight="1" x14ac:dyDescent="0.2">
      <c r="A240" s="1076"/>
      <c r="B240" s="1380" t="str">
        <f t="shared" si="5"/>
        <v>Desk 24</v>
      </c>
      <c r="C240" s="1390" t="str">
        <f>IF('TB IMA general'!C109&lt;&gt;"",'TB IMA general'!C109,"")</f>
        <v/>
      </c>
      <c r="D240" s="1126"/>
      <c r="E240" s="1126"/>
      <c r="F240" s="1126"/>
      <c r="G240" s="1126"/>
      <c r="H240" s="1126"/>
      <c r="I240" s="1126"/>
      <c r="J240" s="1126"/>
      <c r="K240" s="1126"/>
      <c r="L240" s="1126"/>
      <c r="M240" s="1126"/>
      <c r="N240" s="1126"/>
      <c r="O240" s="1126"/>
      <c r="P240" s="1126"/>
      <c r="Q240" s="1126"/>
      <c r="R240" s="1126"/>
      <c r="S240" s="1126"/>
      <c r="T240" s="1126"/>
      <c r="U240" s="1126"/>
      <c r="V240" s="1126"/>
      <c r="W240" s="1126"/>
      <c r="X240" s="1126"/>
      <c r="Y240" s="1126"/>
      <c r="Z240" s="1126"/>
      <c r="AA240" s="1126"/>
      <c r="AB240" s="1126"/>
      <c r="AC240" s="1126"/>
      <c r="AD240" s="1126"/>
      <c r="AE240" s="1126"/>
      <c r="AF240" s="1126"/>
      <c r="AG240" s="1126"/>
      <c r="AH240" s="1126"/>
      <c r="AI240" s="1126"/>
      <c r="AJ240" s="1126"/>
      <c r="AK240" s="1126"/>
      <c r="AL240" s="1126"/>
      <c r="AM240" s="1126"/>
      <c r="AN240" s="1126"/>
      <c r="AO240" s="1126"/>
      <c r="AP240" s="1126"/>
      <c r="AQ240" s="1126"/>
      <c r="AR240" s="1126"/>
      <c r="AS240" s="1126"/>
      <c r="AT240" s="1126"/>
      <c r="AU240" s="413"/>
      <c r="AV240" s="1075"/>
    </row>
    <row r="241" spans="1:48" ht="15" customHeight="1" x14ac:dyDescent="0.2">
      <c r="A241" s="1076"/>
      <c r="B241" s="1380" t="str">
        <f t="shared" si="5"/>
        <v>Desk 25</v>
      </c>
      <c r="C241" s="1390" t="str">
        <f>IF('TB IMA general'!C110&lt;&gt;"",'TB IMA general'!C110,"")</f>
        <v/>
      </c>
      <c r="D241" s="1126"/>
      <c r="E241" s="1126"/>
      <c r="F241" s="1126"/>
      <c r="G241" s="1126"/>
      <c r="H241" s="1126"/>
      <c r="I241" s="1126"/>
      <c r="J241" s="1126"/>
      <c r="K241" s="1126"/>
      <c r="L241" s="1126"/>
      <c r="M241" s="1126"/>
      <c r="N241" s="1126"/>
      <c r="O241" s="1126"/>
      <c r="P241" s="1126"/>
      <c r="Q241" s="1126"/>
      <c r="R241" s="1126"/>
      <c r="S241" s="1126"/>
      <c r="T241" s="1126"/>
      <c r="U241" s="1126"/>
      <c r="V241" s="1126"/>
      <c r="W241" s="1126"/>
      <c r="X241" s="1126"/>
      <c r="Y241" s="1126"/>
      <c r="Z241" s="1126"/>
      <c r="AA241" s="1126"/>
      <c r="AB241" s="1126"/>
      <c r="AC241" s="1126"/>
      <c r="AD241" s="1126"/>
      <c r="AE241" s="1126"/>
      <c r="AF241" s="1126"/>
      <c r="AG241" s="1126"/>
      <c r="AH241" s="1126"/>
      <c r="AI241" s="1126"/>
      <c r="AJ241" s="1126"/>
      <c r="AK241" s="1126"/>
      <c r="AL241" s="1126"/>
      <c r="AM241" s="1126"/>
      <c r="AN241" s="1126"/>
      <c r="AO241" s="1126"/>
      <c r="AP241" s="1126"/>
      <c r="AQ241" s="1126"/>
      <c r="AR241" s="1126"/>
      <c r="AS241" s="1126"/>
      <c r="AT241" s="1126"/>
      <c r="AU241" s="413"/>
      <c r="AV241" s="1075"/>
    </row>
    <row r="242" spans="1:48" ht="15" customHeight="1" x14ac:dyDescent="0.2">
      <c r="A242" s="1076"/>
      <c r="B242" s="1380" t="str">
        <f t="shared" si="5"/>
        <v>Desk 26</v>
      </c>
      <c r="C242" s="1390" t="str">
        <f>IF('TB IMA general'!C111&lt;&gt;"",'TB IMA general'!C111,"")</f>
        <v/>
      </c>
      <c r="D242" s="1126"/>
      <c r="E242" s="1126"/>
      <c r="F242" s="1126"/>
      <c r="G242" s="1126"/>
      <c r="H242" s="1126"/>
      <c r="I242" s="1126"/>
      <c r="J242" s="1126"/>
      <c r="K242" s="1126"/>
      <c r="L242" s="1126"/>
      <c r="M242" s="1126"/>
      <c r="N242" s="1126"/>
      <c r="O242" s="1126"/>
      <c r="P242" s="1126"/>
      <c r="Q242" s="1126"/>
      <c r="R242" s="1126"/>
      <c r="S242" s="1126"/>
      <c r="T242" s="1126"/>
      <c r="U242" s="1126"/>
      <c r="V242" s="1126"/>
      <c r="W242" s="1126"/>
      <c r="X242" s="1126"/>
      <c r="Y242" s="1126"/>
      <c r="Z242" s="1126"/>
      <c r="AA242" s="1126"/>
      <c r="AB242" s="1126"/>
      <c r="AC242" s="1126"/>
      <c r="AD242" s="1126"/>
      <c r="AE242" s="1126"/>
      <c r="AF242" s="1126"/>
      <c r="AG242" s="1126"/>
      <c r="AH242" s="1126"/>
      <c r="AI242" s="1126"/>
      <c r="AJ242" s="1126"/>
      <c r="AK242" s="1126"/>
      <c r="AL242" s="1126"/>
      <c r="AM242" s="1126"/>
      <c r="AN242" s="1126"/>
      <c r="AO242" s="1126"/>
      <c r="AP242" s="1126"/>
      <c r="AQ242" s="1126"/>
      <c r="AR242" s="1126"/>
      <c r="AS242" s="1126"/>
      <c r="AT242" s="1126"/>
      <c r="AU242" s="413"/>
      <c r="AV242" s="1075"/>
    </row>
    <row r="243" spans="1:48" ht="15" customHeight="1" x14ac:dyDescent="0.2">
      <c r="A243" s="1076"/>
      <c r="B243" s="1380" t="str">
        <f t="shared" si="5"/>
        <v>Desk 27</v>
      </c>
      <c r="C243" s="1390" t="str">
        <f>IF('TB IMA general'!C112&lt;&gt;"",'TB IMA general'!C112,"")</f>
        <v/>
      </c>
      <c r="D243" s="1126"/>
      <c r="E243" s="1126"/>
      <c r="F243" s="1126"/>
      <c r="G243" s="1126"/>
      <c r="H243" s="1126"/>
      <c r="I243" s="1126"/>
      <c r="J243" s="1126"/>
      <c r="K243" s="1126"/>
      <c r="L243" s="1126"/>
      <c r="M243" s="1126"/>
      <c r="N243" s="1126"/>
      <c r="O243" s="1126"/>
      <c r="P243" s="1126"/>
      <c r="Q243" s="1126"/>
      <c r="R243" s="1126"/>
      <c r="S243" s="1126"/>
      <c r="T243" s="1126"/>
      <c r="U243" s="1126"/>
      <c r="V243" s="1126"/>
      <c r="W243" s="1126"/>
      <c r="X243" s="1126"/>
      <c r="Y243" s="1126"/>
      <c r="Z243" s="1126"/>
      <c r="AA243" s="1126"/>
      <c r="AB243" s="1126"/>
      <c r="AC243" s="1126"/>
      <c r="AD243" s="1126"/>
      <c r="AE243" s="1126"/>
      <c r="AF243" s="1126"/>
      <c r="AG243" s="1126"/>
      <c r="AH243" s="1126"/>
      <c r="AI243" s="1126"/>
      <c r="AJ243" s="1126"/>
      <c r="AK243" s="1126"/>
      <c r="AL243" s="1126"/>
      <c r="AM243" s="1126"/>
      <c r="AN243" s="1126"/>
      <c r="AO243" s="1126"/>
      <c r="AP243" s="1126"/>
      <c r="AQ243" s="1126"/>
      <c r="AR243" s="1126"/>
      <c r="AS243" s="1126"/>
      <c r="AT243" s="1126"/>
      <c r="AU243" s="413"/>
      <c r="AV243" s="1075"/>
    </row>
    <row r="244" spans="1:48" ht="15" customHeight="1" x14ac:dyDescent="0.2">
      <c r="A244" s="1076"/>
      <c r="B244" s="1380" t="str">
        <f t="shared" si="5"/>
        <v>Desk 28</v>
      </c>
      <c r="C244" s="1390" t="str">
        <f>IF('TB IMA general'!C113&lt;&gt;"",'TB IMA general'!C113,"")</f>
        <v/>
      </c>
      <c r="D244" s="1126"/>
      <c r="E244" s="1126"/>
      <c r="F244" s="1126"/>
      <c r="G244" s="1126"/>
      <c r="H244" s="1126"/>
      <c r="I244" s="1126"/>
      <c r="J244" s="1126"/>
      <c r="K244" s="1126"/>
      <c r="L244" s="1126"/>
      <c r="M244" s="1126"/>
      <c r="N244" s="1126"/>
      <c r="O244" s="1126"/>
      <c r="P244" s="1126"/>
      <c r="Q244" s="1126"/>
      <c r="R244" s="1126"/>
      <c r="S244" s="1126"/>
      <c r="T244" s="1126"/>
      <c r="U244" s="1126"/>
      <c r="V244" s="1126"/>
      <c r="W244" s="1126"/>
      <c r="X244" s="1126"/>
      <c r="Y244" s="1126"/>
      <c r="Z244" s="1126"/>
      <c r="AA244" s="1126"/>
      <c r="AB244" s="1126"/>
      <c r="AC244" s="1126"/>
      <c r="AD244" s="1126"/>
      <c r="AE244" s="1126"/>
      <c r="AF244" s="1126"/>
      <c r="AG244" s="1126"/>
      <c r="AH244" s="1126"/>
      <c r="AI244" s="1126"/>
      <c r="AJ244" s="1126"/>
      <c r="AK244" s="1126"/>
      <c r="AL244" s="1126"/>
      <c r="AM244" s="1126"/>
      <c r="AN244" s="1126"/>
      <c r="AO244" s="1126"/>
      <c r="AP244" s="1126"/>
      <c r="AQ244" s="1126"/>
      <c r="AR244" s="1126"/>
      <c r="AS244" s="1126"/>
      <c r="AT244" s="1126"/>
      <c r="AU244" s="413"/>
      <c r="AV244" s="1075"/>
    </row>
    <row r="245" spans="1:48" ht="15" customHeight="1" x14ac:dyDescent="0.2">
      <c r="A245" s="1076"/>
      <c r="B245" s="1380" t="str">
        <f t="shared" si="5"/>
        <v>Desk 29</v>
      </c>
      <c r="C245" s="1390" t="str">
        <f>IF('TB IMA general'!C114&lt;&gt;"",'TB IMA general'!C114,"")</f>
        <v/>
      </c>
      <c r="D245" s="1126"/>
      <c r="E245" s="1126"/>
      <c r="F245" s="1126"/>
      <c r="G245" s="1126"/>
      <c r="H245" s="1126"/>
      <c r="I245" s="1126"/>
      <c r="J245" s="1126"/>
      <c r="K245" s="1126"/>
      <c r="L245" s="1126"/>
      <c r="M245" s="1126"/>
      <c r="N245" s="1126"/>
      <c r="O245" s="1126"/>
      <c r="P245" s="1126"/>
      <c r="Q245" s="1126"/>
      <c r="R245" s="1126"/>
      <c r="S245" s="1126"/>
      <c r="T245" s="1126"/>
      <c r="U245" s="1126"/>
      <c r="V245" s="1126"/>
      <c r="W245" s="1126"/>
      <c r="X245" s="1126"/>
      <c r="Y245" s="1126"/>
      <c r="Z245" s="1126"/>
      <c r="AA245" s="1126"/>
      <c r="AB245" s="1126"/>
      <c r="AC245" s="1126"/>
      <c r="AD245" s="1126"/>
      <c r="AE245" s="1126"/>
      <c r="AF245" s="1126"/>
      <c r="AG245" s="1126"/>
      <c r="AH245" s="1126"/>
      <c r="AI245" s="1126"/>
      <c r="AJ245" s="1126"/>
      <c r="AK245" s="1126"/>
      <c r="AL245" s="1126"/>
      <c r="AM245" s="1126"/>
      <c r="AN245" s="1126"/>
      <c r="AO245" s="1126"/>
      <c r="AP245" s="1126"/>
      <c r="AQ245" s="1126"/>
      <c r="AR245" s="1126"/>
      <c r="AS245" s="1126"/>
      <c r="AT245" s="1126"/>
      <c r="AU245" s="413"/>
      <c r="AV245" s="1075"/>
    </row>
    <row r="246" spans="1:48" ht="15" customHeight="1" x14ac:dyDescent="0.2">
      <c r="A246" s="1076"/>
      <c r="B246" s="1380" t="str">
        <f t="shared" si="5"/>
        <v>Desk 30</v>
      </c>
      <c r="C246" s="1390" t="str">
        <f>IF('TB IMA general'!C115&lt;&gt;"",'TB IMA general'!C115,"")</f>
        <v/>
      </c>
      <c r="D246" s="1126"/>
      <c r="E246" s="1126"/>
      <c r="F246" s="1126"/>
      <c r="G246" s="1126"/>
      <c r="H246" s="1126"/>
      <c r="I246" s="1126"/>
      <c r="J246" s="1126"/>
      <c r="K246" s="1126"/>
      <c r="L246" s="1126"/>
      <c r="M246" s="1126"/>
      <c r="N246" s="1126"/>
      <c r="O246" s="1126"/>
      <c r="P246" s="1126"/>
      <c r="Q246" s="1126"/>
      <c r="R246" s="1126"/>
      <c r="S246" s="1126"/>
      <c r="T246" s="1126"/>
      <c r="U246" s="1126"/>
      <c r="V246" s="1126"/>
      <c r="W246" s="1126"/>
      <c r="X246" s="1126"/>
      <c r="Y246" s="1126"/>
      <c r="Z246" s="1126"/>
      <c r="AA246" s="1126"/>
      <c r="AB246" s="1126"/>
      <c r="AC246" s="1126"/>
      <c r="AD246" s="1126"/>
      <c r="AE246" s="1126"/>
      <c r="AF246" s="1126"/>
      <c r="AG246" s="1126"/>
      <c r="AH246" s="1126"/>
      <c r="AI246" s="1126"/>
      <c r="AJ246" s="1126"/>
      <c r="AK246" s="1126"/>
      <c r="AL246" s="1126"/>
      <c r="AM246" s="1126"/>
      <c r="AN246" s="1126"/>
      <c r="AO246" s="1126"/>
      <c r="AP246" s="1126"/>
      <c r="AQ246" s="1126"/>
      <c r="AR246" s="1126"/>
      <c r="AS246" s="1126"/>
      <c r="AT246" s="1126"/>
      <c r="AU246" s="413"/>
      <c r="AV246" s="1075"/>
    </row>
    <row r="247" spans="1:48" ht="15" customHeight="1" x14ac:dyDescent="0.2">
      <c r="A247" s="1076"/>
      <c r="B247" s="1380" t="str">
        <f t="shared" si="5"/>
        <v>Desk 31</v>
      </c>
      <c r="C247" s="1390" t="str">
        <f>IF('TB IMA general'!C116&lt;&gt;"",'TB IMA general'!C116,"")</f>
        <v/>
      </c>
      <c r="D247" s="1126"/>
      <c r="E247" s="1126"/>
      <c r="F247" s="1126"/>
      <c r="G247" s="1126"/>
      <c r="H247" s="1126"/>
      <c r="I247" s="1126"/>
      <c r="J247" s="1126"/>
      <c r="K247" s="1126"/>
      <c r="L247" s="1126"/>
      <c r="M247" s="1126"/>
      <c r="N247" s="1126"/>
      <c r="O247" s="1126"/>
      <c r="P247" s="1126"/>
      <c r="Q247" s="1126"/>
      <c r="R247" s="1126"/>
      <c r="S247" s="1126"/>
      <c r="T247" s="1126"/>
      <c r="U247" s="1126"/>
      <c r="V247" s="1126"/>
      <c r="W247" s="1126"/>
      <c r="X247" s="1126"/>
      <c r="Y247" s="1126"/>
      <c r="Z247" s="1126"/>
      <c r="AA247" s="1126"/>
      <c r="AB247" s="1126"/>
      <c r="AC247" s="1126"/>
      <c r="AD247" s="1126"/>
      <c r="AE247" s="1126"/>
      <c r="AF247" s="1126"/>
      <c r="AG247" s="1126"/>
      <c r="AH247" s="1126"/>
      <c r="AI247" s="1126"/>
      <c r="AJ247" s="1126"/>
      <c r="AK247" s="1126"/>
      <c r="AL247" s="1126"/>
      <c r="AM247" s="1126"/>
      <c r="AN247" s="1126"/>
      <c r="AO247" s="1126"/>
      <c r="AP247" s="1126"/>
      <c r="AQ247" s="1126"/>
      <c r="AR247" s="1126"/>
      <c r="AS247" s="1126"/>
      <c r="AT247" s="1126"/>
      <c r="AU247" s="413"/>
      <c r="AV247" s="1075"/>
    </row>
    <row r="248" spans="1:48" ht="15" customHeight="1" x14ac:dyDescent="0.2">
      <c r="A248" s="1076"/>
      <c r="B248" s="1380" t="str">
        <f t="shared" si="5"/>
        <v>Desk 32</v>
      </c>
      <c r="C248" s="1390" t="str">
        <f>IF('TB IMA general'!C117&lt;&gt;"",'TB IMA general'!C117,"")</f>
        <v/>
      </c>
      <c r="D248" s="1126"/>
      <c r="E248" s="1126"/>
      <c r="F248" s="1126"/>
      <c r="G248" s="1126"/>
      <c r="H248" s="1126"/>
      <c r="I248" s="1126"/>
      <c r="J248" s="1126"/>
      <c r="K248" s="1126"/>
      <c r="L248" s="1126"/>
      <c r="M248" s="1126"/>
      <c r="N248" s="1126"/>
      <c r="O248" s="1126"/>
      <c r="P248" s="1126"/>
      <c r="Q248" s="1126"/>
      <c r="R248" s="1126"/>
      <c r="S248" s="1126"/>
      <c r="T248" s="1126"/>
      <c r="U248" s="1126"/>
      <c r="V248" s="1126"/>
      <c r="W248" s="1126"/>
      <c r="X248" s="1126"/>
      <c r="Y248" s="1126"/>
      <c r="Z248" s="1126"/>
      <c r="AA248" s="1126"/>
      <c r="AB248" s="1126"/>
      <c r="AC248" s="1126"/>
      <c r="AD248" s="1126"/>
      <c r="AE248" s="1126"/>
      <c r="AF248" s="1126"/>
      <c r="AG248" s="1126"/>
      <c r="AH248" s="1126"/>
      <c r="AI248" s="1126"/>
      <c r="AJ248" s="1126"/>
      <c r="AK248" s="1126"/>
      <c r="AL248" s="1126"/>
      <c r="AM248" s="1126"/>
      <c r="AN248" s="1126"/>
      <c r="AO248" s="1126"/>
      <c r="AP248" s="1126"/>
      <c r="AQ248" s="1126"/>
      <c r="AR248" s="1126"/>
      <c r="AS248" s="1126"/>
      <c r="AT248" s="1126"/>
      <c r="AU248" s="413"/>
      <c r="AV248" s="1075"/>
    </row>
    <row r="249" spans="1:48" ht="15" customHeight="1" x14ac:dyDescent="0.2">
      <c r="A249" s="1076"/>
      <c r="B249" s="1380" t="str">
        <f t="shared" si="5"/>
        <v>Desk 33</v>
      </c>
      <c r="C249" s="1390" t="str">
        <f>IF('TB IMA general'!C118&lt;&gt;"",'TB IMA general'!C118,"")</f>
        <v/>
      </c>
      <c r="D249" s="1126"/>
      <c r="E249" s="1126"/>
      <c r="F249" s="1126"/>
      <c r="G249" s="1126"/>
      <c r="H249" s="1126"/>
      <c r="I249" s="1126"/>
      <c r="J249" s="1126"/>
      <c r="K249" s="1126"/>
      <c r="L249" s="1126"/>
      <c r="M249" s="1126"/>
      <c r="N249" s="1126"/>
      <c r="O249" s="1126"/>
      <c r="P249" s="1126"/>
      <c r="Q249" s="1126"/>
      <c r="R249" s="1126"/>
      <c r="S249" s="1126"/>
      <c r="T249" s="1126"/>
      <c r="U249" s="1126"/>
      <c r="V249" s="1126"/>
      <c r="W249" s="1126"/>
      <c r="X249" s="1126"/>
      <c r="Y249" s="1126"/>
      <c r="Z249" s="1126"/>
      <c r="AA249" s="1126"/>
      <c r="AB249" s="1126"/>
      <c r="AC249" s="1126"/>
      <c r="AD249" s="1126"/>
      <c r="AE249" s="1126"/>
      <c r="AF249" s="1126"/>
      <c r="AG249" s="1126"/>
      <c r="AH249" s="1126"/>
      <c r="AI249" s="1126"/>
      <c r="AJ249" s="1126"/>
      <c r="AK249" s="1126"/>
      <c r="AL249" s="1126"/>
      <c r="AM249" s="1126"/>
      <c r="AN249" s="1126"/>
      <c r="AO249" s="1126"/>
      <c r="AP249" s="1126"/>
      <c r="AQ249" s="1126"/>
      <c r="AR249" s="1126"/>
      <c r="AS249" s="1126"/>
      <c r="AT249" s="1126"/>
      <c r="AU249" s="413"/>
      <c r="AV249" s="1075"/>
    </row>
    <row r="250" spans="1:48" ht="15" customHeight="1" x14ac:dyDescent="0.2">
      <c r="A250" s="1076"/>
      <c r="B250" s="1380" t="str">
        <f t="shared" si="5"/>
        <v>Desk 34</v>
      </c>
      <c r="C250" s="1390" t="str">
        <f>IF('TB IMA general'!C119&lt;&gt;"",'TB IMA general'!C119,"")</f>
        <v/>
      </c>
      <c r="D250" s="1126"/>
      <c r="E250" s="1126"/>
      <c r="F250" s="1126"/>
      <c r="G250" s="1126"/>
      <c r="H250" s="1126"/>
      <c r="I250" s="1126"/>
      <c r="J250" s="1126"/>
      <c r="K250" s="1126"/>
      <c r="L250" s="1126"/>
      <c r="M250" s="1126"/>
      <c r="N250" s="1126"/>
      <c r="O250" s="1126"/>
      <c r="P250" s="1126"/>
      <c r="Q250" s="1126"/>
      <c r="R250" s="1126"/>
      <c r="S250" s="1126"/>
      <c r="T250" s="1126"/>
      <c r="U250" s="1126"/>
      <c r="V250" s="1126"/>
      <c r="W250" s="1126"/>
      <c r="X250" s="1126"/>
      <c r="Y250" s="1126"/>
      <c r="Z250" s="1126"/>
      <c r="AA250" s="1126"/>
      <c r="AB250" s="1126"/>
      <c r="AC250" s="1126"/>
      <c r="AD250" s="1126"/>
      <c r="AE250" s="1126"/>
      <c r="AF250" s="1126"/>
      <c r="AG250" s="1126"/>
      <c r="AH250" s="1126"/>
      <c r="AI250" s="1126"/>
      <c r="AJ250" s="1126"/>
      <c r="AK250" s="1126"/>
      <c r="AL250" s="1126"/>
      <c r="AM250" s="1126"/>
      <c r="AN250" s="1126"/>
      <c r="AO250" s="1126"/>
      <c r="AP250" s="1126"/>
      <c r="AQ250" s="1126"/>
      <c r="AR250" s="1126"/>
      <c r="AS250" s="1126"/>
      <c r="AT250" s="1126"/>
      <c r="AU250" s="413"/>
      <c r="AV250" s="1075"/>
    </row>
    <row r="251" spans="1:48" ht="15" customHeight="1" x14ac:dyDescent="0.2">
      <c r="A251" s="1076"/>
      <c r="B251" s="1380" t="str">
        <f t="shared" si="5"/>
        <v>Desk 35</v>
      </c>
      <c r="C251" s="1390" t="str">
        <f>IF('TB IMA general'!C120&lt;&gt;"",'TB IMA general'!C120,"")</f>
        <v/>
      </c>
      <c r="D251" s="1126"/>
      <c r="E251" s="1126"/>
      <c r="F251" s="1126"/>
      <c r="G251" s="1126"/>
      <c r="H251" s="1126"/>
      <c r="I251" s="1126"/>
      <c r="J251" s="1126"/>
      <c r="K251" s="1126"/>
      <c r="L251" s="1126"/>
      <c r="M251" s="1126"/>
      <c r="N251" s="1126"/>
      <c r="O251" s="1126"/>
      <c r="P251" s="1126"/>
      <c r="Q251" s="1126"/>
      <c r="R251" s="1126"/>
      <c r="S251" s="1126"/>
      <c r="T251" s="1126"/>
      <c r="U251" s="1126"/>
      <c r="V251" s="1126"/>
      <c r="W251" s="1126"/>
      <c r="X251" s="1126"/>
      <c r="Y251" s="1126"/>
      <c r="Z251" s="1126"/>
      <c r="AA251" s="1126"/>
      <c r="AB251" s="1126"/>
      <c r="AC251" s="1126"/>
      <c r="AD251" s="1126"/>
      <c r="AE251" s="1126"/>
      <c r="AF251" s="1126"/>
      <c r="AG251" s="1126"/>
      <c r="AH251" s="1126"/>
      <c r="AI251" s="1126"/>
      <c r="AJ251" s="1126"/>
      <c r="AK251" s="1126"/>
      <c r="AL251" s="1126"/>
      <c r="AM251" s="1126"/>
      <c r="AN251" s="1126"/>
      <c r="AO251" s="1126"/>
      <c r="AP251" s="1126"/>
      <c r="AQ251" s="1126"/>
      <c r="AR251" s="1126"/>
      <c r="AS251" s="1126"/>
      <c r="AT251" s="1126"/>
      <c r="AU251" s="413"/>
      <c r="AV251" s="1075"/>
    </row>
    <row r="252" spans="1:48" ht="15" customHeight="1" x14ac:dyDescent="0.2">
      <c r="A252" s="1076"/>
      <c r="B252" s="1380" t="str">
        <f t="shared" si="5"/>
        <v>Desk 36</v>
      </c>
      <c r="C252" s="1390" t="str">
        <f>IF('TB IMA general'!C121&lt;&gt;"",'TB IMA general'!C121,"")</f>
        <v/>
      </c>
      <c r="D252" s="1126"/>
      <c r="E252" s="1126"/>
      <c r="F252" s="1126"/>
      <c r="G252" s="1126"/>
      <c r="H252" s="1126"/>
      <c r="I252" s="1126"/>
      <c r="J252" s="1126"/>
      <c r="K252" s="1126"/>
      <c r="L252" s="1126"/>
      <c r="M252" s="1126"/>
      <c r="N252" s="1126"/>
      <c r="O252" s="1126"/>
      <c r="P252" s="1126"/>
      <c r="Q252" s="1126"/>
      <c r="R252" s="1126"/>
      <c r="S252" s="1126"/>
      <c r="T252" s="1126"/>
      <c r="U252" s="1126"/>
      <c r="V252" s="1126"/>
      <c r="W252" s="1126"/>
      <c r="X252" s="1126"/>
      <c r="Y252" s="1126"/>
      <c r="Z252" s="1126"/>
      <c r="AA252" s="1126"/>
      <c r="AB252" s="1126"/>
      <c r="AC252" s="1126"/>
      <c r="AD252" s="1126"/>
      <c r="AE252" s="1126"/>
      <c r="AF252" s="1126"/>
      <c r="AG252" s="1126"/>
      <c r="AH252" s="1126"/>
      <c r="AI252" s="1126"/>
      <c r="AJ252" s="1126"/>
      <c r="AK252" s="1126"/>
      <c r="AL252" s="1126"/>
      <c r="AM252" s="1126"/>
      <c r="AN252" s="1126"/>
      <c r="AO252" s="1126"/>
      <c r="AP252" s="1126"/>
      <c r="AQ252" s="1126"/>
      <c r="AR252" s="1126"/>
      <c r="AS252" s="1126"/>
      <c r="AT252" s="1126"/>
      <c r="AU252" s="413"/>
      <c r="AV252" s="1075"/>
    </row>
    <row r="253" spans="1:48" ht="15" customHeight="1" x14ac:dyDescent="0.2">
      <c r="A253" s="1076"/>
      <c r="B253" s="1380" t="str">
        <f t="shared" si="5"/>
        <v>Desk 37</v>
      </c>
      <c r="C253" s="1390" t="str">
        <f>IF('TB IMA general'!C122&lt;&gt;"",'TB IMA general'!C122,"")</f>
        <v/>
      </c>
      <c r="D253" s="1126"/>
      <c r="E253" s="1126"/>
      <c r="F253" s="1126"/>
      <c r="G253" s="1126"/>
      <c r="H253" s="1126"/>
      <c r="I253" s="1126"/>
      <c r="J253" s="1126"/>
      <c r="K253" s="1126"/>
      <c r="L253" s="1126"/>
      <c r="M253" s="1126"/>
      <c r="N253" s="1126"/>
      <c r="O253" s="1126"/>
      <c r="P253" s="1126"/>
      <c r="Q253" s="1126"/>
      <c r="R253" s="1126"/>
      <c r="S253" s="1126"/>
      <c r="T253" s="1126"/>
      <c r="U253" s="1126"/>
      <c r="V253" s="1126"/>
      <c r="W253" s="1126"/>
      <c r="X253" s="1126"/>
      <c r="Y253" s="1126"/>
      <c r="Z253" s="1126"/>
      <c r="AA253" s="1126"/>
      <c r="AB253" s="1126"/>
      <c r="AC253" s="1126"/>
      <c r="AD253" s="1126"/>
      <c r="AE253" s="1126"/>
      <c r="AF253" s="1126"/>
      <c r="AG253" s="1126"/>
      <c r="AH253" s="1126"/>
      <c r="AI253" s="1126"/>
      <c r="AJ253" s="1126"/>
      <c r="AK253" s="1126"/>
      <c r="AL253" s="1126"/>
      <c r="AM253" s="1126"/>
      <c r="AN253" s="1126"/>
      <c r="AO253" s="1126"/>
      <c r="AP253" s="1126"/>
      <c r="AQ253" s="1126"/>
      <c r="AR253" s="1126"/>
      <c r="AS253" s="1126"/>
      <c r="AT253" s="1126"/>
      <c r="AU253" s="413"/>
      <c r="AV253" s="1075"/>
    </row>
    <row r="254" spans="1:48" ht="15" customHeight="1" x14ac:dyDescent="0.2">
      <c r="A254" s="1076"/>
      <c r="B254" s="1380" t="str">
        <f t="shared" si="5"/>
        <v>Desk 38</v>
      </c>
      <c r="C254" s="1390" t="str">
        <f>IF('TB IMA general'!C123&lt;&gt;"",'TB IMA general'!C123,"")</f>
        <v/>
      </c>
      <c r="D254" s="1126"/>
      <c r="E254" s="1126"/>
      <c r="F254" s="1126"/>
      <c r="G254" s="1126"/>
      <c r="H254" s="1126"/>
      <c r="I254" s="1126"/>
      <c r="J254" s="1126"/>
      <c r="K254" s="1126"/>
      <c r="L254" s="1126"/>
      <c r="M254" s="1126"/>
      <c r="N254" s="1126"/>
      <c r="O254" s="1126"/>
      <c r="P254" s="1126"/>
      <c r="Q254" s="1126"/>
      <c r="R254" s="1126"/>
      <c r="S254" s="1126"/>
      <c r="T254" s="1126"/>
      <c r="U254" s="1126"/>
      <c r="V254" s="1126"/>
      <c r="W254" s="1126"/>
      <c r="X254" s="1126"/>
      <c r="Y254" s="1126"/>
      <c r="Z254" s="1126"/>
      <c r="AA254" s="1126"/>
      <c r="AB254" s="1126"/>
      <c r="AC254" s="1126"/>
      <c r="AD254" s="1126"/>
      <c r="AE254" s="1126"/>
      <c r="AF254" s="1126"/>
      <c r="AG254" s="1126"/>
      <c r="AH254" s="1126"/>
      <c r="AI254" s="1126"/>
      <c r="AJ254" s="1126"/>
      <c r="AK254" s="1126"/>
      <c r="AL254" s="1126"/>
      <c r="AM254" s="1126"/>
      <c r="AN254" s="1126"/>
      <c r="AO254" s="1126"/>
      <c r="AP254" s="1126"/>
      <c r="AQ254" s="1126"/>
      <c r="AR254" s="1126"/>
      <c r="AS254" s="1126"/>
      <c r="AT254" s="1126"/>
      <c r="AU254" s="413"/>
      <c r="AV254" s="1075"/>
    </row>
    <row r="255" spans="1:48" ht="15" customHeight="1" x14ac:dyDescent="0.2">
      <c r="A255" s="1076"/>
      <c r="B255" s="1380" t="str">
        <f t="shared" si="5"/>
        <v>Desk 39</v>
      </c>
      <c r="C255" s="1390" t="str">
        <f>IF('TB IMA general'!C124&lt;&gt;"",'TB IMA general'!C124,"")</f>
        <v/>
      </c>
      <c r="D255" s="1126"/>
      <c r="E255" s="1126"/>
      <c r="F255" s="1126"/>
      <c r="G255" s="1126"/>
      <c r="H255" s="1126"/>
      <c r="I255" s="1126"/>
      <c r="J255" s="1126"/>
      <c r="K255" s="1126"/>
      <c r="L255" s="1126"/>
      <c r="M255" s="1126"/>
      <c r="N255" s="1126"/>
      <c r="O255" s="1126"/>
      <c r="P255" s="1126"/>
      <c r="Q255" s="1126"/>
      <c r="R255" s="1126"/>
      <c r="S255" s="1126"/>
      <c r="T255" s="1126"/>
      <c r="U255" s="1126"/>
      <c r="V255" s="1126"/>
      <c r="W255" s="1126"/>
      <c r="X255" s="1126"/>
      <c r="Y255" s="1126"/>
      <c r="Z255" s="1126"/>
      <c r="AA255" s="1126"/>
      <c r="AB255" s="1126"/>
      <c r="AC255" s="1126"/>
      <c r="AD255" s="1126"/>
      <c r="AE255" s="1126"/>
      <c r="AF255" s="1126"/>
      <c r="AG255" s="1126"/>
      <c r="AH255" s="1126"/>
      <c r="AI255" s="1126"/>
      <c r="AJ255" s="1126"/>
      <c r="AK255" s="1126"/>
      <c r="AL255" s="1126"/>
      <c r="AM255" s="1126"/>
      <c r="AN255" s="1126"/>
      <c r="AO255" s="1126"/>
      <c r="AP255" s="1126"/>
      <c r="AQ255" s="1126"/>
      <c r="AR255" s="1126"/>
      <c r="AS255" s="1126"/>
      <c r="AT255" s="1126"/>
      <c r="AU255" s="413"/>
      <c r="AV255" s="1075"/>
    </row>
    <row r="256" spans="1:48" ht="15" customHeight="1" x14ac:dyDescent="0.2">
      <c r="A256" s="1076"/>
      <c r="B256" s="1380" t="str">
        <f t="shared" si="5"/>
        <v>Desk 40</v>
      </c>
      <c r="C256" s="1390" t="str">
        <f>IF('TB IMA general'!C125&lt;&gt;"",'TB IMA general'!C125,"")</f>
        <v/>
      </c>
      <c r="D256" s="1126"/>
      <c r="E256" s="1126"/>
      <c r="F256" s="1126"/>
      <c r="G256" s="1126"/>
      <c r="H256" s="1126"/>
      <c r="I256" s="1126"/>
      <c r="J256" s="1126"/>
      <c r="K256" s="1126"/>
      <c r="L256" s="1126"/>
      <c r="M256" s="1126"/>
      <c r="N256" s="1126"/>
      <c r="O256" s="1126"/>
      <c r="P256" s="1126"/>
      <c r="Q256" s="1126"/>
      <c r="R256" s="1126"/>
      <c r="S256" s="1126"/>
      <c r="T256" s="1126"/>
      <c r="U256" s="1126"/>
      <c r="V256" s="1126"/>
      <c r="W256" s="1126"/>
      <c r="X256" s="1126"/>
      <c r="Y256" s="1126"/>
      <c r="Z256" s="1126"/>
      <c r="AA256" s="1126"/>
      <c r="AB256" s="1126"/>
      <c r="AC256" s="1126"/>
      <c r="AD256" s="1126"/>
      <c r="AE256" s="1126"/>
      <c r="AF256" s="1126"/>
      <c r="AG256" s="1126"/>
      <c r="AH256" s="1126"/>
      <c r="AI256" s="1126"/>
      <c r="AJ256" s="1126"/>
      <c r="AK256" s="1126"/>
      <c r="AL256" s="1126"/>
      <c r="AM256" s="1126"/>
      <c r="AN256" s="1126"/>
      <c r="AO256" s="1126"/>
      <c r="AP256" s="1126"/>
      <c r="AQ256" s="1126"/>
      <c r="AR256" s="1126"/>
      <c r="AS256" s="1126"/>
      <c r="AT256" s="1126"/>
      <c r="AU256" s="413"/>
      <c r="AV256" s="1075"/>
    </row>
    <row r="257" spans="1:48" ht="15" customHeight="1" x14ac:dyDescent="0.2">
      <c r="A257" s="1076"/>
      <c r="B257" s="1380" t="str">
        <f t="shared" si="5"/>
        <v>Desk 41</v>
      </c>
      <c r="C257" s="1390" t="str">
        <f>IF('TB IMA general'!C126&lt;&gt;"",'TB IMA general'!C126,"")</f>
        <v/>
      </c>
      <c r="D257" s="1126"/>
      <c r="E257" s="1126"/>
      <c r="F257" s="1126"/>
      <c r="G257" s="1126"/>
      <c r="H257" s="1126"/>
      <c r="I257" s="1126"/>
      <c r="J257" s="1126"/>
      <c r="K257" s="1126"/>
      <c r="L257" s="1126"/>
      <c r="M257" s="1126"/>
      <c r="N257" s="1126"/>
      <c r="O257" s="1126"/>
      <c r="P257" s="1126"/>
      <c r="Q257" s="1126"/>
      <c r="R257" s="1126"/>
      <c r="S257" s="1126"/>
      <c r="T257" s="1126"/>
      <c r="U257" s="1126"/>
      <c r="V257" s="1126"/>
      <c r="W257" s="1126"/>
      <c r="X257" s="1126"/>
      <c r="Y257" s="1126"/>
      <c r="Z257" s="1126"/>
      <c r="AA257" s="1126"/>
      <c r="AB257" s="1126"/>
      <c r="AC257" s="1126"/>
      <c r="AD257" s="1126"/>
      <c r="AE257" s="1126"/>
      <c r="AF257" s="1126"/>
      <c r="AG257" s="1126"/>
      <c r="AH257" s="1126"/>
      <c r="AI257" s="1126"/>
      <c r="AJ257" s="1126"/>
      <c r="AK257" s="1126"/>
      <c r="AL257" s="1126"/>
      <c r="AM257" s="1126"/>
      <c r="AN257" s="1126"/>
      <c r="AO257" s="1126"/>
      <c r="AP257" s="1126"/>
      <c r="AQ257" s="1126"/>
      <c r="AR257" s="1126"/>
      <c r="AS257" s="1126"/>
      <c r="AT257" s="1126"/>
      <c r="AU257" s="413"/>
      <c r="AV257" s="1075"/>
    </row>
    <row r="258" spans="1:48" ht="15" customHeight="1" x14ac:dyDescent="0.2">
      <c r="A258" s="1076"/>
      <c r="B258" s="1380" t="str">
        <f t="shared" si="5"/>
        <v>Desk 42</v>
      </c>
      <c r="C258" s="1390" t="str">
        <f>IF('TB IMA general'!C127&lt;&gt;"",'TB IMA general'!C127,"")</f>
        <v/>
      </c>
      <c r="D258" s="1126"/>
      <c r="E258" s="1126"/>
      <c r="F258" s="1126"/>
      <c r="G258" s="1126"/>
      <c r="H258" s="1126"/>
      <c r="I258" s="1126"/>
      <c r="J258" s="1126"/>
      <c r="K258" s="1126"/>
      <c r="L258" s="1126"/>
      <c r="M258" s="1126"/>
      <c r="N258" s="1126"/>
      <c r="O258" s="1126"/>
      <c r="P258" s="1126"/>
      <c r="Q258" s="1126"/>
      <c r="R258" s="1126"/>
      <c r="S258" s="1126"/>
      <c r="T258" s="1126"/>
      <c r="U258" s="1126"/>
      <c r="V258" s="1126"/>
      <c r="W258" s="1126"/>
      <c r="X258" s="1126"/>
      <c r="Y258" s="1126"/>
      <c r="Z258" s="1126"/>
      <c r="AA258" s="1126"/>
      <c r="AB258" s="1126"/>
      <c r="AC258" s="1126"/>
      <c r="AD258" s="1126"/>
      <c r="AE258" s="1126"/>
      <c r="AF258" s="1126"/>
      <c r="AG258" s="1126"/>
      <c r="AH258" s="1126"/>
      <c r="AI258" s="1126"/>
      <c r="AJ258" s="1126"/>
      <c r="AK258" s="1126"/>
      <c r="AL258" s="1126"/>
      <c r="AM258" s="1126"/>
      <c r="AN258" s="1126"/>
      <c r="AO258" s="1126"/>
      <c r="AP258" s="1126"/>
      <c r="AQ258" s="1126"/>
      <c r="AR258" s="1126"/>
      <c r="AS258" s="1126"/>
      <c r="AT258" s="1126"/>
      <c r="AU258" s="413"/>
      <c r="AV258" s="1075"/>
    </row>
    <row r="259" spans="1:48" ht="15" customHeight="1" x14ac:dyDescent="0.2">
      <c r="A259" s="1076"/>
      <c r="B259" s="1380" t="str">
        <f t="shared" si="5"/>
        <v>Desk 43</v>
      </c>
      <c r="C259" s="1390" t="str">
        <f>IF('TB IMA general'!C128&lt;&gt;"",'TB IMA general'!C128,"")</f>
        <v/>
      </c>
      <c r="D259" s="1126"/>
      <c r="E259" s="1126"/>
      <c r="F259" s="1126"/>
      <c r="G259" s="1126"/>
      <c r="H259" s="1126"/>
      <c r="I259" s="1126"/>
      <c r="J259" s="1126"/>
      <c r="K259" s="1126"/>
      <c r="L259" s="1126"/>
      <c r="M259" s="1126"/>
      <c r="N259" s="1126"/>
      <c r="O259" s="1126"/>
      <c r="P259" s="1126"/>
      <c r="Q259" s="1126"/>
      <c r="R259" s="1126"/>
      <c r="S259" s="1126"/>
      <c r="T259" s="1126"/>
      <c r="U259" s="1126"/>
      <c r="V259" s="1126"/>
      <c r="W259" s="1126"/>
      <c r="X259" s="1126"/>
      <c r="Y259" s="1126"/>
      <c r="Z259" s="1126"/>
      <c r="AA259" s="1126"/>
      <c r="AB259" s="1126"/>
      <c r="AC259" s="1126"/>
      <c r="AD259" s="1126"/>
      <c r="AE259" s="1126"/>
      <c r="AF259" s="1126"/>
      <c r="AG259" s="1126"/>
      <c r="AH259" s="1126"/>
      <c r="AI259" s="1126"/>
      <c r="AJ259" s="1126"/>
      <c r="AK259" s="1126"/>
      <c r="AL259" s="1126"/>
      <c r="AM259" s="1126"/>
      <c r="AN259" s="1126"/>
      <c r="AO259" s="1126"/>
      <c r="AP259" s="1126"/>
      <c r="AQ259" s="1126"/>
      <c r="AR259" s="1126"/>
      <c r="AS259" s="1126"/>
      <c r="AT259" s="1126"/>
      <c r="AU259" s="413"/>
      <c r="AV259" s="1075"/>
    </row>
    <row r="260" spans="1:48" ht="15" customHeight="1" x14ac:dyDescent="0.2">
      <c r="A260" s="1076"/>
      <c r="B260" s="1380" t="str">
        <f t="shared" si="5"/>
        <v>Desk 44</v>
      </c>
      <c r="C260" s="1390" t="str">
        <f>IF('TB IMA general'!C129&lt;&gt;"",'TB IMA general'!C129,"")</f>
        <v/>
      </c>
      <c r="D260" s="1126"/>
      <c r="E260" s="1126"/>
      <c r="F260" s="1126"/>
      <c r="G260" s="1126"/>
      <c r="H260" s="1126"/>
      <c r="I260" s="1126"/>
      <c r="J260" s="1126"/>
      <c r="K260" s="1126"/>
      <c r="L260" s="1126"/>
      <c r="M260" s="1126"/>
      <c r="N260" s="1126"/>
      <c r="O260" s="1126"/>
      <c r="P260" s="1126"/>
      <c r="Q260" s="1126"/>
      <c r="R260" s="1126"/>
      <c r="S260" s="1126"/>
      <c r="T260" s="1126"/>
      <c r="U260" s="1126"/>
      <c r="V260" s="1126"/>
      <c r="W260" s="1126"/>
      <c r="X260" s="1126"/>
      <c r="Y260" s="1126"/>
      <c r="Z260" s="1126"/>
      <c r="AA260" s="1126"/>
      <c r="AB260" s="1126"/>
      <c r="AC260" s="1126"/>
      <c r="AD260" s="1126"/>
      <c r="AE260" s="1126"/>
      <c r="AF260" s="1126"/>
      <c r="AG260" s="1126"/>
      <c r="AH260" s="1126"/>
      <c r="AI260" s="1126"/>
      <c r="AJ260" s="1126"/>
      <c r="AK260" s="1126"/>
      <c r="AL260" s="1126"/>
      <c r="AM260" s="1126"/>
      <c r="AN260" s="1126"/>
      <c r="AO260" s="1126"/>
      <c r="AP260" s="1126"/>
      <c r="AQ260" s="1126"/>
      <c r="AR260" s="1126"/>
      <c r="AS260" s="1126"/>
      <c r="AT260" s="1126"/>
      <c r="AU260" s="413"/>
      <c r="AV260" s="1075"/>
    </row>
    <row r="261" spans="1:48" ht="15" customHeight="1" x14ac:dyDescent="0.2">
      <c r="A261" s="1076"/>
      <c r="B261" s="1380" t="str">
        <f t="shared" si="5"/>
        <v>Desk 45</v>
      </c>
      <c r="C261" s="1390" t="str">
        <f>IF('TB IMA general'!C130&lt;&gt;"",'TB IMA general'!C130,"")</f>
        <v/>
      </c>
      <c r="D261" s="1126"/>
      <c r="E261" s="1126"/>
      <c r="F261" s="1126"/>
      <c r="G261" s="1126"/>
      <c r="H261" s="1126"/>
      <c r="I261" s="1126"/>
      <c r="J261" s="1126"/>
      <c r="K261" s="1126"/>
      <c r="L261" s="1126"/>
      <c r="M261" s="1126"/>
      <c r="N261" s="1126"/>
      <c r="O261" s="1126"/>
      <c r="P261" s="1126"/>
      <c r="Q261" s="1126"/>
      <c r="R261" s="1126"/>
      <c r="S261" s="1126"/>
      <c r="T261" s="1126"/>
      <c r="U261" s="1126"/>
      <c r="V261" s="1126"/>
      <c r="W261" s="1126"/>
      <c r="X261" s="1126"/>
      <c r="Y261" s="1126"/>
      <c r="Z261" s="1126"/>
      <c r="AA261" s="1126"/>
      <c r="AB261" s="1126"/>
      <c r="AC261" s="1126"/>
      <c r="AD261" s="1126"/>
      <c r="AE261" s="1126"/>
      <c r="AF261" s="1126"/>
      <c r="AG261" s="1126"/>
      <c r="AH261" s="1126"/>
      <c r="AI261" s="1126"/>
      <c r="AJ261" s="1126"/>
      <c r="AK261" s="1126"/>
      <c r="AL261" s="1126"/>
      <c r="AM261" s="1126"/>
      <c r="AN261" s="1126"/>
      <c r="AO261" s="1126"/>
      <c r="AP261" s="1126"/>
      <c r="AQ261" s="1126"/>
      <c r="AR261" s="1126"/>
      <c r="AS261" s="1126"/>
      <c r="AT261" s="1126"/>
      <c r="AU261" s="413"/>
      <c r="AV261" s="1075"/>
    </row>
    <row r="262" spans="1:48" ht="15" customHeight="1" x14ac:dyDescent="0.2">
      <c r="A262" s="1076"/>
      <c r="B262" s="1380" t="str">
        <f t="shared" si="5"/>
        <v>Desk 46</v>
      </c>
      <c r="C262" s="1390" t="str">
        <f>IF('TB IMA general'!C131&lt;&gt;"",'TB IMA general'!C131,"")</f>
        <v/>
      </c>
      <c r="D262" s="1126"/>
      <c r="E262" s="1126"/>
      <c r="F262" s="1126"/>
      <c r="G262" s="1126"/>
      <c r="H262" s="1126"/>
      <c r="I262" s="1126"/>
      <c r="J262" s="1126"/>
      <c r="K262" s="1126"/>
      <c r="L262" s="1126"/>
      <c r="M262" s="1126"/>
      <c r="N262" s="1126"/>
      <c r="O262" s="1126"/>
      <c r="P262" s="1126"/>
      <c r="Q262" s="1126"/>
      <c r="R262" s="1126"/>
      <c r="S262" s="1126"/>
      <c r="T262" s="1126"/>
      <c r="U262" s="1126"/>
      <c r="V262" s="1126"/>
      <c r="W262" s="1126"/>
      <c r="X262" s="1126"/>
      <c r="Y262" s="1126"/>
      <c r="Z262" s="1126"/>
      <c r="AA262" s="1126"/>
      <c r="AB262" s="1126"/>
      <c r="AC262" s="1126"/>
      <c r="AD262" s="1126"/>
      <c r="AE262" s="1126"/>
      <c r="AF262" s="1126"/>
      <c r="AG262" s="1126"/>
      <c r="AH262" s="1126"/>
      <c r="AI262" s="1126"/>
      <c r="AJ262" s="1126"/>
      <c r="AK262" s="1126"/>
      <c r="AL262" s="1126"/>
      <c r="AM262" s="1126"/>
      <c r="AN262" s="1126"/>
      <c r="AO262" s="1126"/>
      <c r="AP262" s="1126"/>
      <c r="AQ262" s="1126"/>
      <c r="AR262" s="1126"/>
      <c r="AS262" s="1126"/>
      <c r="AT262" s="1126"/>
      <c r="AU262" s="413"/>
      <c r="AV262" s="1075"/>
    </row>
    <row r="263" spans="1:48" ht="15" customHeight="1" x14ac:dyDescent="0.2">
      <c r="A263" s="1076"/>
      <c r="B263" s="1380" t="str">
        <f t="shared" si="5"/>
        <v>Desk 47</v>
      </c>
      <c r="C263" s="1390" t="str">
        <f>IF('TB IMA general'!C132&lt;&gt;"",'TB IMA general'!C132,"")</f>
        <v/>
      </c>
      <c r="D263" s="1126"/>
      <c r="E263" s="1126"/>
      <c r="F263" s="1126"/>
      <c r="G263" s="1126"/>
      <c r="H263" s="1126"/>
      <c r="I263" s="1126"/>
      <c r="J263" s="1126"/>
      <c r="K263" s="1126"/>
      <c r="L263" s="1126"/>
      <c r="M263" s="1126"/>
      <c r="N263" s="1126"/>
      <c r="O263" s="1126"/>
      <c r="P263" s="1126"/>
      <c r="Q263" s="1126"/>
      <c r="R263" s="1126"/>
      <c r="S263" s="1126"/>
      <c r="T263" s="1126"/>
      <c r="U263" s="1126"/>
      <c r="V263" s="1126"/>
      <c r="W263" s="1126"/>
      <c r="X263" s="1126"/>
      <c r="Y263" s="1126"/>
      <c r="Z263" s="1126"/>
      <c r="AA263" s="1126"/>
      <c r="AB263" s="1126"/>
      <c r="AC263" s="1126"/>
      <c r="AD263" s="1126"/>
      <c r="AE263" s="1126"/>
      <c r="AF263" s="1126"/>
      <c r="AG263" s="1126"/>
      <c r="AH263" s="1126"/>
      <c r="AI263" s="1126"/>
      <c r="AJ263" s="1126"/>
      <c r="AK263" s="1126"/>
      <c r="AL263" s="1126"/>
      <c r="AM263" s="1126"/>
      <c r="AN263" s="1126"/>
      <c r="AO263" s="1126"/>
      <c r="AP263" s="1126"/>
      <c r="AQ263" s="1126"/>
      <c r="AR263" s="1126"/>
      <c r="AS263" s="1126"/>
      <c r="AT263" s="1126"/>
      <c r="AU263" s="413"/>
      <c r="AV263" s="1075"/>
    </row>
    <row r="264" spans="1:48" ht="15" customHeight="1" x14ac:dyDescent="0.2">
      <c r="A264" s="1076"/>
      <c r="B264" s="1380" t="str">
        <f t="shared" si="5"/>
        <v>Desk 48</v>
      </c>
      <c r="C264" s="1390" t="str">
        <f>IF('TB IMA general'!C133&lt;&gt;"",'TB IMA general'!C133,"")</f>
        <v/>
      </c>
      <c r="D264" s="1126"/>
      <c r="E264" s="1126"/>
      <c r="F264" s="1126"/>
      <c r="G264" s="1126"/>
      <c r="H264" s="1126"/>
      <c r="I264" s="1126"/>
      <c r="J264" s="1126"/>
      <c r="K264" s="1126"/>
      <c r="L264" s="1126"/>
      <c r="M264" s="1126"/>
      <c r="N264" s="1126"/>
      <c r="O264" s="1126"/>
      <c r="P264" s="1126"/>
      <c r="Q264" s="1126"/>
      <c r="R264" s="1126"/>
      <c r="S264" s="1126"/>
      <c r="T264" s="1126"/>
      <c r="U264" s="1126"/>
      <c r="V264" s="1126"/>
      <c r="W264" s="1126"/>
      <c r="X264" s="1126"/>
      <c r="Y264" s="1126"/>
      <c r="Z264" s="1126"/>
      <c r="AA264" s="1126"/>
      <c r="AB264" s="1126"/>
      <c r="AC264" s="1126"/>
      <c r="AD264" s="1126"/>
      <c r="AE264" s="1126"/>
      <c r="AF264" s="1126"/>
      <c r="AG264" s="1126"/>
      <c r="AH264" s="1126"/>
      <c r="AI264" s="1126"/>
      <c r="AJ264" s="1126"/>
      <c r="AK264" s="1126"/>
      <c r="AL264" s="1126"/>
      <c r="AM264" s="1126"/>
      <c r="AN264" s="1126"/>
      <c r="AO264" s="1126"/>
      <c r="AP264" s="1126"/>
      <c r="AQ264" s="1126"/>
      <c r="AR264" s="1126"/>
      <c r="AS264" s="1126"/>
      <c r="AT264" s="1126"/>
      <c r="AU264" s="413"/>
      <c r="AV264" s="1075"/>
    </row>
    <row r="265" spans="1:48" ht="15" customHeight="1" x14ac:dyDescent="0.2">
      <c r="A265" s="1076"/>
      <c r="B265" s="1380" t="str">
        <f t="shared" si="5"/>
        <v>Desk 49</v>
      </c>
      <c r="C265" s="1390" t="str">
        <f>IF('TB IMA general'!C134&lt;&gt;"",'TB IMA general'!C134,"")</f>
        <v/>
      </c>
      <c r="D265" s="1126"/>
      <c r="E265" s="1126"/>
      <c r="F265" s="1126"/>
      <c r="G265" s="1126"/>
      <c r="H265" s="1126"/>
      <c r="I265" s="1126"/>
      <c r="J265" s="1126"/>
      <c r="K265" s="1126"/>
      <c r="L265" s="1126"/>
      <c r="M265" s="1126"/>
      <c r="N265" s="1126"/>
      <c r="O265" s="1126"/>
      <c r="P265" s="1126"/>
      <c r="Q265" s="1126"/>
      <c r="R265" s="1126"/>
      <c r="S265" s="1126"/>
      <c r="T265" s="1126"/>
      <c r="U265" s="1126"/>
      <c r="V265" s="1126"/>
      <c r="W265" s="1126"/>
      <c r="X265" s="1126"/>
      <c r="Y265" s="1126"/>
      <c r="Z265" s="1126"/>
      <c r="AA265" s="1126"/>
      <c r="AB265" s="1126"/>
      <c r="AC265" s="1126"/>
      <c r="AD265" s="1126"/>
      <c r="AE265" s="1126"/>
      <c r="AF265" s="1126"/>
      <c r="AG265" s="1126"/>
      <c r="AH265" s="1126"/>
      <c r="AI265" s="1126"/>
      <c r="AJ265" s="1126"/>
      <c r="AK265" s="1126"/>
      <c r="AL265" s="1126"/>
      <c r="AM265" s="1126"/>
      <c r="AN265" s="1126"/>
      <c r="AO265" s="1126"/>
      <c r="AP265" s="1126"/>
      <c r="AQ265" s="1126"/>
      <c r="AR265" s="1126"/>
      <c r="AS265" s="1126"/>
      <c r="AT265" s="1126"/>
      <c r="AU265" s="413"/>
      <c r="AV265" s="1075"/>
    </row>
    <row r="266" spans="1:48" ht="15" customHeight="1" x14ac:dyDescent="0.2">
      <c r="A266" s="1076"/>
      <c r="B266" s="1380" t="str">
        <f t="shared" si="5"/>
        <v>Desk 50</v>
      </c>
      <c r="C266" s="1390" t="str">
        <f>IF('TB IMA general'!C135&lt;&gt;"",'TB IMA general'!C135,"")</f>
        <v/>
      </c>
      <c r="D266" s="1126"/>
      <c r="E266" s="1126"/>
      <c r="F266" s="1126"/>
      <c r="G266" s="1126"/>
      <c r="H266" s="1126"/>
      <c r="I266" s="1126"/>
      <c r="J266" s="1126"/>
      <c r="K266" s="1126"/>
      <c r="L266" s="1126"/>
      <c r="M266" s="1126"/>
      <c r="N266" s="1126"/>
      <c r="O266" s="1126"/>
      <c r="P266" s="1126"/>
      <c r="Q266" s="1126"/>
      <c r="R266" s="1126"/>
      <c r="S266" s="1126"/>
      <c r="T266" s="1126"/>
      <c r="U266" s="1126"/>
      <c r="V266" s="1126"/>
      <c r="W266" s="1126"/>
      <c r="X266" s="1126"/>
      <c r="Y266" s="1126"/>
      <c r="Z266" s="1126"/>
      <c r="AA266" s="1126"/>
      <c r="AB266" s="1126"/>
      <c r="AC266" s="1126"/>
      <c r="AD266" s="1126"/>
      <c r="AE266" s="1126"/>
      <c r="AF266" s="1126"/>
      <c r="AG266" s="1126"/>
      <c r="AH266" s="1126"/>
      <c r="AI266" s="1126"/>
      <c r="AJ266" s="1126"/>
      <c r="AK266" s="1126"/>
      <c r="AL266" s="1126"/>
      <c r="AM266" s="1126"/>
      <c r="AN266" s="1126"/>
      <c r="AO266" s="1126"/>
      <c r="AP266" s="1126"/>
      <c r="AQ266" s="1126"/>
      <c r="AR266" s="1126"/>
      <c r="AS266" s="1126"/>
      <c r="AT266" s="1126"/>
      <c r="AU266" s="413"/>
      <c r="AV266" s="1075"/>
    </row>
    <row r="267" spans="1:48" ht="15" customHeight="1" x14ac:dyDescent="0.2">
      <c r="A267" s="1076"/>
      <c r="B267" s="1380" t="str">
        <f t="shared" si="5"/>
        <v>Desk 51</v>
      </c>
      <c r="C267" s="1390" t="str">
        <f>IF('TB IMA general'!C136&lt;&gt;"",'TB IMA general'!C136,"")</f>
        <v/>
      </c>
      <c r="D267" s="1126"/>
      <c r="E267" s="1126"/>
      <c r="F267" s="1126"/>
      <c r="G267" s="1126"/>
      <c r="H267" s="1126"/>
      <c r="I267" s="1126"/>
      <c r="J267" s="1126"/>
      <c r="K267" s="1126"/>
      <c r="L267" s="1126"/>
      <c r="M267" s="1126"/>
      <c r="N267" s="1126"/>
      <c r="O267" s="1126"/>
      <c r="P267" s="1126"/>
      <c r="Q267" s="1126"/>
      <c r="R267" s="1126"/>
      <c r="S267" s="1126"/>
      <c r="T267" s="1126"/>
      <c r="U267" s="1126"/>
      <c r="V267" s="1126"/>
      <c r="W267" s="1126"/>
      <c r="X267" s="1126"/>
      <c r="Y267" s="1126"/>
      <c r="Z267" s="1126"/>
      <c r="AA267" s="1126"/>
      <c r="AB267" s="1126"/>
      <c r="AC267" s="1126"/>
      <c r="AD267" s="1126"/>
      <c r="AE267" s="1126"/>
      <c r="AF267" s="1126"/>
      <c r="AG267" s="1126"/>
      <c r="AH267" s="1126"/>
      <c r="AI267" s="1126"/>
      <c r="AJ267" s="1126"/>
      <c r="AK267" s="1126"/>
      <c r="AL267" s="1126"/>
      <c r="AM267" s="1126"/>
      <c r="AN267" s="1126"/>
      <c r="AO267" s="1126"/>
      <c r="AP267" s="1126"/>
      <c r="AQ267" s="1126"/>
      <c r="AR267" s="1126"/>
      <c r="AS267" s="1126"/>
      <c r="AT267" s="1126"/>
      <c r="AU267" s="413"/>
      <c r="AV267" s="1075"/>
    </row>
    <row r="268" spans="1:48" ht="15" customHeight="1" x14ac:dyDescent="0.2">
      <c r="A268" s="1076"/>
      <c r="B268" s="1380" t="str">
        <f t="shared" si="5"/>
        <v>Desk 52</v>
      </c>
      <c r="C268" s="1390" t="str">
        <f>IF('TB IMA general'!C137&lt;&gt;"",'TB IMA general'!C137,"")</f>
        <v/>
      </c>
      <c r="D268" s="1126"/>
      <c r="E268" s="1126"/>
      <c r="F268" s="1126"/>
      <c r="G268" s="1126"/>
      <c r="H268" s="1126"/>
      <c r="I268" s="1126"/>
      <c r="J268" s="1126"/>
      <c r="K268" s="1126"/>
      <c r="L268" s="1126"/>
      <c r="M268" s="1126"/>
      <c r="N268" s="1126"/>
      <c r="O268" s="1126"/>
      <c r="P268" s="1126"/>
      <c r="Q268" s="1126"/>
      <c r="R268" s="1126"/>
      <c r="S268" s="1126"/>
      <c r="T268" s="1126"/>
      <c r="U268" s="1126"/>
      <c r="V268" s="1126"/>
      <c r="W268" s="1126"/>
      <c r="X268" s="1126"/>
      <c r="Y268" s="1126"/>
      <c r="Z268" s="1126"/>
      <c r="AA268" s="1126"/>
      <c r="AB268" s="1126"/>
      <c r="AC268" s="1126"/>
      <c r="AD268" s="1126"/>
      <c r="AE268" s="1126"/>
      <c r="AF268" s="1126"/>
      <c r="AG268" s="1126"/>
      <c r="AH268" s="1126"/>
      <c r="AI268" s="1126"/>
      <c r="AJ268" s="1126"/>
      <c r="AK268" s="1126"/>
      <c r="AL268" s="1126"/>
      <c r="AM268" s="1126"/>
      <c r="AN268" s="1126"/>
      <c r="AO268" s="1126"/>
      <c r="AP268" s="1126"/>
      <c r="AQ268" s="1126"/>
      <c r="AR268" s="1126"/>
      <c r="AS268" s="1126"/>
      <c r="AT268" s="1126"/>
      <c r="AU268" s="413"/>
      <c r="AV268" s="1075"/>
    </row>
    <row r="269" spans="1:48" ht="15" customHeight="1" x14ac:dyDescent="0.2">
      <c r="A269" s="1076"/>
      <c r="B269" s="1380" t="str">
        <f t="shared" si="5"/>
        <v>Desk 53</v>
      </c>
      <c r="C269" s="1390" t="str">
        <f>IF('TB IMA general'!C138&lt;&gt;"",'TB IMA general'!C138,"")</f>
        <v/>
      </c>
      <c r="D269" s="1126"/>
      <c r="E269" s="1126"/>
      <c r="F269" s="1126"/>
      <c r="G269" s="1126"/>
      <c r="H269" s="1126"/>
      <c r="I269" s="1126"/>
      <c r="J269" s="1126"/>
      <c r="K269" s="1126"/>
      <c r="L269" s="1126"/>
      <c r="M269" s="1126"/>
      <c r="N269" s="1126"/>
      <c r="O269" s="1126"/>
      <c r="P269" s="1126"/>
      <c r="Q269" s="1126"/>
      <c r="R269" s="1126"/>
      <c r="S269" s="1126"/>
      <c r="T269" s="1126"/>
      <c r="U269" s="1126"/>
      <c r="V269" s="1126"/>
      <c r="W269" s="1126"/>
      <c r="X269" s="1126"/>
      <c r="Y269" s="1126"/>
      <c r="Z269" s="1126"/>
      <c r="AA269" s="1126"/>
      <c r="AB269" s="1126"/>
      <c r="AC269" s="1126"/>
      <c r="AD269" s="1126"/>
      <c r="AE269" s="1126"/>
      <c r="AF269" s="1126"/>
      <c r="AG269" s="1126"/>
      <c r="AH269" s="1126"/>
      <c r="AI269" s="1126"/>
      <c r="AJ269" s="1126"/>
      <c r="AK269" s="1126"/>
      <c r="AL269" s="1126"/>
      <c r="AM269" s="1126"/>
      <c r="AN269" s="1126"/>
      <c r="AO269" s="1126"/>
      <c r="AP269" s="1126"/>
      <c r="AQ269" s="1126"/>
      <c r="AR269" s="1126"/>
      <c r="AS269" s="1126"/>
      <c r="AT269" s="1126"/>
      <c r="AU269" s="413"/>
      <c r="AV269" s="1075"/>
    </row>
    <row r="270" spans="1:48" ht="15" customHeight="1" x14ac:dyDescent="0.2">
      <c r="A270" s="1076"/>
      <c r="B270" s="1380" t="str">
        <f t="shared" si="5"/>
        <v>Desk 54</v>
      </c>
      <c r="C270" s="1390" t="str">
        <f>IF('TB IMA general'!C139&lt;&gt;"",'TB IMA general'!C139,"")</f>
        <v/>
      </c>
      <c r="D270" s="1126"/>
      <c r="E270" s="1126"/>
      <c r="F270" s="1126"/>
      <c r="G270" s="1126"/>
      <c r="H270" s="1126"/>
      <c r="I270" s="1126"/>
      <c r="J270" s="1126"/>
      <c r="K270" s="1126"/>
      <c r="L270" s="1126"/>
      <c r="M270" s="1126"/>
      <c r="N270" s="1126"/>
      <c r="O270" s="1126"/>
      <c r="P270" s="1126"/>
      <c r="Q270" s="1126"/>
      <c r="R270" s="1126"/>
      <c r="S270" s="1126"/>
      <c r="T270" s="1126"/>
      <c r="U270" s="1126"/>
      <c r="V270" s="1126"/>
      <c r="W270" s="1126"/>
      <c r="X270" s="1126"/>
      <c r="Y270" s="1126"/>
      <c r="Z270" s="1126"/>
      <c r="AA270" s="1126"/>
      <c r="AB270" s="1126"/>
      <c r="AC270" s="1126"/>
      <c r="AD270" s="1126"/>
      <c r="AE270" s="1126"/>
      <c r="AF270" s="1126"/>
      <c r="AG270" s="1126"/>
      <c r="AH270" s="1126"/>
      <c r="AI270" s="1126"/>
      <c r="AJ270" s="1126"/>
      <c r="AK270" s="1126"/>
      <c r="AL270" s="1126"/>
      <c r="AM270" s="1126"/>
      <c r="AN270" s="1126"/>
      <c r="AO270" s="1126"/>
      <c r="AP270" s="1126"/>
      <c r="AQ270" s="1126"/>
      <c r="AR270" s="1126"/>
      <c r="AS270" s="1126"/>
      <c r="AT270" s="1126"/>
      <c r="AU270" s="413"/>
      <c r="AV270" s="1075"/>
    </row>
    <row r="271" spans="1:48" ht="15" customHeight="1" x14ac:dyDescent="0.2">
      <c r="A271" s="1076"/>
      <c r="B271" s="1380" t="str">
        <f t="shared" si="5"/>
        <v>Desk 55</v>
      </c>
      <c r="C271" s="1390" t="str">
        <f>IF('TB IMA general'!C140&lt;&gt;"",'TB IMA general'!C140,"")</f>
        <v/>
      </c>
      <c r="D271" s="1126"/>
      <c r="E271" s="1126"/>
      <c r="F271" s="1126"/>
      <c r="G271" s="1126"/>
      <c r="H271" s="1126"/>
      <c r="I271" s="1126"/>
      <c r="J271" s="1126"/>
      <c r="K271" s="1126"/>
      <c r="L271" s="1126"/>
      <c r="M271" s="1126"/>
      <c r="N271" s="1126"/>
      <c r="O271" s="1126"/>
      <c r="P271" s="1126"/>
      <c r="Q271" s="1126"/>
      <c r="R271" s="1126"/>
      <c r="S271" s="1126"/>
      <c r="T271" s="1126"/>
      <c r="U271" s="1126"/>
      <c r="V271" s="1126"/>
      <c r="W271" s="1126"/>
      <c r="X271" s="1126"/>
      <c r="Y271" s="1126"/>
      <c r="Z271" s="1126"/>
      <c r="AA271" s="1126"/>
      <c r="AB271" s="1126"/>
      <c r="AC271" s="1126"/>
      <c r="AD271" s="1126"/>
      <c r="AE271" s="1126"/>
      <c r="AF271" s="1126"/>
      <c r="AG271" s="1126"/>
      <c r="AH271" s="1126"/>
      <c r="AI271" s="1126"/>
      <c r="AJ271" s="1126"/>
      <c r="AK271" s="1126"/>
      <c r="AL271" s="1126"/>
      <c r="AM271" s="1126"/>
      <c r="AN271" s="1126"/>
      <c r="AO271" s="1126"/>
      <c r="AP271" s="1126"/>
      <c r="AQ271" s="1126"/>
      <c r="AR271" s="1126"/>
      <c r="AS271" s="1126"/>
      <c r="AT271" s="1126"/>
      <c r="AU271" s="413"/>
      <c r="AV271" s="1075"/>
    </row>
    <row r="272" spans="1:48" ht="15" customHeight="1" x14ac:dyDescent="0.2">
      <c r="A272" s="1076"/>
      <c r="B272" s="1380" t="str">
        <f t="shared" si="5"/>
        <v>Desk 56</v>
      </c>
      <c r="C272" s="1390" t="str">
        <f>IF('TB IMA general'!C141&lt;&gt;"",'TB IMA general'!C141,"")</f>
        <v/>
      </c>
      <c r="D272" s="1126"/>
      <c r="E272" s="1126"/>
      <c r="F272" s="1126"/>
      <c r="G272" s="1126"/>
      <c r="H272" s="1126"/>
      <c r="I272" s="1126"/>
      <c r="J272" s="1126"/>
      <c r="K272" s="1126"/>
      <c r="L272" s="1126"/>
      <c r="M272" s="1126"/>
      <c r="N272" s="1126"/>
      <c r="O272" s="1126"/>
      <c r="P272" s="1126"/>
      <c r="Q272" s="1126"/>
      <c r="R272" s="1126"/>
      <c r="S272" s="1126"/>
      <c r="T272" s="1126"/>
      <c r="U272" s="1126"/>
      <c r="V272" s="1126"/>
      <c r="W272" s="1126"/>
      <c r="X272" s="1126"/>
      <c r="Y272" s="1126"/>
      <c r="Z272" s="1126"/>
      <c r="AA272" s="1126"/>
      <c r="AB272" s="1126"/>
      <c r="AC272" s="1126"/>
      <c r="AD272" s="1126"/>
      <c r="AE272" s="1126"/>
      <c r="AF272" s="1126"/>
      <c r="AG272" s="1126"/>
      <c r="AH272" s="1126"/>
      <c r="AI272" s="1126"/>
      <c r="AJ272" s="1126"/>
      <c r="AK272" s="1126"/>
      <c r="AL272" s="1126"/>
      <c r="AM272" s="1126"/>
      <c r="AN272" s="1126"/>
      <c r="AO272" s="1126"/>
      <c r="AP272" s="1126"/>
      <c r="AQ272" s="1126"/>
      <c r="AR272" s="1126"/>
      <c r="AS272" s="1126"/>
      <c r="AT272" s="1126"/>
      <c r="AU272" s="413"/>
      <c r="AV272" s="1075"/>
    </row>
    <row r="273" spans="1:48" ht="15" customHeight="1" x14ac:dyDescent="0.2">
      <c r="A273" s="1076"/>
      <c r="B273" s="1380" t="str">
        <f t="shared" si="5"/>
        <v>Desk 57</v>
      </c>
      <c r="C273" s="1390" t="str">
        <f>IF('TB IMA general'!C142&lt;&gt;"",'TB IMA general'!C142,"")</f>
        <v/>
      </c>
      <c r="D273" s="1126"/>
      <c r="E273" s="1126"/>
      <c r="F273" s="1126"/>
      <c r="G273" s="1126"/>
      <c r="H273" s="1126"/>
      <c r="I273" s="1126"/>
      <c r="J273" s="1126"/>
      <c r="K273" s="1126"/>
      <c r="L273" s="1126"/>
      <c r="M273" s="1126"/>
      <c r="N273" s="1126"/>
      <c r="O273" s="1126"/>
      <c r="P273" s="1126"/>
      <c r="Q273" s="1126"/>
      <c r="R273" s="1126"/>
      <c r="S273" s="1126"/>
      <c r="T273" s="1126"/>
      <c r="U273" s="1126"/>
      <c r="V273" s="1126"/>
      <c r="W273" s="1126"/>
      <c r="X273" s="1126"/>
      <c r="Y273" s="1126"/>
      <c r="Z273" s="1126"/>
      <c r="AA273" s="1126"/>
      <c r="AB273" s="1126"/>
      <c r="AC273" s="1126"/>
      <c r="AD273" s="1126"/>
      <c r="AE273" s="1126"/>
      <c r="AF273" s="1126"/>
      <c r="AG273" s="1126"/>
      <c r="AH273" s="1126"/>
      <c r="AI273" s="1126"/>
      <c r="AJ273" s="1126"/>
      <c r="AK273" s="1126"/>
      <c r="AL273" s="1126"/>
      <c r="AM273" s="1126"/>
      <c r="AN273" s="1126"/>
      <c r="AO273" s="1126"/>
      <c r="AP273" s="1126"/>
      <c r="AQ273" s="1126"/>
      <c r="AR273" s="1126"/>
      <c r="AS273" s="1126"/>
      <c r="AT273" s="1126"/>
      <c r="AU273" s="413"/>
      <c r="AV273" s="1075"/>
    </row>
    <row r="274" spans="1:48" ht="15" customHeight="1" x14ac:dyDescent="0.2">
      <c r="A274" s="1076"/>
      <c r="B274" s="1380" t="str">
        <f t="shared" si="5"/>
        <v>Desk 58</v>
      </c>
      <c r="C274" s="1390" t="str">
        <f>IF('TB IMA general'!C143&lt;&gt;"",'TB IMA general'!C143,"")</f>
        <v/>
      </c>
      <c r="D274" s="1126"/>
      <c r="E274" s="1126"/>
      <c r="F274" s="1126"/>
      <c r="G274" s="1126"/>
      <c r="H274" s="1126"/>
      <c r="I274" s="1126"/>
      <c r="J274" s="1126"/>
      <c r="K274" s="1126"/>
      <c r="L274" s="1126"/>
      <c r="M274" s="1126"/>
      <c r="N274" s="1126"/>
      <c r="O274" s="1126"/>
      <c r="P274" s="1126"/>
      <c r="Q274" s="1126"/>
      <c r="R274" s="1126"/>
      <c r="S274" s="1126"/>
      <c r="T274" s="1126"/>
      <c r="U274" s="1126"/>
      <c r="V274" s="1126"/>
      <c r="W274" s="1126"/>
      <c r="X274" s="1126"/>
      <c r="Y274" s="1126"/>
      <c r="Z274" s="1126"/>
      <c r="AA274" s="1126"/>
      <c r="AB274" s="1126"/>
      <c r="AC274" s="1126"/>
      <c r="AD274" s="1126"/>
      <c r="AE274" s="1126"/>
      <c r="AF274" s="1126"/>
      <c r="AG274" s="1126"/>
      <c r="AH274" s="1126"/>
      <c r="AI274" s="1126"/>
      <c r="AJ274" s="1126"/>
      <c r="AK274" s="1126"/>
      <c r="AL274" s="1126"/>
      <c r="AM274" s="1126"/>
      <c r="AN274" s="1126"/>
      <c r="AO274" s="1126"/>
      <c r="AP274" s="1126"/>
      <c r="AQ274" s="1126"/>
      <c r="AR274" s="1126"/>
      <c r="AS274" s="1126"/>
      <c r="AT274" s="1126"/>
      <c r="AU274" s="413"/>
      <c r="AV274" s="1075"/>
    </row>
    <row r="275" spans="1:48" ht="15" customHeight="1" x14ac:dyDescent="0.2">
      <c r="A275" s="1076"/>
      <c r="B275" s="1380" t="str">
        <f t="shared" si="5"/>
        <v>Desk 59</v>
      </c>
      <c r="C275" s="1390" t="str">
        <f>IF('TB IMA general'!C144&lt;&gt;"",'TB IMA general'!C144,"")</f>
        <v/>
      </c>
      <c r="D275" s="1126"/>
      <c r="E275" s="1126"/>
      <c r="F275" s="1126"/>
      <c r="G275" s="1126"/>
      <c r="H275" s="1126"/>
      <c r="I275" s="1126"/>
      <c r="J275" s="1126"/>
      <c r="K275" s="1126"/>
      <c r="L275" s="1126"/>
      <c r="M275" s="1126"/>
      <c r="N275" s="1126"/>
      <c r="O275" s="1126"/>
      <c r="P275" s="1126"/>
      <c r="Q275" s="1126"/>
      <c r="R275" s="1126"/>
      <c r="S275" s="1126"/>
      <c r="T275" s="1126"/>
      <c r="U275" s="1126"/>
      <c r="V275" s="1126"/>
      <c r="W275" s="1126"/>
      <c r="X275" s="1126"/>
      <c r="Y275" s="1126"/>
      <c r="Z275" s="1126"/>
      <c r="AA275" s="1126"/>
      <c r="AB275" s="1126"/>
      <c r="AC275" s="1126"/>
      <c r="AD275" s="1126"/>
      <c r="AE275" s="1126"/>
      <c r="AF275" s="1126"/>
      <c r="AG275" s="1126"/>
      <c r="AH275" s="1126"/>
      <c r="AI275" s="1126"/>
      <c r="AJ275" s="1126"/>
      <c r="AK275" s="1126"/>
      <c r="AL275" s="1126"/>
      <c r="AM275" s="1126"/>
      <c r="AN275" s="1126"/>
      <c r="AO275" s="1126"/>
      <c r="AP275" s="1126"/>
      <c r="AQ275" s="1126"/>
      <c r="AR275" s="1126"/>
      <c r="AS275" s="1126"/>
      <c r="AT275" s="1126"/>
      <c r="AU275" s="413"/>
      <c r="AV275" s="1075"/>
    </row>
    <row r="276" spans="1:48" ht="15" customHeight="1" x14ac:dyDescent="0.2">
      <c r="A276" s="1076"/>
      <c r="B276" s="1380" t="str">
        <f t="shared" si="5"/>
        <v>Desk 60</v>
      </c>
      <c r="C276" s="1390" t="str">
        <f>IF('TB IMA general'!C145&lt;&gt;"",'TB IMA general'!C145,"")</f>
        <v/>
      </c>
      <c r="D276" s="1126"/>
      <c r="E276" s="1126"/>
      <c r="F276" s="1126"/>
      <c r="G276" s="1126"/>
      <c r="H276" s="1126"/>
      <c r="I276" s="1126"/>
      <c r="J276" s="1126"/>
      <c r="K276" s="1126"/>
      <c r="L276" s="1126"/>
      <c r="M276" s="1126"/>
      <c r="N276" s="1126"/>
      <c r="O276" s="1126"/>
      <c r="P276" s="1126"/>
      <c r="Q276" s="1126"/>
      <c r="R276" s="1126"/>
      <c r="S276" s="1126"/>
      <c r="T276" s="1126"/>
      <c r="U276" s="1126"/>
      <c r="V276" s="1126"/>
      <c r="W276" s="1126"/>
      <c r="X276" s="1126"/>
      <c r="Y276" s="1126"/>
      <c r="Z276" s="1126"/>
      <c r="AA276" s="1126"/>
      <c r="AB276" s="1126"/>
      <c r="AC276" s="1126"/>
      <c r="AD276" s="1126"/>
      <c r="AE276" s="1126"/>
      <c r="AF276" s="1126"/>
      <c r="AG276" s="1126"/>
      <c r="AH276" s="1126"/>
      <c r="AI276" s="1126"/>
      <c r="AJ276" s="1126"/>
      <c r="AK276" s="1126"/>
      <c r="AL276" s="1126"/>
      <c r="AM276" s="1126"/>
      <c r="AN276" s="1126"/>
      <c r="AO276" s="1126"/>
      <c r="AP276" s="1126"/>
      <c r="AQ276" s="1126"/>
      <c r="AR276" s="1126"/>
      <c r="AS276" s="1126"/>
      <c r="AT276" s="1126"/>
      <c r="AU276" s="413"/>
      <c r="AV276" s="1075"/>
    </row>
    <row r="277" spans="1:48" ht="15" customHeight="1" x14ac:dyDescent="0.2">
      <c r="A277" s="1076"/>
      <c r="B277" s="1380" t="str">
        <f t="shared" si="5"/>
        <v>Desk 61</v>
      </c>
      <c r="C277" s="1390" t="str">
        <f>IF('TB IMA general'!C146&lt;&gt;"",'TB IMA general'!C146,"")</f>
        <v/>
      </c>
      <c r="D277" s="1126"/>
      <c r="E277" s="1126"/>
      <c r="F277" s="1126"/>
      <c r="G277" s="1126"/>
      <c r="H277" s="1126"/>
      <c r="I277" s="1126"/>
      <c r="J277" s="1126"/>
      <c r="K277" s="1126"/>
      <c r="L277" s="1126"/>
      <c r="M277" s="1126"/>
      <c r="N277" s="1126"/>
      <c r="O277" s="1126"/>
      <c r="P277" s="1126"/>
      <c r="Q277" s="1126"/>
      <c r="R277" s="1126"/>
      <c r="S277" s="1126"/>
      <c r="T277" s="1126"/>
      <c r="U277" s="1126"/>
      <c r="V277" s="1126"/>
      <c r="W277" s="1126"/>
      <c r="X277" s="1126"/>
      <c r="Y277" s="1126"/>
      <c r="Z277" s="1126"/>
      <c r="AA277" s="1126"/>
      <c r="AB277" s="1126"/>
      <c r="AC277" s="1126"/>
      <c r="AD277" s="1126"/>
      <c r="AE277" s="1126"/>
      <c r="AF277" s="1126"/>
      <c r="AG277" s="1126"/>
      <c r="AH277" s="1126"/>
      <c r="AI277" s="1126"/>
      <c r="AJ277" s="1126"/>
      <c r="AK277" s="1126"/>
      <c r="AL277" s="1126"/>
      <c r="AM277" s="1126"/>
      <c r="AN277" s="1126"/>
      <c r="AO277" s="1126"/>
      <c r="AP277" s="1126"/>
      <c r="AQ277" s="1126"/>
      <c r="AR277" s="1126"/>
      <c r="AS277" s="1126"/>
      <c r="AT277" s="1126"/>
      <c r="AU277" s="413"/>
      <c r="AV277" s="1075"/>
    </row>
    <row r="278" spans="1:48" ht="15" customHeight="1" x14ac:dyDescent="0.2">
      <c r="A278" s="1076"/>
      <c r="B278" s="1380" t="str">
        <f t="shared" si="5"/>
        <v>Desk 62</v>
      </c>
      <c r="C278" s="1390" t="str">
        <f>IF('TB IMA general'!C147&lt;&gt;"",'TB IMA general'!C147,"")</f>
        <v/>
      </c>
      <c r="D278" s="1126"/>
      <c r="E278" s="1126"/>
      <c r="F278" s="1126"/>
      <c r="G278" s="1126"/>
      <c r="H278" s="1126"/>
      <c r="I278" s="1126"/>
      <c r="J278" s="1126"/>
      <c r="K278" s="1126"/>
      <c r="L278" s="1126"/>
      <c r="M278" s="1126"/>
      <c r="N278" s="1126"/>
      <c r="O278" s="1126"/>
      <c r="P278" s="1126"/>
      <c r="Q278" s="1126"/>
      <c r="R278" s="1126"/>
      <c r="S278" s="1126"/>
      <c r="T278" s="1126"/>
      <c r="U278" s="1126"/>
      <c r="V278" s="1126"/>
      <c r="W278" s="1126"/>
      <c r="X278" s="1126"/>
      <c r="Y278" s="1126"/>
      <c r="Z278" s="1126"/>
      <c r="AA278" s="1126"/>
      <c r="AB278" s="1126"/>
      <c r="AC278" s="1126"/>
      <c r="AD278" s="1126"/>
      <c r="AE278" s="1126"/>
      <c r="AF278" s="1126"/>
      <c r="AG278" s="1126"/>
      <c r="AH278" s="1126"/>
      <c r="AI278" s="1126"/>
      <c r="AJ278" s="1126"/>
      <c r="AK278" s="1126"/>
      <c r="AL278" s="1126"/>
      <c r="AM278" s="1126"/>
      <c r="AN278" s="1126"/>
      <c r="AO278" s="1126"/>
      <c r="AP278" s="1126"/>
      <c r="AQ278" s="1126"/>
      <c r="AR278" s="1126"/>
      <c r="AS278" s="1126"/>
      <c r="AT278" s="1126"/>
      <c r="AU278" s="413"/>
      <c r="AV278" s="1075"/>
    </row>
    <row r="279" spans="1:48" ht="15" customHeight="1" x14ac:dyDescent="0.2">
      <c r="A279" s="1076"/>
      <c r="B279" s="1380" t="str">
        <f t="shared" si="5"/>
        <v>Desk 63</v>
      </c>
      <c r="C279" s="1390" t="str">
        <f>IF('TB IMA general'!C148&lt;&gt;"",'TB IMA general'!C148,"")</f>
        <v/>
      </c>
      <c r="D279" s="1126"/>
      <c r="E279" s="1126"/>
      <c r="F279" s="1126"/>
      <c r="G279" s="1126"/>
      <c r="H279" s="1126"/>
      <c r="I279" s="1126"/>
      <c r="J279" s="1126"/>
      <c r="K279" s="1126"/>
      <c r="L279" s="1126"/>
      <c r="M279" s="1126"/>
      <c r="N279" s="1126"/>
      <c r="O279" s="1126"/>
      <c r="P279" s="1126"/>
      <c r="Q279" s="1126"/>
      <c r="R279" s="1126"/>
      <c r="S279" s="1126"/>
      <c r="T279" s="1126"/>
      <c r="U279" s="1126"/>
      <c r="V279" s="1126"/>
      <c r="W279" s="1126"/>
      <c r="X279" s="1126"/>
      <c r="Y279" s="1126"/>
      <c r="Z279" s="1126"/>
      <c r="AA279" s="1126"/>
      <c r="AB279" s="1126"/>
      <c r="AC279" s="1126"/>
      <c r="AD279" s="1126"/>
      <c r="AE279" s="1126"/>
      <c r="AF279" s="1126"/>
      <c r="AG279" s="1126"/>
      <c r="AH279" s="1126"/>
      <c r="AI279" s="1126"/>
      <c r="AJ279" s="1126"/>
      <c r="AK279" s="1126"/>
      <c r="AL279" s="1126"/>
      <c r="AM279" s="1126"/>
      <c r="AN279" s="1126"/>
      <c r="AO279" s="1126"/>
      <c r="AP279" s="1126"/>
      <c r="AQ279" s="1126"/>
      <c r="AR279" s="1126"/>
      <c r="AS279" s="1126"/>
      <c r="AT279" s="1126"/>
      <c r="AU279" s="413"/>
      <c r="AV279" s="1075"/>
    </row>
    <row r="280" spans="1:48" ht="15" customHeight="1" x14ac:dyDescent="0.2">
      <c r="A280" s="1076"/>
      <c r="B280" s="1380" t="str">
        <f t="shared" si="5"/>
        <v>Desk 64</v>
      </c>
      <c r="C280" s="1390" t="str">
        <f>IF('TB IMA general'!C149&lt;&gt;"",'TB IMA general'!C149,"")</f>
        <v/>
      </c>
      <c r="D280" s="1126"/>
      <c r="E280" s="1126"/>
      <c r="F280" s="1126"/>
      <c r="G280" s="1126"/>
      <c r="H280" s="1126"/>
      <c r="I280" s="1126"/>
      <c r="J280" s="1126"/>
      <c r="K280" s="1126"/>
      <c r="L280" s="1126"/>
      <c r="M280" s="1126"/>
      <c r="N280" s="1126"/>
      <c r="O280" s="1126"/>
      <c r="P280" s="1126"/>
      <c r="Q280" s="1126"/>
      <c r="R280" s="1126"/>
      <c r="S280" s="1126"/>
      <c r="T280" s="1126"/>
      <c r="U280" s="1126"/>
      <c r="V280" s="1126"/>
      <c r="W280" s="1126"/>
      <c r="X280" s="1126"/>
      <c r="Y280" s="1126"/>
      <c r="Z280" s="1126"/>
      <c r="AA280" s="1126"/>
      <c r="AB280" s="1126"/>
      <c r="AC280" s="1126"/>
      <c r="AD280" s="1126"/>
      <c r="AE280" s="1126"/>
      <c r="AF280" s="1126"/>
      <c r="AG280" s="1126"/>
      <c r="AH280" s="1126"/>
      <c r="AI280" s="1126"/>
      <c r="AJ280" s="1126"/>
      <c r="AK280" s="1126"/>
      <c r="AL280" s="1126"/>
      <c r="AM280" s="1126"/>
      <c r="AN280" s="1126"/>
      <c r="AO280" s="1126"/>
      <c r="AP280" s="1126"/>
      <c r="AQ280" s="1126"/>
      <c r="AR280" s="1126"/>
      <c r="AS280" s="1126"/>
      <c r="AT280" s="1126"/>
      <c r="AU280" s="413"/>
      <c r="AV280" s="1075"/>
    </row>
    <row r="281" spans="1:48" ht="15" customHeight="1" x14ac:dyDescent="0.2">
      <c r="A281" s="1076"/>
      <c r="B281" s="1380" t="str">
        <f t="shared" si="5"/>
        <v>Desk 65</v>
      </c>
      <c r="C281" s="1390" t="str">
        <f>IF('TB IMA general'!C150&lt;&gt;"",'TB IMA general'!C150,"")</f>
        <v/>
      </c>
      <c r="D281" s="1126"/>
      <c r="E281" s="1126"/>
      <c r="F281" s="1126"/>
      <c r="G281" s="1126"/>
      <c r="H281" s="1126"/>
      <c r="I281" s="1126"/>
      <c r="J281" s="1126"/>
      <c r="K281" s="1126"/>
      <c r="L281" s="1126"/>
      <c r="M281" s="1126"/>
      <c r="N281" s="1126"/>
      <c r="O281" s="1126"/>
      <c r="P281" s="1126"/>
      <c r="Q281" s="1126"/>
      <c r="R281" s="1126"/>
      <c r="S281" s="1126"/>
      <c r="T281" s="1126"/>
      <c r="U281" s="1126"/>
      <c r="V281" s="1126"/>
      <c r="W281" s="1126"/>
      <c r="X281" s="1126"/>
      <c r="Y281" s="1126"/>
      <c r="Z281" s="1126"/>
      <c r="AA281" s="1126"/>
      <c r="AB281" s="1126"/>
      <c r="AC281" s="1126"/>
      <c r="AD281" s="1126"/>
      <c r="AE281" s="1126"/>
      <c r="AF281" s="1126"/>
      <c r="AG281" s="1126"/>
      <c r="AH281" s="1126"/>
      <c r="AI281" s="1126"/>
      <c r="AJ281" s="1126"/>
      <c r="AK281" s="1126"/>
      <c r="AL281" s="1126"/>
      <c r="AM281" s="1126"/>
      <c r="AN281" s="1126"/>
      <c r="AO281" s="1126"/>
      <c r="AP281" s="1126"/>
      <c r="AQ281" s="1126"/>
      <c r="AR281" s="1126"/>
      <c r="AS281" s="1126"/>
      <c r="AT281" s="1126"/>
      <c r="AU281" s="413"/>
      <c r="AV281" s="1075"/>
    </row>
    <row r="282" spans="1:48" ht="15" customHeight="1" x14ac:dyDescent="0.2">
      <c r="A282" s="1076"/>
      <c r="B282" s="1380" t="str">
        <f t="shared" ref="B282:B316" si="6">"Desk " &amp; (ROW(B282)-ROW(B$216))</f>
        <v>Desk 66</v>
      </c>
      <c r="C282" s="1390" t="str">
        <f>IF('TB IMA general'!C151&lt;&gt;"",'TB IMA general'!C151,"")</f>
        <v/>
      </c>
      <c r="D282" s="1126"/>
      <c r="E282" s="1126"/>
      <c r="F282" s="1126"/>
      <c r="G282" s="1126"/>
      <c r="H282" s="1126"/>
      <c r="I282" s="1126"/>
      <c r="J282" s="1126"/>
      <c r="K282" s="1126"/>
      <c r="L282" s="1126"/>
      <c r="M282" s="1126"/>
      <c r="N282" s="1126"/>
      <c r="O282" s="1126"/>
      <c r="P282" s="1126"/>
      <c r="Q282" s="1126"/>
      <c r="R282" s="1126"/>
      <c r="S282" s="1126"/>
      <c r="T282" s="1126"/>
      <c r="U282" s="1126"/>
      <c r="V282" s="1126"/>
      <c r="W282" s="1126"/>
      <c r="X282" s="1126"/>
      <c r="Y282" s="1126"/>
      <c r="Z282" s="1126"/>
      <c r="AA282" s="1126"/>
      <c r="AB282" s="1126"/>
      <c r="AC282" s="1126"/>
      <c r="AD282" s="1126"/>
      <c r="AE282" s="1126"/>
      <c r="AF282" s="1126"/>
      <c r="AG282" s="1126"/>
      <c r="AH282" s="1126"/>
      <c r="AI282" s="1126"/>
      <c r="AJ282" s="1126"/>
      <c r="AK282" s="1126"/>
      <c r="AL282" s="1126"/>
      <c r="AM282" s="1126"/>
      <c r="AN282" s="1126"/>
      <c r="AO282" s="1126"/>
      <c r="AP282" s="1126"/>
      <c r="AQ282" s="1126"/>
      <c r="AR282" s="1126"/>
      <c r="AS282" s="1126"/>
      <c r="AT282" s="1126"/>
      <c r="AU282" s="413"/>
      <c r="AV282" s="1075"/>
    </row>
    <row r="283" spans="1:48" ht="15" customHeight="1" x14ac:dyDescent="0.2">
      <c r="A283" s="1076"/>
      <c r="B283" s="1380" t="str">
        <f t="shared" si="6"/>
        <v>Desk 67</v>
      </c>
      <c r="C283" s="1390" t="str">
        <f>IF('TB IMA general'!C152&lt;&gt;"",'TB IMA general'!C152,"")</f>
        <v/>
      </c>
      <c r="D283" s="1126"/>
      <c r="E283" s="1126"/>
      <c r="F283" s="1126"/>
      <c r="G283" s="1126"/>
      <c r="H283" s="1126"/>
      <c r="I283" s="1126"/>
      <c r="J283" s="1126"/>
      <c r="K283" s="1126"/>
      <c r="L283" s="1126"/>
      <c r="M283" s="1126"/>
      <c r="N283" s="1126"/>
      <c r="O283" s="1126"/>
      <c r="P283" s="1126"/>
      <c r="Q283" s="1126"/>
      <c r="R283" s="1126"/>
      <c r="S283" s="1126"/>
      <c r="T283" s="1126"/>
      <c r="U283" s="1126"/>
      <c r="V283" s="1126"/>
      <c r="W283" s="1126"/>
      <c r="X283" s="1126"/>
      <c r="Y283" s="1126"/>
      <c r="Z283" s="1126"/>
      <c r="AA283" s="1126"/>
      <c r="AB283" s="1126"/>
      <c r="AC283" s="1126"/>
      <c r="AD283" s="1126"/>
      <c r="AE283" s="1126"/>
      <c r="AF283" s="1126"/>
      <c r="AG283" s="1126"/>
      <c r="AH283" s="1126"/>
      <c r="AI283" s="1126"/>
      <c r="AJ283" s="1126"/>
      <c r="AK283" s="1126"/>
      <c r="AL283" s="1126"/>
      <c r="AM283" s="1126"/>
      <c r="AN283" s="1126"/>
      <c r="AO283" s="1126"/>
      <c r="AP283" s="1126"/>
      <c r="AQ283" s="1126"/>
      <c r="AR283" s="1126"/>
      <c r="AS283" s="1126"/>
      <c r="AT283" s="1126"/>
      <c r="AU283" s="413"/>
      <c r="AV283" s="1075"/>
    </row>
    <row r="284" spans="1:48" ht="15" customHeight="1" x14ac:dyDescent="0.2">
      <c r="A284" s="1076"/>
      <c r="B284" s="1380" t="str">
        <f t="shared" si="6"/>
        <v>Desk 68</v>
      </c>
      <c r="C284" s="1390" t="str">
        <f>IF('TB IMA general'!C153&lt;&gt;"",'TB IMA general'!C153,"")</f>
        <v/>
      </c>
      <c r="D284" s="1126"/>
      <c r="E284" s="1126"/>
      <c r="F284" s="1126"/>
      <c r="G284" s="1126"/>
      <c r="H284" s="1126"/>
      <c r="I284" s="1126"/>
      <c r="J284" s="1126"/>
      <c r="K284" s="1126"/>
      <c r="L284" s="1126"/>
      <c r="M284" s="1126"/>
      <c r="N284" s="1126"/>
      <c r="O284" s="1126"/>
      <c r="P284" s="1126"/>
      <c r="Q284" s="1126"/>
      <c r="R284" s="1126"/>
      <c r="S284" s="1126"/>
      <c r="T284" s="1126"/>
      <c r="U284" s="1126"/>
      <c r="V284" s="1126"/>
      <c r="W284" s="1126"/>
      <c r="X284" s="1126"/>
      <c r="Y284" s="1126"/>
      <c r="Z284" s="1126"/>
      <c r="AA284" s="1126"/>
      <c r="AB284" s="1126"/>
      <c r="AC284" s="1126"/>
      <c r="AD284" s="1126"/>
      <c r="AE284" s="1126"/>
      <c r="AF284" s="1126"/>
      <c r="AG284" s="1126"/>
      <c r="AH284" s="1126"/>
      <c r="AI284" s="1126"/>
      <c r="AJ284" s="1126"/>
      <c r="AK284" s="1126"/>
      <c r="AL284" s="1126"/>
      <c r="AM284" s="1126"/>
      <c r="AN284" s="1126"/>
      <c r="AO284" s="1126"/>
      <c r="AP284" s="1126"/>
      <c r="AQ284" s="1126"/>
      <c r="AR284" s="1126"/>
      <c r="AS284" s="1126"/>
      <c r="AT284" s="1126"/>
      <c r="AU284" s="413"/>
      <c r="AV284" s="1075"/>
    </row>
    <row r="285" spans="1:48" ht="15" customHeight="1" x14ac:dyDescent="0.2">
      <c r="A285" s="1076"/>
      <c r="B285" s="1380" t="str">
        <f t="shared" si="6"/>
        <v>Desk 69</v>
      </c>
      <c r="C285" s="1390" t="str">
        <f>IF('TB IMA general'!C154&lt;&gt;"",'TB IMA general'!C154,"")</f>
        <v/>
      </c>
      <c r="D285" s="1126"/>
      <c r="E285" s="1126"/>
      <c r="F285" s="1126"/>
      <c r="G285" s="1126"/>
      <c r="H285" s="1126"/>
      <c r="I285" s="1126"/>
      <c r="J285" s="1126"/>
      <c r="K285" s="1126"/>
      <c r="L285" s="1126"/>
      <c r="M285" s="1126"/>
      <c r="N285" s="1126"/>
      <c r="O285" s="1126"/>
      <c r="P285" s="1126"/>
      <c r="Q285" s="1126"/>
      <c r="R285" s="1126"/>
      <c r="S285" s="1126"/>
      <c r="T285" s="1126"/>
      <c r="U285" s="1126"/>
      <c r="V285" s="1126"/>
      <c r="W285" s="1126"/>
      <c r="X285" s="1126"/>
      <c r="Y285" s="1126"/>
      <c r="Z285" s="1126"/>
      <c r="AA285" s="1126"/>
      <c r="AB285" s="1126"/>
      <c r="AC285" s="1126"/>
      <c r="AD285" s="1126"/>
      <c r="AE285" s="1126"/>
      <c r="AF285" s="1126"/>
      <c r="AG285" s="1126"/>
      <c r="AH285" s="1126"/>
      <c r="AI285" s="1126"/>
      <c r="AJ285" s="1126"/>
      <c r="AK285" s="1126"/>
      <c r="AL285" s="1126"/>
      <c r="AM285" s="1126"/>
      <c r="AN285" s="1126"/>
      <c r="AO285" s="1126"/>
      <c r="AP285" s="1126"/>
      <c r="AQ285" s="1126"/>
      <c r="AR285" s="1126"/>
      <c r="AS285" s="1126"/>
      <c r="AT285" s="1126"/>
      <c r="AU285" s="413"/>
      <c r="AV285" s="1075"/>
    </row>
    <row r="286" spans="1:48" ht="15" customHeight="1" x14ac:dyDescent="0.2">
      <c r="A286" s="1076"/>
      <c r="B286" s="1380" t="str">
        <f t="shared" si="6"/>
        <v>Desk 70</v>
      </c>
      <c r="C286" s="1390" t="str">
        <f>IF('TB IMA general'!C155&lt;&gt;"",'TB IMA general'!C155,"")</f>
        <v/>
      </c>
      <c r="D286" s="1126"/>
      <c r="E286" s="1126"/>
      <c r="F286" s="1126"/>
      <c r="G286" s="1126"/>
      <c r="H286" s="1126"/>
      <c r="I286" s="1126"/>
      <c r="J286" s="1126"/>
      <c r="K286" s="1126"/>
      <c r="L286" s="1126"/>
      <c r="M286" s="1126"/>
      <c r="N286" s="1126"/>
      <c r="O286" s="1126"/>
      <c r="P286" s="1126"/>
      <c r="Q286" s="1126"/>
      <c r="R286" s="1126"/>
      <c r="S286" s="1126"/>
      <c r="T286" s="1126"/>
      <c r="U286" s="1126"/>
      <c r="V286" s="1126"/>
      <c r="W286" s="1126"/>
      <c r="X286" s="1126"/>
      <c r="Y286" s="1126"/>
      <c r="Z286" s="1126"/>
      <c r="AA286" s="1126"/>
      <c r="AB286" s="1126"/>
      <c r="AC286" s="1126"/>
      <c r="AD286" s="1126"/>
      <c r="AE286" s="1126"/>
      <c r="AF286" s="1126"/>
      <c r="AG286" s="1126"/>
      <c r="AH286" s="1126"/>
      <c r="AI286" s="1126"/>
      <c r="AJ286" s="1126"/>
      <c r="AK286" s="1126"/>
      <c r="AL286" s="1126"/>
      <c r="AM286" s="1126"/>
      <c r="AN286" s="1126"/>
      <c r="AO286" s="1126"/>
      <c r="AP286" s="1126"/>
      <c r="AQ286" s="1126"/>
      <c r="AR286" s="1126"/>
      <c r="AS286" s="1126"/>
      <c r="AT286" s="1126"/>
      <c r="AU286" s="413"/>
      <c r="AV286" s="1075"/>
    </row>
    <row r="287" spans="1:48" ht="15" customHeight="1" x14ac:dyDescent="0.2">
      <c r="A287" s="1076"/>
      <c r="B287" s="1380" t="str">
        <f t="shared" si="6"/>
        <v>Desk 71</v>
      </c>
      <c r="C287" s="1390" t="str">
        <f>IF('TB IMA general'!C156&lt;&gt;"",'TB IMA general'!C156,"")</f>
        <v/>
      </c>
      <c r="D287" s="1126"/>
      <c r="E287" s="1126"/>
      <c r="F287" s="1126"/>
      <c r="G287" s="1126"/>
      <c r="H287" s="1126"/>
      <c r="I287" s="1126"/>
      <c r="J287" s="1126"/>
      <c r="K287" s="1126"/>
      <c r="L287" s="1126"/>
      <c r="M287" s="1126"/>
      <c r="N287" s="1126"/>
      <c r="O287" s="1126"/>
      <c r="P287" s="1126"/>
      <c r="Q287" s="1126"/>
      <c r="R287" s="1126"/>
      <c r="S287" s="1126"/>
      <c r="T287" s="1126"/>
      <c r="U287" s="1126"/>
      <c r="V287" s="1126"/>
      <c r="W287" s="1126"/>
      <c r="X287" s="1126"/>
      <c r="Y287" s="1126"/>
      <c r="Z287" s="1126"/>
      <c r="AA287" s="1126"/>
      <c r="AB287" s="1126"/>
      <c r="AC287" s="1126"/>
      <c r="AD287" s="1126"/>
      <c r="AE287" s="1126"/>
      <c r="AF287" s="1126"/>
      <c r="AG287" s="1126"/>
      <c r="AH287" s="1126"/>
      <c r="AI287" s="1126"/>
      <c r="AJ287" s="1126"/>
      <c r="AK287" s="1126"/>
      <c r="AL287" s="1126"/>
      <c r="AM287" s="1126"/>
      <c r="AN287" s="1126"/>
      <c r="AO287" s="1126"/>
      <c r="AP287" s="1126"/>
      <c r="AQ287" s="1126"/>
      <c r="AR287" s="1126"/>
      <c r="AS287" s="1126"/>
      <c r="AT287" s="1126"/>
      <c r="AU287" s="413"/>
      <c r="AV287" s="1075"/>
    </row>
    <row r="288" spans="1:48" ht="15" customHeight="1" x14ac:dyDescent="0.2">
      <c r="A288" s="1076"/>
      <c r="B288" s="1380" t="str">
        <f t="shared" si="6"/>
        <v>Desk 72</v>
      </c>
      <c r="C288" s="1390" t="str">
        <f>IF('TB IMA general'!C157&lt;&gt;"",'TB IMA general'!C157,"")</f>
        <v/>
      </c>
      <c r="D288" s="1126"/>
      <c r="E288" s="1126"/>
      <c r="F288" s="1126"/>
      <c r="G288" s="1126"/>
      <c r="H288" s="1126"/>
      <c r="I288" s="1126"/>
      <c r="J288" s="1126"/>
      <c r="K288" s="1126"/>
      <c r="L288" s="1126"/>
      <c r="M288" s="1126"/>
      <c r="N288" s="1126"/>
      <c r="O288" s="1126"/>
      <c r="P288" s="1126"/>
      <c r="Q288" s="1126"/>
      <c r="R288" s="1126"/>
      <c r="S288" s="1126"/>
      <c r="T288" s="1126"/>
      <c r="U288" s="1126"/>
      <c r="V288" s="1126"/>
      <c r="W288" s="1126"/>
      <c r="X288" s="1126"/>
      <c r="Y288" s="1126"/>
      <c r="Z288" s="1126"/>
      <c r="AA288" s="1126"/>
      <c r="AB288" s="1126"/>
      <c r="AC288" s="1126"/>
      <c r="AD288" s="1126"/>
      <c r="AE288" s="1126"/>
      <c r="AF288" s="1126"/>
      <c r="AG288" s="1126"/>
      <c r="AH288" s="1126"/>
      <c r="AI288" s="1126"/>
      <c r="AJ288" s="1126"/>
      <c r="AK288" s="1126"/>
      <c r="AL288" s="1126"/>
      <c r="AM288" s="1126"/>
      <c r="AN288" s="1126"/>
      <c r="AO288" s="1126"/>
      <c r="AP288" s="1126"/>
      <c r="AQ288" s="1126"/>
      <c r="AR288" s="1126"/>
      <c r="AS288" s="1126"/>
      <c r="AT288" s="1126"/>
      <c r="AU288" s="413"/>
      <c r="AV288" s="1075"/>
    </row>
    <row r="289" spans="1:48" ht="15" customHeight="1" x14ac:dyDescent="0.2">
      <c r="A289" s="1076"/>
      <c r="B289" s="1380" t="str">
        <f t="shared" si="6"/>
        <v>Desk 73</v>
      </c>
      <c r="C289" s="1390" t="str">
        <f>IF('TB IMA general'!C158&lt;&gt;"",'TB IMA general'!C158,"")</f>
        <v/>
      </c>
      <c r="D289" s="1126"/>
      <c r="E289" s="1126"/>
      <c r="F289" s="1126"/>
      <c r="G289" s="1126"/>
      <c r="H289" s="1126"/>
      <c r="I289" s="1126"/>
      <c r="J289" s="1126"/>
      <c r="K289" s="1126"/>
      <c r="L289" s="1126"/>
      <c r="M289" s="1126"/>
      <c r="N289" s="1126"/>
      <c r="O289" s="1126"/>
      <c r="P289" s="1126"/>
      <c r="Q289" s="1126"/>
      <c r="R289" s="1126"/>
      <c r="S289" s="1126"/>
      <c r="T289" s="1126"/>
      <c r="U289" s="1126"/>
      <c r="V289" s="1126"/>
      <c r="W289" s="1126"/>
      <c r="X289" s="1126"/>
      <c r="Y289" s="1126"/>
      <c r="Z289" s="1126"/>
      <c r="AA289" s="1126"/>
      <c r="AB289" s="1126"/>
      <c r="AC289" s="1126"/>
      <c r="AD289" s="1126"/>
      <c r="AE289" s="1126"/>
      <c r="AF289" s="1126"/>
      <c r="AG289" s="1126"/>
      <c r="AH289" s="1126"/>
      <c r="AI289" s="1126"/>
      <c r="AJ289" s="1126"/>
      <c r="AK289" s="1126"/>
      <c r="AL289" s="1126"/>
      <c r="AM289" s="1126"/>
      <c r="AN289" s="1126"/>
      <c r="AO289" s="1126"/>
      <c r="AP289" s="1126"/>
      <c r="AQ289" s="1126"/>
      <c r="AR289" s="1126"/>
      <c r="AS289" s="1126"/>
      <c r="AT289" s="1126"/>
      <c r="AU289" s="413"/>
      <c r="AV289" s="1075"/>
    </row>
    <row r="290" spans="1:48" ht="15" customHeight="1" x14ac:dyDescent="0.2">
      <c r="A290" s="1076"/>
      <c r="B290" s="1380" t="str">
        <f t="shared" si="6"/>
        <v>Desk 74</v>
      </c>
      <c r="C290" s="1390" t="str">
        <f>IF('TB IMA general'!C159&lt;&gt;"",'TB IMA general'!C159,"")</f>
        <v/>
      </c>
      <c r="D290" s="1126"/>
      <c r="E290" s="1126"/>
      <c r="F290" s="1126"/>
      <c r="G290" s="1126"/>
      <c r="H290" s="1126"/>
      <c r="I290" s="1126"/>
      <c r="J290" s="1126"/>
      <c r="K290" s="1126"/>
      <c r="L290" s="1126"/>
      <c r="M290" s="1126"/>
      <c r="N290" s="1126"/>
      <c r="O290" s="1126"/>
      <c r="P290" s="1126"/>
      <c r="Q290" s="1126"/>
      <c r="R290" s="1126"/>
      <c r="S290" s="1126"/>
      <c r="T290" s="1126"/>
      <c r="U290" s="1126"/>
      <c r="V290" s="1126"/>
      <c r="W290" s="1126"/>
      <c r="X290" s="1126"/>
      <c r="Y290" s="1126"/>
      <c r="Z290" s="1126"/>
      <c r="AA290" s="1126"/>
      <c r="AB290" s="1126"/>
      <c r="AC290" s="1126"/>
      <c r="AD290" s="1126"/>
      <c r="AE290" s="1126"/>
      <c r="AF290" s="1126"/>
      <c r="AG290" s="1126"/>
      <c r="AH290" s="1126"/>
      <c r="AI290" s="1126"/>
      <c r="AJ290" s="1126"/>
      <c r="AK290" s="1126"/>
      <c r="AL290" s="1126"/>
      <c r="AM290" s="1126"/>
      <c r="AN290" s="1126"/>
      <c r="AO290" s="1126"/>
      <c r="AP290" s="1126"/>
      <c r="AQ290" s="1126"/>
      <c r="AR290" s="1126"/>
      <c r="AS290" s="1126"/>
      <c r="AT290" s="1126"/>
      <c r="AU290" s="413"/>
      <c r="AV290" s="1075"/>
    </row>
    <row r="291" spans="1:48" ht="15" customHeight="1" x14ac:dyDescent="0.2">
      <c r="A291" s="1076"/>
      <c r="B291" s="1380" t="str">
        <f t="shared" si="6"/>
        <v>Desk 75</v>
      </c>
      <c r="C291" s="1390" t="str">
        <f>IF('TB IMA general'!C160&lt;&gt;"",'TB IMA general'!C160,"")</f>
        <v/>
      </c>
      <c r="D291" s="1126"/>
      <c r="E291" s="1126"/>
      <c r="F291" s="1126"/>
      <c r="G291" s="1126"/>
      <c r="H291" s="1126"/>
      <c r="I291" s="1126"/>
      <c r="J291" s="1126"/>
      <c r="K291" s="1126"/>
      <c r="L291" s="1126"/>
      <c r="M291" s="1126"/>
      <c r="N291" s="1126"/>
      <c r="O291" s="1126"/>
      <c r="P291" s="1126"/>
      <c r="Q291" s="1126"/>
      <c r="R291" s="1126"/>
      <c r="S291" s="1126"/>
      <c r="T291" s="1126"/>
      <c r="U291" s="1126"/>
      <c r="V291" s="1126"/>
      <c r="W291" s="1126"/>
      <c r="X291" s="1126"/>
      <c r="Y291" s="1126"/>
      <c r="Z291" s="1126"/>
      <c r="AA291" s="1126"/>
      <c r="AB291" s="1126"/>
      <c r="AC291" s="1126"/>
      <c r="AD291" s="1126"/>
      <c r="AE291" s="1126"/>
      <c r="AF291" s="1126"/>
      <c r="AG291" s="1126"/>
      <c r="AH291" s="1126"/>
      <c r="AI291" s="1126"/>
      <c r="AJ291" s="1126"/>
      <c r="AK291" s="1126"/>
      <c r="AL291" s="1126"/>
      <c r="AM291" s="1126"/>
      <c r="AN291" s="1126"/>
      <c r="AO291" s="1126"/>
      <c r="AP291" s="1126"/>
      <c r="AQ291" s="1126"/>
      <c r="AR291" s="1126"/>
      <c r="AS291" s="1126"/>
      <c r="AT291" s="1126"/>
      <c r="AU291" s="413"/>
      <c r="AV291" s="1075"/>
    </row>
    <row r="292" spans="1:48" ht="15" customHeight="1" x14ac:dyDescent="0.2">
      <c r="A292" s="1076"/>
      <c r="B292" s="1380" t="str">
        <f t="shared" si="6"/>
        <v>Desk 76</v>
      </c>
      <c r="C292" s="1390" t="str">
        <f>IF('TB IMA general'!C161&lt;&gt;"",'TB IMA general'!C161,"")</f>
        <v/>
      </c>
      <c r="D292" s="1126"/>
      <c r="E292" s="1126"/>
      <c r="F292" s="1126"/>
      <c r="G292" s="1126"/>
      <c r="H292" s="1126"/>
      <c r="I292" s="1126"/>
      <c r="J292" s="1126"/>
      <c r="K292" s="1126"/>
      <c r="L292" s="1126"/>
      <c r="M292" s="1126"/>
      <c r="N292" s="1126"/>
      <c r="O292" s="1126"/>
      <c r="P292" s="1126"/>
      <c r="Q292" s="1126"/>
      <c r="R292" s="1126"/>
      <c r="S292" s="1126"/>
      <c r="T292" s="1126"/>
      <c r="U292" s="1126"/>
      <c r="V292" s="1126"/>
      <c r="W292" s="1126"/>
      <c r="X292" s="1126"/>
      <c r="Y292" s="1126"/>
      <c r="Z292" s="1126"/>
      <c r="AA292" s="1126"/>
      <c r="AB292" s="1126"/>
      <c r="AC292" s="1126"/>
      <c r="AD292" s="1126"/>
      <c r="AE292" s="1126"/>
      <c r="AF292" s="1126"/>
      <c r="AG292" s="1126"/>
      <c r="AH292" s="1126"/>
      <c r="AI292" s="1126"/>
      <c r="AJ292" s="1126"/>
      <c r="AK292" s="1126"/>
      <c r="AL292" s="1126"/>
      <c r="AM292" s="1126"/>
      <c r="AN292" s="1126"/>
      <c r="AO292" s="1126"/>
      <c r="AP292" s="1126"/>
      <c r="AQ292" s="1126"/>
      <c r="AR292" s="1126"/>
      <c r="AS292" s="1126"/>
      <c r="AT292" s="1126"/>
      <c r="AU292" s="413"/>
      <c r="AV292" s="1075"/>
    </row>
    <row r="293" spans="1:48" ht="15" customHeight="1" x14ac:dyDescent="0.2">
      <c r="A293" s="1076"/>
      <c r="B293" s="1380" t="str">
        <f t="shared" si="6"/>
        <v>Desk 77</v>
      </c>
      <c r="C293" s="1390" t="str">
        <f>IF('TB IMA general'!C162&lt;&gt;"",'TB IMA general'!C162,"")</f>
        <v/>
      </c>
      <c r="D293" s="1126"/>
      <c r="E293" s="1126"/>
      <c r="F293" s="1126"/>
      <c r="G293" s="1126"/>
      <c r="H293" s="1126"/>
      <c r="I293" s="1126"/>
      <c r="J293" s="1126"/>
      <c r="K293" s="1126"/>
      <c r="L293" s="1126"/>
      <c r="M293" s="1126"/>
      <c r="N293" s="1126"/>
      <c r="O293" s="1126"/>
      <c r="P293" s="1126"/>
      <c r="Q293" s="1126"/>
      <c r="R293" s="1126"/>
      <c r="S293" s="1126"/>
      <c r="T293" s="1126"/>
      <c r="U293" s="1126"/>
      <c r="V293" s="1126"/>
      <c r="W293" s="1126"/>
      <c r="X293" s="1126"/>
      <c r="Y293" s="1126"/>
      <c r="Z293" s="1126"/>
      <c r="AA293" s="1126"/>
      <c r="AB293" s="1126"/>
      <c r="AC293" s="1126"/>
      <c r="AD293" s="1126"/>
      <c r="AE293" s="1126"/>
      <c r="AF293" s="1126"/>
      <c r="AG293" s="1126"/>
      <c r="AH293" s="1126"/>
      <c r="AI293" s="1126"/>
      <c r="AJ293" s="1126"/>
      <c r="AK293" s="1126"/>
      <c r="AL293" s="1126"/>
      <c r="AM293" s="1126"/>
      <c r="AN293" s="1126"/>
      <c r="AO293" s="1126"/>
      <c r="AP293" s="1126"/>
      <c r="AQ293" s="1126"/>
      <c r="AR293" s="1126"/>
      <c r="AS293" s="1126"/>
      <c r="AT293" s="1126"/>
      <c r="AU293" s="413"/>
      <c r="AV293" s="1075"/>
    </row>
    <row r="294" spans="1:48" ht="15" customHeight="1" x14ac:dyDescent="0.2">
      <c r="A294" s="1076"/>
      <c r="B294" s="1380" t="str">
        <f t="shared" si="6"/>
        <v>Desk 78</v>
      </c>
      <c r="C294" s="1390" t="str">
        <f>IF('TB IMA general'!C163&lt;&gt;"",'TB IMA general'!C163,"")</f>
        <v/>
      </c>
      <c r="D294" s="1126"/>
      <c r="E294" s="1126"/>
      <c r="F294" s="1126"/>
      <c r="G294" s="1126"/>
      <c r="H294" s="1126"/>
      <c r="I294" s="1126"/>
      <c r="J294" s="1126"/>
      <c r="K294" s="1126"/>
      <c r="L294" s="1126"/>
      <c r="M294" s="1126"/>
      <c r="N294" s="1126"/>
      <c r="O294" s="1126"/>
      <c r="P294" s="1126"/>
      <c r="Q294" s="1126"/>
      <c r="R294" s="1126"/>
      <c r="S294" s="1126"/>
      <c r="T294" s="1126"/>
      <c r="U294" s="1126"/>
      <c r="V294" s="1126"/>
      <c r="W294" s="1126"/>
      <c r="X294" s="1126"/>
      <c r="Y294" s="1126"/>
      <c r="Z294" s="1126"/>
      <c r="AA294" s="1126"/>
      <c r="AB294" s="1126"/>
      <c r="AC294" s="1126"/>
      <c r="AD294" s="1126"/>
      <c r="AE294" s="1126"/>
      <c r="AF294" s="1126"/>
      <c r="AG294" s="1126"/>
      <c r="AH294" s="1126"/>
      <c r="AI294" s="1126"/>
      <c r="AJ294" s="1126"/>
      <c r="AK294" s="1126"/>
      <c r="AL294" s="1126"/>
      <c r="AM294" s="1126"/>
      <c r="AN294" s="1126"/>
      <c r="AO294" s="1126"/>
      <c r="AP294" s="1126"/>
      <c r="AQ294" s="1126"/>
      <c r="AR294" s="1126"/>
      <c r="AS294" s="1126"/>
      <c r="AT294" s="1126"/>
      <c r="AU294" s="413"/>
      <c r="AV294" s="1075"/>
    </row>
    <row r="295" spans="1:48" ht="15" customHeight="1" x14ac:dyDescent="0.2">
      <c r="A295" s="1076"/>
      <c r="B295" s="1380" t="str">
        <f t="shared" si="6"/>
        <v>Desk 79</v>
      </c>
      <c r="C295" s="1390" t="str">
        <f>IF('TB IMA general'!C164&lt;&gt;"",'TB IMA general'!C164,"")</f>
        <v/>
      </c>
      <c r="D295" s="1126"/>
      <c r="E295" s="1126"/>
      <c r="F295" s="1126"/>
      <c r="G295" s="1126"/>
      <c r="H295" s="1126"/>
      <c r="I295" s="1126"/>
      <c r="J295" s="1126"/>
      <c r="K295" s="1126"/>
      <c r="L295" s="1126"/>
      <c r="M295" s="1126"/>
      <c r="N295" s="1126"/>
      <c r="O295" s="1126"/>
      <c r="P295" s="1126"/>
      <c r="Q295" s="1126"/>
      <c r="R295" s="1126"/>
      <c r="S295" s="1126"/>
      <c r="T295" s="1126"/>
      <c r="U295" s="1126"/>
      <c r="V295" s="1126"/>
      <c r="W295" s="1126"/>
      <c r="X295" s="1126"/>
      <c r="Y295" s="1126"/>
      <c r="Z295" s="1126"/>
      <c r="AA295" s="1126"/>
      <c r="AB295" s="1126"/>
      <c r="AC295" s="1126"/>
      <c r="AD295" s="1126"/>
      <c r="AE295" s="1126"/>
      <c r="AF295" s="1126"/>
      <c r="AG295" s="1126"/>
      <c r="AH295" s="1126"/>
      <c r="AI295" s="1126"/>
      <c r="AJ295" s="1126"/>
      <c r="AK295" s="1126"/>
      <c r="AL295" s="1126"/>
      <c r="AM295" s="1126"/>
      <c r="AN295" s="1126"/>
      <c r="AO295" s="1126"/>
      <c r="AP295" s="1126"/>
      <c r="AQ295" s="1126"/>
      <c r="AR295" s="1126"/>
      <c r="AS295" s="1126"/>
      <c r="AT295" s="1126"/>
      <c r="AU295" s="413"/>
      <c r="AV295" s="1075"/>
    </row>
    <row r="296" spans="1:48" ht="15" customHeight="1" x14ac:dyDescent="0.2">
      <c r="A296" s="1076"/>
      <c r="B296" s="1380" t="str">
        <f t="shared" si="6"/>
        <v>Desk 80</v>
      </c>
      <c r="C296" s="1390" t="str">
        <f>IF('TB IMA general'!C165&lt;&gt;"",'TB IMA general'!C165,"")</f>
        <v/>
      </c>
      <c r="D296" s="1126"/>
      <c r="E296" s="1126"/>
      <c r="F296" s="1126"/>
      <c r="G296" s="1126"/>
      <c r="H296" s="1126"/>
      <c r="I296" s="1126"/>
      <c r="J296" s="1126"/>
      <c r="K296" s="1126"/>
      <c r="L296" s="1126"/>
      <c r="M296" s="1126"/>
      <c r="N296" s="1126"/>
      <c r="O296" s="1126"/>
      <c r="P296" s="1126"/>
      <c r="Q296" s="1126"/>
      <c r="R296" s="1126"/>
      <c r="S296" s="1126"/>
      <c r="T296" s="1126"/>
      <c r="U296" s="1126"/>
      <c r="V296" s="1126"/>
      <c r="W296" s="1126"/>
      <c r="X296" s="1126"/>
      <c r="Y296" s="1126"/>
      <c r="Z296" s="1126"/>
      <c r="AA296" s="1126"/>
      <c r="AB296" s="1126"/>
      <c r="AC296" s="1126"/>
      <c r="AD296" s="1126"/>
      <c r="AE296" s="1126"/>
      <c r="AF296" s="1126"/>
      <c r="AG296" s="1126"/>
      <c r="AH296" s="1126"/>
      <c r="AI296" s="1126"/>
      <c r="AJ296" s="1126"/>
      <c r="AK296" s="1126"/>
      <c r="AL296" s="1126"/>
      <c r="AM296" s="1126"/>
      <c r="AN296" s="1126"/>
      <c r="AO296" s="1126"/>
      <c r="AP296" s="1126"/>
      <c r="AQ296" s="1126"/>
      <c r="AR296" s="1126"/>
      <c r="AS296" s="1126"/>
      <c r="AT296" s="1126"/>
      <c r="AU296" s="413"/>
      <c r="AV296" s="1075"/>
    </row>
    <row r="297" spans="1:48" ht="15" customHeight="1" x14ac:dyDescent="0.2">
      <c r="A297" s="1076"/>
      <c r="B297" s="1380" t="str">
        <f t="shared" si="6"/>
        <v>Desk 81</v>
      </c>
      <c r="C297" s="1390" t="str">
        <f>IF('TB IMA general'!C166&lt;&gt;"",'TB IMA general'!C166,"")</f>
        <v/>
      </c>
      <c r="D297" s="1126"/>
      <c r="E297" s="1126"/>
      <c r="F297" s="1126"/>
      <c r="G297" s="1126"/>
      <c r="H297" s="1126"/>
      <c r="I297" s="1126"/>
      <c r="J297" s="1126"/>
      <c r="K297" s="1126"/>
      <c r="L297" s="1126"/>
      <c r="M297" s="1126"/>
      <c r="N297" s="1126"/>
      <c r="O297" s="1126"/>
      <c r="P297" s="1126"/>
      <c r="Q297" s="1126"/>
      <c r="R297" s="1126"/>
      <c r="S297" s="1126"/>
      <c r="T297" s="1126"/>
      <c r="U297" s="1126"/>
      <c r="V297" s="1126"/>
      <c r="W297" s="1126"/>
      <c r="X297" s="1126"/>
      <c r="Y297" s="1126"/>
      <c r="Z297" s="1126"/>
      <c r="AA297" s="1126"/>
      <c r="AB297" s="1126"/>
      <c r="AC297" s="1126"/>
      <c r="AD297" s="1126"/>
      <c r="AE297" s="1126"/>
      <c r="AF297" s="1126"/>
      <c r="AG297" s="1126"/>
      <c r="AH297" s="1126"/>
      <c r="AI297" s="1126"/>
      <c r="AJ297" s="1126"/>
      <c r="AK297" s="1126"/>
      <c r="AL297" s="1126"/>
      <c r="AM297" s="1126"/>
      <c r="AN297" s="1126"/>
      <c r="AO297" s="1126"/>
      <c r="AP297" s="1126"/>
      <c r="AQ297" s="1126"/>
      <c r="AR297" s="1126"/>
      <c r="AS297" s="1126"/>
      <c r="AT297" s="1126"/>
      <c r="AU297" s="413"/>
      <c r="AV297" s="1075"/>
    </row>
    <row r="298" spans="1:48" ht="15" customHeight="1" x14ac:dyDescent="0.2">
      <c r="A298" s="1076"/>
      <c r="B298" s="1380" t="str">
        <f t="shared" si="6"/>
        <v>Desk 82</v>
      </c>
      <c r="C298" s="1390" t="str">
        <f>IF('TB IMA general'!C167&lt;&gt;"",'TB IMA general'!C167,"")</f>
        <v/>
      </c>
      <c r="D298" s="1126"/>
      <c r="E298" s="1126"/>
      <c r="F298" s="1126"/>
      <c r="G298" s="1126"/>
      <c r="H298" s="1126"/>
      <c r="I298" s="1126"/>
      <c r="J298" s="1126"/>
      <c r="K298" s="1126"/>
      <c r="L298" s="1126"/>
      <c r="M298" s="1126"/>
      <c r="N298" s="1126"/>
      <c r="O298" s="1126"/>
      <c r="P298" s="1126"/>
      <c r="Q298" s="1126"/>
      <c r="R298" s="1126"/>
      <c r="S298" s="1126"/>
      <c r="T298" s="1126"/>
      <c r="U298" s="1126"/>
      <c r="V298" s="1126"/>
      <c r="W298" s="1126"/>
      <c r="X298" s="1126"/>
      <c r="Y298" s="1126"/>
      <c r="Z298" s="1126"/>
      <c r="AA298" s="1126"/>
      <c r="AB298" s="1126"/>
      <c r="AC298" s="1126"/>
      <c r="AD298" s="1126"/>
      <c r="AE298" s="1126"/>
      <c r="AF298" s="1126"/>
      <c r="AG298" s="1126"/>
      <c r="AH298" s="1126"/>
      <c r="AI298" s="1126"/>
      <c r="AJ298" s="1126"/>
      <c r="AK298" s="1126"/>
      <c r="AL298" s="1126"/>
      <c r="AM298" s="1126"/>
      <c r="AN298" s="1126"/>
      <c r="AO298" s="1126"/>
      <c r="AP298" s="1126"/>
      <c r="AQ298" s="1126"/>
      <c r="AR298" s="1126"/>
      <c r="AS298" s="1126"/>
      <c r="AT298" s="1126"/>
      <c r="AU298" s="413"/>
      <c r="AV298" s="1075"/>
    </row>
    <row r="299" spans="1:48" ht="15" customHeight="1" x14ac:dyDescent="0.2">
      <c r="A299" s="1076"/>
      <c r="B299" s="1380" t="str">
        <f t="shared" si="6"/>
        <v>Desk 83</v>
      </c>
      <c r="C299" s="1390" t="str">
        <f>IF('TB IMA general'!C168&lt;&gt;"",'TB IMA general'!C168,"")</f>
        <v/>
      </c>
      <c r="D299" s="1126"/>
      <c r="E299" s="1126"/>
      <c r="F299" s="1126"/>
      <c r="G299" s="1126"/>
      <c r="H299" s="1126"/>
      <c r="I299" s="1126"/>
      <c r="J299" s="1126"/>
      <c r="K299" s="1126"/>
      <c r="L299" s="1126"/>
      <c r="M299" s="1126"/>
      <c r="N299" s="1126"/>
      <c r="O299" s="1126"/>
      <c r="P299" s="1126"/>
      <c r="Q299" s="1126"/>
      <c r="R299" s="1126"/>
      <c r="S299" s="1126"/>
      <c r="T299" s="1126"/>
      <c r="U299" s="1126"/>
      <c r="V299" s="1126"/>
      <c r="W299" s="1126"/>
      <c r="X299" s="1126"/>
      <c r="Y299" s="1126"/>
      <c r="Z299" s="1126"/>
      <c r="AA299" s="1126"/>
      <c r="AB299" s="1126"/>
      <c r="AC299" s="1126"/>
      <c r="AD299" s="1126"/>
      <c r="AE299" s="1126"/>
      <c r="AF299" s="1126"/>
      <c r="AG299" s="1126"/>
      <c r="AH299" s="1126"/>
      <c r="AI299" s="1126"/>
      <c r="AJ299" s="1126"/>
      <c r="AK299" s="1126"/>
      <c r="AL299" s="1126"/>
      <c r="AM299" s="1126"/>
      <c r="AN299" s="1126"/>
      <c r="AO299" s="1126"/>
      <c r="AP299" s="1126"/>
      <c r="AQ299" s="1126"/>
      <c r="AR299" s="1126"/>
      <c r="AS299" s="1126"/>
      <c r="AT299" s="1126"/>
      <c r="AU299" s="413"/>
      <c r="AV299" s="1075"/>
    </row>
    <row r="300" spans="1:48" ht="15" customHeight="1" x14ac:dyDescent="0.2">
      <c r="A300" s="1076"/>
      <c r="B300" s="1380" t="str">
        <f t="shared" si="6"/>
        <v>Desk 84</v>
      </c>
      <c r="C300" s="1390" t="str">
        <f>IF('TB IMA general'!C169&lt;&gt;"",'TB IMA general'!C169,"")</f>
        <v/>
      </c>
      <c r="D300" s="1126"/>
      <c r="E300" s="1126"/>
      <c r="F300" s="1126"/>
      <c r="G300" s="1126"/>
      <c r="H300" s="1126"/>
      <c r="I300" s="1126"/>
      <c r="J300" s="1126"/>
      <c r="K300" s="1126"/>
      <c r="L300" s="1126"/>
      <c r="M300" s="1126"/>
      <c r="N300" s="1126"/>
      <c r="O300" s="1126"/>
      <c r="P300" s="1126"/>
      <c r="Q300" s="1126"/>
      <c r="R300" s="1126"/>
      <c r="S300" s="1126"/>
      <c r="T300" s="1126"/>
      <c r="U300" s="1126"/>
      <c r="V300" s="1126"/>
      <c r="W300" s="1126"/>
      <c r="X300" s="1126"/>
      <c r="Y300" s="1126"/>
      <c r="Z300" s="1126"/>
      <c r="AA300" s="1126"/>
      <c r="AB300" s="1126"/>
      <c r="AC300" s="1126"/>
      <c r="AD300" s="1126"/>
      <c r="AE300" s="1126"/>
      <c r="AF300" s="1126"/>
      <c r="AG300" s="1126"/>
      <c r="AH300" s="1126"/>
      <c r="AI300" s="1126"/>
      <c r="AJ300" s="1126"/>
      <c r="AK300" s="1126"/>
      <c r="AL300" s="1126"/>
      <c r="AM300" s="1126"/>
      <c r="AN300" s="1126"/>
      <c r="AO300" s="1126"/>
      <c r="AP300" s="1126"/>
      <c r="AQ300" s="1126"/>
      <c r="AR300" s="1126"/>
      <c r="AS300" s="1126"/>
      <c r="AT300" s="1126"/>
      <c r="AU300" s="413"/>
      <c r="AV300" s="1075"/>
    </row>
    <row r="301" spans="1:48" ht="15" customHeight="1" x14ac:dyDescent="0.2">
      <c r="A301" s="1076"/>
      <c r="B301" s="1380" t="str">
        <f t="shared" si="6"/>
        <v>Desk 85</v>
      </c>
      <c r="C301" s="1390" t="str">
        <f>IF('TB IMA general'!C170&lt;&gt;"",'TB IMA general'!C170,"")</f>
        <v/>
      </c>
      <c r="D301" s="1126"/>
      <c r="E301" s="1126"/>
      <c r="F301" s="1126"/>
      <c r="G301" s="1126"/>
      <c r="H301" s="1126"/>
      <c r="I301" s="1126"/>
      <c r="J301" s="1126"/>
      <c r="K301" s="1126"/>
      <c r="L301" s="1126"/>
      <c r="M301" s="1126"/>
      <c r="N301" s="1126"/>
      <c r="O301" s="1126"/>
      <c r="P301" s="1126"/>
      <c r="Q301" s="1126"/>
      <c r="R301" s="1126"/>
      <c r="S301" s="1126"/>
      <c r="T301" s="1126"/>
      <c r="U301" s="1126"/>
      <c r="V301" s="1126"/>
      <c r="W301" s="1126"/>
      <c r="X301" s="1126"/>
      <c r="Y301" s="1126"/>
      <c r="Z301" s="1126"/>
      <c r="AA301" s="1126"/>
      <c r="AB301" s="1126"/>
      <c r="AC301" s="1126"/>
      <c r="AD301" s="1126"/>
      <c r="AE301" s="1126"/>
      <c r="AF301" s="1126"/>
      <c r="AG301" s="1126"/>
      <c r="AH301" s="1126"/>
      <c r="AI301" s="1126"/>
      <c r="AJ301" s="1126"/>
      <c r="AK301" s="1126"/>
      <c r="AL301" s="1126"/>
      <c r="AM301" s="1126"/>
      <c r="AN301" s="1126"/>
      <c r="AO301" s="1126"/>
      <c r="AP301" s="1126"/>
      <c r="AQ301" s="1126"/>
      <c r="AR301" s="1126"/>
      <c r="AS301" s="1126"/>
      <c r="AT301" s="1126"/>
      <c r="AU301" s="413"/>
      <c r="AV301" s="1075"/>
    </row>
    <row r="302" spans="1:48" ht="15" customHeight="1" x14ac:dyDescent="0.2">
      <c r="A302" s="1076"/>
      <c r="B302" s="1380" t="str">
        <f t="shared" si="6"/>
        <v>Desk 86</v>
      </c>
      <c r="C302" s="1390" t="str">
        <f>IF('TB IMA general'!C171&lt;&gt;"",'TB IMA general'!C171,"")</f>
        <v/>
      </c>
      <c r="D302" s="1126"/>
      <c r="E302" s="1126"/>
      <c r="F302" s="1126"/>
      <c r="G302" s="1126"/>
      <c r="H302" s="1126"/>
      <c r="I302" s="1126"/>
      <c r="J302" s="1126"/>
      <c r="K302" s="1126"/>
      <c r="L302" s="1126"/>
      <c r="M302" s="1126"/>
      <c r="N302" s="1126"/>
      <c r="O302" s="1126"/>
      <c r="P302" s="1126"/>
      <c r="Q302" s="1126"/>
      <c r="R302" s="1126"/>
      <c r="S302" s="1126"/>
      <c r="T302" s="1126"/>
      <c r="U302" s="1126"/>
      <c r="V302" s="1126"/>
      <c r="W302" s="1126"/>
      <c r="X302" s="1126"/>
      <c r="Y302" s="1126"/>
      <c r="Z302" s="1126"/>
      <c r="AA302" s="1126"/>
      <c r="AB302" s="1126"/>
      <c r="AC302" s="1126"/>
      <c r="AD302" s="1126"/>
      <c r="AE302" s="1126"/>
      <c r="AF302" s="1126"/>
      <c r="AG302" s="1126"/>
      <c r="AH302" s="1126"/>
      <c r="AI302" s="1126"/>
      <c r="AJ302" s="1126"/>
      <c r="AK302" s="1126"/>
      <c r="AL302" s="1126"/>
      <c r="AM302" s="1126"/>
      <c r="AN302" s="1126"/>
      <c r="AO302" s="1126"/>
      <c r="AP302" s="1126"/>
      <c r="AQ302" s="1126"/>
      <c r="AR302" s="1126"/>
      <c r="AS302" s="1126"/>
      <c r="AT302" s="1126"/>
      <c r="AU302" s="413"/>
      <c r="AV302" s="1075"/>
    </row>
    <row r="303" spans="1:48" ht="15" customHeight="1" x14ac:dyDescent="0.2">
      <c r="A303" s="1076"/>
      <c r="B303" s="1380" t="str">
        <f t="shared" si="6"/>
        <v>Desk 87</v>
      </c>
      <c r="C303" s="1390" t="str">
        <f>IF('TB IMA general'!C172&lt;&gt;"",'TB IMA general'!C172,"")</f>
        <v/>
      </c>
      <c r="D303" s="1126"/>
      <c r="E303" s="1126"/>
      <c r="F303" s="1126"/>
      <c r="G303" s="1126"/>
      <c r="H303" s="1126"/>
      <c r="I303" s="1126"/>
      <c r="J303" s="1126"/>
      <c r="K303" s="1126"/>
      <c r="L303" s="1126"/>
      <c r="M303" s="1126"/>
      <c r="N303" s="1126"/>
      <c r="O303" s="1126"/>
      <c r="P303" s="1126"/>
      <c r="Q303" s="1126"/>
      <c r="R303" s="1126"/>
      <c r="S303" s="1126"/>
      <c r="T303" s="1126"/>
      <c r="U303" s="1126"/>
      <c r="V303" s="1126"/>
      <c r="W303" s="1126"/>
      <c r="X303" s="1126"/>
      <c r="Y303" s="1126"/>
      <c r="Z303" s="1126"/>
      <c r="AA303" s="1126"/>
      <c r="AB303" s="1126"/>
      <c r="AC303" s="1126"/>
      <c r="AD303" s="1126"/>
      <c r="AE303" s="1126"/>
      <c r="AF303" s="1126"/>
      <c r="AG303" s="1126"/>
      <c r="AH303" s="1126"/>
      <c r="AI303" s="1126"/>
      <c r="AJ303" s="1126"/>
      <c r="AK303" s="1126"/>
      <c r="AL303" s="1126"/>
      <c r="AM303" s="1126"/>
      <c r="AN303" s="1126"/>
      <c r="AO303" s="1126"/>
      <c r="AP303" s="1126"/>
      <c r="AQ303" s="1126"/>
      <c r="AR303" s="1126"/>
      <c r="AS303" s="1126"/>
      <c r="AT303" s="1126"/>
      <c r="AU303" s="413"/>
      <c r="AV303" s="1075"/>
    </row>
    <row r="304" spans="1:48" ht="15" customHeight="1" x14ac:dyDescent="0.2">
      <c r="A304" s="1076"/>
      <c r="B304" s="1380" t="str">
        <f t="shared" si="6"/>
        <v>Desk 88</v>
      </c>
      <c r="C304" s="1390" t="str">
        <f>IF('TB IMA general'!C173&lt;&gt;"",'TB IMA general'!C173,"")</f>
        <v/>
      </c>
      <c r="D304" s="1126"/>
      <c r="E304" s="1126"/>
      <c r="F304" s="1126"/>
      <c r="G304" s="1126"/>
      <c r="H304" s="1126"/>
      <c r="I304" s="1126"/>
      <c r="J304" s="1126"/>
      <c r="K304" s="1126"/>
      <c r="L304" s="1126"/>
      <c r="M304" s="1126"/>
      <c r="N304" s="1126"/>
      <c r="O304" s="1126"/>
      <c r="P304" s="1126"/>
      <c r="Q304" s="1126"/>
      <c r="R304" s="1126"/>
      <c r="S304" s="1126"/>
      <c r="T304" s="1126"/>
      <c r="U304" s="1126"/>
      <c r="V304" s="1126"/>
      <c r="W304" s="1126"/>
      <c r="X304" s="1126"/>
      <c r="Y304" s="1126"/>
      <c r="Z304" s="1126"/>
      <c r="AA304" s="1126"/>
      <c r="AB304" s="1126"/>
      <c r="AC304" s="1126"/>
      <c r="AD304" s="1126"/>
      <c r="AE304" s="1126"/>
      <c r="AF304" s="1126"/>
      <c r="AG304" s="1126"/>
      <c r="AH304" s="1126"/>
      <c r="AI304" s="1126"/>
      <c r="AJ304" s="1126"/>
      <c r="AK304" s="1126"/>
      <c r="AL304" s="1126"/>
      <c r="AM304" s="1126"/>
      <c r="AN304" s="1126"/>
      <c r="AO304" s="1126"/>
      <c r="AP304" s="1126"/>
      <c r="AQ304" s="1126"/>
      <c r="AR304" s="1126"/>
      <c r="AS304" s="1126"/>
      <c r="AT304" s="1126"/>
      <c r="AU304" s="413"/>
      <c r="AV304" s="1075"/>
    </row>
    <row r="305" spans="1:48" ht="15" customHeight="1" x14ac:dyDescent="0.2">
      <c r="A305" s="1076"/>
      <c r="B305" s="1380" t="str">
        <f t="shared" si="6"/>
        <v>Desk 89</v>
      </c>
      <c r="C305" s="1390" t="str">
        <f>IF('TB IMA general'!C174&lt;&gt;"",'TB IMA general'!C174,"")</f>
        <v/>
      </c>
      <c r="D305" s="1126"/>
      <c r="E305" s="1126"/>
      <c r="F305" s="1126"/>
      <c r="G305" s="1126"/>
      <c r="H305" s="1126"/>
      <c r="I305" s="1126"/>
      <c r="J305" s="1126"/>
      <c r="K305" s="1126"/>
      <c r="L305" s="1126"/>
      <c r="M305" s="1126"/>
      <c r="N305" s="1126"/>
      <c r="O305" s="1126"/>
      <c r="P305" s="1126"/>
      <c r="Q305" s="1126"/>
      <c r="R305" s="1126"/>
      <c r="S305" s="1126"/>
      <c r="T305" s="1126"/>
      <c r="U305" s="1126"/>
      <c r="V305" s="1126"/>
      <c r="W305" s="1126"/>
      <c r="X305" s="1126"/>
      <c r="Y305" s="1126"/>
      <c r="Z305" s="1126"/>
      <c r="AA305" s="1126"/>
      <c r="AB305" s="1126"/>
      <c r="AC305" s="1126"/>
      <c r="AD305" s="1126"/>
      <c r="AE305" s="1126"/>
      <c r="AF305" s="1126"/>
      <c r="AG305" s="1126"/>
      <c r="AH305" s="1126"/>
      <c r="AI305" s="1126"/>
      <c r="AJ305" s="1126"/>
      <c r="AK305" s="1126"/>
      <c r="AL305" s="1126"/>
      <c r="AM305" s="1126"/>
      <c r="AN305" s="1126"/>
      <c r="AO305" s="1126"/>
      <c r="AP305" s="1126"/>
      <c r="AQ305" s="1126"/>
      <c r="AR305" s="1126"/>
      <c r="AS305" s="1126"/>
      <c r="AT305" s="1126"/>
      <c r="AU305" s="413"/>
      <c r="AV305" s="1075"/>
    </row>
    <row r="306" spans="1:48" ht="15" customHeight="1" x14ac:dyDescent="0.2">
      <c r="A306" s="1076"/>
      <c r="B306" s="1380" t="str">
        <f t="shared" si="6"/>
        <v>Desk 90</v>
      </c>
      <c r="C306" s="1390" t="str">
        <f>IF('TB IMA general'!C175&lt;&gt;"",'TB IMA general'!C175,"")</f>
        <v/>
      </c>
      <c r="D306" s="1126"/>
      <c r="E306" s="1126"/>
      <c r="F306" s="1126"/>
      <c r="G306" s="1126"/>
      <c r="H306" s="1126"/>
      <c r="I306" s="1126"/>
      <c r="J306" s="1126"/>
      <c r="K306" s="1126"/>
      <c r="L306" s="1126"/>
      <c r="M306" s="1126"/>
      <c r="N306" s="1126"/>
      <c r="O306" s="1126"/>
      <c r="P306" s="1126"/>
      <c r="Q306" s="1126"/>
      <c r="R306" s="1126"/>
      <c r="S306" s="1126"/>
      <c r="T306" s="1126"/>
      <c r="U306" s="1126"/>
      <c r="V306" s="1126"/>
      <c r="W306" s="1126"/>
      <c r="X306" s="1126"/>
      <c r="Y306" s="1126"/>
      <c r="Z306" s="1126"/>
      <c r="AA306" s="1126"/>
      <c r="AB306" s="1126"/>
      <c r="AC306" s="1126"/>
      <c r="AD306" s="1126"/>
      <c r="AE306" s="1126"/>
      <c r="AF306" s="1126"/>
      <c r="AG306" s="1126"/>
      <c r="AH306" s="1126"/>
      <c r="AI306" s="1126"/>
      <c r="AJ306" s="1126"/>
      <c r="AK306" s="1126"/>
      <c r="AL306" s="1126"/>
      <c r="AM306" s="1126"/>
      <c r="AN306" s="1126"/>
      <c r="AO306" s="1126"/>
      <c r="AP306" s="1126"/>
      <c r="AQ306" s="1126"/>
      <c r="AR306" s="1126"/>
      <c r="AS306" s="1126"/>
      <c r="AT306" s="1126"/>
      <c r="AU306" s="413"/>
      <c r="AV306" s="1075"/>
    </row>
    <row r="307" spans="1:48" ht="15" customHeight="1" x14ac:dyDescent="0.2">
      <c r="A307" s="1076"/>
      <c r="B307" s="1380" t="str">
        <f t="shared" si="6"/>
        <v>Desk 91</v>
      </c>
      <c r="C307" s="1390" t="str">
        <f>IF('TB IMA general'!C176&lt;&gt;"",'TB IMA general'!C176,"")</f>
        <v/>
      </c>
      <c r="D307" s="1126"/>
      <c r="E307" s="1126"/>
      <c r="F307" s="1126"/>
      <c r="G307" s="1126"/>
      <c r="H307" s="1126"/>
      <c r="I307" s="1126"/>
      <c r="J307" s="1126"/>
      <c r="K307" s="1126"/>
      <c r="L307" s="1126"/>
      <c r="M307" s="1126"/>
      <c r="N307" s="1126"/>
      <c r="O307" s="1126"/>
      <c r="P307" s="1126"/>
      <c r="Q307" s="1126"/>
      <c r="R307" s="1126"/>
      <c r="S307" s="1126"/>
      <c r="T307" s="1126"/>
      <c r="U307" s="1126"/>
      <c r="V307" s="1126"/>
      <c r="W307" s="1126"/>
      <c r="X307" s="1126"/>
      <c r="Y307" s="1126"/>
      <c r="Z307" s="1126"/>
      <c r="AA307" s="1126"/>
      <c r="AB307" s="1126"/>
      <c r="AC307" s="1126"/>
      <c r="AD307" s="1126"/>
      <c r="AE307" s="1126"/>
      <c r="AF307" s="1126"/>
      <c r="AG307" s="1126"/>
      <c r="AH307" s="1126"/>
      <c r="AI307" s="1126"/>
      <c r="AJ307" s="1126"/>
      <c r="AK307" s="1126"/>
      <c r="AL307" s="1126"/>
      <c r="AM307" s="1126"/>
      <c r="AN307" s="1126"/>
      <c r="AO307" s="1126"/>
      <c r="AP307" s="1126"/>
      <c r="AQ307" s="1126"/>
      <c r="AR307" s="1126"/>
      <c r="AS307" s="1126"/>
      <c r="AT307" s="1126"/>
      <c r="AU307" s="413"/>
      <c r="AV307" s="1075"/>
    </row>
    <row r="308" spans="1:48" ht="15" customHeight="1" x14ac:dyDescent="0.2">
      <c r="A308" s="1076"/>
      <c r="B308" s="1380" t="str">
        <f t="shared" si="6"/>
        <v>Desk 92</v>
      </c>
      <c r="C308" s="1390" t="str">
        <f>IF('TB IMA general'!C177&lt;&gt;"",'TB IMA general'!C177,"")</f>
        <v/>
      </c>
      <c r="D308" s="1126"/>
      <c r="E308" s="1126"/>
      <c r="F308" s="1126"/>
      <c r="G308" s="1126"/>
      <c r="H308" s="1126"/>
      <c r="I308" s="1126"/>
      <c r="J308" s="1126"/>
      <c r="K308" s="1126"/>
      <c r="L308" s="1126"/>
      <c r="M308" s="1126"/>
      <c r="N308" s="1126"/>
      <c r="O308" s="1126"/>
      <c r="P308" s="1126"/>
      <c r="Q308" s="1126"/>
      <c r="R308" s="1126"/>
      <c r="S308" s="1126"/>
      <c r="T308" s="1126"/>
      <c r="U308" s="1126"/>
      <c r="V308" s="1126"/>
      <c r="W308" s="1126"/>
      <c r="X308" s="1126"/>
      <c r="Y308" s="1126"/>
      <c r="Z308" s="1126"/>
      <c r="AA308" s="1126"/>
      <c r="AB308" s="1126"/>
      <c r="AC308" s="1126"/>
      <c r="AD308" s="1126"/>
      <c r="AE308" s="1126"/>
      <c r="AF308" s="1126"/>
      <c r="AG308" s="1126"/>
      <c r="AH308" s="1126"/>
      <c r="AI308" s="1126"/>
      <c r="AJ308" s="1126"/>
      <c r="AK308" s="1126"/>
      <c r="AL308" s="1126"/>
      <c r="AM308" s="1126"/>
      <c r="AN308" s="1126"/>
      <c r="AO308" s="1126"/>
      <c r="AP308" s="1126"/>
      <c r="AQ308" s="1126"/>
      <c r="AR308" s="1126"/>
      <c r="AS308" s="1126"/>
      <c r="AT308" s="1126"/>
      <c r="AU308" s="413"/>
      <c r="AV308" s="1075"/>
    </row>
    <row r="309" spans="1:48" ht="15" customHeight="1" x14ac:dyDescent="0.2">
      <c r="A309" s="1076"/>
      <c r="B309" s="1380" t="str">
        <f t="shared" si="6"/>
        <v>Desk 93</v>
      </c>
      <c r="C309" s="1390" t="str">
        <f>IF('TB IMA general'!C178&lt;&gt;"",'TB IMA general'!C178,"")</f>
        <v/>
      </c>
      <c r="D309" s="1126"/>
      <c r="E309" s="1126"/>
      <c r="F309" s="1126"/>
      <c r="G309" s="1126"/>
      <c r="H309" s="1126"/>
      <c r="I309" s="1126"/>
      <c r="J309" s="1126"/>
      <c r="K309" s="1126"/>
      <c r="L309" s="1126"/>
      <c r="M309" s="1126"/>
      <c r="N309" s="1126"/>
      <c r="O309" s="1126"/>
      <c r="P309" s="1126"/>
      <c r="Q309" s="1126"/>
      <c r="R309" s="1126"/>
      <c r="S309" s="1126"/>
      <c r="T309" s="1126"/>
      <c r="U309" s="1126"/>
      <c r="V309" s="1126"/>
      <c r="W309" s="1126"/>
      <c r="X309" s="1126"/>
      <c r="Y309" s="1126"/>
      <c r="Z309" s="1126"/>
      <c r="AA309" s="1126"/>
      <c r="AB309" s="1126"/>
      <c r="AC309" s="1126"/>
      <c r="AD309" s="1126"/>
      <c r="AE309" s="1126"/>
      <c r="AF309" s="1126"/>
      <c r="AG309" s="1126"/>
      <c r="AH309" s="1126"/>
      <c r="AI309" s="1126"/>
      <c r="AJ309" s="1126"/>
      <c r="AK309" s="1126"/>
      <c r="AL309" s="1126"/>
      <c r="AM309" s="1126"/>
      <c r="AN309" s="1126"/>
      <c r="AO309" s="1126"/>
      <c r="AP309" s="1126"/>
      <c r="AQ309" s="1126"/>
      <c r="AR309" s="1126"/>
      <c r="AS309" s="1126"/>
      <c r="AT309" s="1126"/>
      <c r="AU309" s="413"/>
      <c r="AV309" s="1075"/>
    </row>
    <row r="310" spans="1:48" ht="15" customHeight="1" x14ac:dyDescent="0.2">
      <c r="A310" s="1076"/>
      <c r="B310" s="1380" t="str">
        <f t="shared" si="6"/>
        <v>Desk 94</v>
      </c>
      <c r="C310" s="1390" t="str">
        <f>IF('TB IMA general'!C179&lt;&gt;"",'TB IMA general'!C179,"")</f>
        <v/>
      </c>
      <c r="D310" s="1126"/>
      <c r="E310" s="1126"/>
      <c r="F310" s="1126"/>
      <c r="G310" s="1126"/>
      <c r="H310" s="1126"/>
      <c r="I310" s="1126"/>
      <c r="J310" s="1126"/>
      <c r="K310" s="1126"/>
      <c r="L310" s="1126"/>
      <c r="M310" s="1126"/>
      <c r="N310" s="1126"/>
      <c r="O310" s="1126"/>
      <c r="P310" s="1126"/>
      <c r="Q310" s="1126"/>
      <c r="R310" s="1126"/>
      <c r="S310" s="1126"/>
      <c r="T310" s="1126"/>
      <c r="U310" s="1126"/>
      <c r="V310" s="1126"/>
      <c r="W310" s="1126"/>
      <c r="X310" s="1126"/>
      <c r="Y310" s="1126"/>
      <c r="Z310" s="1126"/>
      <c r="AA310" s="1126"/>
      <c r="AB310" s="1126"/>
      <c r="AC310" s="1126"/>
      <c r="AD310" s="1126"/>
      <c r="AE310" s="1126"/>
      <c r="AF310" s="1126"/>
      <c r="AG310" s="1126"/>
      <c r="AH310" s="1126"/>
      <c r="AI310" s="1126"/>
      <c r="AJ310" s="1126"/>
      <c r="AK310" s="1126"/>
      <c r="AL310" s="1126"/>
      <c r="AM310" s="1126"/>
      <c r="AN310" s="1126"/>
      <c r="AO310" s="1126"/>
      <c r="AP310" s="1126"/>
      <c r="AQ310" s="1126"/>
      <c r="AR310" s="1126"/>
      <c r="AS310" s="1126"/>
      <c r="AT310" s="1126"/>
      <c r="AU310" s="413"/>
      <c r="AV310" s="1075"/>
    </row>
    <row r="311" spans="1:48" ht="15" customHeight="1" x14ac:dyDescent="0.2">
      <c r="A311" s="1076"/>
      <c r="B311" s="1380" t="str">
        <f t="shared" si="6"/>
        <v>Desk 95</v>
      </c>
      <c r="C311" s="1390" t="str">
        <f>IF('TB IMA general'!C180&lt;&gt;"",'TB IMA general'!C180,"")</f>
        <v/>
      </c>
      <c r="D311" s="1126"/>
      <c r="E311" s="1126"/>
      <c r="F311" s="1126"/>
      <c r="G311" s="1126"/>
      <c r="H311" s="1126"/>
      <c r="I311" s="1126"/>
      <c r="J311" s="1126"/>
      <c r="K311" s="1126"/>
      <c r="L311" s="1126"/>
      <c r="M311" s="1126"/>
      <c r="N311" s="1126"/>
      <c r="O311" s="1126"/>
      <c r="P311" s="1126"/>
      <c r="Q311" s="1126"/>
      <c r="R311" s="1126"/>
      <c r="S311" s="1126"/>
      <c r="T311" s="1126"/>
      <c r="U311" s="1126"/>
      <c r="V311" s="1126"/>
      <c r="W311" s="1126"/>
      <c r="X311" s="1126"/>
      <c r="Y311" s="1126"/>
      <c r="Z311" s="1126"/>
      <c r="AA311" s="1126"/>
      <c r="AB311" s="1126"/>
      <c r="AC311" s="1126"/>
      <c r="AD311" s="1126"/>
      <c r="AE311" s="1126"/>
      <c r="AF311" s="1126"/>
      <c r="AG311" s="1126"/>
      <c r="AH311" s="1126"/>
      <c r="AI311" s="1126"/>
      <c r="AJ311" s="1126"/>
      <c r="AK311" s="1126"/>
      <c r="AL311" s="1126"/>
      <c r="AM311" s="1126"/>
      <c r="AN311" s="1126"/>
      <c r="AO311" s="1126"/>
      <c r="AP311" s="1126"/>
      <c r="AQ311" s="1126"/>
      <c r="AR311" s="1126"/>
      <c r="AS311" s="1126"/>
      <c r="AT311" s="1126"/>
      <c r="AU311" s="413"/>
      <c r="AV311" s="1075"/>
    </row>
    <row r="312" spans="1:48" ht="15" customHeight="1" x14ac:dyDescent="0.2">
      <c r="A312" s="1076"/>
      <c r="B312" s="1380" t="str">
        <f t="shared" si="6"/>
        <v>Desk 96</v>
      </c>
      <c r="C312" s="1390" t="str">
        <f>IF('TB IMA general'!C181&lt;&gt;"",'TB IMA general'!C181,"")</f>
        <v/>
      </c>
      <c r="D312" s="1126"/>
      <c r="E312" s="1126"/>
      <c r="F312" s="1126"/>
      <c r="G312" s="1126"/>
      <c r="H312" s="1126"/>
      <c r="I312" s="1126"/>
      <c r="J312" s="1126"/>
      <c r="K312" s="1126"/>
      <c r="L312" s="1126"/>
      <c r="M312" s="1126"/>
      <c r="N312" s="1126"/>
      <c r="O312" s="1126"/>
      <c r="P312" s="1126"/>
      <c r="Q312" s="1126"/>
      <c r="R312" s="1126"/>
      <c r="S312" s="1126"/>
      <c r="T312" s="1126"/>
      <c r="U312" s="1126"/>
      <c r="V312" s="1126"/>
      <c r="W312" s="1126"/>
      <c r="X312" s="1126"/>
      <c r="Y312" s="1126"/>
      <c r="Z312" s="1126"/>
      <c r="AA312" s="1126"/>
      <c r="AB312" s="1126"/>
      <c r="AC312" s="1126"/>
      <c r="AD312" s="1126"/>
      <c r="AE312" s="1126"/>
      <c r="AF312" s="1126"/>
      <c r="AG312" s="1126"/>
      <c r="AH312" s="1126"/>
      <c r="AI312" s="1126"/>
      <c r="AJ312" s="1126"/>
      <c r="AK312" s="1126"/>
      <c r="AL312" s="1126"/>
      <c r="AM312" s="1126"/>
      <c r="AN312" s="1126"/>
      <c r="AO312" s="1126"/>
      <c r="AP312" s="1126"/>
      <c r="AQ312" s="1126"/>
      <c r="AR312" s="1126"/>
      <c r="AS312" s="1126"/>
      <c r="AT312" s="1126"/>
      <c r="AU312" s="413"/>
      <c r="AV312" s="1075"/>
    </row>
    <row r="313" spans="1:48" ht="15" customHeight="1" x14ac:dyDescent="0.2">
      <c r="A313" s="1076"/>
      <c r="B313" s="1380" t="str">
        <f t="shared" si="6"/>
        <v>Desk 97</v>
      </c>
      <c r="C313" s="1390" t="str">
        <f>IF('TB IMA general'!C182&lt;&gt;"",'TB IMA general'!C182,"")</f>
        <v/>
      </c>
      <c r="D313" s="1126"/>
      <c r="E313" s="1126"/>
      <c r="F313" s="1126"/>
      <c r="G313" s="1126"/>
      <c r="H313" s="1126"/>
      <c r="I313" s="1126"/>
      <c r="J313" s="1126"/>
      <c r="K313" s="1126"/>
      <c r="L313" s="1126"/>
      <c r="M313" s="1126"/>
      <c r="N313" s="1126"/>
      <c r="O313" s="1126"/>
      <c r="P313" s="1126"/>
      <c r="Q313" s="1126"/>
      <c r="R313" s="1126"/>
      <c r="S313" s="1126"/>
      <c r="T313" s="1126"/>
      <c r="U313" s="1126"/>
      <c r="V313" s="1126"/>
      <c r="W313" s="1126"/>
      <c r="X313" s="1126"/>
      <c r="Y313" s="1126"/>
      <c r="Z313" s="1126"/>
      <c r="AA313" s="1126"/>
      <c r="AB313" s="1126"/>
      <c r="AC313" s="1126"/>
      <c r="AD313" s="1126"/>
      <c r="AE313" s="1126"/>
      <c r="AF313" s="1126"/>
      <c r="AG313" s="1126"/>
      <c r="AH313" s="1126"/>
      <c r="AI313" s="1126"/>
      <c r="AJ313" s="1126"/>
      <c r="AK313" s="1126"/>
      <c r="AL313" s="1126"/>
      <c r="AM313" s="1126"/>
      <c r="AN313" s="1126"/>
      <c r="AO313" s="1126"/>
      <c r="AP313" s="1126"/>
      <c r="AQ313" s="1126"/>
      <c r="AR313" s="1126"/>
      <c r="AS313" s="1126"/>
      <c r="AT313" s="1126"/>
      <c r="AU313" s="413"/>
      <c r="AV313" s="1075"/>
    </row>
    <row r="314" spans="1:48" ht="15" customHeight="1" x14ac:dyDescent="0.2">
      <c r="A314" s="1076"/>
      <c r="B314" s="1380" t="str">
        <f t="shared" si="6"/>
        <v>Desk 98</v>
      </c>
      <c r="C314" s="1390" t="str">
        <f>IF('TB IMA general'!C183&lt;&gt;"",'TB IMA general'!C183,"")</f>
        <v/>
      </c>
      <c r="D314" s="1126"/>
      <c r="E314" s="1126"/>
      <c r="F314" s="1126"/>
      <c r="G314" s="1126"/>
      <c r="H314" s="1126"/>
      <c r="I314" s="1126"/>
      <c r="J314" s="1126"/>
      <c r="K314" s="1126"/>
      <c r="L314" s="1126"/>
      <c r="M314" s="1126"/>
      <c r="N314" s="1126"/>
      <c r="O314" s="1126"/>
      <c r="P314" s="1126"/>
      <c r="Q314" s="1126"/>
      <c r="R314" s="1126"/>
      <c r="S314" s="1126"/>
      <c r="T314" s="1126"/>
      <c r="U314" s="1126"/>
      <c r="V314" s="1126"/>
      <c r="W314" s="1126"/>
      <c r="X314" s="1126"/>
      <c r="Y314" s="1126"/>
      <c r="Z314" s="1126"/>
      <c r="AA314" s="1126"/>
      <c r="AB314" s="1126"/>
      <c r="AC314" s="1126"/>
      <c r="AD314" s="1126"/>
      <c r="AE314" s="1126"/>
      <c r="AF314" s="1126"/>
      <c r="AG314" s="1126"/>
      <c r="AH314" s="1126"/>
      <c r="AI314" s="1126"/>
      <c r="AJ314" s="1126"/>
      <c r="AK314" s="1126"/>
      <c r="AL314" s="1126"/>
      <c r="AM314" s="1126"/>
      <c r="AN314" s="1126"/>
      <c r="AO314" s="1126"/>
      <c r="AP314" s="1126"/>
      <c r="AQ314" s="1126"/>
      <c r="AR314" s="1126"/>
      <c r="AS314" s="1126"/>
      <c r="AT314" s="1126"/>
      <c r="AU314" s="413"/>
      <c r="AV314" s="1075"/>
    </row>
    <row r="315" spans="1:48" ht="15" customHeight="1" x14ac:dyDescent="0.2">
      <c r="A315" s="1076"/>
      <c r="B315" s="1380" t="str">
        <f t="shared" si="6"/>
        <v>Desk 99</v>
      </c>
      <c r="C315" s="1390" t="str">
        <f>IF('TB IMA general'!C184&lt;&gt;"",'TB IMA general'!C184,"")</f>
        <v/>
      </c>
      <c r="D315" s="1126"/>
      <c r="E315" s="1126"/>
      <c r="F315" s="1126"/>
      <c r="G315" s="1126"/>
      <c r="H315" s="1126"/>
      <c r="I315" s="1126"/>
      <c r="J315" s="1126"/>
      <c r="K315" s="1126"/>
      <c r="L315" s="1126"/>
      <c r="M315" s="1126"/>
      <c r="N315" s="1126"/>
      <c r="O315" s="1126"/>
      <c r="P315" s="1126"/>
      <c r="Q315" s="1126"/>
      <c r="R315" s="1126"/>
      <c r="S315" s="1126"/>
      <c r="T315" s="1126"/>
      <c r="U315" s="1126"/>
      <c r="V315" s="1126"/>
      <c r="W315" s="1126"/>
      <c r="X315" s="1126"/>
      <c r="Y315" s="1126"/>
      <c r="Z315" s="1126"/>
      <c r="AA315" s="1126"/>
      <c r="AB315" s="1126"/>
      <c r="AC315" s="1126"/>
      <c r="AD315" s="1126"/>
      <c r="AE315" s="1126"/>
      <c r="AF315" s="1126"/>
      <c r="AG315" s="1126"/>
      <c r="AH315" s="1126"/>
      <c r="AI315" s="1126"/>
      <c r="AJ315" s="1126"/>
      <c r="AK315" s="1126"/>
      <c r="AL315" s="1126"/>
      <c r="AM315" s="1126"/>
      <c r="AN315" s="1126"/>
      <c r="AO315" s="1126"/>
      <c r="AP315" s="1126"/>
      <c r="AQ315" s="1126"/>
      <c r="AR315" s="1126"/>
      <c r="AS315" s="1126"/>
      <c r="AT315" s="1126"/>
      <c r="AU315" s="413"/>
      <c r="AV315" s="1075"/>
    </row>
    <row r="316" spans="1:48" ht="15" customHeight="1" x14ac:dyDescent="0.2">
      <c r="A316" s="1076"/>
      <c r="B316" s="1380" t="str">
        <f t="shared" si="6"/>
        <v>Desk 100</v>
      </c>
      <c r="C316" s="1390" t="str">
        <f>IF('TB IMA general'!C185&lt;&gt;"",'TB IMA general'!C185,"")</f>
        <v/>
      </c>
      <c r="D316" s="1126"/>
      <c r="E316" s="1126"/>
      <c r="F316" s="1126"/>
      <c r="G316" s="1126"/>
      <c r="H316" s="1126"/>
      <c r="I316" s="1126"/>
      <c r="J316" s="1126"/>
      <c r="K316" s="1126"/>
      <c r="L316" s="1126"/>
      <c r="M316" s="1126"/>
      <c r="N316" s="1126"/>
      <c r="O316" s="1126"/>
      <c r="P316" s="1126"/>
      <c r="Q316" s="1126"/>
      <c r="R316" s="1126"/>
      <c r="S316" s="1126"/>
      <c r="T316" s="1126"/>
      <c r="U316" s="1126"/>
      <c r="V316" s="1126"/>
      <c r="W316" s="1126"/>
      <c r="X316" s="1126"/>
      <c r="Y316" s="1126"/>
      <c r="Z316" s="1126"/>
      <c r="AA316" s="1126"/>
      <c r="AB316" s="1126"/>
      <c r="AC316" s="1126"/>
      <c r="AD316" s="1126"/>
      <c r="AE316" s="1126"/>
      <c r="AF316" s="1126"/>
      <c r="AG316" s="1126"/>
      <c r="AH316" s="1126"/>
      <c r="AI316" s="1126"/>
      <c r="AJ316" s="1126"/>
      <c r="AK316" s="1126"/>
      <c r="AL316" s="1126"/>
      <c r="AM316" s="1126"/>
      <c r="AN316" s="1126"/>
      <c r="AO316" s="1126"/>
      <c r="AP316" s="1126"/>
      <c r="AQ316" s="1126"/>
      <c r="AR316" s="1126"/>
      <c r="AS316" s="1126"/>
      <c r="AT316" s="1126"/>
      <c r="AU316" s="413"/>
      <c r="AV316" s="1075"/>
    </row>
    <row r="317" spans="1:48" ht="15" customHeight="1" x14ac:dyDescent="0.2">
      <c r="A317" s="1076"/>
      <c r="B317" s="1324" t="s">
        <v>1171</v>
      </c>
      <c r="C317" s="1393" t="str">
        <f>IF('TB IMA general'!C398&lt;&gt;"",'TB IMA general'!C398,"")</f>
        <v/>
      </c>
      <c r="D317" s="1388"/>
      <c r="E317" s="1388"/>
      <c r="F317" s="1388"/>
      <c r="G317" s="1388"/>
      <c r="H317" s="1388"/>
      <c r="I317" s="1388"/>
      <c r="J317" s="1388"/>
      <c r="K317" s="1388"/>
      <c r="L317" s="1388"/>
      <c r="M317" s="1388"/>
      <c r="N317" s="1388"/>
      <c r="O317" s="1388"/>
      <c r="P317" s="1388"/>
      <c r="Q317" s="1388"/>
      <c r="R317" s="1388"/>
      <c r="S317" s="1388"/>
      <c r="T317" s="1388"/>
      <c r="U317" s="1388"/>
      <c r="V317" s="1388"/>
      <c r="W317" s="1388"/>
      <c r="X317" s="1388"/>
      <c r="Y317" s="1388"/>
      <c r="Z317" s="1388"/>
      <c r="AA317" s="1388"/>
      <c r="AB317" s="1388"/>
      <c r="AC317" s="1388"/>
      <c r="AD317" s="1388"/>
      <c r="AE317" s="1388"/>
      <c r="AF317" s="1388"/>
      <c r="AG317" s="1388"/>
      <c r="AH317" s="1388"/>
      <c r="AI317" s="1388"/>
      <c r="AJ317" s="1388"/>
      <c r="AK317" s="1388"/>
      <c r="AL317" s="1388"/>
      <c r="AM317" s="1388"/>
      <c r="AN317" s="1388"/>
      <c r="AO317" s="1388"/>
      <c r="AP317" s="1388"/>
      <c r="AQ317" s="1388"/>
      <c r="AR317" s="1388"/>
      <c r="AS317" s="1388"/>
      <c r="AT317" s="1388"/>
      <c r="AU317" s="1389"/>
      <c r="AV317" s="1075"/>
    </row>
    <row r="318" spans="1:48" ht="15" customHeight="1" x14ac:dyDescent="0.2">
      <c r="A318" s="1076"/>
      <c r="B318" s="1074"/>
      <c r="D318" s="1074"/>
      <c r="E318" s="1074"/>
      <c r="F318" s="1074"/>
      <c r="G318" s="1074"/>
      <c r="H318" s="1074"/>
      <c r="I318" s="1074"/>
      <c r="J318" s="1074"/>
      <c r="K318" s="1074"/>
      <c r="L318" s="1074"/>
      <c r="M318" s="1074"/>
      <c r="AV318" s="1075"/>
    </row>
    <row r="319" spans="1:48" ht="30" customHeight="1" x14ac:dyDescent="0.25">
      <c r="A319" s="1053" t="s">
        <v>1490</v>
      </c>
      <c r="B319" s="13"/>
      <c r="C319" s="14"/>
      <c r="D319" s="204"/>
      <c r="E319" s="204"/>
      <c r="F319" s="204"/>
      <c r="G319" s="204"/>
      <c r="H319" s="1074"/>
      <c r="I319" s="1074"/>
      <c r="J319" s="1074"/>
      <c r="K319" s="1074"/>
      <c r="L319" s="1074"/>
      <c r="M319" s="1074"/>
      <c r="AV319" s="1075"/>
    </row>
    <row r="320" spans="1:48" ht="15" customHeight="1" x14ac:dyDescent="0.2">
      <c r="A320" s="1076"/>
      <c r="B320" s="1074"/>
      <c r="D320" s="1074"/>
      <c r="E320" s="1074"/>
      <c r="F320" s="1074"/>
      <c r="G320" s="1074"/>
      <c r="H320" s="1074"/>
      <c r="I320" s="1074"/>
      <c r="J320" s="1074"/>
      <c r="K320" s="1074"/>
      <c r="L320" s="1074"/>
      <c r="M320" s="1074"/>
      <c r="AV320" s="1075"/>
    </row>
    <row r="321" spans="1:48" ht="15" customHeight="1" x14ac:dyDescent="0.2">
      <c r="A321" s="1076"/>
      <c r="B321" s="1044" t="str">
        <f>"Desk " &amp; (ROW(B321)-ROW(B$320))</f>
        <v>Desk 1</v>
      </c>
      <c r="C321" s="1383" t="str">
        <f>IF('TB IMA general'!C86&lt;&gt;"",'TB IMA general'!C86,"")</f>
        <v/>
      </c>
      <c r="D321" s="1043"/>
      <c r="E321" s="1043"/>
      <c r="F321" s="1043"/>
      <c r="G321" s="1043"/>
      <c r="H321" s="1043"/>
      <c r="I321" s="1043"/>
      <c r="J321" s="1043"/>
      <c r="K321" s="1043"/>
      <c r="L321" s="1043"/>
      <c r="M321" s="1043"/>
      <c r="N321" s="1043"/>
      <c r="O321" s="1043"/>
      <c r="P321" s="1043"/>
      <c r="Q321" s="1043"/>
      <c r="R321" s="1043"/>
      <c r="S321" s="1043"/>
      <c r="T321" s="1043"/>
      <c r="U321" s="1043"/>
      <c r="V321" s="1043"/>
      <c r="W321" s="1043"/>
      <c r="X321" s="1043"/>
      <c r="Y321" s="1043"/>
      <c r="Z321" s="1043"/>
      <c r="AA321" s="1043"/>
      <c r="AB321" s="1043"/>
      <c r="AC321" s="1043"/>
      <c r="AD321" s="1043"/>
      <c r="AE321" s="1043"/>
      <c r="AF321" s="1043"/>
      <c r="AG321" s="1043"/>
      <c r="AH321" s="1043"/>
      <c r="AI321" s="1043"/>
      <c r="AJ321" s="1043"/>
      <c r="AK321" s="1043"/>
      <c r="AL321" s="1043"/>
      <c r="AM321" s="1043"/>
      <c r="AN321" s="1043"/>
      <c r="AO321" s="1043"/>
      <c r="AP321" s="1043"/>
      <c r="AQ321" s="1043"/>
      <c r="AR321" s="1043"/>
      <c r="AS321" s="1043"/>
      <c r="AT321" s="1043"/>
      <c r="AU321" s="1066"/>
      <c r="AV321" s="1075"/>
    </row>
    <row r="322" spans="1:48" ht="15" customHeight="1" x14ac:dyDescent="0.2">
      <c r="A322" s="1076"/>
      <c r="B322" s="1045" t="str">
        <f t="shared" ref="B322:B385" si="7">"Desk " &amp; (ROW(B322)-ROW(B$320))</f>
        <v>Desk 2</v>
      </c>
      <c r="C322" s="1385" t="str">
        <f>IF('TB IMA general'!C87&lt;&gt;"",'TB IMA general'!C87,"")</f>
        <v/>
      </c>
      <c r="D322" s="1126"/>
      <c r="E322" s="1126"/>
      <c r="F322" s="1126"/>
      <c r="G322" s="1126"/>
      <c r="H322" s="1126"/>
      <c r="I322" s="1126"/>
      <c r="J322" s="1126"/>
      <c r="K322" s="1126"/>
      <c r="L322" s="1126"/>
      <c r="M322" s="1126"/>
      <c r="N322" s="1126"/>
      <c r="O322" s="1126"/>
      <c r="P322" s="1126"/>
      <c r="Q322" s="1126"/>
      <c r="R322" s="1126"/>
      <c r="S322" s="1126"/>
      <c r="T322" s="1126"/>
      <c r="U322" s="1126"/>
      <c r="V322" s="1126"/>
      <c r="W322" s="1126"/>
      <c r="X322" s="1126"/>
      <c r="Y322" s="1126"/>
      <c r="Z322" s="1126"/>
      <c r="AA322" s="1126"/>
      <c r="AB322" s="1126"/>
      <c r="AC322" s="1126"/>
      <c r="AD322" s="1126"/>
      <c r="AE322" s="1126"/>
      <c r="AF322" s="1126"/>
      <c r="AG322" s="1126"/>
      <c r="AH322" s="1126"/>
      <c r="AI322" s="1126"/>
      <c r="AJ322" s="1126"/>
      <c r="AK322" s="1126"/>
      <c r="AL322" s="1126"/>
      <c r="AM322" s="1126"/>
      <c r="AN322" s="1126"/>
      <c r="AO322" s="1126"/>
      <c r="AP322" s="1126"/>
      <c r="AQ322" s="1126"/>
      <c r="AR322" s="1126"/>
      <c r="AS322" s="1126"/>
      <c r="AT322" s="1126"/>
      <c r="AU322" s="413"/>
      <c r="AV322" s="1075"/>
    </row>
    <row r="323" spans="1:48" ht="15" customHeight="1" x14ac:dyDescent="0.2">
      <c r="A323" s="1076"/>
      <c r="B323" s="1045" t="str">
        <f t="shared" si="7"/>
        <v>Desk 3</v>
      </c>
      <c r="C323" s="1385" t="str">
        <f>IF('TB IMA general'!C88&lt;&gt;"",'TB IMA general'!C88,"")</f>
        <v/>
      </c>
      <c r="D323" s="1126"/>
      <c r="E323" s="1126"/>
      <c r="F323" s="1126"/>
      <c r="G323" s="1126"/>
      <c r="H323" s="1126"/>
      <c r="I323" s="1126"/>
      <c r="J323" s="1126"/>
      <c r="K323" s="1126"/>
      <c r="L323" s="1126"/>
      <c r="M323" s="1126"/>
      <c r="N323" s="1126"/>
      <c r="O323" s="1126"/>
      <c r="P323" s="1126"/>
      <c r="Q323" s="1126"/>
      <c r="R323" s="1126"/>
      <c r="S323" s="1126"/>
      <c r="T323" s="1126"/>
      <c r="U323" s="1126"/>
      <c r="V323" s="1126"/>
      <c r="W323" s="1126"/>
      <c r="X323" s="1126"/>
      <c r="Y323" s="1126"/>
      <c r="Z323" s="1126"/>
      <c r="AA323" s="1126"/>
      <c r="AB323" s="1126"/>
      <c r="AC323" s="1126"/>
      <c r="AD323" s="1126"/>
      <c r="AE323" s="1126"/>
      <c r="AF323" s="1126"/>
      <c r="AG323" s="1126"/>
      <c r="AH323" s="1126"/>
      <c r="AI323" s="1126"/>
      <c r="AJ323" s="1126"/>
      <c r="AK323" s="1126"/>
      <c r="AL323" s="1126"/>
      <c r="AM323" s="1126"/>
      <c r="AN323" s="1126"/>
      <c r="AO323" s="1126"/>
      <c r="AP323" s="1126"/>
      <c r="AQ323" s="1126"/>
      <c r="AR323" s="1126"/>
      <c r="AS323" s="1126"/>
      <c r="AT323" s="1126"/>
      <c r="AU323" s="413"/>
      <c r="AV323" s="1075"/>
    </row>
    <row r="324" spans="1:48" ht="15" customHeight="1" x14ac:dyDescent="0.2">
      <c r="A324" s="1076"/>
      <c r="B324" s="1045" t="str">
        <f t="shared" si="7"/>
        <v>Desk 4</v>
      </c>
      <c r="C324" s="1385" t="str">
        <f>IF('TB IMA general'!C89&lt;&gt;"",'TB IMA general'!C89,"")</f>
        <v/>
      </c>
      <c r="D324" s="1126"/>
      <c r="E324" s="1126"/>
      <c r="F324" s="1126"/>
      <c r="G324" s="1126"/>
      <c r="H324" s="1126"/>
      <c r="I324" s="1126"/>
      <c r="J324" s="1126"/>
      <c r="K324" s="1126"/>
      <c r="L324" s="1126"/>
      <c r="M324" s="1126"/>
      <c r="N324" s="1126"/>
      <c r="O324" s="1126"/>
      <c r="P324" s="1126"/>
      <c r="Q324" s="1126"/>
      <c r="R324" s="1126"/>
      <c r="S324" s="1126"/>
      <c r="T324" s="1126"/>
      <c r="U324" s="1126"/>
      <c r="V324" s="1126"/>
      <c r="W324" s="1126"/>
      <c r="X324" s="1126"/>
      <c r="Y324" s="1126"/>
      <c r="Z324" s="1126"/>
      <c r="AA324" s="1126"/>
      <c r="AB324" s="1126"/>
      <c r="AC324" s="1126"/>
      <c r="AD324" s="1126"/>
      <c r="AE324" s="1126"/>
      <c r="AF324" s="1126"/>
      <c r="AG324" s="1126"/>
      <c r="AH324" s="1126"/>
      <c r="AI324" s="1126"/>
      <c r="AJ324" s="1126"/>
      <c r="AK324" s="1126"/>
      <c r="AL324" s="1126"/>
      <c r="AM324" s="1126"/>
      <c r="AN324" s="1126"/>
      <c r="AO324" s="1126"/>
      <c r="AP324" s="1126"/>
      <c r="AQ324" s="1126"/>
      <c r="AR324" s="1126"/>
      <c r="AS324" s="1126"/>
      <c r="AT324" s="1126"/>
      <c r="AU324" s="413"/>
      <c r="AV324" s="1075"/>
    </row>
    <row r="325" spans="1:48" ht="15" customHeight="1" x14ac:dyDescent="0.2">
      <c r="A325" s="1076"/>
      <c r="B325" s="1045" t="str">
        <f t="shared" si="7"/>
        <v>Desk 5</v>
      </c>
      <c r="C325" s="1385" t="str">
        <f>IF('TB IMA general'!C90&lt;&gt;"",'TB IMA general'!C90,"")</f>
        <v/>
      </c>
      <c r="D325" s="1126"/>
      <c r="E325" s="1126"/>
      <c r="F325" s="1126"/>
      <c r="G325" s="1126"/>
      <c r="H325" s="1126"/>
      <c r="I325" s="1126"/>
      <c r="J325" s="1126"/>
      <c r="K325" s="1126"/>
      <c r="L325" s="1126"/>
      <c r="M325" s="1126"/>
      <c r="N325" s="1126"/>
      <c r="O325" s="1126"/>
      <c r="P325" s="1126"/>
      <c r="Q325" s="1126"/>
      <c r="R325" s="1126"/>
      <c r="S325" s="1126"/>
      <c r="T325" s="1126"/>
      <c r="U325" s="1126"/>
      <c r="V325" s="1126"/>
      <c r="W325" s="1126"/>
      <c r="X325" s="1126"/>
      <c r="Y325" s="1126"/>
      <c r="Z325" s="1126"/>
      <c r="AA325" s="1126"/>
      <c r="AB325" s="1126"/>
      <c r="AC325" s="1126"/>
      <c r="AD325" s="1126"/>
      <c r="AE325" s="1126"/>
      <c r="AF325" s="1126"/>
      <c r="AG325" s="1126"/>
      <c r="AH325" s="1126"/>
      <c r="AI325" s="1126"/>
      <c r="AJ325" s="1126"/>
      <c r="AK325" s="1126"/>
      <c r="AL325" s="1126"/>
      <c r="AM325" s="1126"/>
      <c r="AN325" s="1126"/>
      <c r="AO325" s="1126"/>
      <c r="AP325" s="1126"/>
      <c r="AQ325" s="1126"/>
      <c r="AR325" s="1126"/>
      <c r="AS325" s="1126"/>
      <c r="AT325" s="1126"/>
      <c r="AU325" s="413"/>
      <c r="AV325" s="1075"/>
    </row>
    <row r="326" spans="1:48" ht="15" customHeight="1" x14ac:dyDescent="0.2">
      <c r="A326" s="1076"/>
      <c r="B326" s="1045" t="str">
        <f t="shared" si="7"/>
        <v>Desk 6</v>
      </c>
      <c r="C326" s="1385" t="str">
        <f>IF('TB IMA general'!C91&lt;&gt;"",'TB IMA general'!C91,"")</f>
        <v/>
      </c>
      <c r="D326" s="1126"/>
      <c r="E326" s="1126"/>
      <c r="F326" s="1126"/>
      <c r="G326" s="1126"/>
      <c r="H326" s="1126"/>
      <c r="I326" s="1126"/>
      <c r="J326" s="1126"/>
      <c r="K326" s="1126"/>
      <c r="L326" s="1126"/>
      <c r="M326" s="1126"/>
      <c r="N326" s="1126"/>
      <c r="O326" s="1126"/>
      <c r="P326" s="1126"/>
      <c r="Q326" s="1126"/>
      <c r="R326" s="1126"/>
      <c r="S326" s="1126"/>
      <c r="T326" s="1126"/>
      <c r="U326" s="1126"/>
      <c r="V326" s="1126"/>
      <c r="W326" s="1126"/>
      <c r="X326" s="1126"/>
      <c r="Y326" s="1126"/>
      <c r="Z326" s="1126"/>
      <c r="AA326" s="1126"/>
      <c r="AB326" s="1126"/>
      <c r="AC326" s="1126"/>
      <c r="AD326" s="1126"/>
      <c r="AE326" s="1126"/>
      <c r="AF326" s="1126"/>
      <c r="AG326" s="1126"/>
      <c r="AH326" s="1126"/>
      <c r="AI326" s="1126"/>
      <c r="AJ326" s="1126"/>
      <c r="AK326" s="1126"/>
      <c r="AL326" s="1126"/>
      <c r="AM326" s="1126"/>
      <c r="AN326" s="1126"/>
      <c r="AO326" s="1126"/>
      <c r="AP326" s="1126"/>
      <c r="AQ326" s="1126"/>
      <c r="AR326" s="1126"/>
      <c r="AS326" s="1126"/>
      <c r="AT326" s="1126"/>
      <c r="AU326" s="413"/>
      <c r="AV326" s="1075"/>
    </row>
    <row r="327" spans="1:48" ht="15" customHeight="1" x14ac:dyDescent="0.2">
      <c r="A327" s="1076"/>
      <c r="B327" s="1045" t="str">
        <f t="shared" si="7"/>
        <v>Desk 7</v>
      </c>
      <c r="C327" s="1385" t="str">
        <f>IF('TB IMA general'!C92&lt;&gt;"",'TB IMA general'!C92,"")</f>
        <v/>
      </c>
      <c r="D327" s="1126"/>
      <c r="E327" s="1126"/>
      <c r="F327" s="1126"/>
      <c r="G327" s="1126"/>
      <c r="H327" s="1126"/>
      <c r="I327" s="1126"/>
      <c r="J327" s="1126"/>
      <c r="K327" s="1126"/>
      <c r="L327" s="1126"/>
      <c r="M327" s="1126"/>
      <c r="N327" s="1126"/>
      <c r="O327" s="1126"/>
      <c r="P327" s="1126"/>
      <c r="Q327" s="1126"/>
      <c r="R327" s="1126"/>
      <c r="S327" s="1126"/>
      <c r="T327" s="1126"/>
      <c r="U327" s="1126"/>
      <c r="V327" s="1126"/>
      <c r="W327" s="1126"/>
      <c r="X327" s="1126"/>
      <c r="Y327" s="1126"/>
      <c r="Z327" s="1126"/>
      <c r="AA327" s="1126"/>
      <c r="AB327" s="1126"/>
      <c r="AC327" s="1126"/>
      <c r="AD327" s="1126"/>
      <c r="AE327" s="1126"/>
      <c r="AF327" s="1126"/>
      <c r="AG327" s="1126"/>
      <c r="AH327" s="1126"/>
      <c r="AI327" s="1126"/>
      <c r="AJ327" s="1126"/>
      <c r="AK327" s="1126"/>
      <c r="AL327" s="1126"/>
      <c r="AM327" s="1126"/>
      <c r="AN327" s="1126"/>
      <c r="AO327" s="1126"/>
      <c r="AP327" s="1126"/>
      <c r="AQ327" s="1126"/>
      <c r="AR327" s="1126"/>
      <c r="AS327" s="1126"/>
      <c r="AT327" s="1126"/>
      <c r="AU327" s="413"/>
      <c r="AV327" s="1075"/>
    </row>
    <row r="328" spans="1:48" ht="15" customHeight="1" x14ac:dyDescent="0.2">
      <c r="A328" s="1076"/>
      <c r="B328" s="1045" t="str">
        <f t="shared" si="7"/>
        <v>Desk 8</v>
      </c>
      <c r="C328" s="1385" t="str">
        <f>IF('TB IMA general'!C93&lt;&gt;"",'TB IMA general'!C93,"")</f>
        <v/>
      </c>
      <c r="D328" s="1126"/>
      <c r="E328" s="1126"/>
      <c r="F328" s="1126"/>
      <c r="G328" s="1126"/>
      <c r="H328" s="1126"/>
      <c r="I328" s="1126"/>
      <c r="J328" s="1126"/>
      <c r="K328" s="1126"/>
      <c r="L328" s="1126"/>
      <c r="M328" s="1126"/>
      <c r="N328" s="1126"/>
      <c r="O328" s="1126"/>
      <c r="P328" s="1126"/>
      <c r="Q328" s="1126"/>
      <c r="R328" s="1126"/>
      <c r="S328" s="1126"/>
      <c r="T328" s="1126"/>
      <c r="U328" s="1126"/>
      <c r="V328" s="1126"/>
      <c r="W328" s="1126"/>
      <c r="X328" s="1126"/>
      <c r="Y328" s="1126"/>
      <c r="Z328" s="1126"/>
      <c r="AA328" s="1126"/>
      <c r="AB328" s="1126"/>
      <c r="AC328" s="1126"/>
      <c r="AD328" s="1126"/>
      <c r="AE328" s="1126"/>
      <c r="AF328" s="1126"/>
      <c r="AG328" s="1126"/>
      <c r="AH328" s="1126"/>
      <c r="AI328" s="1126"/>
      <c r="AJ328" s="1126"/>
      <c r="AK328" s="1126"/>
      <c r="AL328" s="1126"/>
      <c r="AM328" s="1126"/>
      <c r="AN328" s="1126"/>
      <c r="AO328" s="1126"/>
      <c r="AP328" s="1126"/>
      <c r="AQ328" s="1126"/>
      <c r="AR328" s="1126"/>
      <c r="AS328" s="1126"/>
      <c r="AT328" s="1126"/>
      <c r="AU328" s="413"/>
      <c r="AV328" s="1075"/>
    </row>
    <row r="329" spans="1:48" ht="15" customHeight="1" x14ac:dyDescent="0.2">
      <c r="A329" s="1076"/>
      <c r="B329" s="1045" t="str">
        <f t="shared" si="7"/>
        <v>Desk 9</v>
      </c>
      <c r="C329" s="1385" t="str">
        <f>IF('TB IMA general'!C94&lt;&gt;"",'TB IMA general'!C94,"")</f>
        <v/>
      </c>
      <c r="D329" s="1126"/>
      <c r="E329" s="1126"/>
      <c r="F329" s="1126"/>
      <c r="G329" s="1126"/>
      <c r="H329" s="1126"/>
      <c r="I329" s="1126"/>
      <c r="J329" s="1126"/>
      <c r="K329" s="1126"/>
      <c r="L329" s="1126"/>
      <c r="M329" s="1126"/>
      <c r="N329" s="1126"/>
      <c r="O329" s="1126"/>
      <c r="P329" s="1126"/>
      <c r="Q329" s="1126"/>
      <c r="R329" s="1126"/>
      <c r="S329" s="1126"/>
      <c r="T329" s="1126"/>
      <c r="U329" s="1126"/>
      <c r="V329" s="1126"/>
      <c r="W329" s="1126"/>
      <c r="X329" s="1126"/>
      <c r="Y329" s="1126"/>
      <c r="Z329" s="1126"/>
      <c r="AA329" s="1126"/>
      <c r="AB329" s="1126"/>
      <c r="AC329" s="1126"/>
      <c r="AD329" s="1126"/>
      <c r="AE329" s="1126"/>
      <c r="AF329" s="1126"/>
      <c r="AG329" s="1126"/>
      <c r="AH329" s="1126"/>
      <c r="AI329" s="1126"/>
      <c r="AJ329" s="1126"/>
      <c r="AK329" s="1126"/>
      <c r="AL329" s="1126"/>
      <c r="AM329" s="1126"/>
      <c r="AN329" s="1126"/>
      <c r="AO329" s="1126"/>
      <c r="AP329" s="1126"/>
      <c r="AQ329" s="1126"/>
      <c r="AR329" s="1126"/>
      <c r="AS329" s="1126"/>
      <c r="AT329" s="1126"/>
      <c r="AU329" s="413"/>
      <c r="AV329" s="1075"/>
    </row>
    <row r="330" spans="1:48" ht="15" customHeight="1" x14ac:dyDescent="0.2">
      <c r="A330" s="1076"/>
      <c r="B330" s="1045" t="str">
        <f t="shared" si="7"/>
        <v>Desk 10</v>
      </c>
      <c r="C330" s="1385" t="str">
        <f>IF('TB IMA general'!C95&lt;&gt;"",'TB IMA general'!C95,"")</f>
        <v/>
      </c>
      <c r="D330" s="1126"/>
      <c r="E330" s="1126"/>
      <c r="F330" s="1126"/>
      <c r="G330" s="1126"/>
      <c r="H330" s="1126"/>
      <c r="I330" s="1126"/>
      <c r="J330" s="1126"/>
      <c r="K330" s="1126"/>
      <c r="L330" s="1126"/>
      <c r="M330" s="1126"/>
      <c r="N330" s="1126"/>
      <c r="O330" s="1126"/>
      <c r="P330" s="1126"/>
      <c r="Q330" s="1126"/>
      <c r="R330" s="1126"/>
      <c r="S330" s="1126"/>
      <c r="T330" s="1126"/>
      <c r="U330" s="1126"/>
      <c r="V330" s="1126"/>
      <c r="W330" s="1126"/>
      <c r="X330" s="1126"/>
      <c r="Y330" s="1126"/>
      <c r="Z330" s="1126"/>
      <c r="AA330" s="1126"/>
      <c r="AB330" s="1126"/>
      <c r="AC330" s="1126"/>
      <c r="AD330" s="1126"/>
      <c r="AE330" s="1126"/>
      <c r="AF330" s="1126"/>
      <c r="AG330" s="1126"/>
      <c r="AH330" s="1126"/>
      <c r="AI330" s="1126"/>
      <c r="AJ330" s="1126"/>
      <c r="AK330" s="1126"/>
      <c r="AL330" s="1126"/>
      <c r="AM330" s="1126"/>
      <c r="AN330" s="1126"/>
      <c r="AO330" s="1126"/>
      <c r="AP330" s="1126"/>
      <c r="AQ330" s="1126"/>
      <c r="AR330" s="1126"/>
      <c r="AS330" s="1126"/>
      <c r="AT330" s="1126"/>
      <c r="AU330" s="413"/>
      <c r="AV330" s="1075"/>
    </row>
    <row r="331" spans="1:48" ht="15" customHeight="1" x14ac:dyDescent="0.2">
      <c r="A331" s="1076"/>
      <c r="B331" s="1045" t="str">
        <f t="shared" si="7"/>
        <v>Desk 11</v>
      </c>
      <c r="C331" s="1385" t="str">
        <f>IF('TB IMA general'!C96&lt;&gt;"",'TB IMA general'!C96,"")</f>
        <v/>
      </c>
      <c r="D331" s="1126"/>
      <c r="E331" s="1126"/>
      <c r="F331" s="1126"/>
      <c r="G331" s="1126"/>
      <c r="H331" s="1126"/>
      <c r="I331" s="1126"/>
      <c r="J331" s="1126"/>
      <c r="K331" s="1126"/>
      <c r="L331" s="1126"/>
      <c r="M331" s="1126"/>
      <c r="N331" s="1126"/>
      <c r="O331" s="1126"/>
      <c r="P331" s="1126"/>
      <c r="Q331" s="1126"/>
      <c r="R331" s="1126"/>
      <c r="S331" s="1126"/>
      <c r="T331" s="1126"/>
      <c r="U331" s="1126"/>
      <c r="V331" s="1126"/>
      <c r="W331" s="1126"/>
      <c r="X331" s="1126"/>
      <c r="Y331" s="1126"/>
      <c r="Z331" s="1126"/>
      <c r="AA331" s="1126"/>
      <c r="AB331" s="1126"/>
      <c r="AC331" s="1126"/>
      <c r="AD331" s="1126"/>
      <c r="AE331" s="1126"/>
      <c r="AF331" s="1126"/>
      <c r="AG331" s="1126"/>
      <c r="AH331" s="1126"/>
      <c r="AI331" s="1126"/>
      <c r="AJ331" s="1126"/>
      <c r="AK331" s="1126"/>
      <c r="AL331" s="1126"/>
      <c r="AM331" s="1126"/>
      <c r="AN331" s="1126"/>
      <c r="AO331" s="1126"/>
      <c r="AP331" s="1126"/>
      <c r="AQ331" s="1126"/>
      <c r="AR331" s="1126"/>
      <c r="AS331" s="1126"/>
      <c r="AT331" s="1126"/>
      <c r="AU331" s="413"/>
      <c r="AV331" s="1075"/>
    </row>
    <row r="332" spans="1:48" ht="15" customHeight="1" x14ac:dyDescent="0.2">
      <c r="A332" s="1076"/>
      <c r="B332" s="1045" t="str">
        <f t="shared" si="7"/>
        <v>Desk 12</v>
      </c>
      <c r="C332" s="1385" t="str">
        <f>IF('TB IMA general'!C97&lt;&gt;"",'TB IMA general'!C97,"")</f>
        <v/>
      </c>
      <c r="D332" s="1126"/>
      <c r="E332" s="1126"/>
      <c r="F332" s="1126"/>
      <c r="G332" s="1126"/>
      <c r="H332" s="1126"/>
      <c r="I332" s="1126"/>
      <c r="J332" s="1126"/>
      <c r="K332" s="1126"/>
      <c r="L332" s="1126"/>
      <c r="M332" s="1126"/>
      <c r="N332" s="1126"/>
      <c r="O332" s="1126"/>
      <c r="P332" s="1126"/>
      <c r="Q332" s="1126"/>
      <c r="R332" s="1126"/>
      <c r="S332" s="1126"/>
      <c r="T332" s="1126"/>
      <c r="U332" s="1126"/>
      <c r="V332" s="1126"/>
      <c r="W332" s="1126"/>
      <c r="X332" s="1126"/>
      <c r="Y332" s="1126"/>
      <c r="Z332" s="1126"/>
      <c r="AA332" s="1126"/>
      <c r="AB332" s="1126"/>
      <c r="AC332" s="1126"/>
      <c r="AD332" s="1126"/>
      <c r="AE332" s="1126"/>
      <c r="AF332" s="1126"/>
      <c r="AG332" s="1126"/>
      <c r="AH332" s="1126"/>
      <c r="AI332" s="1126"/>
      <c r="AJ332" s="1126"/>
      <c r="AK332" s="1126"/>
      <c r="AL332" s="1126"/>
      <c r="AM332" s="1126"/>
      <c r="AN332" s="1126"/>
      <c r="AO332" s="1126"/>
      <c r="AP332" s="1126"/>
      <c r="AQ332" s="1126"/>
      <c r="AR332" s="1126"/>
      <c r="AS332" s="1126"/>
      <c r="AT332" s="1126"/>
      <c r="AU332" s="413"/>
      <c r="AV332" s="1075"/>
    </row>
    <row r="333" spans="1:48" ht="15" customHeight="1" x14ac:dyDescent="0.2">
      <c r="A333" s="1076"/>
      <c r="B333" s="1045" t="str">
        <f t="shared" si="7"/>
        <v>Desk 13</v>
      </c>
      <c r="C333" s="1385" t="str">
        <f>IF('TB IMA general'!C98&lt;&gt;"",'TB IMA general'!C98,"")</f>
        <v/>
      </c>
      <c r="D333" s="1126"/>
      <c r="E333" s="1126"/>
      <c r="F333" s="1126"/>
      <c r="G333" s="1126"/>
      <c r="H333" s="1126"/>
      <c r="I333" s="1126"/>
      <c r="J333" s="1126"/>
      <c r="K333" s="1126"/>
      <c r="L333" s="1126"/>
      <c r="M333" s="1126"/>
      <c r="N333" s="1126"/>
      <c r="O333" s="1126"/>
      <c r="P333" s="1126"/>
      <c r="Q333" s="1126"/>
      <c r="R333" s="1126"/>
      <c r="S333" s="1126"/>
      <c r="T333" s="1126"/>
      <c r="U333" s="1126"/>
      <c r="V333" s="1126"/>
      <c r="W333" s="1126"/>
      <c r="X333" s="1126"/>
      <c r="Y333" s="1126"/>
      <c r="Z333" s="1126"/>
      <c r="AA333" s="1126"/>
      <c r="AB333" s="1126"/>
      <c r="AC333" s="1126"/>
      <c r="AD333" s="1126"/>
      <c r="AE333" s="1126"/>
      <c r="AF333" s="1126"/>
      <c r="AG333" s="1126"/>
      <c r="AH333" s="1126"/>
      <c r="AI333" s="1126"/>
      <c r="AJ333" s="1126"/>
      <c r="AK333" s="1126"/>
      <c r="AL333" s="1126"/>
      <c r="AM333" s="1126"/>
      <c r="AN333" s="1126"/>
      <c r="AO333" s="1126"/>
      <c r="AP333" s="1126"/>
      <c r="AQ333" s="1126"/>
      <c r="AR333" s="1126"/>
      <c r="AS333" s="1126"/>
      <c r="AT333" s="1126"/>
      <c r="AU333" s="413"/>
      <c r="AV333" s="1075"/>
    </row>
    <row r="334" spans="1:48" ht="15" customHeight="1" x14ac:dyDescent="0.2">
      <c r="A334" s="1076"/>
      <c r="B334" s="1045" t="str">
        <f t="shared" si="7"/>
        <v>Desk 14</v>
      </c>
      <c r="C334" s="1385" t="str">
        <f>IF('TB IMA general'!C99&lt;&gt;"",'TB IMA general'!C99,"")</f>
        <v/>
      </c>
      <c r="D334" s="1126"/>
      <c r="E334" s="1126"/>
      <c r="F334" s="1126"/>
      <c r="G334" s="1126"/>
      <c r="H334" s="1126"/>
      <c r="I334" s="1126"/>
      <c r="J334" s="1126"/>
      <c r="K334" s="1126"/>
      <c r="L334" s="1126"/>
      <c r="M334" s="1126"/>
      <c r="N334" s="1126"/>
      <c r="O334" s="1126"/>
      <c r="P334" s="1126"/>
      <c r="Q334" s="1126"/>
      <c r="R334" s="1126"/>
      <c r="S334" s="1126"/>
      <c r="T334" s="1126"/>
      <c r="U334" s="1126"/>
      <c r="V334" s="1126"/>
      <c r="W334" s="1126"/>
      <c r="X334" s="1126"/>
      <c r="Y334" s="1126"/>
      <c r="Z334" s="1126"/>
      <c r="AA334" s="1126"/>
      <c r="AB334" s="1126"/>
      <c r="AC334" s="1126"/>
      <c r="AD334" s="1126"/>
      <c r="AE334" s="1126"/>
      <c r="AF334" s="1126"/>
      <c r="AG334" s="1126"/>
      <c r="AH334" s="1126"/>
      <c r="AI334" s="1126"/>
      <c r="AJ334" s="1126"/>
      <c r="AK334" s="1126"/>
      <c r="AL334" s="1126"/>
      <c r="AM334" s="1126"/>
      <c r="AN334" s="1126"/>
      <c r="AO334" s="1126"/>
      <c r="AP334" s="1126"/>
      <c r="AQ334" s="1126"/>
      <c r="AR334" s="1126"/>
      <c r="AS334" s="1126"/>
      <c r="AT334" s="1126"/>
      <c r="AU334" s="413"/>
      <c r="AV334" s="1075"/>
    </row>
    <row r="335" spans="1:48" ht="15" customHeight="1" x14ac:dyDescent="0.2">
      <c r="A335" s="1076"/>
      <c r="B335" s="1045" t="str">
        <f t="shared" si="7"/>
        <v>Desk 15</v>
      </c>
      <c r="C335" s="1385" t="str">
        <f>IF('TB IMA general'!C100&lt;&gt;"",'TB IMA general'!C100,"")</f>
        <v/>
      </c>
      <c r="D335" s="1126"/>
      <c r="E335" s="1126"/>
      <c r="F335" s="1126"/>
      <c r="G335" s="1126"/>
      <c r="H335" s="1126"/>
      <c r="I335" s="1126"/>
      <c r="J335" s="1126"/>
      <c r="K335" s="1126"/>
      <c r="L335" s="1126"/>
      <c r="M335" s="1126"/>
      <c r="N335" s="1126"/>
      <c r="O335" s="1126"/>
      <c r="P335" s="1126"/>
      <c r="Q335" s="1126"/>
      <c r="R335" s="1126"/>
      <c r="S335" s="1126"/>
      <c r="T335" s="1126"/>
      <c r="U335" s="1126"/>
      <c r="V335" s="1126"/>
      <c r="W335" s="1126"/>
      <c r="X335" s="1126"/>
      <c r="Y335" s="1126"/>
      <c r="Z335" s="1126"/>
      <c r="AA335" s="1126"/>
      <c r="AB335" s="1126"/>
      <c r="AC335" s="1126"/>
      <c r="AD335" s="1126"/>
      <c r="AE335" s="1126"/>
      <c r="AF335" s="1126"/>
      <c r="AG335" s="1126"/>
      <c r="AH335" s="1126"/>
      <c r="AI335" s="1126"/>
      <c r="AJ335" s="1126"/>
      <c r="AK335" s="1126"/>
      <c r="AL335" s="1126"/>
      <c r="AM335" s="1126"/>
      <c r="AN335" s="1126"/>
      <c r="AO335" s="1126"/>
      <c r="AP335" s="1126"/>
      <c r="AQ335" s="1126"/>
      <c r="AR335" s="1126"/>
      <c r="AS335" s="1126"/>
      <c r="AT335" s="1126"/>
      <c r="AU335" s="413"/>
      <c r="AV335" s="1075"/>
    </row>
    <row r="336" spans="1:48" ht="15" customHeight="1" x14ac:dyDescent="0.2">
      <c r="A336" s="1076"/>
      <c r="B336" s="1045" t="str">
        <f t="shared" si="7"/>
        <v>Desk 16</v>
      </c>
      <c r="C336" s="1385" t="str">
        <f>IF('TB IMA general'!C101&lt;&gt;"",'TB IMA general'!C101,"")</f>
        <v/>
      </c>
      <c r="D336" s="1126"/>
      <c r="E336" s="1126"/>
      <c r="F336" s="1126"/>
      <c r="G336" s="1126"/>
      <c r="H336" s="1126"/>
      <c r="I336" s="1126"/>
      <c r="J336" s="1126"/>
      <c r="K336" s="1126"/>
      <c r="L336" s="1126"/>
      <c r="M336" s="1126"/>
      <c r="N336" s="1126"/>
      <c r="O336" s="1126"/>
      <c r="P336" s="1126"/>
      <c r="Q336" s="1126"/>
      <c r="R336" s="1126"/>
      <c r="S336" s="1126"/>
      <c r="T336" s="1126"/>
      <c r="U336" s="1126"/>
      <c r="V336" s="1126"/>
      <c r="W336" s="1126"/>
      <c r="X336" s="1126"/>
      <c r="Y336" s="1126"/>
      <c r="Z336" s="1126"/>
      <c r="AA336" s="1126"/>
      <c r="AB336" s="1126"/>
      <c r="AC336" s="1126"/>
      <c r="AD336" s="1126"/>
      <c r="AE336" s="1126"/>
      <c r="AF336" s="1126"/>
      <c r="AG336" s="1126"/>
      <c r="AH336" s="1126"/>
      <c r="AI336" s="1126"/>
      <c r="AJ336" s="1126"/>
      <c r="AK336" s="1126"/>
      <c r="AL336" s="1126"/>
      <c r="AM336" s="1126"/>
      <c r="AN336" s="1126"/>
      <c r="AO336" s="1126"/>
      <c r="AP336" s="1126"/>
      <c r="AQ336" s="1126"/>
      <c r="AR336" s="1126"/>
      <c r="AS336" s="1126"/>
      <c r="AT336" s="1126"/>
      <c r="AU336" s="413"/>
      <c r="AV336" s="1075"/>
    </row>
    <row r="337" spans="1:48" ht="15" customHeight="1" x14ac:dyDescent="0.2">
      <c r="A337" s="1076"/>
      <c r="B337" s="1045" t="str">
        <f t="shared" si="7"/>
        <v>Desk 17</v>
      </c>
      <c r="C337" s="1385" t="str">
        <f>IF('TB IMA general'!C102&lt;&gt;"",'TB IMA general'!C102,"")</f>
        <v/>
      </c>
      <c r="D337" s="1126"/>
      <c r="E337" s="1126"/>
      <c r="F337" s="1126"/>
      <c r="G337" s="1126"/>
      <c r="H337" s="1126"/>
      <c r="I337" s="1126"/>
      <c r="J337" s="1126"/>
      <c r="K337" s="1126"/>
      <c r="L337" s="1126"/>
      <c r="M337" s="1126"/>
      <c r="N337" s="1126"/>
      <c r="O337" s="1126"/>
      <c r="P337" s="1126"/>
      <c r="Q337" s="1126"/>
      <c r="R337" s="1126"/>
      <c r="S337" s="1126"/>
      <c r="T337" s="1126"/>
      <c r="U337" s="1126"/>
      <c r="V337" s="1126"/>
      <c r="W337" s="1126"/>
      <c r="X337" s="1126"/>
      <c r="Y337" s="1126"/>
      <c r="Z337" s="1126"/>
      <c r="AA337" s="1126"/>
      <c r="AB337" s="1126"/>
      <c r="AC337" s="1126"/>
      <c r="AD337" s="1126"/>
      <c r="AE337" s="1126"/>
      <c r="AF337" s="1126"/>
      <c r="AG337" s="1126"/>
      <c r="AH337" s="1126"/>
      <c r="AI337" s="1126"/>
      <c r="AJ337" s="1126"/>
      <c r="AK337" s="1126"/>
      <c r="AL337" s="1126"/>
      <c r="AM337" s="1126"/>
      <c r="AN337" s="1126"/>
      <c r="AO337" s="1126"/>
      <c r="AP337" s="1126"/>
      <c r="AQ337" s="1126"/>
      <c r="AR337" s="1126"/>
      <c r="AS337" s="1126"/>
      <c r="AT337" s="1126"/>
      <c r="AU337" s="413"/>
      <c r="AV337" s="1075"/>
    </row>
    <row r="338" spans="1:48" ht="15" customHeight="1" x14ac:dyDescent="0.2">
      <c r="A338" s="1076"/>
      <c r="B338" s="1045" t="str">
        <f t="shared" si="7"/>
        <v>Desk 18</v>
      </c>
      <c r="C338" s="1385" t="str">
        <f>IF('TB IMA general'!C103&lt;&gt;"",'TB IMA general'!C103,"")</f>
        <v/>
      </c>
      <c r="D338" s="1126"/>
      <c r="E338" s="1126"/>
      <c r="F338" s="1126"/>
      <c r="G338" s="1126"/>
      <c r="H338" s="1126"/>
      <c r="I338" s="1126"/>
      <c r="J338" s="1126"/>
      <c r="K338" s="1126"/>
      <c r="L338" s="1126"/>
      <c r="M338" s="1126"/>
      <c r="N338" s="1126"/>
      <c r="O338" s="1126"/>
      <c r="P338" s="1126"/>
      <c r="Q338" s="1126"/>
      <c r="R338" s="1126"/>
      <c r="S338" s="1126"/>
      <c r="T338" s="1126"/>
      <c r="U338" s="1126"/>
      <c r="V338" s="1126"/>
      <c r="W338" s="1126"/>
      <c r="X338" s="1126"/>
      <c r="Y338" s="1126"/>
      <c r="Z338" s="1126"/>
      <c r="AA338" s="1126"/>
      <c r="AB338" s="1126"/>
      <c r="AC338" s="1126"/>
      <c r="AD338" s="1126"/>
      <c r="AE338" s="1126"/>
      <c r="AF338" s="1126"/>
      <c r="AG338" s="1126"/>
      <c r="AH338" s="1126"/>
      <c r="AI338" s="1126"/>
      <c r="AJ338" s="1126"/>
      <c r="AK338" s="1126"/>
      <c r="AL338" s="1126"/>
      <c r="AM338" s="1126"/>
      <c r="AN338" s="1126"/>
      <c r="AO338" s="1126"/>
      <c r="AP338" s="1126"/>
      <c r="AQ338" s="1126"/>
      <c r="AR338" s="1126"/>
      <c r="AS338" s="1126"/>
      <c r="AT338" s="1126"/>
      <c r="AU338" s="413"/>
      <c r="AV338" s="1075"/>
    </row>
    <row r="339" spans="1:48" ht="15" customHeight="1" x14ac:dyDescent="0.2">
      <c r="A339" s="1076"/>
      <c r="B339" s="1045" t="str">
        <f t="shared" si="7"/>
        <v>Desk 19</v>
      </c>
      <c r="C339" s="1385" t="str">
        <f>IF('TB IMA general'!C104&lt;&gt;"",'TB IMA general'!C104,"")</f>
        <v/>
      </c>
      <c r="D339" s="1126"/>
      <c r="E339" s="1126"/>
      <c r="F339" s="1126"/>
      <c r="G339" s="1126"/>
      <c r="H339" s="1126"/>
      <c r="I339" s="1126"/>
      <c r="J339" s="1126"/>
      <c r="K339" s="1126"/>
      <c r="L339" s="1126"/>
      <c r="M339" s="1126"/>
      <c r="N339" s="1126"/>
      <c r="O339" s="1126"/>
      <c r="P339" s="1126"/>
      <c r="Q339" s="1126"/>
      <c r="R339" s="1126"/>
      <c r="S339" s="1126"/>
      <c r="T339" s="1126"/>
      <c r="U339" s="1126"/>
      <c r="V339" s="1126"/>
      <c r="W339" s="1126"/>
      <c r="X339" s="1126"/>
      <c r="Y339" s="1126"/>
      <c r="Z339" s="1126"/>
      <c r="AA339" s="1126"/>
      <c r="AB339" s="1126"/>
      <c r="AC339" s="1126"/>
      <c r="AD339" s="1126"/>
      <c r="AE339" s="1126"/>
      <c r="AF339" s="1126"/>
      <c r="AG339" s="1126"/>
      <c r="AH339" s="1126"/>
      <c r="AI339" s="1126"/>
      <c r="AJ339" s="1126"/>
      <c r="AK339" s="1126"/>
      <c r="AL339" s="1126"/>
      <c r="AM339" s="1126"/>
      <c r="AN339" s="1126"/>
      <c r="AO339" s="1126"/>
      <c r="AP339" s="1126"/>
      <c r="AQ339" s="1126"/>
      <c r="AR339" s="1126"/>
      <c r="AS339" s="1126"/>
      <c r="AT339" s="1126"/>
      <c r="AU339" s="413"/>
      <c r="AV339" s="1075"/>
    </row>
    <row r="340" spans="1:48" ht="15" customHeight="1" x14ac:dyDescent="0.2">
      <c r="A340" s="1076"/>
      <c r="B340" s="1045" t="str">
        <f t="shared" si="7"/>
        <v>Desk 20</v>
      </c>
      <c r="C340" s="1385" t="str">
        <f>IF('TB IMA general'!C105&lt;&gt;"",'TB IMA general'!C105,"")</f>
        <v/>
      </c>
      <c r="D340" s="1126"/>
      <c r="E340" s="1126"/>
      <c r="F340" s="1126"/>
      <c r="G340" s="1126"/>
      <c r="H340" s="1126"/>
      <c r="I340" s="1126"/>
      <c r="J340" s="1126"/>
      <c r="K340" s="1126"/>
      <c r="L340" s="1126"/>
      <c r="M340" s="1126"/>
      <c r="N340" s="1126"/>
      <c r="O340" s="1126"/>
      <c r="P340" s="1126"/>
      <c r="Q340" s="1126"/>
      <c r="R340" s="1126"/>
      <c r="S340" s="1126"/>
      <c r="T340" s="1126"/>
      <c r="U340" s="1126"/>
      <c r="V340" s="1126"/>
      <c r="W340" s="1126"/>
      <c r="X340" s="1126"/>
      <c r="Y340" s="1126"/>
      <c r="Z340" s="1126"/>
      <c r="AA340" s="1126"/>
      <c r="AB340" s="1126"/>
      <c r="AC340" s="1126"/>
      <c r="AD340" s="1126"/>
      <c r="AE340" s="1126"/>
      <c r="AF340" s="1126"/>
      <c r="AG340" s="1126"/>
      <c r="AH340" s="1126"/>
      <c r="AI340" s="1126"/>
      <c r="AJ340" s="1126"/>
      <c r="AK340" s="1126"/>
      <c r="AL340" s="1126"/>
      <c r="AM340" s="1126"/>
      <c r="AN340" s="1126"/>
      <c r="AO340" s="1126"/>
      <c r="AP340" s="1126"/>
      <c r="AQ340" s="1126"/>
      <c r="AR340" s="1126"/>
      <c r="AS340" s="1126"/>
      <c r="AT340" s="1126"/>
      <c r="AU340" s="413"/>
      <c r="AV340" s="1075"/>
    </row>
    <row r="341" spans="1:48" ht="15" customHeight="1" x14ac:dyDescent="0.2">
      <c r="A341" s="1076"/>
      <c r="B341" s="1045" t="str">
        <f t="shared" si="7"/>
        <v>Desk 21</v>
      </c>
      <c r="C341" s="1385" t="str">
        <f>IF('TB IMA general'!C106&lt;&gt;"",'TB IMA general'!C106,"")</f>
        <v/>
      </c>
      <c r="D341" s="1126"/>
      <c r="E341" s="1126"/>
      <c r="F341" s="1126"/>
      <c r="G341" s="1126"/>
      <c r="H341" s="1126"/>
      <c r="I341" s="1126"/>
      <c r="J341" s="1126"/>
      <c r="K341" s="1126"/>
      <c r="L341" s="1126"/>
      <c r="M341" s="1126"/>
      <c r="N341" s="1126"/>
      <c r="O341" s="1126"/>
      <c r="P341" s="1126"/>
      <c r="Q341" s="1126"/>
      <c r="R341" s="1126"/>
      <c r="S341" s="1126"/>
      <c r="T341" s="1126"/>
      <c r="U341" s="1126"/>
      <c r="V341" s="1126"/>
      <c r="W341" s="1126"/>
      <c r="X341" s="1126"/>
      <c r="Y341" s="1126"/>
      <c r="Z341" s="1126"/>
      <c r="AA341" s="1126"/>
      <c r="AB341" s="1126"/>
      <c r="AC341" s="1126"/>
      <c r="AD341" s="1126"/>
      <c r="AE341" s="1126"/>
      <c r="AF341" s="1126"/>
      <c r="AG341" s="1126"/>
      <c r="AH341" s="1126"/>
      <c r="AI341" s="1126"/>
      <c r="AJ341" s="1126"/>
      <c r="AK341" s="1126"/>
      <c r="AL341" s="1126"/>
      <c r="AM341" s="1126"/>
      <c r="AN341" s="1126"/>
      <c r="AO341" s="1126"/>
      <c r="AP341" s="1126"/>
      <c r="AQ341" s="1126"/>
      <c r="AR341" s="1126"/>
      <c r="AS341" s="1126"/>
      <c r="AT341" s="1126"/>
      <c r="AU341" s="413"/>
      <c r="AV341" s="1075"/>
    </row>
    <row r="342" spans="1:48" ht="15" customHeight="1" x14ac:dyDescent="0.2">
      <c r="A342" s="1076"/>
      <c r="B342" s="1045" t="str">
        <f t="shared" si="7"/>
        <v>Desk 22</v>
      </c>
      <c r="C342" s="1385" t="str">
        <f>IF('TB IMA general'!C107&lt;&gt;"",'TB IMA general'!C107,"")</f>
        <v/>
      </c>
      <c r="D342" s="1126"/>
      <c r="E342" s="1126"/>
      <c r="F342" s="1126"/>
      <c r="G342" s="1126"/>
      <c r="H342" s="1126"/>
      <c r="I342" s="1126"/>
      <c r="J342" s="1126"/>
      <c r="K342" s="1126"/>
      <c r="L342" s="1126"/>
      <c r="M342" s="1126"/>
      <c r="N342" s="1126"/>
      <c r="O342" s="1126"/>
      <c r="P342" s="1126"/>
      <c r="Q342" s="1126"/>
      <c r="R342" s="1126"/>
      <c r="S342" s="1126"/>
      <c r="T342" s="1126"/>
      <c r="U342" s="1126"/>
      <c r="V342" s="1126"/>
      <c r="W342" s="1126"/>
      <c r="X342" s="1126"/>
      <c r="Y342" s="1126"/>
      <c r="Z342" s="1126"/>
      <c r="AA342" s="1126"/>
      <c r="AB342" s="1126"/>
      <c r="AC342" s="1126"/>
      <c r="AD342" s="1126"/>
      <c r="AE342" s="1126"/>
      <c r="AF342" s="1126"/>
      <c r="AG342" s="1126"/>
      <c r="AH342" s="1126"/>
      <c r="AI342" s="1126"/>
      <c r="AJ342" s="1126"/>
      <c r="AK342" s="1126"/>
      <c r="AL342" s="1126"/>
      <c r="AM342" s="1126"/>
      <c r="AN342" s="1126"/>
      <c r="AO342" s="1126"/>
      <c r="AP342" s="1126"/>
      <c r="AQ342" s="1126"/>
      <c r="AR342" s="1126"/>
      <c r="AS342" s="1126"/>
      <c r="AT342" s="1126"/>
      <c r="AU342" s="413"/>
      <c r="AV342" s="1075"/>
    </row>
    <row r="343" spans="1:48" ht="15" customHeight="1" x14ac:dyDescent="0.2">
      <c r="A343" s="1076"/>
      <c r="B343" s="1045" t="str">
        <f t="shared" si="7"/>
        <v>Desk 23</v>
      </c>
      <c r="C343" s="1385" t="str">
        <f>IF('TB IMA general'!C108&lt;&gt;"",'TB IMA general'!C108,"")</f>
        <v/>
      </c>
      <c r="D343" s="1126"/>
      <c r="E343" s="1126"/>
      <c r="F343" s="1126"/>
      <c r="G343" s="1126"/>
      <c r="H343" s="1126"/>
      <c r="I343" s="1126"/>
      <c r="J343" s="1126"/>
      <c r="K343" s="1126"/>
      <c r="L343" s="1126"/>
      <c r="M343" s="1126"/>
      <c r="N343" s="1126"/>
      <c r="O343" s="1126"/>
      <c r="P343" s="1126"/>
      <c r="Q343" s="1126"/>
      <c r="R343" s="1126"/>
      <c r="S343" s="1126"/>
      <c r="T343" s="1126"/>
      <c r="U343" s="1126"/>
      <c r="V343" s="1126"/>
      <c r="W343" s="1126"/>
      <c r="X343" s="1126"/>
      <c r="Y343" s="1126"/>
      <c r="Z343" s="1126"/>
      <c r="AA343" s="1126"/>
      <c r="AB343" s="1126"/>
      <c r="AC343" s="1126"/>
      <c r="AD343" s="1126"/>
      <c r="AE343" s="1126"/>
      <c r="AF343" s="1126"/>
      <c r="AG343" s="1126"/>
      <c r="AH343" s="1126"/>
      <c r="AI343" s="1126"/>
      <c r="AJ343" s="1126"/>
      <c r="AK343" s="1126"/>
      <c r="AL343" s="1126"/>
      <c r="AM343" s="1126"/>
      <c r="AN343" s="1126"/>
      <c r="AO343" s="1126"/>
      <c r="AP343" s="1126"/>
      <c r="AQ343" s="1126"/>
      <c r="AR343" s="1126"/>
      <c r="AS343" s="1126"/>
      <c r="AT343" s="1126"/>
      <c r="AU343" s="413"/>
      <c r="AV343" s="1075"/>
    </row>
    <row r="344" spans="1:48" ht="15" customHeight="1" x14ac:dyDescent="0.2">
      <c r="A344" s="1076"/>
      <c r="B344" s="1045" t="str">
        <f t="shared" si="7"/>
        <v>Desk 24</v>
      </c>
      <c r="C344" s="1385" t="str">
        <f>IF('TB IMA general'!C109&lt;&gt;"",'TB IMA general'!C109,"")</f>
        <v/>
      </c>
      <c r="D344" s="1126"/>
      <c r="E344" s="1126"/>
      <c r="F344" s="1126"/>
      <c r="G344" s="1126"/>
      <c r="H344" s="1126"/>
      <c r="I344" s="1126"/>
      <c r="J344" s="1126"/>
      <c r="K344" s="1126"/>
      <c r="L344" s="1126"/>
      <c r="M344" s="1126"/>
      <c r="N344" s="1126"/>
      <c r="O344" s="1126"/>
      <c r="P344" s="1126"/>
      <c r="Q344" s="1126"/>
      <c r="R344" s="1126"/>
      <c r="S344" s="1126"/>
      <c r="T344" s="1126"/>
      <c r="U344" s="1126"/>
      <c r="V344" s="1126"/>
      <c r="W344" s="1126"/>
      <c r="X344" s="1126"/>
      <c r="Y344" s="1126"/>
      <c r="Z344" s="1126"/>
      <c r="AA344" s="1126"/>
      <c r="AB344" s="1126"/>
      <c r="AC344" s="1126"/>
      <c r="AD344" s="1126"/>
      <c r="AE344" s="1126"/>
      <c r="AF344" s="1126"/>
      <c r="AG344" s="1126"/>
      <c r="AH344" s="1126"/>
      <c r="AI344" s="1126"/>
      <c r="AJ344" s="1126"/>
      <c r="AK344" s="1126"/>
      <c r="AL344" s="1126"/>
      <c r="AM344" s="1126"/>
      <c r="AN344" s="1126"/>
      <c r="AO344" s="1126"/>
      <c r="AP344" s="1126"/>
      <c r="AQ344" s="1126"/>
      <c r="AR344" s="1126"/>
      <c r="AS344" s="1126"/>
      <c r="AT344" s="1126"/>
      <c r="AU344" s="413"/>
      <c r="AV344" s="1075"/>
    </row>
    <row r="345" spans="1:48" ht="15" customHeight="1" x14ac:dyDescent="0.2">
      <c r="A345" s="1076"/>
      <c r="B345" s="1045" t="str">
        <f t="shared" si="7"/>
        <v>Desk 25</v>
      </c>
      <c r="C345" s="1385" t="str">
        <f>IF('TB IMA general'!C110&lt;&gt;"",'TB IMA general'!C110,"")</f>
        <v/>
      </c>
      <c r="D345" s="1126"/>
      <c r="E345" s="1126"/>
      <c r="F345" s="1126"/>
      <c r="G345" s="1126"/>
      <c r="H345" s="1126"/>
      <c r="I345" s="1126"/>
      <c r="J345" s="1126"/>
      <c r="K345" s="1126"/>
      <c r="L345" s="1126"/>
      <c r="M345" s="1126"/>
      <c r="N345" s="1126"/>
      <c r="O345" s="1126"/>
      <c r="P345" s="1126"/>
      <c r="Q345" s="1126"/>
      <c r="R345" s="1126"/>
      <c r="S345" s="1126"/>
      <c r="T345" s="1126"/>
      <c r="U345" s="1126"/>
      <c r="V345" s="1126"/>
      <c r="W345" s="1126"/>
      <c r="X345" s="1126"/>
      <c r="Y345" s="1126"/>
      <c r="Z345" s="1126"/>
      <c r="AA345" s="1126"/>
      <c r="AB345" s="1126"/>
      <c r="AC345" s="1126"/>
      <c r="AD345" s="1126"/>
      <c r="AE345" s="1126"/>
      <c r="AF345" s="1126"/>
      <c r="AG345" s="1126"/>
      <c r="AH345" s="1126"/>
      <c r="AI345" s="1126"/>
      <c r="AJ345" s="1126"/>
      <c r="AK345" s="1126"/>
      <c r="AL345" s="1126"/>
      <c r="AM345" s="1126"/>
      <c r="AN345" s="1126"/>
      <c r="AO345" s="1126"/>
      <c r="AP345" s="1126"/>
      <c r="AQ345" s="1126"/>
      <c r="AR345" s="1126"/>
      <c r="AS345" s="1126"/>
      <c r="AT345" s="1126"/>
      <c r="AU345" s="413"/>
      <c r="AV345" s="1075"/>
    </row>
    <row r="346" spans="1:48" ht="15" customHeight="1" x14ac:dyDescent="0.2">
      <c r="A346" s="1076"/>
      <c r="B346" s="1045" t="str">
        <f t="shared" si="7"/>
        <v>Desk 26</v>
      </c>
      <c r="C346" s="1385" t="str">
        <f>IF('TB IMA general'!C111&lt;&gt;"",'TB IMA general'!C111,"")</f>
        <v/>
      </c>
      <c r="D346" s="1126"/>
      <c r="E346" s="1126"/>
      <c r="F346" s="1126"/>
      <c r="G346" s="1126"/>
      <c r="H346" s="1126"/>
      <c r="I346" s="1126"/>
      <c r="J346" s="1126"/>
      <c r="K346" s="1126"/>
      <c r="L346" s="1126"/>
      <c r="M346" s="1126"/>
      <c r="N346" s="1126"/>
      <c r="O346" s="1126"/>
      <c r="P346" s="1126"/>
      <c r="Q346" s="1126"/>
      <c r="R346" s="1126"/>
      <c r="S346" s="1126"/>
      <c r="T346" s="1126"/>
      <c r="U346" s="1126"/>
      <c r="V346" s="1126"/>
      <c r="W346" s="1126"/>
      <c r="X346" s="1126"/>
      <c r="Y346" s="1126"/>
      <c r="Z346" s="1126"/>
      <c r="AA346" s="1126"/>
      <c r="AB346" s="1126"/>
      <c r="AC346" s="1126"/>
      <c r="AD346" s="1126"/>
      <c r="AE346" s="1126"/>
      <c r="AF346" s="1126"/>
      <c r="AG346" s="1126"/>
      <c r="AH346" s="1126"/>
      <c r="AI346" s="1126"/>
      <c r="AJ346" s="1126"/>
      <c r="AK346" s="1126"/>
      <c r="AL346" s="1126"/>
      <c r="AM346" s="1126"/>
      <c r="AN346" s="1126"/>
      <c r="AO346" s="1126"/>
      <c r="AP346" s="1126"/>
      <c r="AQ346" s="1126"/>
      <c r="AR346" s="1126"/>
      <c r="AS346" s="1126"/>
      <c r="AT346" s="1126"/>
      <c r="AU346" s="413"/>
      <c r="AV346" s="1075"/>
    </row>
    <row r="347" spans="1:48" ht="15" customHeight="1" x14ac:dyDescent="0.2">
      <c r="A347" s="1076"/>
      <c r="B347" s="1045" t="str">
        <f t="shared" si="7"/>
        <v>Desk 27</v>
      </c>
      <c r="C347" s="1385" t="str">
        <f>IF('TB IMA general'!C112&lt;&gt;"",'TB IMA general'!C112,"")</f>
        <v/>
      </c>
      <c r="D347" s="1126"/>
      <c r="E347" s="1126"/>
      <c r="F347" s="1126"/>
      <c r="G347" s="1126"/>
      <c r="H347" s="1126"/>
      <c r="I347" s="1126"/>
      <c r="J347" s="1126"/>
      <c r="K347" s="1126"/>
      <c r="L347" s="1126"/>
      <c r="M347" s="1126"/>
      <c r="N347" s="1126"/>
      <c r="O347" s="1126"/>
      <c r="P347" s="1126"/>
      <c r="Q347" s="1126"/>
      <c r="R347" s="1126"/>
      <c r="S347" s="1126"/>
      <c r="T347" s="1126"/>
      <c r="U347" s="1126"/>
      <c r="V347" s="1126"/>
      <c r="W347" s="1126"/>
      <c r="X347" s="1126"/>
      <c r="Y347" s="1126"/>
      <c r="Z347" s="1126"/>
      <c r="AA347" s="1126"/>
      <c r="AB347" s="1126"/>
      <c r="AC347" s="1126"/>
      <c r="AD347" s="1126"/>
      <c r="AE347" s="1126"/>
      <c r="AF347" s="1126"/>
      <c r="AG347" s="1126"/>
      <c r="AH347" s="1126"/>
      <c r="AI347" s="1126"/>
      <c r="AJ347" s="1126"/>
      <c r="AK347" s="1126"/>
      <c r="AL347" s="1126"/>
      <c r="AM347" s="1126"/>
      <c r="AN347" s="1126"/>
      <c r="AO347" s="1126"/>
      <c r="AP347" s="1126"/>
      <c r="AQ347" s="1126"/>
      <c r="AR347" s="1126"/>
      <c r="AS347" s="1126"/>
      <c r="AT347" s="1126"/>
      <c r="AU347" s="413"/>
      <c r="AV347" s="1075"/>
    </row>
    <row r="348" spans="1:48" ht="15" customHeight="1" x14ac:dyDescent="0.2">
      <c r="A348" s="1076"/>
      <c r="B348" s="1045" t="str">
        <f t="shared" si="7"/>
        <v>Desk 28</v>
      </c>
      <c r="C348" s="1385" t="str">
        <f>IF('TB IMA general'!C113&lt;&gt;"",'TB IMA general'!C113,"")</f>
        <v/>
      </c>
      <c r="D348" s="1126"/>
      <c r="E348" s="1126"/>
      <c r="F348" s="1126"/>
      <c r="G348" s="1126"/>
      <c r="H348" s="1126"/>
      <c r="I348" s="1126"/>
      <c r="J348" s="1126"/>
      <c r="K348" s="1126"/>
      <c r="L348" s="1126"/>
      <c r="M348" s="1126"/>
      <c r="N348" s="1126"/>
      <c r="O348" s="1126"/>
      <c r="P348" s="1126"/>
      <c r="Q348" s="1126"/>
      <c r="R348" s="1126"/>
      <c r="S348" s="1126"/>
      <c r="T348" s="1126"/>
      <c r="U348" s="1126"/>
      <c r="V348" s="1126"/>
      <c r="W348" s="1126"/>
      <c r="X348" s="1126"/>
      <c r="Y348" s="1126"/>
      <c r="Z348" s="1126"/>
      <c r="AA348" s="1126"/>
      <c r="AB348" s="1126"/>
      <c r="AC348" s="1126"/>
      <c r="AD348" s="1126"/>
      <c r="AE348" s="1126"/>
      <c r="AF348" s="1126"/>
      <c r="AG348" s="1126"/>
      <c r="AH348" s="1126"/>
      <c r="AI348" s="1126"/>
      <c r="AJ348" s="1126"/>
      <c r="AK348" s="1126"/>
      <c r="AL348" s="1126"/>
      <c r="AM348" s="1126"/>
      <c r="AN348" s="1126"/>
      <c r="AO348" s="1126"/>
      <c r="AP348" s="1126"/>
      <c r="AQ348" s="1126"/>
      <c r="AR348" s="1126"/>
      <c r="AS348" s="1126"/>
      <c r="AT348" s="1126"/>
      <c r="AU348" s="413"/>
      <c r="AV348" s="1075"/>
    </row>
    <row r="349" spans="1:48" ht="15" customHeight="1" x14ac:dyDescent="0.2">
      <c r="A349" s="1076"/>
      <c r="B349" s="1045" t="str">
        <f t="shared" si="7"/>
        <v>Desk 29</v>
      </c>
      <c r="C349" s="1385" t="str">
        <f>IF('TB IMA general'!C114&lt;&gt;"",'TB IMA general'!C114,"")</f>
        <v/>
      </c>
      <c r="D349" s="1126"/>
      <c r="E349" s="1126"/>
      <c r="F349" s="1126"/>
      <c r="G349" s="1126"/>
      <c r="H349" s="1126"/>
      <c r="I349" s="1126"/>
      <c r="J349" s="1126"/>
      <c r="K349" s="1126"/>
      <c r="L349" s="1126"/>
      <c r="M349" s="1126"/>
      <c r="N349" s="1126"/>
      <c r="O349" s="1126"/>
      <c r="P349" s="1126"/>
      <c r="Q349" s="1126"/>
      <c r="R349" s="1126"/>
      <c r="S349" s="1126"/>
      <c r="T349" s="1126"/>
      <c r="U349" s="1126"/>
      <c r="V349" s="1126"/>
      <c r="W349" s="1126"/>
      <c r="X349" s="1126"/>
      <c r="Y349" s="1126"/>
      <c r="Z349" s="1126"/>
      <c r="AA349" s="1126"/>
      <c r="AB349" s="1126"/>
      <c r="AC349" s="1126"/>
      <c r="AD349" s="1126"/>
      <c r="AE349" s="1126"/>
      <c r="AF349" s="1126"/>
      <c r="AG349" s="1126"/>
      <c r="AH349" s="1126"/>
      <c r="AI349" s="1126"/>
      <c r="AJ349" s="1126"/>
      <c r="AK349" s="1126"/>
      <c r="AL349" s="1126"/>
      <c r="AM349" s="1126"/>
      <c r="AN349" s="1126"/>
      <c r="AO349" s="1126"/>
      <c r="AP349" s="1126"/>
      <c r="AQ349" s="1126"/>
      <c r="AR349" s="1126"/>
      <c r="AS349" s="1126"/>
      <c r="AT349" s="1126"/>
      <c r="AU349" s="413"/>
      <c r="AV349" s="1075"/>
    </row>
    <row r="350" spans="1:48" ht="15" customHeight="1" x14ac:dyDescent="0.2">
      <c r="A350" s="1076"/>
      <c r="B350" s="1045" t="str">
        <f t="shared" si="7"/>
        <v>Desk 30</v>
      </c>
      <c r="C350" s="1385" t="str">
        <f>IF('TB IMA general'!C115&lt;&gt;"",'TB IMA general'!C115,"")</f>
        <v/>
      </c>
      <c r="D350" s="1126"/>
      <c r="E350" s="1126"/>
      <c r="F350" s="1126"/>
      <c r="G350" s="1126"/>
      <c r="H350" s="1126"/>
      <c r="I350" s="1126"/>
      <c r="J350" s="1126"/>
      <c r="K350" s="1126"/>
      <c r="L350" s="1126"/>
      <c r="M350" s="1126"/>
      <c r="N350" s="1126"/>
      <c r="O350" s="1126"/>
      <c r="P350" s="1126"/>
      <c r="Q350" s="1126"/>
      <c r="R350" s="1126"/>
      <c r="S350" s="1126"/>
      <c r="T350" s="1126"/>
      <c r="U350" s="1126"/>
      <c r="V350" s="1126"/>
      <c r="W350" s="1126"/>
      <c r="X350" s="1126"/>
      <c r="Y350" s="1126"/>
      <c r="Z350" s="1126"/>
      <c r="AA350" s="1126"/>
      <c r="AB350" s="1126"/>
      <c r="AC350" s="1126"/>
      <c r="AD350" s="1126"/>
      <c r="AE350" s="1126"/>
      <c r="AF350" s="1126"/>
      <c r="AG350" s="1126"/>
      <c r="AH350" s="1126"/>
      <c r="AI350" s="1126"/>
      <c r="AJ350" s="1126"/>
      <c r="AK350" s="1126"/>
      <c r="AL350" s="1126"/>
      <c r="AM350" s="1126"/>
      <c r="AN350" s="1126"/>
      <c r="AO350" s="1126"/>
      <c r="AP350" s="1126"/>
      <c r="AQ350" s="1126"/>
      <c r="AR350" s="1126"/>
      <c r="AS350" s="1126"/>
      <c r="AT350" s="1126"/>
      <c r="AU350" s="413"/>
      <c r="AV350" s="1075"/>
    </row>
    <row r="351" spans="1:48" ht="15" customHeight="1" x14ac:dyDescent="0.2">
      <c r="A351" s="1076"/>
      <c r="B351" s="1045" t="str">
        <f t="shared" si="7"/>
        <v>Desk 31</v>
      </c>
      <c r="C351" s="1385" t="str">
        <f>IF('TB IMA general'!C116&lt;&gt;"",'TB IMA general'!C116,"")</f>
        <v/>
      </c>
      <c r="D351" s="1126"/>
      <c r="E351" s="1126"/>
      <c r="F351" s="1126"/>
      <c r="G351" s="1126"/>
      <c r="H351" s="1126"/>
      <c r="I351" s="1126"/>
      <c r="J351" s="1126"/>
      <c r="K351" s="1126"/>
      <c r="L351" s="1126"/>
      <c r="M351" s="1126"/>
      <c r="N351" s="1126"/>
      <c r="O351" s="1126"/>
      <c r="P351" s="1126"/>
      <c r="Q351" s="1126"/>
      <c r="R351" s="1126"/>
      <c r="S351" s="1126"/>
      <c r="T351" s="1126"/>
      <c r="U351" s="1126"/>
      <c r="V351" s="1126"/>
      <c r="W351" s="1126"/>
      <c r="X351" s="1126"/>
      <c r="Y351" s="1126"/>
      <c r="Z351" s="1126"/>
      <c r="AA351" s="1126"/>
      <c r="AB351" s="1126"/>
      <c r="AC351" s="1126"/>
      <c r="AD351" s="1126"/>
      <c r="AE351" s="1126"/>
      <c r="AF351" s="1126"/>
      <c r="AG351" s="1126"/>
      <c r="AH351" s="1126"/>
      <c r="AI351" s="1126"/>
      <c r="AJ351" s="1126"/>
      <c r="AK351" s="1126"/>
      <c r="AL351" s="1126"/>
      <c r="AM351" s="1126"/>
      <c r="AN351" s="1126"/>
      <c r="AO351" s="1126"/>
      <c r="AP351" s="1126"/>
      <c r="AQ351" s="1126"/>
      <c r="AR351" s="1126"/>
      <c r="AS351" s="1126"/>
      <c r="AT351" s="1126"/>
      <c r="AU351" s="413"/>
      <c r="AV351" s="1075"/>
    </row>
    <row r="352" spans="1:48" ht="15" customHeight="1" x14ac:dyDescent="0.2">
      <c r="A352" s="1076"/>
      <c r="B352" s="1045" t="str">
        <f t="shared" si="7"/>
        <v>Desk 32</v>
      </c>
      <c r="C352" s="1385" t="str">
        <f>IF('TB IMA general'!C117&lt;&gt;"",'TB IMA general'!C117,"")</f>
        <v/>
      </c>
      <c r="D352" s="1126"/>
      <c r="E352" s="1126"/>
      <c r="F352" s="1126"/>
      <c r="G352" s="1126"/>
      <c r="H352" s="1126"/>
      <c r="I352" s="1126"/>
      <c r="J352" s="1126"/>
      <c r="K352" s="1126"/>
      <c r="L352" s="1126"/>
      <c r="M352" s="1126"/>
      <c r="N352" s="1126"/>
      <c r="O352" s="1126"/>
      <c r="P352" s="1126"/>
      <c r="Q352" s="1126"/>
      <c r="R352" s="1126"/>
      <c r="S352" s="1126"/>
      <c r="T352" s="1126"/>
      <c r="U352" s="1126"/>
      <c r="V352" s="1126"/>
      <c r="W352" s="1126"/>
      <c r="X352" s="1126"/>
      <c r="Y352" s="1126"/>
      <c r="Z352" s="1126"/>
      <c r="AA352" s="1126"/>
      <c r="AB352" s="1126"/>
      <c r="AC352" s="1126"/>
      <c r="AD352" s="1126"/>
      <c r="AE352" s="1126"/>
      <c r="AF352" s="1126"/>
      <c r="AG352" s="1126"/>
      <c r="AH352" s="1126"/>
      <c r="AI352" s="1126"/>
      <c r="AJ352" s="1126"/>
      <c r="AK352" s="1126"/>
      <c r="AL352" s="1126"/>
      <c r="AM352" s="1126"/>
      <c r="AN352" s="1126"/>
      <c r="AO352" s="1126"/>
      <c r="AP352" s="1126"/>
      <c r="AQ352" s="1126"/>
      <c r="AR352" s="1126"/>
      <c r="AS352" s="1126"/>
      <c r="AT352" s="1126"/>
      <c r="AU352" s="413"/>
      <c r="AV352" s="1075"/>
    </row>
    <row r="353" spans="1:48" ht="15" customHeight="1" x14ac:dyDescent="0.2">
      <c r="A353" s="1076"/>
      <c r="B353" s="1045" t="str">
        <f t="shared" si="7"/>
        <v>Desk 33</v>
      </c>
      <c r="C353" s="1385" t="str">
        <f>IF('TB IMA general'!C118&lt;&gt;"",'TB IMA general'!C118,"")</f>
        <v/>
      </c>
      <c r="D353" s="1126"/>
      <c r="E353" s="1126"/>
      <c r="F353" s="1126"/>
      <c r="G353" s="1126"/>
      <c r="H353" s="1126"/>
      <c r="I353" s="1126"/>
      <c r="J353" s="1126"/>
      <c r="K353" s="1126"/>
      <c r="L353" s="1126"/>
      <c r="M353" s="1126"/>
      <c r="N353" s="1126"/>
      <c r="O353" s="1126"/>
      <c r="P353" s="1126"/>
      <c r="Q353" s="1126"/>
      <c r="R353" s="1126"/>
      <c r="S353" s="1126"/>
      <c r="T353" s="1126"/>
      <c r="U353" s="1126"/>
      <c r="V353" s="1126"/>
      <c r="W353" s="1126"/>
      <c r="X353" s="1126"/>
      <c r="Y353" s="1126"/>
      <c r="Z353" s="1126"/>
      <c r="AA353" s="1126"/>
      <c r="AB353" s="1126"/>
      <c r="AC353" s="1126"/>
      <c r="AD353" s="1126"/>
      <c r="AE353" s="1126"/>
      <c r="AF353" s="1126"/>
      <c r="AG353" s="1126"/>
      <c r="AH353" s="1126"/>
      <c r="AI353" s="1126"/>
      <c r="AJ353" s="1126"/>
      <c r="AK353" s="1126"/>
      <c r="AL353" s="1126"/>
      <c r="AM353" s="1126"/>
      <c r="AN353" s="1126"/>
      <c r="AO353" s="1126"/>
      <c r="AP353" s="1126"/>
      <c r="AQ353" s="1126"/>
      <c r="AR353" s="1126"/>
      <c r="AS353" s="1126"/>
      <c r="AT353" s="1126"/>
      <c r="AU353" s="413"/>
      <c r="AV353" s="1075"/>
    </row>
    <row r="354" spans="1:48" ht="15" customHeight="1" x14ac:dyDescent="0.2">
      <c r="A354" s="1076"/>
      <c r="B354" s="1045" t="str">
        <f t="shared" si="7"/>
        <v>Desk 34</v>
      </c>
      <c r="C354" s="1385" t="str">
        <f>IF('TB IMA general'!C119&lt;&gt;"",'TB IMA general'!C119,"")</f>
        <v/>
      </c>
      <c r="D354" s="1126"/>
      <c r="E354" s="1126"/>
      <c r="F354" s="1126"/>
      <c r="G354" s="1126"/>
      <c r="H354" s="1126"/>
      <c r="I354" s="1126"/>
      <c r="J354" s="1126"/>
      <c r="K354" s="1126"/>
      <c r="L354" s="1126"/>
      <c r="M354" s="1126"/>
      <c r="N354" s="1126"/>
      <c r="O354" s="1126"/>
      <c r="P354" s="1126"/>
      <c r="Q354" s="1126"/>
      <c r="R354" s="1126"/>
      <c r="S354" s="1126"/>
      <c r="T354" s="1126"/>
      <c r="U354" s="1126"/>
      <c r="V354" s="1126"/>
      <c r="W354" s="1126"/>
      <c r="X354" s="1126"/>
      <c r="Y354" s="1126"/>
      <c r="Z354" s="1126"/>
      <c r="AA354" s="1126"/>
      <c r="AB354" s="1126"/>
      <c r="AC354" s="1126"/>
      <c r="AD354" s="1126"/>
      <c r="AE354" s="1126"/>
      <c r="AF354" s="1126"/>
      <c r="AG354" s="1126"/>
      <c r="AH354" s="1126"/>
      <c r="AI354" s="1126"/>
      <c r="AJ354" s="1126"/>
      <c r="AK354" s="1126"/>
      <c r="AL354" s="1126"/>
      <c r="AM354" s="1126"/>
      <c r="AN354" s="1126"/>
      <c r="AO354" s="1126"/>
      <c r="AP354" s="1126"/>
      <c r="AQ354" s="1126"/>
      <c r="AR354" s="1126"/>
      <c r="AS354" s="1126"/>
      <c r="AT354" s="1126"/>
      <c r="AU354" s="413"/>
      <c r="AV354" s="1075"/>
    </row>
    <row r="355" spans="1:48" ht="15" customHeight="1" x14ac:dyDescent="0.2">
      <c r="A355" s="1076"/>
      <c r="B355" s="1045" t="str">
        <f t="shared" si="7"/>
        <v>Desk 35</v>
      </c>
      <c r="C355" s="1385" t="str">
        <f>IF('TB IMA general'!C120&lt;&gt;"",'TB IMA general'!C120,"")</f>
        <v/>
      </c>
      <c r="D355" s="1126"/>
      <c r="E355" s="1126"/>
      <c r="F355" s="1126"/>
      <c r="G355" s="1126"/>
      <c r="H355" s="1126"/>
      <c r="I355" s="1126"/>
      <c r="J355" s="1126"/>
      <c r="K355" s="1126"/>
      <c r="L355" s="1126"/>
      <c r="M355" s="1126"/>
      <c r="N355" s="1126"/>
      <c r="O355" s="1126"/>
      <c r="P355" s="1126"/>
      <c r="Q355" s="1126"/>
      <c r="R355" s="1126"/>
      <c r="S355" s="1126"/>
      <c r="T355" s="1126"/>
      <c r="U355" s="1126"/>
      <c r="V355" s="1126"/>
      <c r="W355" s="1126"/>
      <c r="X355" s="1126"/>
      <c r="Y355" s="1126"/>
      <c r="Z355" s="1126"/>
      <c r="AA355" s="1126"/>
      <c r="AB355" s="1126"/>
      <c r="AC355" s="1126"/>
      <c r="AD355" s="1126"/>
      <c r="AE355" s="1126"/>
      <c r="AF355" s="1126"/>
      <c r="AG355" s="1126"/>
      <c r="AH355" s="1126"/>
      <c r="AI355" s="1126"/>
      <c r="AJ355" s="1126"/>
      <c r="AK355" s="1126"/>
      <c r="AL355" s="1126"/>
      <c r="AM355" s="1126"/>
      <c r="AN355" s="1126"/>
      <c r="AO355" s="1126"/>
      <c r="AP355" s="1126"/>
      <c r="AQ355" s="1126"/>
      <c r="AR355" s="1126"/>
      <c r="AS355" s="1126"/>
      <c r="AT355" s="1126"/>
      <c r="AU355" s="413"/>
      <c r="AV355" s="1075"/>
    </row>
    <row r="356" spans="1:48" ht="15" customHeight="1" x14ac:dyDescent="0.2">
      <c r="A356" s="1076"/>
      <c r="B356" s="1045" t="str">
        <f t="shared" si="7"/>
        <v>Desk 36</v>
      </c>
      <c r="C356" s="1385" t="str">
        <f>IF('TB IMA general'!C121&lt;&gt;"",'TB IMA general'!C121,"")</f>
        <v/>
      </c>
      <c r="D356" s="1126"/>
      <c r="E356" s="1126"/>
      <c r="F356" s="1126"/>
      <c r="G356" s="1126"/>
      <c r="H356" s="1126"/>
      <c r="I356" s="1126"/>
      <c r="J356" s="1126"/>
      <c r="K356" s="1126"/>
      <c r="L356" s="1126"/>
      <c r="M356" s="1126"/>
      <c r="N356" s="1126"/>
      <c r="O356" s="1126"/>
      <c r="P356" s="1126"/>
      <c r="Q356" s="1126"/>
      <c r="R356" s="1126"/>
      <c r="S356" s="1126"/>
      <c r="T356" s="1126"/>
      <c r="U356" s="1126"/>
      <c r="V356" s="1126"/>
      <c r="W356" s="1126"/>
      <c r="X356" s="1126"/>
      <c r="Y356" s="1126"/>
      <c r="Z356" s="1126"/>
      <c r="AA356" s="1126"/>
      <c r="AB356" s="1126"/>
      <c r="AC356" s="1126"/>
      <c r="AD356" s="1126"/>
      <c r="AE356" s="1126"/>
      <c r="AF356" s="1126"/>
      <c r="AG356" s="1126"/>
      <c r="AH356" s="1126"/>
      <c r="AI356" s="1126"/>
      <c r="AJ356" s="1126"/>
      <c r="AK356" s="1126"/>
      <c r="AL356" s="1126"/>
      <c r="AM356" s="1126"/>
      <c r="AN356" s="1126"/>
      <c r="AO356" s="1126"/>
      <c r="AP356" s="1126"/>
      <c r="AQ356" s="1126"/>
      <c r="AR356" s="1126"/>
      <c r="AS356" s="1126"/>
      <c r="AT356" s="1126"/>
      <c r="AU356" s="413"/>
      <c r="AV356" s="1075"/>
    </row>
    <row r="357" spans="1:48" ht="15" customHeight="1" x14ac:dyDescent="0.2">
      <c r="A357" s="1076"/>
      <c r="B357" s="1045" t="str">
        <f t="shared" si="7"/>
        <v>Desk 37</v>
      </c>
      <c r="C357" s="1385" t="str">
        <f>IF('TB IMA general'!C122&lt;&gt;"",'TB IMA general'!C122,"")</f>
        <v/>
      </c>
      <c r="D357" s="1126"/>
      <c r="E357" s="1126"/>
      <c r="F357" s="1126"/>
      <c r="G357" s="1126"/>
      <c r="H357" s="1126"/>
      <c r="I357" s="1126"/>
      <c r="J357" s="1126"/>
      <c r="K357" s="1126"/>
      <c r="L357" s="1126"/>
      <c r="M357" s="1126"/>
      <c r="N357" s="1126"/>
      <c r="O357" s="1126"/>
      <c r="P357" s="1126"/>
      <c r="Q357" s="1126"/>
      <c r="R357" s="1126"/>
      <c r="S357" s="1126"/>
      <c r="T357" s="1126"/>
      <c r="U357" s="1126"/>
      <c r="V357" s="1126"/>
      <c r="W357" s="1126"/>
      <c r="X357" s="1126"/>
      <c r="Y357" s="1126"/>
      <c r="Z357" s="1126"/>
      <c r="AA357" s="1126"/>
      <c r="AB357" s="1126"/>
      <c r="AC357" s="1126"/>
      <c r="AD357" s="1126"/>
      <c r="AE357" s="1126"/>
      <c r="AF357" s="1126"/>
      <c r="AG357" s="1126"/>
      <c r="AH357" s="1126"/>
      <c r="AI357" s="1126"/>
      <c r="AJ357" s="1126"/>
      <c r="AK357" s="1126"/>
      <c r="AL357" s="1126"/>
      <c r="AM357" s="1126"/>
      <c r="AN357" s="1126"/>
      <c r="AO357" s="1126"/>
      <c r="AP357" s="1126"/>
      <c r="AQ357" s="1126"/>
      <c r="AR357" s="1126"/>
      <c r="AS357" s="1126"/>
      <c r="AT357" s="1126"/>
      <c r="AU357" s="413"/>
      <c r="AV357" s="1075"/>
    </row>
    <row r="358" spans="1:48" ht="15" customHeight="1" x14ac:dyDescent="0.2">
      <c r="A358" s="1076"/>
      <c r="B358" s="1045" t="str">
        <f t="shared" si="7"/>
        <v>Desk 38</v>
      </c>
      <c r="C358" s="1385" t="str">
        <f>IF('TB IMA general'!C123&lt;&gt;"",'TB IMA general'!C123,"")</f>
        <v/>
      </c>
      <c r="D358" s="1126"/>
      <c r="E358" s="1126"/>
      <c r="F358" s="1126"/>
      <c r="G358" s="1126"/>
      <c r="H358" s="1126"/>
      <c r="I358" s="1126"/>
      <c r="J358" s="1126"/>
      <c r="K358" s="1126"/>
      <c r="L358" s="1126"/>
      <c r="M358" s="1126"/>
      <c r="N358" s="1126"/>
      <c r="O358" s="1126"/>
      <c r="P358" s="1126"/>
      <c r="Q358" s="1126"/>
      <c r="R358" s="1126"/>
      <c r="S358" s="1126"/>
      <c r="T358" s="1126"/>
      <c r="U358" s="1126"/>
      <c r="V358" s="1126"/>
      <c r="W358" s="1126"/>
      <c r="X358" s="1126"/>
      <c r="Y358" s="1126"/>
      <c r="Z358" s="1126"/>
      <c r="AA358" s="1126"/>
      <c r="AB358" s="1126"/>
      <c r="AC358" s="1126"/>
      <c r="AD358" s="1126"/>
      <c r="AE358" s="1126"/>
      <c r="AF358" s="1126"/>
      <c r="AG358" s="1126"/>
      <c r="AH358" s="1126"/>
      <c r="AI358" s="1126"/>
      <c r="AJ358" s="1126"/>
      <c r="AK358" s="1126"/>
      <c r="AL358" s="1126"/>
      <c r="AM358" s="1126"/>
      <c r="AN358" s="1126"/>
      <c r="AO358" s="1126"/>
      <c r="AP358" s="1126"/>
      <c r="AQ358" s="1126"/>
      <c r="AR358" s="1126"/>
      <c r="AS358" s="1126"/>
      <c r="AT358" s="1126"/>
      <c r="AU358" s="413"/>
      <c r="AV358" s="1075"/>
    </row>
    <row r="359" spans="1:48" ht="15" customHeight="1" x14ac:dyDescent="0.2">
      <c r="A359" s="1076"/>
      <c r="B359" s="1045" t="str">
        <f t="shared" si="7"/>
        <v>Desk 39</v>
      </c>
      <c r="C359" s="1385" t="str">
        <f>IF('TB IMA general'!C124&lt;&gt;"",'TB IMA general'!C124,"")</f>
        <v/>
      </c>
      <c r="D359" s="1126"/>
      <c r="E359" s="1126"/>
      <c r="F359" s="1126"/>
      <c r="G359" s="1126"/>
      <c r="H359" s="1126"/>
      <c r="I359" s="1126"/>
      <c r="J359" s="1126"/>
      <c r="K359" s="1126"/>
      <c r="L359" s="1126"/>
      <c r="M359" s="1126"/>
      <c r="N359" s="1126"/>
      <c r="O359" s="1126"/>
      <c r="P359" s="1126"/>
      <c r="Q359" s="1126"/>
      <c r="R359" s="1126"/>
      <c r="S359" s="1126"/>
      <c r="T359" s="1126"/>
      <c r="U359" s="1126"/>
      <c r="V359" s="1126"/>
      <c r="W359" s="1126"/>
      <c r="X359" s="1126"/>
      <c r="Y359" s="1126"/>
      <c r="Z359" s="1126"/>
      <c r="AA359" s="1126"/>
      <c r="AB359" s="1126"/>
      <c r="AC359" s="1126"/>
      <c r="AD359" s="1126"/>
      <c r="AE359" s="1126"/>
      <c r="AF359" s="1126"/>
      <c r="AG359" s="1126"/>
      <c r="AH359" s="1126"/>
      <c r="AI359" s="1126"/>
      <c r="AJ359" s="1126"/>
      <c r="AK359" s="1126"/>
      <c r="AL359" s="1126"/>
      <c r="AM359" s="1126"/>
      <c r="AN359" s="1126"/>
      <c r="AO359" s="1126"/>
      <c r="AP359" s="1126"/>
      <c r="AQ359" s="1126"/>
      <c r="AR359" s="1126"/>
      <c r="AS359" s="1126"/>
      <c r="AT359" s="1126"/>
      <c r="AU359" s="413"/>
      <c r="AV359" s="1075"/>
    </row>
    <row r="360" spans="1:48" ht="15" customHeight="1" x14ac:dyDescent="0.2">
      <c r="A360" s="1076"/>
      <c r="B360" s="1045" t="str">
        <f t="shared" si="7"/>
        <v>Desk 40</v>
      </c>
      <c r="C360" s="1385" t="str">
        <f>IF('TB IMA general'!C125&lt;&gt;"",'TB IMA general'!C125,"")</f>
        <v/>
      </c>
      <c r="D360" s="1126"/>
      <c r="E360" s="1126"/>
      <c r="F360" s="1126"/>
      <c r="G360" s="1126"/>
      <c r="H360" s="1126"/>
      <c r="I360" s="1126"/>
      <c r="J360" s="1126"/>
      <c r="K360" s="1126"/>
      <c r="L360" s="1126"/>
      <c r="M360" s="1126"/>
      <c r="N360" s="1126"/>
      <c r="O360" s="1126"/>
      <c r="P360" s="1126"/>
      <c r="Q360" s="1126"/>
      <c r="R360" s="1126"/>
      <c r="S360" s="1126"/>
      <c r="T360" s="1126"/>
      <c r="U360" s="1126"/>
      <c r="V360" s="1126"/>
      <c r="W360" s="1126"/>
      <c r="X360" s="1126"/>
      <c r="Y360" s="1126"/>
      <c r="Z360" s="1126"/>
      <c r="AA360" s="1126"/>
      <c r="AB360" s="1126"/>
      <c r="AC360" s="1126"/>
      <c r="AD360" s="1126"/>
      <c r="AE360" s="1126"/>
      <c r="AF360" s="1126"/>
      <c r="AG360" s="1126"/>
      <c r="AH360" s="1126"/>
      <c r="AI360" s="1126"/>
      <c r="AJ360" s="1126"/>
      <c r="AK360" s="1126"/>
      <c r="AL360" s="1126"/>
      <c r="AM360" s="1126"/>
      <c r="AN360" s="1126"/>
      <c r="AO360" s="1126"/>
      <c r="AP360" s="1126"/>
      <c r="AQ360" s="1126"/>
      <c r="AR360" s="1126"/>
      <c r="AS360" s="1126"/>
      <c r="AT360" s="1126"/>
      <c r="AU360" s="413"/>
      <c r="AV360" s="1075"/>
    </row>
    <row r="361" spans="1:48" ht="15" customHeight="1" x14ac:dyDescent="0.2">
      <c r="A361" s="1076"/>
      <c r="B361" s="1045" t="str">
        <f t="shared" si="7"/>
        <v>Desk 41</v>
      </c>
      <c r="C361" s="1385" t="str">
        <f>IF('TB IMA general'!C126&lt;&gt;"",'TB IMA general'!C126,"")</f>
        <v/>
      </c>
      <c r="D361" s="1126"/>
      <c r="E361" s="1126"/>
      <c r="F361" s="1126"/>
      <c r="G361" s="1126"/>
      <c r="H361" s="1126"/>
      <c r="I361" s="1126"/>
      <c r="J361" s="1126"/>
      <c r="K361" s="1126"/>
      <c r="L361" s="1126"/>
      <c r="M361" s="1126"/>
      <c r="N361" s="1126"/>
      <c r="O361" s="1126"/>
      <c r="P361" s="1126"/>
      <c r="Q361" s="1126"/>
      <c r="R361" s="1126"/>
      <c r="S361" s="1126"/>
      <c r="T361" s="1126"/>
      <c r="U361" s="1126"/>
      <c r="V361" s="1126"/>
      <c r="W361" s="1126"/>
      <c r="X361" s="1126"/>
      <c r="Y361" s="1126"/>
      <c r="Z361" s="1126"/>
      <c r="AA361" s="1126"/>
      <c r="AB361" s="1126"/>
      <c r="AC361" s="1126"/>
      <c r="AD361" s="1126"/>
      <c r="AE361" s="1126"/>
      <c r="AF361" s="1126"/>
      <c r="AG361" s="1126"/>
      <c r="AH361" s="1126"/>
      <c r="AI361" s="1126"/>
      <c r="AJ361" s="1126"/>
      <c r="AK361" s="1126"/>
      <c r="AL361" s="1126"/>
      <c r="AM361" s="1126"/>
      <c r="AN361" s="1126"/>
      <c r="AO361" s="1126"/>
      <c r="AP361" s="1126"/>
      <c r="AQ361" s="1126"/>
      <c r="AR361" s="1126"/>
      <c r="AS361" s="1126"/>
      <c r="AT361" s="1126"/>
      <c r="AU361" s="413"/>
      <c r="AV361" s="1075"/>
    </row>
    <row r="362" spans="1:48" ht="15" customHeight="1" x14ac:dyDescent="0.2">
      <c r="A362" s="1076"/>
      <c r="B362" s="1045" t="str">
        <f t="shared" si="7"/>
        <v>Desk 42</v>
      </c>
      <c r="C362" s="1385" t="str">
        <f>IF('TB IMA general'!C127&lt;&gt;"",'TB IMA general'!C127,"")</f>
        <v/>
      </c>
      <c r="D362" s="1126"/>
      <c r="E362" s="1126"/>
      <c r="F362" s="1126"/>
      <c r="G362" s="1126"/>
      <c r="H362" s="1126"/>
      <c r="I362" s="1126"/>
      <c r="J362" s="1126"/>
      <c r="K362" s="1126"/>
      <c r="L362" s="1126"/>
      <c r="M362" s="1126"/>
      <c r="N362" s="1126"/>
      <c r="O362" s="1126"/>
      <c r="P362" s="1126"/>
      <c r="Q362" s="1126"/>
      <c r="R362" s="1126"/>
      <c r="S362" s="1126"/>
      <c r="T362" s="1126"/>
      <c r="U362" s="1126"/>
      <c r="V362" s="1126"/>
      <c r="W362" s="1126"/>
      <c r="X362" s="1126"/>
      <c r="Y362" s="1126"/>
      <c r="Z362" s="1126"/>
      <c r="AA362" s="1126"/>
      <c r="AB362" s="1126"/>
      <c r="AC362" s="1126"/>
      <c r="AD362" s="1126"/>
      <c r="AE362" s="1126"/>
      <c r="AF362" s="1126"/>
      <c r="AG362" s="1126"/>
      <c r="AH362" s="1126"/>
      <c r="AI362" s="1126"/>
      <c r="AJ362" s="1126"/>
      <c r="AK362" s="1126"/>
      <c r="AL362" s="1126"/>
      <c r="AM362" s="1126"/>
      <c r="AN362" s="1126"/>
      <c r="AO362" s="1126"/>
      <c r="AP362" s="1126"/>
      <c r="AQ362" s="1126"/>
      <c r="AR362" s="1126"/>
      <c r="AS362" s="1126"/>
      <c r="AT362" s="1126"/>
      <c r="AU362" s="413"/>
      <c r="AV362" s="1075"/>
    </row>
    <row r="363" spans="1:48" ht="15" customHeight="1" x14ac:dyDescent="0.2">
      <c r="A363" s="1076"/>
      <c r="B363" s="1045" t="str">
        <f t="shared" si="7"/>
        <v>Desk 43</v>
      </c>
      <c r="C363" s="1385" t="str">
        <f>IF('TB IMA general'!C128&lt;&gt;"",'TB IMA general'!C128,"")</f>
        <v/>
      </c>
      <c r="D363" s="1126"/>
      <c r="E363" s="1126"/>
      <c r="F363" s="1126"/>
      <c r="G363" s="1126"/>
      <c r="H363" s="1126"/>
      <c r="I363" s="1126"/>
      <c r="J363" s="1126"/>
      <c r="K363" s="1126"/>
      <c r="L363" s="1126"/>
      <c r="M363" s="1126"/>
      <c r="N363" s="1126"/>
      <c r="O363" s="1126"/>
      <c r="P363" s="1126"/>
      <c r="Q363" s="1126"/>
      <c r="R363" s="1126"/>
      <c r="S363" s="1126"/>
      <c r="T363" s="1126"/>
      <c r="U363" s="1126"/>
      <c r="V363" s="1126"/>
      <c r="W363" s="1126"/>
      <c r="X363" s="1126"/>
      <c r="Y363" s="1126"/>
      <c r="Z363" s="1126"/>
      <c r="AA363" s="1126"/>
      <c r="AB363" s="1126"/>
      <c r="AC363" s="1126"/>
      <c r="AD363" s="1126"/>
      <c r="AE363" s="1126"/>
      <c r="AF363" s="1126"/>
      <c r="AG363" s="1126"/>
      <c r="AH363" s="1126"/>
      <c r="AI363" s="1126"/>
      <c r="AJ363" s="1126"/>
      <c r="AK363" s="1126"/>
      <c r="AL363" s="1126"/>
      <c r="AM363" s="1126"/>
      <c r="AN363" s="1126"/>
      <c r="AO363" s="1126"/>
      <c r="AP363" s="1126"/>
      <c r="AQ363" s="1126"/>
      <c r="AR363" s="1126"/>
      <c r="AS363" s="1126"/>
      <c r="AT363" s="1126"/>
      <c r="AU363" s="413"/>
      <c r="AV363" s="1075"/>
    </row>
    <row r="364" spans="1:48" ht="15" customHeight="1" x14ac:dyDescent="0.2">
      <c r="A364" s="1076"/>
      <c r="B364" s="1045" t="str">
        <f t="shared" si="7"/>
        <v>Desk 44</v>
      </c>
      <c r="C364" s="1385" t="str">
        <f>IF('TB IMA general'!C129&lt;&gt;"",'TB IMA general'!C129,"")</f>
        <v/>
      </c>
      <c r="D364" s="1126"/>
      <c r="E364" s="1126"/>
      <c r="F364" s="1126"/>
      <c r="G364" s="1126"/>
      <c r="H364" s="1126"/>
      <c r="I364" s="1126"/>
      <c r="J364" s="1126"/>
      <c r="K364" s="1126"/>
      <c r="L364" s="1126"/>
      <c r="M364" s="1126"/>
      <c r="N364" s="1126"/>
      <c r="O364" s="1126"/>
      <c r="P364" s="1126"/>
      <c r="Q364" s="1126"/>
      <c r="R364" s="1126"/>
      <c r="S364" s="1126"/>
      <c r="T364" s="1126"/>
      <c r="U364" s="1126"/>
      <c r="V364" s="1126"/>
      <c r="W364" s="1126"/>
      <c r="X364" s="1126"/>
      <c r="Y364" s="1126"/>
      <c r="Z364" s="1126"/>
      <c r="AA364" s="1126"/>
      <c r="AB364" s="1126"/>
      <c r="AC364" s="1126"/>
      <c r="AD364" s="1126"/>
      <c r="AE364" s="1126"/>
      <c r="AF364" s="1126"/>
      <c r="AG364" s="1126"/>
      <c r="AH364" s="1126"/>
      <c r="AI364" s="1126"/>
      <c r="AJ364" s="1126"/>
      <c r="AK364" s="1126"/>
      <c r="AL364" s="1126"/>
      <c r="AM364" s="1126"/>
      <c r="AN364" s="1126"/>
      <c r="AO364" s="1126"/>
      <c r="AP364" s="1126"/>
      <c r="AQ364" s="1126"/>
      <c r="AR364" s="1126"/>
      <c r="AS364" s="1126"/>
      <c r="AT364" s="1126"/>
      <c r="AU364" s="413"/>
      <c r="AV364" s="1075"/>
    </row>
    <row r="365" spans="1:48" ht="15" customHeight="1" x14ac:dyDescent="0.2">
      <c r="A365" s="1076"/>
      <c r="B365" s="1045" t="str">
        <f t="shared" si="7"/>
        <v>Desk 45</v>
      </c>
      <c r="C365" s="1385" t="str">
        <f>IF('TB IMA general'!C130&lt;&gt;"",'TB IMA general'!C130,"")</f>
        <v/>
      </c>
      <c r="D365" s="1126"/>
      <c r="E365" s="1126"/>
      <c r="F365" s="1126"/>
      <c r="G365" s="1126"/>
      <c r="H365" s="1126"/>
      <c r="I365" s="1126"/>
      <c r="J365" s="1126"/>
      <c r="K365" s="1126"/>
      <c r="L365" s="1126"/>
      <c r="M365" s="1126"/>
      <c r="N365" s="1126"/>
      <c r="O365" s="1126"/>
      <c r="P365" s="1126"/>
      <c r="Q365" s="1126"/>
      <c r="R365" s="1126"/>
      <c r="S365" s="1126"/>
      <c r="T365" s="1126"/>
      <c r="U365" s="1126"/>
      <c r="V365" s="1126"/>
      <c r="W365" s="1126"/>
      <c r="X365" s="1126"/>
      <c r="Y365" s="1126"/>
      <c r="Z365" s="1126"/>
      <c r="AA365" s="1126"/>
      <c r="AB365" s="1126"/>
      <c r="AC365" s="1126"/>
      <c r="AD365" s="1126"/>
      <c r="AE365" s="1126"/>
      <c r="AF365" s="1126"/>
      <c r="AG365" s="1126"/>
      <c r="AH365" s="1126"/>
      <c r="AI365" s="1126"/>
      <c r="AJ365" s="1126"/>
      <c r="AK365" s="1126"/>
      <c r="AL365" s="1126"/>
      <c r="AM365" s="1126"/>
      <c r="AN365" s="1126"/>
      <c r="AO365" s="1126"/>
      <c r="AP365" s="1126"/>
      <c r="AQ365" s="1126"/>
      <c r="AR365" s="1126"/>
      <c r="AS365" s="1126"/>
      <c r="AT365" s="1126"/>
      <c r="AU365" s="413"/>
      <c r="AV365" s="1075"/>
    </row>
    <row r="366" spans="1:48" ht="15" customHeight="1" x14ac:dyDescent="0.2">
      <c r="A366" s="1076"/>
      <c r="B366" s="1045" t="str">
        <f t="shared" si="7"/>
        <v>Desk 46</v>
      </c>
      <c r="C366" s="1385" t="str">
        <f>IF('TB IMA general'!C131&lt;&gt;"",'TB IMA general'!C131,"")</f>
        <v/>
      </c>
      <c r="D366" s="1126"/>
      <c r="E366" s="1126"/>
      <c r="F366" s="1126"/>
      <c r="G366" s="1126"/>
      <c r="H366" s="1126"/>
      <c r="I366" s="1126"/>
      <c r="J366" s="1126"/>
      <c r="K366" s="1126"/>
      <c r="L366" s="1126"/>
      <c r="M366" s="1126"/>
      <c r="N366" s="1126"/>
      <c r="O366" s="1126"/>
      <c r="P366" s="1126"/>
      <c r="Q366" s="1126"/>
      <c r="R366" s="1126"/>
      <c r="S366" s="1126"/>
      <c r="T366" s="1126"/>
      <c r="U366" s="1126"/>
      <c r="V366" s="1126"/>
      <c r="W366" s="1126"/>
      <c r="X366" s="1126"/>
      <c r="Y366" s="1126"/>
      <c r="Z366" s="1126"/>
      <c r="AA366" s="1126"/>
      <c r="AB366" s="1126"/>
      <c r="AC366" s="1126"/>
      <c r="AD366" s="1126"/>
      <c r="AE366" s="1126"/>
      <c r="AF366" s="1126"/>
      <c r="AG366" s="1126"/>
      <c r="AH366" s="1126"/>
      <c r="AI366" s="1126"/>
      <c r="AJ366" s="1126"/>
      <c r="AK366" s="1126"/>
      <c r="AL366" s="1126"/>
      <c r="AM366" s="1126"/>
      <c r="AN366" s="1126"/>
      <c r="AO366" s="1126"/>
      <c r="AP366" s="1126"/>
      <c r="AQ366" s="1126"/>
      <c r="AR366" s="1126"/>
      <c r="AS366" s="1126"/>
      <c r="AT366" s="1126"/>
      <c r="AU366" s="413"/>
      <c r="AV366" s="1075"/>
    </row>
    <row r="367" spans="1:48" ht="15" customHeight="1" x14ac:dyDescent="0.2">
      <c r="A367" s="1076"/>
      <c r="B367" s="1045" t="str">
        <f t="shared" si="7"/>
        <v>Desk 47</v>
      </c>
      <c r="C367" s="1385" t="str">
        <f>IF('TB IMA general'!C132&lt;&gt;"",'TB IMA general'!C132,"")</f>
        <v/>
      </c>
      <c r="D367" s="1126"/>
      <c r="E367" s="1126"/>
      <c r="F367" s="1126"/>
      <c r="G367" s="1126"/>
      <c r="H367" s="1126"/>
      <c r="I367" s="1126"/>
      <c r="J367" s="1126"/>
      <c r="K367" s="1126"/>
      <c r="L367" s="1126"/>
      <c r="M367" s="1126"/>
      <c r="N367" s="1126"/>
      <c r="O367" s="1126"/>
      <c r="P367" s="1126"/>
      <c r="Q367" s="1126"/>
      <c r="R367" s="1126"/>
      <c r="S367" s="1126"/>
      <c r="T367" s="1126"/>
      <c r="U367" s="1126"/>
      <c r="V367" s="1126"/>
      <c r="W367" s="1126"/>
      <c r="X367" s="1126"/>
      <c r="Y367" s="1126"/>
      <c r="Z367" s="1126"/>
      <c r="AA367" s="1126"/>
      <c r="AB367" s="1126"/>
      <c r="AC367" s="1126"/>
      <c r="AD367" s="1126"/>
      <c r="AE367" s="1126"/>
      <c r="AF367" s="1126"/>
      <c r="AG367" s="1126"/>
      <c r="AH367" s="1126"/>
      <c r="AI367" s="1126"/>
      <c r="AJ367" s="1126"/>
      <c r="AK367" s="1126"/>
      <c r="AL367" s="1126"/>
      <c r="AM367" s="1126"/>
      <c r="AN367" s="1126"/>
      <c r="AO367" s="1126"/>
      <c r="AP367" s="1126"/>
      <c r="AQ367" s="1126"/>
      <c r="AR367" s="1126"/>
      <c r="AS367" s="1126"/>
      <c r="AT367" s="1126"/>
      <c r="AU367" s="413"/>
      <c r="AV367" s="1075"/>
    </row>
    <row r="368" spans="1:48" ht="15" customHeight="1" x14ac:dyDescent="0.2">
      <c r="A368" s="1076"/>
      <c r="B368" s="1045" t="str">
        <f t="shared" si="7"/>
        <v>Desk 48</v>
      </c>
      <c r="C368" s="1385" t="str">
        <f>IF('TB IMA general'!C133&lt;&gt;"",'TB IMA general'!C133,"")</f>
        <v/>
      </c>
      <c r="D368" s="1126"/>
      <c r="E368" s="1126"/>
      <c r="F368" s="1126"/>
      <c r="G368" s="1126"/>
      <c r="H368" s="1126"/>
      <c r="I368" s="1126"/>
      <c r="J368" s="1126"/>
      <c r="K368" s="1126"/>
      <c r="L368" s="1126"/>
      <c r="M368" s="1126"/>
      <c r="N368" s="1126"/>
      <c r="O368" s="1126"/>
      <c r="P368" s="1126"/>
      <c r="Q368" s="1126"/>
      <c r="R368" s="1126"/>
      <c r="S368" s="1126"/>
      <c r="T368" s="1126"/>
      <c r="U368" s="1126"/>
      <c r="V368" s="1126"/>
      <c r="W368" s="1126"/>
      <c r="X368" s="1126"/>
      <c r="Y368" s="1126"/>
      <c r="Z368" s="1126"/>
      <c r="AA368" s="1126"/>
      <c r="AB368" s="1126"/>
      <c r="AC368" s="1126"/>
      <c r="AD368" s="1126"/>
      <c r="AE368" s="1126"/>
      <c r="AF368" s="1126"/>
      <c r="AG368" s="1126"/>
      <c r="AH368" s="1126"/>
      <c r="AI368" s="1126"/>
      <c r="AJ368" s="1126"/>
      <c r="AK368" s="1126"/>
      <c r="AL368" s="1126"/>
      <c r="AM368" s="1126"/>
      <c r="AN368" s="1126"/>
      <c r="AO368" s="1126"/>
      <c r="AP368" s="1126"/>
      <c r="AQ368" s="1126"/>
      <c r="AR368" s="1126"/>
      <c r="AS368" s="1126"/>
      <c r="AT368" s="1126"/>
      <c r="AU368" s="413"/>
      <c r="AV368" s="1075"/>
    </row>
    <row r="369" spans="1:48" ht="15" customHeight="1" x14ac:dyDescent="0.2">
      <c r="A369" s="1076"/>
      <c r="B369" s="1045" t="str">
        <f t="shared" si="7"/>
        <v>Desk 49</v>
      </c>
      <c r="C369" s="1385" t="str">
        <f>IF('TB IMA general'!C134&lt;&gt;"",'TB IMA general'!C134,"")</f>
        <v/>
      </c>
      <c r="D369" s="1126"/>
      <c r="E369" s="1126"/>
      <c r="F369" s="1126"/>
      <c r="G369" s="1126"/>
      <c r="H369" s="1126"/>
      <c r="I369" s="1126"/>
      <c r="J369" s="1126"/>
      <c r="K369" s="1126"/>
      <c r="L369" s="1126"/>
      <c r="M369" s="1126"/>
      <c r="N369" s="1126"/>
      <c r="O369" s="1126"/>
      <c r="P369" s="1126"/>
      <c r="Q369" s="1126"/>
      <c r="R369" s="1126"/>
      <c r="S369" s="1126"/>
      <c r="T369" s="1126"/>
      <c r="U369" s="1126"/>
      <c r="V369" s="1126"/>
      <c r="W369" s="1126"/>
      <c r="X369" s="1126"/>
      <c r="Y369" s="1126"/>
      <c r="Z369" s="1126"/>
      <c r="AA369" s="1126"/>
      <c r="AB369" s="1126"/>
      <c r="AC369" s="1126"/>
      <c r="AD369" s="1126"/>
      <c r="AE369" s="1126"/>
      <c r="AF369" s="1126"/>
      <c r="AG369" s="1126"/>
      <c r="AH369" s="1126"/>
      <c r="AI369" s="1126"/>
      <c r="AJ369" s="1126"/>
      <c r="AK369" s="1126"/>
      <c r="AL369" s="1126"/>
      <c r="AM369" s="1126"/>
      <c r="AN369" s="1126"/>
      <c r="AO369" s="1126"/>
      <c r="AP369" s="1126"/>
      <c r="AQ369" s="1126"/>
      <c r="AR369" s="1126"/>
      <c r="AS369" s="1126"/>
      <c r="AT369" s="1126"/>
      <c r="AU369" s="413"/>
      <c r="AV369" s="1075"/>
    </row>
    <row r="370" spans="1:48" ht="15" customHeight="1" x14ac:dyDescent="0.2">
      <c r="A370" s="1076"/>
      <c r="B370" s="1045" t="str">
        <f t="shared" si="7"/>
        <v>Desk 50</v>
      </c>
      <c r="C370" s="1385" t="str">
        <f>IF('TB IMA general'!C135&lt;&gt;"",'TB IMA general'!C135,"")</f>
        <v/>
      </c>
      <c r="D370" s="1126"/>
      <c r="E370" s="1126"/>
      <c r="F370" s="1126"/>
      <c r="G370" s="1126"/>
      <c r="H370" s="1126"/>
      <c r="I370" s="1126"/>
      <c r="J370" s="1126"/>
      <c r="K370" s="1126"/>
      <c r="L370" s="1126"/>
      <c r="M370" s="1126"/>
      <c r="N370" s="1126"/>
      <c r="O370" s="1126"/>
      <c r="P370" s="1126"/>
      <c r="Q370" s="1126"/>
      <c r="R370" s="1126"/>
      <c r="S370" s="1126"/>
      <c r="T370" s="1126"/>
      <c r="U370" s="1126"/>
      <c r="V370" s="1126"/>
      <c r="W370" s="1126"/>
      <c r="X370" s="1126"/>
      <c r="Y370" s="1126"/>
      <c r="Z370" s="1126"/>
      <c r="AA370" s="1126"/>
      <c r="AB370" s="1126"/>
      <c r="AC370" s="1126"/>
      <c r="AD370" s="1126"/>
      <c r="AE370" s="1126"/>
      <c r="AF370" s="1126"/>
      <c r="AG370" s="1126"/>
      <c r="AH370" s="1126"/>
      <c r="AI370" s="1126"/>
      <c r="AJ370" s="1126"/>
      <c r="AK370" s="1126"/>
      <c r="AL370" s="1126"/>
      <c r="AM370" s="1126"/>
      <c r="AN370" s="1126"/>
      <c r="AO370" s="1126"/>
      <c r="AP370" s="1126"/>
      <c r="AQ370" s="1126"/>
      <c r="AR370" s="1126"/>
      <c r="AS370" s="1126"/>
      <c r="AT370" s="1126"/>
      <c r="AU370" s="413"/>
      <c r="AV370" s="1075"/>
    </row>
    <row r="371" spans="1:48" ht="15" customHeight="1" x14ac:dyDescent="0.2">
      <c r="A371" s="1076"/>
      <c r="B371" s="1045" t="str">
        <f t="shared" si="7"/>
        <v>Desk 51</v>
      </c>
      <c r="C371" s="1385" t="str">
        <f>IF('TB IMA general'!C136&lt;&gt;"",'TB IMA general'!C136,"")</f>
        <v/>
      </c>
      <c r="D371" s="1126"/>
      <c r="E371" s="1126"/>
      <c r="F371" s="1126"/>
      <c r="G371" s="1126"/>
      <c r="H371" s="1126"/>
      <c r="I371" s="1126"/>
      <c r="J371" s="1126"/>
      <c r="K371" s="1126"/>
      <c r="L371" s="1126"/>
      <c r="M371" s="1126"/>
      <c r="N371" s="1126"/>
      <c r="O371" s="1126"/>
      <c r="P371" s="1126"/>
      <c r="Q371" s="1126"/>
      <c r="R371" s="1126"/>
      <c r="S371" s="1126"/>
      <c r="T371" s="1126"/>
      <c r="U371" s="1126"/>
      <c r="V371" s="1126"/>
      <c r="W371" s="1126"/>
      <c r="X371" s="1126"/>
      <c r="Y371" s="1126"/>
      <c r="Z371" s="1126"/>
      <c r="AA371" s="1126"/>
      <c r="AB371" s="1126"/>
      <c r="AC371" s="1126"/>
      <c r="AD371" s="1126"/>
      <c r="AE371" s="1126"/>
      <c r="AF371" s="1126"/>
      <c r="AG371" s="1126"/>
      <c r="AH371" s="1126"/>
      <c r="AI371" s="1126"/>
      <c r="AJ371" s="1126"/>
      <c r="AK371" s="1126"/>
      <c r="AL371" s="1126"/>
      <c r="AM371" s="1126"/>
      <c r="AN371" s="1126"/>
      <c r="AO371" s="1126"/>
      <c r="AP371" s="1126"/>
      <c r="AQ371" s="1126"/>
      <c r="AR371" s="1126"/>
      <c r="AS371" s="1126"/>
      <c r="AT371" s="1126"/>
      <c r="AU371" s="413"/>
      <c r="AV371" s="1075"/>
    </row>
    <row r="372" spans="1:48" ht="15" customHeight="1" x14ac:dyDescent="0.2">
      <c r="A372" s="1076"/>
      <c r="B372" s="1045" t="str">
        <f t="shared" si="7"/>
        <v>Desk 52</v>
      </c>
      <c r="C372" s="1385" t="str">
        <f>IF('TB IMA general'!C137&lt;&gt;"",'TB IMA general'!C137,"")</f>
        <v/>
      </c>
      <c r="D372" s="1126"/>
      <c r="E372" s="1126"/>
      <c r="F372" s="1126"/>
      <c r="G372" s="1126"/>
      <c r="H372" s="1126"/>
      <c r="I372" s="1126"/>
      <c r="J372" s="1126"/>
      <c r="K372" s="1126"/>
      <c r="L372" s="1126"/>
      <c r="M372" s="1126"/>
      <c r="N372" s="1126"/>
      <c r="O372" s="1126"/>
      <c r="P372" s="1126"/>
      <c r="Q372" s="1126"/>
      <c r="R372" s="1126"/>
      <c r="S372" s="1126"/>
      <c r="T372" s="1126"/>
      <c r="U372" s="1126"/>
      <c r="V372" s="1126"/>
      <c r="W372" s="1126"/>
      <c r="X372" s="1126"/>
      <c r="Y372" s="1126"/>
      <c r="Z372" s="1126"/>
      <c r="AA372" s="1126"/>
      <c r="AB372" s="1126"/>
      <c r="AC372" s="1126"/>
      <c r="AD372" s="1126"/>
      <c r="AE372" s="1126"/>
      <c r="AF372" s="1126"/>
      <c r="AG372" s="1126"/>
      <c r="AH372" s="1126"/>
      <c r="AI372" s="1126"/>
      <c r="AJ372" s="1126"/>
      <c r="AK372" s="1126"/>
      <c r="AL372" s="1126"/>
      <c r="AM372" s="1126"/>
      <c r="AN372" s="1126"/>
      <c r="AO372" s="1126"/>
      <c r="AP372" s="1126"/>
      <c r="AQ372" s="1126"/>
      <c r="AR372" s="1126"/>
      <c r="AS372" s="1126"/>
      <c r="AT372" s="1126"/>
      <c r="AU372" s="413"/>
      <c r="AV372" s="1075"/>
    </row>
    <row r="373" spans="1:48" ht="15" customHeight="1" x14ac:dyDescent="0.2">
      <c r="A373" s="1076"/>
      <c r="B373" s="1045" t="str">
        <f t="shared" si="7"/>
        <v>Desk 53</v>
      </c>
      <c r="C373" s="1385" t="str">
        <f>IF('TB IMA general'!C138&lt;&gt;"",'TB IMA general'!C138,"")</f>
        <v/>
      </c>
      <c r="D373" s="1126"/>
      <c r="E373" s="1126"/>
      <c r="F373" s="1126"/>
      <c r="G373" s="1126"/>
      <c r="H373" s="1126"/>
      <c r="I373" s="1126"/>
      <c r="J373" s="1126"/>
      <c r="K373" s="1126"/>
      <c r="L373" s="1126"/>
      <c r="M373" s="1126"/>
      <c r="N373" s="1126"/>
      <c r="O373" s="1126"/>
      <c r="P373" s="1126"/>
      <c r="Q373" s="1126"/>
      <c r="R373" s="1126"/>
      <c r="S373" s="1126"/>
      <c r="T373" s="1126"/>
      <c r="U373" s="1126"/>
      <c r="V373" s="1126"/>
      <c r="W373" s="1126"/>
      <c r="X373" s="1126"/>
      <c r="Y373" s="1126"/>
      <c r="Z373" s="1126"/>
      <c r="AA373" s="1126"/>
      <c r="AB373" s="1126"/>
      <c r="AC373" s="1126"/>
      <c r="AD373" s="1126"/>
      <c r="AE373" s="1126"/>
      <c r="AF373" s="1126"/>
      <c r="AG373" s="1126"/>
      <c r="AH373" s="1126"/>
      <c r="AI373" s="1126"/>
      <c r="AJ373" s="1126"/>
      <c r="AK373" s="1126"/>
      <c r="AL373" s="1126"/>
      <c r="AM373" s="1126"/>
      <c r="AN373" s="1126"/>
      <c r="AO373" s="1126"/>
      <c r="AP373" s="1126"/>
      <c r="AQ373" s="1126"/>
      <c r="AR373" s="1126"/>
      <c r="AS373" s="1126"/>
      <c r="AT373" s="1126"/>
      <c r="AU373" s="413"/>
      <c r="AV373" s="1075"/>
    </row>
    <row r="374" spans="1:48" ht="15" customHeight="1" x14ac:dyDescent="0.2">
      <c r="A374" s="1076"/>
      <c r="B374" s="1045" t="str">
        <f t="shared" si="7"/>
        <v>Desk 54</v>
      </c>
      <c r="C374" s="1385" t="str">
        <f>IF('TB IMA general'!C139&lt;&gt;"",'TB IMA general'!C139,"")</f>
        <v/>
      </c>
      <c r="D374" s="1126"/>
      <c r="E374" s="1126"/>
      <c r="F374" s="1126"/>
      <c r="G374" s="1126"/>
      <c r="H374" s="1126"/>
      <c r="I374" s="1126"/>
      <c r="J374" s="1126"/>
      <c r="K374" s="1126"/>
      <c r="L374" s="1126"/>
      <c r="M374" s="1126"/>
      <c r="N374" s="1126"/>
      <c r="O374" s="1126"/>
      <c r="P374" s="1126"/>
      <c r="Q374" s="1126"/>
      <c r="R374" s="1126"/>
      <c r="S374" s="1126"/>
      <c r="T374" s="1126"/>
      <c r="U374" s="1126"/>
      <c r="V374" s="1126"/>
      <c r="W374" s="1126"/>
      <c r="X374" s="1126"/>
      <c r="Y374" s="1126"/>
      <c r="Z374" s="1126"/>
      <c r="AA374" s="1126"/>
      <c r="AB374" s="1126"/>
      <c r="AC374" s="1126"/>
      <c r="AD374" s="1126"/>
      <c r="AE374" s="1126"/>
      <c r="AF374" s="1126"/>
      <c r="AG374" s="1126"/>
      <c r="AH374" s="1126"/>
      <c r="AI374" s="1126"/>
      <c r="AJ374" s="1126"/>
      <c r="AK374" s="1126"/>
      <c r="AL374" s="1126"/>
      <c r="AM374" s="1126"/>
      <c r="AN374" s="1126"/>
      <c r="AO374" s="1126"/>
      <c r="AP374" s="1126"/>
      <c r="AQ374" s="1126"/>
      <c r="AR374" s="1126"/>
      <c r="AS374" s="1126"/>
      <c r="AT374" s="1126"/>
      <c r="AU374" s="413"/>
      <c r="AV374" s="1075"/>
    </row>
    <row r="375" spans="1:48" ht="15" customHeight="1" x14ac:dyDescent="0.2">
      <c r="A375" s="1076"/>
      <c r="B375" s="1045" t="str">
        <f t="shared" si="7"/>
        <v>Desk 55</v>
      </c>
      <c r="C375" s="1385" t="str">
        <f>IF('TB IMA general'!C140&lt;&gt;"",'TB IMA general'!C140,"")</f>
        <v/>
      </c>
      <c r="D375" s="1126"/>
      <c r="E375" s="1126"/>
      <c r="F375" s="1126"/>
      <c r="G375" s="1126"/>
      <c r="H375" s="1126"/>
      <c r="I375" s="1126"/>
      <c r="J375" s="1126"/>
      <c r="K375" s="1126"/>
      <c r="L375" s="1126"/>
      <c r="M375" s="1126"/>
      <c r="N375" s="1126"/>
      <c r="O375" s="1126"/>
      <c r="P375" s="1126"/>
      <c r="Q375" s="1126"/>
      <c r="R375" s="1126"/>
      <c r="S375" s="1126"/>
      <c r="T375" s="1126"/>
      <c r="U375" s="1126"/>
      <c r="V375" s="1126"/>
      <c r="W375" s="1126"/>
      <c r="X375" s="1126"/>
      <c r="Y375" s="1126"/>
      <c r="Z375" s="1126"/>
      <c r="AA375" s="1126"/>
      <c r="AB375" s="1126"/>
      <c r="AC375" s="1126"/>
      <c r="AD375" s="1126"/>
      <c r="AE375" s="1126"/>
      <c r="AF375" s="1126"/>
      <c r="AG375" s="1126"/>
      <c r="AH375" s="1126"/>
      <c r="AI375" s="1126"/>
      <c r="AJ375" s="1126"/>
      <c r="AK375" s="1126"/>
      <c r="AL375" s="1126"/>
      <c r="AM375" s="1126"/>
      <c r="AN375" s="1126"/>
      <c r="AO375" s="1126"/>
      <c r="AP375" s="1126"/>
      <c r="AQ375" s="1126"/>
      <c r="AR375" s="1126"/>
      <c r="AS375" s="1126"/>
      <c r="AT375" s="1126"/>
      <c r="AU375" s="413"/>
      <c r="AV375" s="1075"/>
    </row>
    <row r="376" spans="1:48" ht="15" customHeight="1" x14ac:dyDescent="0.2">
      <c r="A376" s="1076"/>
      <c r="B376" s="1045" t="str">
        <f t="shared" si="7"/>
        <v>Desk 56</v>
      </c>
      <c r="C376" s="1385" t="str">
        <f>IF('TB IMA general'!C141&lt;&gt;"",'TB IMA general'!C141,"")</f>
        <v/>
      </c>
      <c r="D376" s="1126"/>
      <c r="E376" s="1126"/>
      <c r="F376" s="1126"/>
      <c r="G376" s="1126"/>
      <c r="H376" s="1126"/>
      <c r="I376" s="1126"/>
      <c r="J376" s="1126"/>
      <c r="K376" s="1126"/>
      <c r="L376" s="1126"/>
      <c r="M376" s="1126"/>
      <c r="N376" s="1126"/>
      <c r="O376" s="1126"/>
      <c r="P376" s="1126"/>
      <c r="Q376" s="1126"/>
      <c r="R376" s="1126"/>
      <c r="S376" s="1126"/>
      <c r="T376" s="1126"/>
      <c r="U376" s="1126"/>
      <c r="V376" s="1126"/>
      <c r="W376" s="1126"/>
      <c r="X376" s="1126"/>
      <c r="Y376" s="1126"/>
      <c r="Z376" s="1126"/>
      <c r="AA376" s="1126"/>
      <c r="AB376" s="1126"/>
      <c r="AC376" s="1126"/>
      <c r="AD376" s="1126"/>
      <c r="AE376" s="1126"/>
      <c r="AF376" s="1126"/>
      <c r="AG376" s="1126"/>
      <c r="AH376" s="1126"/>
      <c r="AI376" s="1126"/>
      <c r="AJ376" s="1126"/>
      <c r="AK376" s="1126"/>
      <c r="AL376" s="1126"/>
      <c r="AM376" s="1126"/>
      <c r="AN376" s="1126"/>
      <c r="AO376" s="1126"/>
      <c r="AP376" s="1126"/>
      <c r="AQ376" s="1126"/>
      <c r="AR376" s="1126"/>
      <c r="AS376" s="1126"/>
      <c r="AT376" s="1126"/>
      <c r="AU376" s="413"/>
      <c r="AV376" s="1075"/>
    </row>
    <row r="377" spans="1:48" ht="15" customHeight="1" x14ac:dyDescent="0.2">
      <c r="A377" s="1076"/>
      <c r="B377" s="1045" t="str">
        <f t="shared" si="7"/>
        <v>Desk 57</v>
      </c>
      <c r="C377" s="1385" t="str">
        <f>IF('TB IMA general'!C142&lt;&gt;"",'TB IMA general'!C142,"")</f>
        <v/>
      </c>
      <c r="D377" s="1126"/>
      <c r="E377" s="1126"/>
      <c r="F377" s="1126"/>
      <c r="G377" s="1126"/>
      <c r="H377" s="1126"/>
      <c r="I377" s="1126"/>
      <c r="J377" s="1126"/>
      <c r="K377" s="1126"/>
      <c r="L377" s="1126"/>
      <c r="M377" s="1126"/>
      <c r="N377" s="1126"/>
      <c r="O377" s="1126"/>
      <c r="P377" s="1126"/>
      <c r="Q377" s="1126"/>
      <c r="R377" s="1126"/>
      <c r="S377" s="1126"/>
      <c r="T377" s="1126"/>
      <c r="U377" s="1126"/>
      <c r="V377" s="1126"/>
      <c r="W377" s="1126"/>
      <c r="X377" s="1126"/>
      <c r="Y377" s="1126"/>
      <c r="Z377" s="1126"/>
      <c r="AA377" s="1126"/>
      <c r="AB377" s="1126"/>
      <c r="AC377" s="1126"/>
      <c r="AD377" s="1126"/>
      <c r="AE377" s="1126"/>
      <c r="AF377" s="1126"/>
      <c r="AG377" s="1126"/>
      <c r="AH377" s="1126"/>
      <c r="AI377" s="1126"/>
      <c r="AJ377" s="1126"/>
      <c r="AK377" s="1126"/>
      <c r="AL377" s="1126"/>
      <c r="AM377" s="1126"/>
      <c r="AN377" s="1126"/>
      <c r="AO377" s="1126"/>
      <c r="AP377" s="1126"/>
      <c r="AQ377" s="1126"/>
      <c r="AR377" s="1126"/>
      <c r="AS377" s="1126"/>
      <c r="AT377" s="1126"/>
      <c r="AU377" s="413"/>
      <c r="AV377" s="1075"/>
    </row>
    <row r="378" spans="1:48" ht="15" customHeight="1" x14ac:dyDescent="0.2">
      <c r="A378" s="1076"/>
      <c r="B378" s="1045" t="str">
        <f t="shared" si="7"/>
        <v>Desk 58</v>
      </c>
      <c r="C378" s="1385" t="str">
        <f>IF('TB IMA general'!C143&lt;&gt;"",'TB IMA general'!C143,"")</f>
        <v/>
      </c>
      <c r="D378" s="1126"/>
      <c r="E378" s="1126"/>
      <c r="F378" s="1126"/>
      <c r="G378" s="1126"/>
      <c r="H378" s="1126"/>
      <c r="I378" s="1126"/>
      <c r="J378" s="1126"/>
      <c r="K378" s="1126"/>
      <c r="L378" s="1126"/>
      <c r="M378" s="1126"/>
      <c r="N378" s="1126"/>
      <c r="O378" s="1126"/>
      <c r="P378" s="1126"/>
      <c r="Q378" s="1126"/>
      <c r="R378" s="1126"/>
      <c r="S378" s="1126"/>
      <c r="T378" s="1126"/>
      <c r="U378" s="1126"/>
      <c r="V378" s="1126"/>
      <c r="W378" s="1126"/>
      <c r="X378" s="1126"/>
      <c r="Y378" s="1126"/>
      <c r="Z378" s="1126"/>
      <c r="AA378" s="1126"/>
      <c r="AB378" s="1126"/>
      <c r="AC378" s="1126"/>
      <c r="AD378" s="1126"/>
      <c r="AE378" s="1126"/>
      <c r="AF378" s="1126"/>
      <c r="AG378" s="1126"/>
      <c r="AH378" s="1126"/>
      <c r="AI378" s="1126"/>
      <c r="AJ378" s="1126"/>
      <c r="AK378" s="1126"/>
      <c r="AL378" s="1126"/>
      <c r="AM378" s="1126"/>
      <c r="AN378" s="1126"/>
      <c r="AO378" s="1126"/>
      <c r="AP378" s="1126"/>
      <c r="AQ378" s="1126"/>
      <c r="AR378" s="1126"/>
      <c r="AS378" s="1126"/>
      <c r="AT378" s="1126"/>
      <c r="AU378" s="413"/>
      <c r="AV378" s="1075"/>
    </row>
    <row r="379" spans="1:48" ht="15" customHeight="1" x14ac:dyDescent="0.2">
      <c r="A379" s="1076"/>
      <c r="B379" s="1045" t="str">
        <f t="shared" si="7"/>
        <v>Desk 59</v>
      </c>
      <c r="C379" s="1385" t="str">
        <f>IF('TB IMA general'!C144&lt;&gt;"",'TB IMA general'!C144,"")</f>
        <v/>
      </c>
      <c r="D379" s="1126"/>
      <c r="E379" s="1126"/>
      <c r="F379" s="1126"/>
      <c r="G379" s="1126"/>
      <c r="H379" s="1126"/>
      <c r="I379" s="1126"/>
      <c r="J379" s="1126"/>
      <c r="K379" s="1126"/>
      <c r="L379" s="1126"/>
      <c r="M379" s="1126"/>
      <c r="N379" s="1126"/>
      <c r="O379" s="1126"/>
      <c r="P379" s="1126"/>
      <c r="Q379" s="1126"/>
      <c r="R379" s="1126"/>
      <c r="S379" s="1126"/>
      <c r="T379" s="1126"/>
      <c r="U379" s="1126"/>
      <c r="V379" s="1126"/>
      <c r="W379" s="1126"/>
      <c r="X379" s="1126"/>
      <c r="Y379" s="1126"/>
      <c r="Z379" s="1126"/>
      <c r="AA379" s="1126"/>
      <c r="AB379" s="1126"/>
      <c r="AC379" s="1126"/>
      <c r="AD379" s="1126"/>
      <c r="AE379" s="1126"/>
      <c r="AF379" s="1126"/>
      <c r="AG379" s="1126"/>
      <c r="AH379" s="1126"/>
      <c r="AI379" s="1126"/>
      <c r="AJ379" s="1126"/>
      <c r="AK379" s="1126"/>
      <c r="AL379" s="1126"/>
      <c r="AM379" s="1126"/>
      <c r="AN379" s="1126"/>
      <c r="AO379" s="1126"/>
      <c r="AP379" s="1126"/>
      <c r="AQ379" s="1126"/>
      <c r="AR379" s="1126"/>
      <c r="AS379" s="1126"/>
      <c r="AT379" s="1126"/>
      <c r="AU379" s="413"/>
      <c r="AV379" s="1075"/>
    </row>
    <row r="380" spans="1:48" ht="15" customHeight="1" x14ac:dyDescent="0.2">
      <c r="A380" s="1076"/>
      <c r="B380" s="1045" t="str">
        <f t="shared" si="7"/>
        <v>Desk 60</v>
      </c>
      <c r="C380" s="1385" t="str">
        <f>IF('TB IMA general'!C145&lt;&gt;"",'TB IMA general'!C145,"")</f>
        <v/>
      </c>
      <c r="D380" s="1126"/>
      <c r="E380" s="1126"/>
      <c r="F380" s="1126"/>
      <c r="G380" s="1126"/>
      <c r="H380" s="1126"/>
      <c r="I380" s="1126"/>
      <c r="J380" s="1126"/>
      <c r="K380" s="1126"/>
      <c r="L380" s="1126"/>
      <c r="M380" s="1126"/>
      <c r="N380" s="1126"/>
      <c r="O380" s="1126"/>
      <c r="P380" s="1126"/>
      <c r="Q380" s="1126"/>
      <c r="R380" s="1126"/>
      <c r="S380" s="1126"/>
      <c r="T380" s="1126"/>
      <c r="U380" s="1126"/>
      <c r="V380" s="1126"/>
      <c r="W380" s="1126"/>
      <c r="X380" s="1126"/>
      <c r="Y380" s="1126"/>
      <c r="Z380" s="1126"/>
      <c r="AA380" s="1126"/>
      <c r="AB380" s="1126"/>
      <c r="AC380" s="1126"/>
      <c r="AD380" s="1126"/>
      <c r="AE380" s="1126"/>
      <c r="AF380" s="1126"/>
      <c r="AG380" s="1126"/>
      <c r="AH380" s="1126"/>
      <c r="AI380" s="1126"/>
      <c r="AJ380" s="1126"/>
      <c r="AK380" s="1126"/>
      <c r="AL380" s="1126"/>
      <c r="AM380" s="1126"/>
      <c r="AN380" s="1126"/>
      <c r="AO380" s="1126"/>
      <c r="AP380" s="1126"/>
      <c r="AQ380" s="1126"/>
      <c r="AR380" s="1126"/>
      <c r="AS380" s="1126"/>
      <c r="AT380" s="1126"/>
      <c r="AU380" s="413"/>
      <c r="AV380" s="1075"/>
    </row>
    <row r="381" spans="1:48" ht="15" customHeight="1" x14ac:dyDescent="0.2">
      <c r="A381" s="1076"/>
      <c r="B381" s="1045" t="str">
        <f t="shared" si="7"/>
        <v>Desk 61</v>
      </c>
      <c r="C381" s="1385" t="str">
        <f>IF('TB IMA general'!C146&lt;&gt;"",'TB IMA general'!C146,"")</f>
        <v/>
      </c>
      <c r="D381" s="1126"/>
      <c r="E381" s="1126"/>
      <c r="F381" s="1126"/>
      <c r="G381" s="1126"/>
      <c r="H381" s="1126"/>
      <c r="I381" s="1126"/>
      <c r="J381" s="1126"/>
      <c r="K381" s="1126"/>
      <c r="L381" s="1126"/>
      <c r="M381" s="1126"/>
      <c r="N381" s="1126"/>
      <c r="O381" s="1126"/>
      <c r="P381" s="1126"/>
      <c r="Q381" s="1126"/>
      <c r="R381" s="1126"/>
      <c r="S381" s="1126"/>
      <c r="T381" s="1126"/>
      <c r="U381" s="1126"/>
      <c r="V381" s="1126"/>
      <c r="W381" s="1126"/>
      <c r="X381" s="1126"/>
      <c r="Y381" s="1126"/>
      <c r="Z381" s="1126"/>
      <c r="AA381" s="1126"/>
      <c r="AB381" s="1126"/>
      <c r="AC381" s="1126"/>
      <c r="AD381" s="1126"/>
      <c r="AE381" s="1126"/>
      <c r="AF381" s="1126"/>
      <c r="AG381" s="1126"/>
      <c r="AH381" s="1126"/>
      <c r="AI381" s="1126"/>
      <c r="AJ381" s="1126"/>
      <c r="AK381" s="1126"/>
      <c r="AL381" s="1126"/>
      <c r="AM381" s="1126"/>
      <c r="AN381" s="1126"/>
      <c r="AO381" s="1126"/>
      <c r="AP381" s="1126"/>
      <c r="AQ381" s="1126"/>
      <c r="AR381" s="1126"/>
      <c r="AS381" s="1126"/>
      <c r="AT381" s="1126"/>
      <c r="AU381" s="413"/>
      <c r="AV381" s="1075"/>
    </row>
    <row r="382" spans="1:48" ht="15" customHeight="1" x14ac:dyDescent="0.2">
      <c r="A382" s="1076"/>
      <c r="B382" s="1045" t="str">
        <f t="shared" si="7"/>
        <v>Desk 62</v>
      </c>
      <c r="C382" s="1385" t="str">
        <f>IF('TB IMA general'!C147&lt;&gt;"",'TB IMA general'!C147,"")</f>
        <v/>
      </c>
      <c r="D382" s="1126"/>
      <c r="E382" s="1126"/>
      <c r="F382" s="1126"/>
      <c r="G382" s="1126"/>
      <c r="H382" s="1126"/>
      <c r="I382" s="1126"/>
      <c r="J382" s="1126"/>
      <c r="K382" s="1126"/>
      <c r="L382" s="1126"/>
      <c r="M382" s="1126"/>
      <c r="N382" s="1126"/>
      <c r="O382" s="1126"/>
      <c r="P382" s="1126"/>
      <c r="Q382" s="1126"/>
      <c r="R382" s="1126"/>
      <c r="S382" s="1126"/>
      <c r="T382" s="1126"/>
      <c r="U382" s="1126"/>
      <c r="V382" s="1126"/>
      <c r="W382" s="1126"/>
      <c r="X382" s="1126"/>
      <c r="Y382" s="1126"/>
      <c r="Z382" s="1126"/>
      <c r="AA382" s="1126"/>
      <c r="AB382" s="1126"/>
      <c r="AC382" s="1126"/>
      <c r="AD382" s="1126"/>
      <c r="AE382" s="1126"/>
      <c r="AF382" s="1126"/>
      <c r="AG382" s="1126"/>
      <c r="AH382" s="1126"/>
      <c r="AI382" s="1126"/>
      <c r="AJ382" s="1126"/>
      <c r="AK382" s="1126"/>
      <c r="AL382" s="1126"/>
      <c r="AM382" s="1126"/>
      <c r="AN382" s="1126"/>
      <c r="AO382" s="1126"/>
      <c r="AP382" s="1126"/>
      <c r="AQ382" s="1126"/>
      <c r="AR382" s="1126"/>
      <c r="AS382" s="1126"/>
      <c r="AT382" s="1126"/>
      <c r="AU382" s="413"/>
      <c r="AV382" s="1075"/>
    </row>
    <row r="383" spans="1:48" ht="15" customHeight="1" x14ac:dyDescent="0.2">
      <c r="A383" s="1076"/>
      <c r="B383" s="1045" t="str">
        <f t="shared" si="7"/>
        <v>Desk 63</v>
      </c>
      <c r="C383" s="1385" t="str">
        <f>IF('TB IMA general'!C148&lt;&gt;"",'TB IMA general'!C148,"")</f>
        <v/>
      </c>
      <c r="D383" s="1126"/>
      <c r="E383" s="1126"/>
      <c r="F383" s="1126"/>
      <c r="G383" s="1126"/>
      <c r="H383" s="1126"/>
      <c r="I383" s="1126"/>
      <c r="J383" s="1126"/>
      <c r="K383" s="1126"/>
      <c r="L383" s="1126"/>
      <c r="M383" s="1126"/>
      <c r="N383" s="1126"/>
      <c r="O383" s="1126"/>
      <c r="P383" s="1126"/>
      <c r="Q383" s="1126"/>
      <c r="R383" s="1126"/>
      <c r="S383" s="1126"/>
      <c r="T383" s="1126"/>
      <c r="U383" s="1126"/>
      <c r="V383" s="1126"/>
      <c r="W383" s="1126"/>
      <c r="X383" s="1126"/>
      <c r="Y383" s="1126"/>
      <c r="Z383" s="1126"/>
      <c r="AA383" s="1126"/>
      <c r="AB383" s="1126"/>
      <c r="AC383" s="1126"/>
      <c r="AD383" s="1126"/>
      <c r="AE383" s="1126"/>
      <c r="AF383" s="1126"/>
      <c r="AG383" s="1126"/>
      <c r="AH383" s="1126"/>
      <c r="AI383" s="1126"/>
      <c r="AJ383" s="1126"/>
      <c r="AK383" s="1126"/>
      <c r="AL383" s="1126"/>
      <c r="AM383" s="1126"/>
      <c r="AN383" s="1126"/>
      <c r="AO383" s="1126"/>
      <c r="AP383" s="1126"/>
      <c r="AQ383" s="1126"/>
      <c r="AR383" s="1126"/>
      <c r="AS383" s="1126"/>
      <c r="AT383" s="1126"/>
      <c r="AU383" s="413"/>
      <c r="AV383" s="1075"/>
    </row>
    <row r="384" spans="1:48" ht="15" customHeight="1" x14ac:dyDescent="0.2">
      <c r="A384" s="1076"/>
      <c r="B384" s="1045" t="str">
        <f t="shared" si="7"/>
        <v>Desk 64</v>
      </c>
      <c r="C384" s="1385" t="str">
        <f>IF('TB IMA general'!C149&lt;&gt;"",'TB IMA general'!C149,"")</f>
        <v/>
      </c>
      <c r="D384" s="1126"/>
      <c r="E384" s="1126"/>
      <c r="F384" s="1126"/>
      <c r="G384" s="1126"/>
      <c r="H384" s="1126"/>
      <c r="I384" s="1126"/>
      <c r="J384" s="1126"/>
      <c r="K384" s="1126"/>
      <c r="L384" s="1126"/>
      <c r="M384" s="1126"/>
      <c r="N384" s="1126"/>
      <c r="O384" s="1126"/>
      <c r="P384" s="1126"/>
      <c r="Q384" s="1126"/>
      <c r="R384" s="1126"/>
      <c r="S384" s="1126"/>
      <c r="T384" s="1126"/>
      <c r="U384" s="1126"/>
      <c r="V384" s="1126"/>
      <c r="W384" s="1126"/>
      <c r="X384" s="1126"/>
      <c r="Y384" s="1126"/>
      <c r="Z384" s="1126"/>
      <c r="AA384" s="1126"/>
      <c r="AB384" s="1126"/>
      <c r="AC384" s="1126"/>
      <c r="AD384" s="1126"/>
      <c r="AE384" s="1126"/>
      <c r="AF384" s="1126"/>
      <c r="AG384" s="1126"/>
      <c r="AH384" s="1126"/>
      <c r="AI384" s="1126"/>
      <c r="AJ384" s="1126"/>
      <c r="AK384" s="1126"/>
      <c r="AL384" s="1126"/>
      <c r="AM384" s="1126"/>
      <c r="AN384" s="1126"/>
      <c r="AO384" s="1126"/>
      <c r="AP384" s="1126"/>
      <c r="AQ384" s="1126"/>
      <c r="AR384" s="1126"/>
      <c r="AS384" s="1126"/>
      <c r="AT384" s="1126"/>
      <c r="AU384" s="413"/>
      <c r="AV384" s="1075"/>
    </row>
    <row r="385" spans="1:48" ht="15" customHeight="1" x14ac:dyDescent="0.2">
      <c r="A385" s="1076"/>
      <c r="B385" s="1045" t="str">
        <f t="shared" si="7"/>
        <v>Desk 65</v>
      </c>
      <c r="C385" s="1385" t="str">
        <f>IF('TB IMA general'!C150&lt;&gt;"",'TB IMA general'!C150,"")</f>
        <v/>
      </c>
      <c r="D385" s="1126"/>
      <c r="E385" s="1126"/>
      <c r="F385" s="1126"/>
      <c r="G385" s="1126"/>
      <c r="H385" s="1126"/>
      <c r="I385" s="1126"/>
      <c r="J385" s="1126"/>
      <c r="K385" s="1126"/>
      <c r="L385" s="1126"/>
      <c r="M385" s="1126"/>
      <c r="N385" s="1126"/>
      <c r="O385" s="1126"/>
      <c r="P385" s="1126"/>
      <c r="Q385" s="1126"/>
      <c r="R385" s="1126"/>
      <c r="S385" s="1126"/>
      <c r="T385" s="1126"/>
      <c r="U385" s="1126"/>
      <c r="V385" s="1126"/>
      <c r="W385" s="1126"/>
      <c r="X385" s="1126"/>
      <c r="Y385" s="1126"/>
      <c r="Z385" s="1126"/>
      <c r="AA385" s="1126"/>
      <c r="AB385" s="1126"/>
      <c r="AC385" s="1126"/>
      <c r="AD385" s="1126"/>
      <c r="AE385" s="1126"/>
      <c r="AF385" s="1126"/>
      <c r="AG385" s="1126"/>
      <c r="AH385" s="1126"/>
      <c r="AI385" s="1126"/>
      <c r="AJ385" s="1126"/>
      <c r="AK385" s="1126"/>
      <c r="AL385" s="1126"/>
      <c r="AM385" s="1126"/>
      <c r="AN385" s="1126"/>
      <c r="AO385" s="1126"/>
      <c r="AP385" s="1126"/>
      <c r="AQ385" s="1126"/>
      <c r="AR385" s="1126"/>
      <c r="AS385" s="1126"/>
      <c r="AT385" s="1126"/>
      <c r="AU385" s="413"/>
      <c r="AV385" s="1075"/>
    </row>
    <row r="386" spans="1:48" ht="15" customHeight="1" x14ac:dyDescent="0.2">
      <c r="A386" s="1076"/>
      <c r="B386" s="1045" t="str">
        <f t="shared" ref="B386:B420" si="8">"Desk " &amp; (ROW(B386)-ROW(B$320))</f>
        <v>Desk 66</v>
      </c>
      <c r="C386" s="1385" t="str">
        <f>IF('TB IMA general'!C151&lt;&gt;"",'TB IMA general'!C151,"")</f>
        <v/>
      </c>
      <c r="D386" s="1126"/>
      <c r="E386" s="1126"/>
      <c r="F386" s="1126"/>
      <c r="G386" s="1126"/>
      <c r="H386" s="1126"/>
      <c r="I386" s="1126"/>
      <c r="J386" s="1126"/>
      <c r="K386" s="1126"/>
      <c r="L386" s="1126"/>
      <c r="M386" s="1126"/>
      <c r="N386" s="1126"/>
      <c r="O386" s="1126"/>
      <c r="P386" s="1126"/>
      <c r="Q386" s="1126"/>
      <c r="R386" s="1126"/>
      <c r="S386" s="1126"/>
      <c r="T386" s="1126"/>
      <c r="U386" s="1126"/>
      <c r="V386" s="1126"/>
      <c r="W386" s="1126"/>
      <c r="X386" s="1126"/>
      <c r="Y386" s="1126"/>
      <c r="Z386" s="1126"/>
      <c r="AA386" s="1126"/>
      <c r="AB386" s="1126"/>
      <c r="AC386" s="1126"/>
      <c r="AD386" s="1126"/>
      <c r="AE386" s="1126"/>
      <c r="AF386" s="1126"/>
      <c r="AG386" s="1126"/>
      <c r="AH386" s="1126"/>
      <c r="AI386" s="1126"/>
      <c r="AJ386" s="1126"/>
      <c r="AK386" s="1126"/>
      <c r="AL386" s="1126"/>
      <c r="AM386" s="1126"/>
      <c r="AN386" s="1126"/>
      <c r="AO386" s="1126"/>
      <c r="AP386" s="1126"/>
      <c r="AQ386" s="1126"/>
      <c r="AR386" s="1126"/>
      <c r="AS386" s="1126"/>
      <c r="AT386" s="1126"/>
      <c r="AU386" s="413"/>
      <c r="AV386" s="1075"/>
    </row>
    <row r="387" spans="1:48" ht="15" customHeight="1" x14ac:dyDescent="0.2">
      <c r="A387" s="1076"/>
      <c r="B387" s="1045" t="str">
        <f t="shared" si="8"/>
        <v>Desk 67</v>
      </c>
      <c r="C387" s="1385" t="str">
        <f>IF('TB IMA general'!C152&lt;&gt;"",'TB IMA general'!C152,"")</f>
        <v/>
      </c>
      <c r="D387" s="1126"/>
      <c r="E387" s="1126"/>
      <c r="F387" s="1126"/>
      <c r="G387" s="1126"/>
      <c r="H387" s="1126"/>
      <c r="I387" s="1126"/>
      <c r="J387" s="1126"/>
      <c r="K387" s="1126"/>
      <c r="L387" s="1126"/>
      <c r="M387" s="1126"/>
      <c r="N387" s="1126"/>
      <c r="O387" s="1126"/>
      <c r="P387" s="1126"/>
      <c r="Q387" s="1126"/>
      <c r="R387" s="1126"/>
      <c r="S387" s="1126"/>
      <c r="T387" s="1126"/>
      <c r="U387" s="1126"/>
      <c r="V387" s="1126"/>
      <c r="W387" s="1126"/>
      <c r="X387" s="1126"/>
      <c r="Y387" s="1126"/>
      <c r="Z387" s="1126"/>
      <c r="AA387" s="1126"/>
      <c r="AB387" s="1126"/>
      <c r="AC387" s="1126"/>
      <c r="AD387" s="1126"/>
      <c r="AE387" s="1126"/>
      <c r="AF387" s="1126"/>
      <c r="AG387" s="1126"/>
      <c r="AH387" s="1126"/>
      <c r="AI387" s="1126"/>
      <c r="AJ387" s="1126"/>
      <c r="AK387" s="1126"/>
      <c r="AL387" s="1126"/>
      <c r="AM387" s="1126"/>
      <c r="AN387" s="1126"/>
      <c r="AO387" s="1126"/>
      <c r="AP387" s="1126"/>
      <c r="AQ387" s="1126"/>
      <c r="AR387" s="1126"/>
      <c r="AS387" s="1126"/>
      <c r="AT387" s="1126"/>
      <c r="AU387" s="413"/>
      <c r="AV387" s="1075"/>
    </row>
    <row r="388" spans="1:48" ht="15" customHeight="1" x14ac:dyDescent="0.2">
      <c r="A388" s="1076"/>
      <c r="B388" s="1045" t="str">
        <f t="shared" si="8"/>
        <v>Desk 68</v>
      </c>
      <c r="C388" s="1385" t="str">
        <f>IF('TB IMA general'!C153&lt;&gt;"",'TB IMA general'!C153,"")</f>
        <v/>
      </c>
      <c r="D388" s="1126"/>
      <c r="E388" s="1126"/>
      <c r="F388" s="1126"/>
      <c r="G388" s="1126"/>
      <c r="H388" s="1126"/>
      <c r="I388" s="1126"/>
      <c r="J388" s="1126"/>
      <c r="K388" s="1126"/>
      <c r="L388" s="1126"/>
      <c r="M388" s="1126"/>
      <c r="N388" s="1126"/>
      <c r="O388" s="1126"/>
      <c r="P388" s="1126"/>
      <c r="Q388" s="1126"/>
      <c r="R388" s="1126"/>
      <c r="S388" s="1126"/>
      <c r="T388" s="1126"/>
      <c r="U388" s="1126"/>
      <c r="V388" s="1126"/>
      <c r="W388" s="1126"/>
      <c r="X388" s="1126"/>
      <c r="Y388" s="1126"/>
      <c r="Z388" s="1126"/>
      <c r="AA388" s="1126"/>
      <c r="AB388" s="1126"/>
      <c r="AC388" s="1126"/>
      <c r="AD388" s="1126"/>
      <c r="AE388" s="1126"/>
      <c r="AF388" s="1126"/>
      <c r="AG388" s="1126"/>
      <c r="AH388" s="1126"/>
      <c r="AI388" s="1126"/>
      <c r="AJ388" s="1126"/>
      <c r="AK388" s="1126"/>
      <c r="AL388" s="1126"/>
      <c r="AM388" s="1126"/>
      <c r="AN388" s="1126"/>
      <c r="AO388" s="1126"/>
      <c r="AP388" s="1126"/>
      <c r="AQ388" s="1126"/>
      <c r="AR388" s="1126"/>
      <c r="AS388" s="1126"/>
      <c r="AT388" s="1126"/>
      <c r="AU388" s="413"/>
      <c r="AV388" s="1075"/>
    </row>
    <row r="389" spans="1:48" ht="15" customHeight="1" x14ac:dyDescent="0.2">
      <c r="A389" s="1076"/>
      <c r="B389" s="1045" t="str">
        <f t="shared" si="8"/>
        <v>Desk 69</v>
      </c>
      <c r="C389" s="1385" t="str">
        <f>IF('TB IMA general'!C154&lt;&gt;"",'TB IMA general'!C154,"")</f>
        <v/>
      </c>
      <c r="D389" s="1126"/>
      <c r="E389" s="1126"/>
      <c r="F389" s="1126"/>
      <c r="G389" s="1126"/>
      <c r="H389" s="1126"/>
      <c r="I389" s="1126"/>
      <c r="J389" s="1126"/>
      <c r="K389" s="1126"/>
      <c r="L389" s="1126"/>
      <c r="M389" s="1126"/>
      <c r="N389" s="1126"/>
      <c r="O389" s="1126"/>
      <c r="P389" s="1126"/>
      <c r="Q389" s="1126"/>
      <c r="R389" s="1126"/>
      <c r="S389" s="1126"/>
      <c r="T389" s="1126"/>
      <c r="U389" s="1126"/>
      <c r="V389" s="1126"/>
      <c r="W389" s="1126"/>
      <c r="X389" s="1126"/>
      <c r="Y389" s="1126"/>
      <c r="Z389" s="1126"/>
      <c r="AA389" s="1126"/>
      <c r="AB389" s="1126"/>
      <c r="AC389" s="1126"/>
      <c r="AD389" s="1126"/>
      <c r="AE389" s="1126"/>
      <c r="AF389" s="1126"/>
      <c r="AG389" s="1126"/>
      <c r="AH389" s="1126"/>
      <c r="AI389" s="1126"/>
      <c r="AJ389" s="1126"/>
      <c r="AK389" s="1126"/>
      <c r="AL389" s="1126"/>
      <c r="AM389" s="1126"/>
      <c r="AN389" s="1126"/>
      <c r="AO389" s="1126"/>
      <c r="AP389" s="1126"/>
      <c r="AQ389" s="1126"/>
      <c r="AR389" s="1126"/>
      <c r="AS389" s="1126"/>
      <c r="AT389" s="1126"/>
      <c r="AU389" s="413"/>
      <c r="AV389" s="1075"/>
    </row>
    <row r="390" spans="1:48" ht="15" customHeight="1" x14ac:dyDescent="0.2">
      <c r="A390" s="1076"/>
      <c r="B390" s="1045" t="str">
        <f t="shared" si="8"/>
        <v>Desk 70</v>
      </c>
      <c r="C390" s="1385" t="str">
        <f>IF('TB IMA general'!C155&lt;&gt;"",'TB IMA general'!C155,"")</f>
        <v/>
      </c>
      <c r="D390" s="1126"/>
      <c r="E390" s="1126"/>
      <c r="F390" s="1126"/>
      <c r="G390" s="1126"/>
      <c r="H390" s="1126"/>
      <c r="I390" s="1126"/>
      <c r="J390" s="1126"/>
      <c r="K390" s="1126"/>
      <c r="L390" s="1126"/>
      <c r="M390" s="1126"/>
      <c r="N390" s="1126"/>
      <c r="O390" s="1126"/>
      <c r="P390" s="1126"/>
      <c r="Q390" s="1126"/>
      <c r="R390" s="1126"/>
      <c r="S390" s="1126"/>
      <c r="T390" s="1126"/>
      <c r="U390" s="1126"/>
      <c r="V390" s="1126"/>
      <c r="W390" s="1126"/>
      <c r="X390" s="1126"/>
      <c r="Y390" s="1126"/>
      <c r="Z390" s="1126"/>
      <c r="AA390" s="1126"/>
      <c r="AB390" s="1126"/>
      <c r="AC390" s="1126"/>
      <c r="AD390" s="1126"/>
      <c r="AE390" s="1126"/>
      <c r="AF390" s="1126"/>
      <c r="AG390" s="1126"/>
      <c r="AH390" s="1126"/>
      <c r="AI390" s="1126"/>
      <c r="AJ390" s="1126"/>
      <c r="AK390" s="1126"/>
      <c r="AL390" s="1126"/>
      <c r="AM390" s="1126"/>
      <c r="AN390" s="1126"/>
      <c r="AO390" s="1126"/>
      <c r="AP390" s="1126"/>
      <c r="AQ390" s="1126"/>
      <c r="AR390" s="1126"/>
      <c r="AS390" s="1126"/>
      <c r="AT390" s="1126"/>
      <c r="AU390" s="413"/>
      <c r="AV390" s="1075"/>
    </row>
    <row r="391" spans="1:48" ht="15" customHeight="1" x14ac:dyDescent="0.2">
      <c r="A391" s="1076"/>
      <c r="B391" s="1045" t="str">
        <f t="shared" si="8"/>
        <v>Desk 71</v>
      </c>
      <c r="C391" s="1385" t="str">
        <f>IF('TB IMA general'!C156&lt;&gt;"",'TB IMA general'!C156,"")</f>
        <v/>
      </c>
      <c r="D391" s="1126"/>
      <c r="E391" s="1126"/>
      <c r="F391" s="1126"/>
      <c r="G391" s="1126"/>
      <c r="H391" s="1126"/>
      <c r="I391" s="1126"/>
      <c r="J391" s="1126"/>
      <c r="K391" s="1126"/>
      <c r="L391" s="1126"/>
      <c r="M391" s="1126"/>
      <c r="N391" s="1126"/>
      <c r="O391" s="1126"/>
      <c r="P391" s="1126"/>
      <c r="Q391" s="1126"/>
      <c r="R391" s="1126"/>
      <c r="S391" s="1126"/>
      <c r="T391" s="1126"/>
      <c r="U391" s="1126"/>
      <c r="V391" s="1126"/>
      <c r="W391" s="1126"/>
      <c r="X391" s="1126"/>
      <c r="Y391" s="1126"/>
      <c r="Z391" s="1126"/>
      <c r="AA391" s="1126"/>
      <c r="AB391" s="1126"/>
      <c r="AC391" s="1126"/>
      <c r="AD391" s="1126"/>
      <c r="AE391" s="1126"/>
      <c r="AF391" s="1126"/>
      <c r="AG391" s="1126"/>
      <c r="AH391" s="1126"/>
      <c r="AI391" s="1126"/>
      <c r="AJ391" s="1126"/>
      <c r="AK391" s="1126"/>
      <c r="AL391" s="1126"/>
      <c r="AM391" s="1126"/>
      <c r="AN391" s="1126"/>
      <c r="AO391" s="1126"/>
      <c r="AP391" s="1126"/>
      <c r="AQ391" s="1126"/>
      <c r="AR391" s="1126"/>
      <c r="AS391" s="1126"/>
      <c r="AT391" s="1126"/>
      <c r="AU391" s="413"/>
      <c r="AV391" s="1075"/>
    </row>
    <row r="392" spans="1:48" ht="15" customHeight="1" x14ac:dyDescent="0.2">
      <c r="A392" s="1076"/>
      <c r="B392" s="1045" t="str">
        <f t="shared" si="8"/>
        <v>Desk 72</v>
      </c>
      <c r="C392" s="1385" t="str">
        <f>IF('TB IMA general'!C157&lt;&gt;"",'TB IMA general'!C157,"")</f>
        <v/>
      </c>
      <c r="D392" s="1126"/>
      <c r="E392" s="1126"/>
      <c r="F392" s="1126"/>
      <c r="G392" s="1126"/>
      <c r="H392" s="1126"/>
      <c r="I392" s="1126"/>
      <c r="J392" s="1126"/>
      <c r="K392" s="1126"/>
      <c r="L392" s="1126"/>
      <c r="M392" s="1126"/>
      <c r="N392" s="1126"/>
      <c r="O392" s="1126"/>
      <c r="P392" s="1126"/>
      <c r="Q392" s="1126"/>
      <c r="R392" s="1126"/>
      <c r="S392" s="1126"/>
      <c r="T392" s="1126"/>
      <c r="U392" s="1126"/>
      <c r="V392" s="1126"/>
      <c r="W392" s="1126"/>
      <c r="X392" s="1126"/>
      <c r="Y392" s="1126"/>
      <c r="Z392" s="1126"/>
      <c r="AA392" s="1126"/>
      <c r="AB392" s="1126"/>
      <c r="AC392" s="1126"/>
      <c r="AD392" s="1126"/>
      <c r="AE392" s="1126"/>
      <c r="AF392" s="1126"/>
      <c r="AG392" s="1126"/>
      <c r="AH392" s="1126"/>
      <c r="AI392" s="1126"/>
      <c r="AJ392" s="1126"/>
      <c r="AK392" s="1126"/>
      <c r="AL392" s="1126"/>
      <c r="AM392" s="1126"/>
      <c r="AN392" s="1126"/>
      <c r="AO392" s="1126"/>
      <c r="AP392" s="1126"/>
      <c r="AQ392" s="1126"/>
      <c r="AR392" s="1126"/>
      <c r="AS392" s="1126"/>
      <c r="AT392" s="1126"/>
      <c r="AU392" s="413"/>
      <c r="AV392" s="1075"/>
    </row>
    <row r="393" spans="1:48" ht="15" customHeight="1" x14ac:dyDescent="0.2">
      <c r="A393" s="1076"/>
      <c r="B393" s="1045" t="str">
        <f t="shared" si="8"/>
        <v>Desk 73</v>
      </c>
      <c r="C393" s="1385" t="str">
        <f>IF('TB IMA general'!C158&lt;&gt;"",'TB IMA general'!C158,"")</f>
        <v/>
      </c>
      <c r="D393" s="1126"/>
      <c r="E393" s="1126"/>
      <c r="F393" s="1126"/>
      <c r="G393" s="1126"/>
      <c r="H393" s="1126"/>
      <c r="I393" s="1126"/>
      <c r="J393" s="1126"/>
      <c r="K393" s="1126"/>
      <c r="L393" s="1126"/>
      <c r="M393" s="1126"/>
      <c r="N393" s="1126"/>
      <c r="O393" s="1126"/>
      <c r="P393" s="1126"/>
      <c r="Q393" s="1126"/>
      <c r="R393" s="1126"/>
      <c r="S393" s="1126"/>
      <c r="T393" s="1126"/>
      <c r="U393" s="1126"/>
      <c r="V393" s="1126"/>
      <c r="W393" s="1126"/>
      <c r="X393" s="1126"/>
      <c r="Y393" s="1126"/>
      <c r="Z393" s="1126"/>
      <c r="AA393" s="1126"/>
      <c r="AB393" s="1126"/>
      <c r="AC393" s="1126"/>
      <c r="AD393" s="1126"/>
      <c r="AE393" s="1126"/>
      <c r="AF393" s="1126"/>
      <c r="AG393" s="1126"/>
      <c r="AH393" s="1126"/>
      <c r="AI393" s="1126"/>
      <c r="AJ393" s="1126"/>
      <c r="AK393" s="1126"/>
      <c r="AL393" s="1126"/>
      <c r="AM393" s="1126"/>
      <c r="AN393" s="1126"/>
      <c r="AO393" s="1126"/>
      <c r="AP393" s="1126"/>
      <c r="AQ393" s="1126"/>
      <c r="AR393" s="1126"/>
      <c r="AS393" s="1126"/>
      <c r="AT393" s="1126"/>
      <c r="AU393" s="413"/>
      <c r="AV393" s="1075"/>
    </row>
    <row r="394" spans="1:48" ht="15" customHeight="1" x14ac:dyDescent="0.2">
      <c r="A394" s="1076"/>
      <c r="B394" s="1045" t="str">
        <f t="shared" si="8"/>
        <v>Desk 74</v>
      </c>
      <c r="C394" s="1385" t="str">
        <f>IF('TB IMA general'!C159&lt;&gt;"",'TB IMA general'!C159,"")</f>
        <v/>
      </c>
      <c r="D394" s="1126"/>
      <c r="E394" s="1126"/>
      <c r="F394" s="1126"/>
      <c r="G394" s="1126"/>
      <c r="H394" s="1126"/>
      <c r="I394" s="1126"/>
      <c r="J394" s="1126"/>
      <c r="K394" s="1126"/>
      <c r="L394" s="1126"/>
      <c r="M394" s="1126"/>
      <c r="N394" s="1126"/>
      <c r="O394" s="1126"/>
      <c r="P394" s="1126"/>
      <c r="Q394" s="1126"/>
      <c r="R394" s="1126"/>
      <c r="S394" s="1126"/>
      <c r="T394" s="1126"/>
      <c r="U394" s="1126"/>
      <c r="V394" s="1126"/>
      <c r="W394" s="1126"/>
      <c r="X394" s="1126"/>
      <c r="Y394" s="1126"/>
      <c r="Z394" s="1126"/>
      <c r="AA394" s="1126"/>
      <c r="AB394" s="1126"/>
      <c r="AC394" s="1126"/>
      <c r="AD394" s="1126"/>
      <c r="AE394" s="1126"/>
      <c r="AF394" s="1126"/>
      <c r="AG394" s="1126"/>
      <c r="AH394" s="1126"/>
      <c r="AI394" s="1126"/>
      <c r="AJ394" s="1126"/>
      <c r="AK394" s="1126"/>
      <c r="AL394" s="1126"/>
      <c r="AM394" s="1126"/>
      <c r="AN394" s="1126"/>
      <c r="AO394" s="1126"/>
      <c r="AP394" s="1126"/>
      <c r="AQ394" s="1126"/>
      <c r="AR394" s="1126"/>
      <c r="AS394" s="1126"/>
      <c r="AT394" s="1126"/>
      <c r="AU394" s="413"/>
      <c r="AV394" s="1075"/>
    </row>
    <row r="395" spans="1:48" ht="15" customHeight="1" x14ac:dyDescent="0.2">
      <c r="A395" s="1076"/>
      <c r="B395" s="1045" t="str">
        <f t="shared" si="8"/>
        <v>Desk 75</v>
      </c>
      <c r="C395" s="1385" t="str">
        <f>IF('TB IMA general'!C160&lt;&gt;"",'TB IMA general'!C160,"")</f>
        <v/>
      </c>
      <c r="D395" s="1126"/>
      <c r="E395" s="1126"/>
      <c r="F395" s="1126"/>
      <c r="G395" s="1126"/>
      <c r="H395" s="1126"/>
      <c r="I395" s="1126"/>
      <c r="J395" s="1126"/>
      <c r="K395" s="1126"/>
      <c r="L395" s="1126"/>
      <c r="M395" s="1126"/>
      <c r="N395" s="1126"/>
      <c r="O395" s="1126"/>
      <c r="P395" s="1126"/>
      <c r="Q395" s="1126"/>
      <c r="R395" s="1126"/>
      <c r="S395" s="1126"/>
      <c r="T395" s="1126"/>
      <c r="U395" s="1126"/>
      <c r="V395" s="1126"/>
      <c r="W395" s="1126"/>
      <c r="X395" s="1126"/>
      <c r="Y395" s="1126"/>
      <c r="Z395" s="1126"/>
      <c r="AA395" s="1126"/>
      <c r="AB395" s="1126"/>
      <c r="AC395" s="1126"/>
      <c r="AD395" s="1126"/>
      <c r="AE395" s="1126"/>
      <c r="AF395" s="1126"/>
      <c r="AG395" s="1126"/>
      <c r="AH395" s="1126"/>
      <c r="AI395" s="1126"/>
      <c r="AJ395" s="1126"/>
      <c r="AK395" s="1126"/>
      <c r="AL395" s="1126"/>
      <c r="AM395" s="1126"/>
      <c r="AN395" s="1126"/>
      <c r="AO395" s="1126"/>
      <c r="AP395" s="1126"/>
      <c r="AQ395" s="1126"/>
      <c r="AR395" s="1126"/>
      <c r="AS395" s="1126"/>
      <c r="AT395" s="1126"/>
      <c r="AU395" s="413"/>
      <c r="AV395" s="1075"/>
    </row>
    <row r="396" spans="1:48" ht="15" customHeight="1" x14ac:dyDescent="0.2">
      <c r="A396" s="1076"/>
      <c r="B396" s="1045" t="str">
        <f t="shared" si="8"/>
        <v>Desk 76</v>
      </c>
      <c r="C396" s="1385" t="str">
        <f>IF('TB IMA general'!C161&lt;&gt;"",'TB IMA general'!C161,"")</f>
        <v/>
      </c>
      <c r="D396" s="1126"/>
      <c r="E396" s="1126"/>
      <c r="F396" s="1126"/>
      <c r="G396" s="1126"/>
      <c r="H396" s="1126"/>
      <c r="I396" s="1126"/>
      <c r="J396" s="1126"/>
      <c r="K396" s="1126"/>
      <c r="L396" s="1126"/>
      <c r="M396" s="1126"/>
      <c r="N396" s="1126"/>
      <c r="O396" s="1126"/>
      <c r="P396" s="1126"/>
      <c r="Q396" s="1126"/>
      <c r="R396" s="1126"/>
      <c r="S396" s="1126"/>
      <c r="T396" s="1126"/>
      <c r="U396" s="1126"/>
      <c r="V396" s="1126"/>
      <c r="W396" s="1126"/>
      <c r="X396" s="1126"/>
      <c r="Y396" s="1126"/>
      <c r="Z396" s="1126"/>
      <c r="AA396" s="1126"/>
      <c r="AB396" s="1126"/>
      <c r="AC396" s="1126"/>
      <c r="AD396" s="1126"/>
      <c r="AE396" s="1126"/>
      <c r="AF396" s="1126"/>
      <c r="AG396" s="1126"/>
      <c r="AH396" s="1126"/>
      <c r="AI396" s="1126"/>
      <c r="AJ396" s="1126"/>
      <c r="AK396" s="1126"/>
      <c r="AL396" s="1126"/>
      <c r="AM396" s="1126"/>
      <c r="AN396" s="1126"/>
      <c r="AO396" s="1126"/>
      <c r="AP396" s="1126"/>
      <c r="AQ396" s="1126"/>
      <c r="AR396" s="1126"/>
      <c r="AS396" s="1126"/>
      <c r="AT396" s="1126"/>
      <c r="AU396" s="413"/>
      <c r="AV396" s="1075"/>
    </row>
    <row r="397" spans="1:48" ht="15" customHeight="1" x14ac:dyDescent="0.2">
      <c r="A397" s="1076"/>
      <c r="B397" s="1045" t="str">
        <f t="shared" si="8"/>
        <v>Desk 77</v>
      </c>
      <c r="C397" s="1385" t="str">
        <f>IF('TB IMA general'!C162&lt;&gt;"",'TB IMA general'!C162,"")</f>
        <v/>
      </c>
      <c r="D397" s="1126"/>
      <c r="E397" s="1126"/>
      <c r="F397" s="1126"/>
      <c r="G397" s="1126"/>
      <c r="H397" s="1126"/>
      <c r="I397" s="1126"/>
      <c r="J397" s="1126"/>
      <c r="K397" s="1126"/>
      <c r="L397" s="1126"/>
      <c r="M397" s="1126"/>
      <c r="N397" s="1126"/>
      <c r="O397" s="1126"/>
      <c r="P397" s="1126"/>
      <c r="Q397" s="1126"/>
      <c r="R397" s="1126"/>
      <c r="S397" s="1126"/>
      <c r="T397" s="1126"/>
      <c r="U397" s="1126"/>
      <c r="V397" s="1126"/>
      <c r="W397" s="1126"/>
      <c r="X397" s="1126"/>
      <c r="Y397" s="1126"/>
      <c r="Z397" s="1126"/>
      <c r="AA397" s="1126"/>
      <c r="AB397" s="1126"/>
      <c r="AC397" s="1126"/>
      <c r="AD397" s="1126"/>
      <c r="AE397" s="1126"/>
      <c r="AF397" s="1126"/>
      <c r="AG397" s="1126"/>
      <c r="AH397" s="1126"/>
      <c r="AI397" s="1126"/>
      <c r="AJ397" s="1126"/>
      <c r="AK397" s="1126"/>
      <c r="AL397" s="1126"/>
      <c r="AM397" s="1126"/>
      <c r="AN397" s="1126"/>
      <c r="AO397" s="1126"/>
      <c r="AP397" s="1126"/>
      <c r="AQ397" s="1126"/>
      <c r="AR397" s="1126"/>
      <c r="AS397" s="1126"/>
      <c r="AT397" s="1126"/>
      <c r="AU397" s="413"/>
      <c r="AV397" s="1075"/>
    </row>
    <row r="398" spans="1:48" ht="15" customHeight="1" x14ac:dyDescent="0.2">
      <c r="A398" s="1076"/>
      <c r="B398" s="1045" t="str">
        <f t="shared" si="8"/>
        <v>Desk 78</v>
      </c>
      <c r="C398" s="1385" t="str">
        <f>IF('TB IMA general'!C163&lt;&gt;"",'TB IMA general'!C163,"")</f>
        <v/>
      </c>
      <c r="D398" s="1126"/>
      <c r="E398" s="1126"/>
      <c r="F398" s="1126"/>
      <c r="G398" s="1126"/>
      <c r="H398" s="1126"/>
      <c r="I398" s="1126"/>
      <c r="J398" s="1126"/>
      <c r="K398" s="1126"/>
      <c r="L398" s="1126"/>
      <c r="M398" s="1126"/>
      <c r="N398" s="1126"/>
      <c r="O398" s="1126"/>
      <c r="P398" s="1126"/>
      <c r="Q398" s="1126"/>
      <c r="R398" s="1126"/>
      <c r="S398" s="1126"/>
      <c r="T398" s="1126"/>
      <c r="U398" s="1126"/>
      <c r="V398" s="1126"/>
      <c r="W398" s="1126"/>
      <c r="X398" s="1126"/>
      <c r="Y398" s="1126"/>
      <c r="Z398" s="1126"/>
      <c r="AA398" s="1126"/>
      <c r="AB398" s="1126"/>
      <c r="AC398" s="1126"/>
      <c r="AD398" s="1126"/>
      <c r="AE398" s="1126"/>
      <c r="AF398" s="1126"/>
      <c r="AG398" s="1126"/>
      <c r="AH398" s="1126"/>
      <c r="AI398" s="1126"/>
      <c r="AJ398" s="1126"/>
      <c r="AK398" s="1126"/>
      <c r="AL398" s="1126"/>
      <c r="AM398" s="1126"/>
      <c r="AN398" s="1126"/>
      <c r="AO398" s="1126"/>
      <c r="AP398" s="1126"/>
      <c r="AQ398" s="1126"/>
      <c r="AR398" s="1126"/>
      <c r="AS398" s="1126"/>
      <c r="AT398" s="1126"/>
      <c r="AU398" s="413"/>
      <c r="AV398" s="1075"/>
    </row>
    <row r="399" spans="1:48" ht="15" customHeight="1" x14ac:dyDescent="0.2">
      <c r="A399" s="1076"/>
      <c r="B399" s="1045" t="str">
        <f t="shared" si="8"/>
        <v>Desk 79</v>
      </c>
      <c r="C399" s="1385" t="str">
        <f>IF('TB IMA general'!C164&lt;&gt;"",'TB IMA general'!C164,"")</f>
        <v/>
      </c>
      <c r="D399" s="1126"/>
      <c r="E399" s="1126"/>
      <c r="F399" s="1126"/>
      <c r="G399" s="1126"/>
      <c r="H399" s="1126"/>
      <c r="I399" s="1126"/>
      <c r="J399" s="1126"/>
      <c r="K399" s="1126"/>
      <c r="L399" s="1126"/>
      <c r="M399" s="1126"/>
      <c r="N399" s="1126"/>
      <c r="O399" s="1126"/>
      <c r="P399" s="1126"/>
      <c r="Q399" s="1126"/>
      <c r="R399" s="1126"/>
      <c r="S399" s="1126"/>
      <c r="T399" s="1126"/>
      <c r="U399" s="1126"/>
      <c r="V399" s="1126"/>
      <c r="W399" s="1126"/>
      <c r="X399" s="1126"/>
      <c r="Y399" s="1126"/>
      <c r="Z399" s="1126"/>
      <c r="AA399" s="1126"/>
      <c r="AB399" s="1126"/>
      <c r="AC399" s="1126"/>
      <c r="AD399" s="1126"/>
      <c r="AE399" s="1126"/>
      <c r="AF399" s="1126"/>
      <c r="AG399" s="1126"/>
      <c r="AH399" s="1126"/>
      <c r="AI399" s="1126"/>
      <c r="AJ399" s="1126"/>
      <c r="AK399" s="1126"/>
      <c r="AL399" s="1126"/>
      <c r="AM399" s="1126"/>
      <c r="AN399" s="1126"/>
      <c r="AO399" s="1126"/>
      <c r="AP399" s="1126"/>
      <c r="AQ399" s="1126"/>
      <c r="AR399" s="1126"/>
      <c r="AS399" s="1126"/>
      <c r="AT399" s="1126"/>
      <c r="AU399" s="413"/>
      <c r="AV399" s="1075"/>
    </row>
    <row r="400" spans="1:48" ht="15" customHeight="1" x14ac:dyDescent="0.2">
      <c r="A400" s="1076"/>
      <c r="B400" s="1045" t="str">
        <f t="shared" si="8"/>
        <v>Desk 80</v>
      </c>
      <c r="C400" s="1385" t="str">
        <f>IF('TB IMA general'!C165&lt;&gt;"",'TB IMA general'!C165,"")</f>
        <v/>
      </c>
      <c r="D400" s="1126"/>
      <c r="E400" s="1126"/>
      <c r="F400" s="1126"/>
      <c r="G400" s="1126"/>
      <c r="H400" s="1126"/>
      <c r="I400" s="1126"/>
      <c r="J400" s="1126"/>
      <c r="K400" s="1126"/>
      <c r="L400" s="1126"/>
      <c r="M400" s="1126"/>
      <c r="N400" s="1126"/>
      <c r="O400" s="1126"/>
      <c r="P400" s="1126"/>
      <c r="Q400" s="1126"/>
      <c r="R400" s="1126"/>
      <c r="S400" s="1126"/>
      <c r="T400" s="1126"/>
      <c r="U400" s="1126"/>
      <c r="V400" s="1126"/>
      <c r="W400" s="1126"/>
      <c r="X400" s="1126"/>
      <c r="Y400" s="1126"/>
      <c r="Z400" s="1126"/>
      <c r="AA400" s="1126"/>
      <c r="AB400" s="1126"/>
      <c r="AC400" s="1126"/>
      <c r="AD400" s="1126"/>
      <c r="AE400" s="1126"/>
      <c r="AF400" s="1126"/>
      <c r="AG400" s="1126"/>
      <c r="AH400" s="1126"/>
      <c r="AI400" s="1126"/>
      <c r="AJ400" s="1126"/>
      <c r="AK400" s="1126"/>
      <c r="AL400" s="1126"/>
      <c r="AM400" s="1126"/>
      <c r="AN400" s="1126"/>
      <c r="AO400" s="1126"/>
      <c r="AP400" s="1126"/>
      <c r="AQ400" s="1126"/>
      <c r="AR400" s="1126"/>
      <c r="AS400" s="1126"/>
      <c r="AT400" s="1126"/>
      <c r="AU400" s="413"/>
      <c r="AV400" s="1075"/>
    </row>
    <row r="401" spans="1:48" ht="15" customHeight="1" x14ac:dyDescent="0.2">
      <c r="A401" s="1076"/>
      <c r="B401" s="1045" t="str">
        <f t="shared" si="8"/>
        <v>Desk 81</v>
      </c>
      <c r="C401" s="1385" t="str">
        <f>IF('TB IMA general'!C166&lt;&gt;"",'TB IMA general'!C166,"")</f>
        <v/>
      </c>
      <c r="D401" s="1126"/>
      <c r="E401" s="1126"/>
      <c r="F401" s="1126"/>
      <c r="G401" s="1126"/>
      <c r="H401" s="1126"/>
      <c r="I401" s="1126"/>
      <c r="J401" s="1126"/>
      <c r="K401" s="1126"/>
      <c r="L401" s="1126"/>
      <c r="M401" s="1126"/>
      <c r="N401" s="1126"/>
      <c r="O401" s="1126"/>
      <c r="P401" s="1126"/>
      <c r="Q401" s="1126"/>
      <c r="R401" s="1126"/>
      <c r="S401" s="1126"/>
      <c r="T401" s="1126"/>
      <c r="U401" s="1126"/>
      <c r="V401" s="1126"/>
      <c r="W401" s="1126"/>
      <c r="X401" s="1126"/>
      <c r="Y401" s="1126"/>
      <c r="Z401" s="1126"/>
      <c r="AA401" s="1126"/>
      <c r="AB401" s="1126"/>
      <c r="AC401" s="1126"/>
      <c r="AD401" s="1126"/>
      <c r="AE401" s="1126"/>
      <c r="AF401" s="1126"/>
      <c r="AG401" s="1126"/>
      <c r="AH401" s="1126"/>
      <c r="AI401" s="1126"/>
      <c r="AJ401" s="1126"/>
      <c r="AK401" s="1126"/>
      <c r="AL401" s="1126"/>
      <c r="AM401" s="1126"/>
      <c r="AN401" s="1126"/>
      <c r="AO401" s="1126"/>
      <c r="AP401" s="1126"/>
      <c r="AQ401" s="1126"/>
      <c r="AR401" s="1126"/>
      <c r="AS401" s="1126"/>
      <c r="AT401" s="1126"/>
      <c r="AU401" s="413"/>
      <c r="AV401" s="1075"/>
    </row>
    <row r="402" spans="1:48" ht="15" customHeight="1" x14ac:dyDescent="0.2">
      <c r="A402" s="1076"/>
      <c r="B402" s="1045" t="str">
        <f t="shared" si="8"/>
        <v>Desk 82</v>
      </c>
      <c r="C402" s="1385" t="str">
        <f>IF('TB IMA general'!C167&lt;&gt;"",'TB IMA general'!C167,"")</f>
        <v/>
      </c>
      <c r="D402" s="1126"/>
      <c r="E402" s="1126"/>
      <c r="F402" s="1126"/>
      <c r="G402" s="1126"/>
      <c r="H402" s="1126"/>
      <c r="I402" s="1126"/>
      <c r="J402" s="1126"/>
      <c r="K402" s="1126"/>
      <c r="L402" s="1126"/>
      <c r="M402" s="1126"/>
      <c r="N402" s="1126"/>
      <c r="O402" s="1126"/>
      <c r="P402" s="1126"/>
      <c r="Q402" s="1126"/>
      <c r="R402" s="1126"/>
      <c r="S402" s="1126"/>
      <c r="T402" s="1126"/>
      <c r="U402" s="1126"/>
      <c r="V402" s="1126"/>
      <c r="W402" s="1126"/>
      <c r="X402" s="1126"/>
      <c r="Y402" s="1126"/>
      <c r="Z402" s="1126"/>
      <c r="AA402" s="1126"/>
      <c r="AB402" s="1126"/>
      <c r="AC402" s="1126"/>
      <c r="AD402" s="1126"/>
      <c r="AE402" s="1126"/>
      <c r="AF402" s="1126"/>
      <c r="AG402" s="1126"/>
      <c r="AH402" s="1126"/>
      <c r="AI402" s="1126"/>
      <c r="AJ402" s="1126"/>
      <c r="AK402" s="1126"/>
      <c r="AL402" s="1126"/>
      <c r="AM402" s="1126"/>
      <c r="AN402" s="1126"/>
      <c r="AO402" s="1126"/>
      <c r="AP402" s="1126"/>
      <c r="AQ402" s="1126"/>
      <c r="AR402" s="1126"/>
      <c r="AS402" s="1126"/>
      <c r="AT402" s="1126"/>
      <c r="AU402" s="413"/>
      <c r="AV402" s="1075"/>
    </row>
    <row r="403" spans="1:48" ht="15" customHeight="1" x14ac:dyDescent="0.2">
      <c r="A403" s="1076"/>
      <c r="B403" s="1045" t="str">
        <f t="shared" si="8"/>
        <v>Desk 83</v>
      </c>
      <c r="C403" s="1385" t="str">
        <f>IF('TB IMA general'!C168&lt;&gt;"",'TB IMA general'!C168,"")</f>
        <v/>
      </c>
      <c r="D403" s="1126"/>
      <c r="E403" s="1126"/>
      <c r="F403" s="1126"/>
      <c r="G403" s="1126"/>
      <c r="H403" s="1126"/>
      <c r="I403" s="1126"/>
      <c r="J403" s="1126"/>
      <c r="K403" s="1126"/>
      <c r="L403" s="1126"/>
      <c r="M403" s="1126"/>
      <c r="N403" s="1126"/>
      <c r="O403" s="1126"/>
      <c r="P403" s="1126"/>
      <c r="Q403" s="1126"/>
      <c r="R403" s="1126"/>
      <c r="S403" s="1126"/>
      <c r="T403" s="1126"/>
      <c r="U403" s="1126"/>
      <c r="V403" s="1126"/>
      <c r="W403" s="1126"/>
      <c r="X403" s="1126"/>
      <c r="Y403" s="1126"/>
      <c r="Z403" s="1126"/>
      <c r="AA403" s="1126"/>
      <c r="AB403" s="1126"/>
      <c r="AC403" s="1126"/>
      <c r="AD403" s="1126"/>
      <c r="AE403" s="1126"/>
      <c r="AF403" s="1126"/>
      <c r="AG403" s="1126"/>
      <c r="AH403" s="1126"/>
      <c r="AI403" s="1126"/>
      <c r="AJ403" s="1126"/>
      <c r="AK403" s="1126"/>
      <c r="AL403" s="1126"/>
      <c r="AM403" s="1126"/>
      <c r="AN403" s="1126"/>
      <c r="AO403" s="1126"/>
      <c r="AP403" s="1126"/>
      <c r="AQ403" s="1126"/>
      <c r="AR403" s="1126"/>
      <c r="AS403" s="1126"/>
      <c r="AT403" s="1126"/>
      <c r="AU403" s="413"/>
      <c r="AV403" s="1075"/>
    </row>
    <row r="404" spans="1:48" ht="15" customHeight="1" x14ac:dyDescent="0.2">
      <c r="A404" s="1076"/>
      <c r="B404" s="1045" t="str">
        <f t="shared" si="8"/>
        <v>Desk 84</v>
      </c>
      <c r="C404" s="1385" t="str">
        <f>IF('TB IMA general'!C169&lt;&gt;"",'TB IMA general'!C169,"")</f>
        <v/>
      </c>
      <c r="D404" s="1126"/>
      <c r="E404" s="1126"/>
      <c r="F404" s="1126"/>
      <c r="G404" s="1126"/>
      <c r="H404" s="1126"/>
      <c r="I404" s="1126"/>
      <c r="J404" s="1126"/>
      <c r="K404" s="1126"/>
      <c r="L404" s="1126"/>
      <c r="M404" s="1126"/>
      <c r="N404" s="1126"/>
      <c r="O404" s="1126"/>
      <c r="P404" s="1126"/>
      <c r="Q404" s="1126"/>
      <c r="R404" s="1126"/>
      <c r="S404" s="1126"/>
      <c r="T404" s="1126"/>
      <c r="U404" s="1126"/>
      <c r="V404" s="1126"/>
      <c r="W404" s="1126"/>
      <c r="X404" s="1126"/>
      <c r="Y404" s="1126"/>
      <c r="Z404" s="1126"/>
      <c r="AA404" s="1126"/>
      <c r="AB404" s="1126"/>
      <c r="AC404" s="1126"/>
      <c r="AD404" s="1126"/>
      <c r="AE404" s="1126"/>
      <c r="AF404" s="1126"/>
      <c r="AG404" s="1126"/>
      <c r="AH404" s="1126"/>
      <c r="AI404" s="1126"/>
      <c r="AJ404" s="1126"/>
      <c r="AK404" s="1126"/>
      <c r="AL404" s="1126"/>
      <c r="AM404" s="1126"/>
      <c r="AN404" s="1126"/>
      <c r="AO404" s="1126"/>
      <c r="AP404" s="1126"/>
      <c r="AQ404" s="1126"/>
      <c r="AR404" s="1126"/>
      <c r="AS404" s="1126"/>
      <c r="AT404" s="1126"/>
      <c r="AU404" s="413"/>
      <c r="AV404" s="1075"/>
    </row>
    <row r="405" spans="1:48" ht="15" customHeight="1" x14ac:dyDescent="0.2">
      <c r="A405" s="1076"/>
      <c r="B405" s="1045" t="str">
        <f t="shared" si="8"/>
        <v>Desk 85</v>
      </c>
      <c r="C405" s="1385" t="str">
        <f>IF('TB IMA general'!C170&lt;&gt;"",'TB IMA general'!C170,"")</f>
        <v/>
      </c>
      <c r="D405" s="1126"/>
      <c r="E405" s="1126"/>
      <c r="F405" s="1126"/>
      <c r="G405" s="1126"/>
      <c r="H405" s="1126"/>
      <c r="I405" s="1126"/>
      <c r="J405" s="1126"/>
      <c r="K405" s="1126"/>
      <c r="L405" s="1126"/>
      <c r="M405" s="1126"/>
      <c r="N405" s="1126"/>
      <c r="O405" s="1126"/>
      <c r="P405" s="1126"/>
      <c r="Q405" s="1126"/>
      <c r="R405" s="1126"/>
      <c r="S405" s="1126"/>
      <c r="T405" s="1126"/>
      <c r="U405" s="1126"/>
      <c r="V405" s="1126"/>
      <c r="W405" s="1126"/>
      <c r="X405" s="1126"/>
      <c r="Y405" s="1126"/>
      <c r="Z405" s="1126"/>
      <c r="AA405" s="1126"/>
      <c r="AB405" s="1126"/>
      <c r="AC405" s="1126"/>
      <c r="AD405" s="1126"/>
      <c r="AE405" s="1126"/>
      <c r="AF405" s="1126"/>
      <c r="AG405" s="1126"/>
      <c r="AH405" s="1126"/>
      <c r="AI405" s="1126"/>
      <c r="AJ405" s="1126"/>
      <c r="AK405" s="1126"/>
      <c r="AL405" s="1126"/>
      <c r="AM405" s="1126"/>
      <c r="AN405" s="1126"/>
      <c r="AO405" s="1126"/>
      <c r="AP405" s="1126"/>
      <c r="AQ405" s="1126"/>
      <c r="AR405" s="1126"/>
      <c r="AS405" s="1126"/>
      <c r="AT405" s="1126"/>
      <c r="AU405" s="413"/>
      <c r="AV405" s="1075"/>
    </row>
    <row r="406" spans="1:48" ht="15" customHeight="1" x14ac:dyDescent="0.2">
      <c r="A406" s="1076"/>
      <c r="B406" s="1045" t="str">
        <f t="shared" si="8"/>
        <v>Desk 86</v>
      </c>
      <c r="C406" s="1385" t="str">
        <f>IF('TB IMA general'!C171&lt;&gt;"",'TB IMA general'!C171,"")</f>
        <v/>
      </c>
      <c r="D406" s="1126"/>
      <c r="E406" s="1126"/>
      <c r="F406" s="1126"/>
      <c r="G406" s="1126"/>
      <c r="H406" s="1126"/>
      <c r="I406" s="1126"/>
      <c r="J406" s="1126"/>
      <c r="K406" s="1126"/>
      <c r="L406" s="1126"/>
      <c r="M406" s="1126"/>
      <c r="N406" s="1126"/>
      <c r="O406" s="1126"/>
      <c r="P406" s="1126"/>
      <c r="Q406" s="1126"/>
      <c r="R406" s="1126"/>
      <c r="S406" s="1126"/>
      <c r="T406" s="1126"/>
      <c r="U406" s="1126"/>
      <c r="V406" s="1126"/>
      <c r="W406" s="1126"/>
      <c r="X406" s="1126"/>
      <c r="Y406" s="1126"/>
      <c r="Z406" s="1126"/>
      <c r="AA406" s="1126"/>
      <c r="AB406" s="1126"/>
      <c r="AC406" s="1126"/>
      <c r="AD406" s="1126"/>
      <c r="AE406" s="1126"/>
      <c r="AF406" s="1126"/>
      <c r="AG406" s="1126"/>
      <c r="AH406" s="1126"/>
      <c r="AI406" s="1126"/>
      <c r="AJ406" s="1126"/>
      <c r="AK406" s="1126"/>
      <c r="AL406" s="1126"/>
      <c r="AM406" s="1126"/>
      <c r="AN406" s="1126"/>
      <c r="AO406" s="1126"/>
      <c r="AP406" s="1126"/>
      <c r="AQ406" s="1126"/>
      <c r="AR406" s="1126"/>
      <c r="AS406" s="1126"/>
      <c r="AT406" s="1126"/>
      <c r="AU406" s="413"/>
      <c r="AV406" s="1075"/>
    </row>
    <row r="407" spans="1:48" ht="15" customHeight="1" x14ac:dyDescent="0.2">
      <c r="A407" s="1076"/>
      <c r="B407" s="1045" t="str">
        <f t="shared" si="8"/>
        <v>Desk 87</v>
      </c>
      <c r="C407" s="1385" t="str">
        <f>IF('TB IMA general'!C172&lt;&gt;"",'TB IMA general'!C172,"")</f>
        <v/>
      </c>
      <c r="D407" s="1126"/>
      <c r="E407" s="1126"/>
      <c r="F407" s="1126"/>
      <c r="G407" s="1126"/>
      <c r="H407" s="1126"/>
      <c r="I407" s="1126"/>
      <c r="J407" s="1126"/>
      <c r="K407" s="1126"/>
      <c r="L407" s="1126"/>
      <c r="M407" s="1126"/>
      <c r="N407" s="1126"/>
      <c r="O407" s="1126"/>
      <c r="P407" s="1126"/>
      <c r="Q407" s="1126"/>
      <c r="R407" s="1126"/>
      <c r="S407" s="1126"/>
      <c r="T407" s="1126"/>
      <c r="U407" s="1126"/>
      <c r="V407" s="1126"/>
      <c r="W407" s="1126"/>
      <c r="X407" s="1126"/>
      <c r="Y407" s="1126"/>
      <c r="Z407" s="1126"/>
      <c r="AA407" s="1126"/>
      <c r="AB407" s="1126"/>
      <c r="AC407" s="1126"/>
      <c r="AD407" s="1126"/>
      <c r="AE407" s="1126"/>
      <c r="AF407" s="1126"/>
      <c r="AG407" s="1126"/>
      <c r="AH407" s="1126"/>
      <c r="AI407" s="1126"/>
      <c r="AJ407" s="1126"/>
      <c r="AK407" s="1126"/>
      <c r="AL407" s="1126"/>
      <c r="AM407" s="1126"/>
      <c r="AN407" s="1126"/>
      <c r="AO407" s="1126"/>
      <c r="AP407" s="1126"/>
      <c r="AQ407" s="1126"/>
      <c r="AR407" s="1126"/>
      <c r="AS407" s="1126"/>
      <c r="AT407" s="1126"/>
      <c r="AU407" s="413"/>
      <c r="AV407" s="1075"/>
    </row>
    <row r="408" spans="1:48" ht="15" customHeight="1" x14ac:dyDescent="0.2">
      <c r="A408" s="1076"/>
      <c r="B408" s="1045" t="str">
        <f t="shared" si="8"/>
        <v>Desk 88</v>
      </c>
      <c r="C408" s="1385" t="str">
        <f>IF('TB IMA general'!C173&lt;&gt;"",'TB IMA general'!C173,"")</f>
        <v/>
      </c>
      <c r="D408" s="1126"/>
      <c r="E408" s="1126"/>
      <c r="F408" s="1126"/>
      <c r="G408" s="1126"/>
      <c r="H408" s="1126"/>
      <c r="I408" s="1126"/>
      <c r="J408" s="1126"/>
      <c r="K408" s="1126"/>
      <c r="L408" s="1126"/>
      <c r="M408" s="1126"/>
      <c r="N408" s="1126"/>
      <c r="O408" s="1126"/>
      <c r="P408" s="1126"/>
      <c r="Q408" s="1126"/>
      <c r="R408" s="1126"/>
      <c r="S408" s="1126"/>
      <c r="T408" s="1126"/>
      <c r="U408" s="1126"/>
      <c r="V408" s="1126"/>
      <c r="W408" s="1126"/>
      <c r="X408" s="1126"/>
      <c r="Y408" s="1126"/>
      <c r="Z408" s="1126"/>
      <c r="AA408" s="1126"/>
      <c r="AB408" s="1126"/>
      <c r="AC408" s="1126"/>
      <c r="AD408" s="1126"/>
      <c r="AE408" s="1126"/>
      <c r="AF408" s="1126"/>
      <c r="AG408" s="1126"/>
      <c r="AH408" s="1126"/>
      <c r="AI408" s="1126"/>
      <c r="AJ408" s="1126"/>
      <c r="AK408" s="1126"/>
      <c r="AL408" s="1126"/>
      <c r="AM408" s="1126"/>
      <c r="AN408" s="1126"/>
      <c r="AO408" s="1126"/>
      <c r="AP408" s="1126"/>
      <c r="AQ408" s="1126"/>
      <c r="AR408" s="1126"/>
      <c r="AS408" s="1126"/>
      <c r="AT408" s="1126"/>
      <c r="AU408" s="413"/>
      <c r="AV408" s="1075"/>
    </row>
    <row r="409" spans="1:48" ht="15" customHeight="1" x14ac:dyDescent="0.2">
      <c r="A409" s="1076"/>
      <c r="B409" s="1045" t="str">
        <f t="shared" si="8"/>
        <v>Desk 89</v>
      </c>
      <c r="C409" s="1385" t="str">
        <f>IF('TB IMA general'!C174&lt;&gt;"",'TB IMA general'!C174,"")</f>
        <v/>
      </c>
      <c r="D409" s="1126"/>
      <c r="E409" s="1126"/>
      <c r="F409" s="1126"/>
      <c r="G409" s="1126"/>
      <c r="H409" s="1126"/>
      <c r="I409" s="1126"/>
      <c r="J409" s="1126"/>
      <c r="K409" s="1126"/>
      <c r="L409" s="1126"/>
      <c r="M409" s="1126"/>
      <c r="N409" s="1126"/>
      <c r="O409" s="1126"/>
      <c r="P409" s="1126"/>
      <c r="Q409" s="1126"/>
      <c r="R409" s="1126"/>
      <c r="S409" s="1126"/>
      <c r="T409" s="1126"/>
      <c r="U409" s="1126"/>
      <c r="V409" s="1126"/>
      <c r="W409" s="1126"/>
      <c r="X409" s="1126"/>
      <c r="Y409" s="1126"/>
      <c r="Z409" s="1126"/>
      <c r="AA409" s="1126"/>
      <c r="AB409" s="1126"/>
      <c r="AC409" s="1126"/>
      <c r="AD409" s="1126"/>
      <c r="AE409" s="1126"/>
      <c r="AF409" s="1126"/>
      <c r="AG409" s="1126"/>
      <c r="AH409" s="1126"/>
      <c r="AI409" s="1126"/>
      <c r="AJ409" s="1126"/>
      <c r="AK409" s="1126"/>
      <c r="AL409" s="1126"/>
      <c r="AM409" s="1126"/>
      <c r="AN409" s="1126"/>
      <c r="AO409" s="1126"/>
      <c r="AP409" s="1126"/>
      <c r="AQ409" s="1126"/>
      <c r="AR409" s="1126"/>
      <c r="AS409" s="1126"/>
      <c r="AT409" s="1126"/>
      <c r="AU409" s="413"/>
      <c r="AV409" s="1075"/>
    </row>
    <row r="410" spans="1:48" ht="15" customHeight="1" x14ac:dyDescent="0.2">
      <c r="A410" s="1076"/>
      <c r="B410" s="1045" t="str">
        <f t="shared" si="8"/>
        <v>Desk 90</v>
      </c>
      <c r="C410" s="1385" t="str">
        <f>IF('TB IMA general'!C175&lt;&gt;"",'TB IMA general'!C175,"")</f>
        <v/>
      </c>
      <c r="D410" s="1126"/>
      <c r="E410" s="1126"/>
      <c r="F410" s="1126"/>
      <c r="G410" s="1126"/>
      <c r="H410" s="1126"/>
      <c r="I410" s="1126"/>
      <c r="J410" s="1126"/>
      <c r="K410" s="1126"/>
      <c r="L410" s="1126"/>
      <c r="M410" s="1126"/>
      <c r="N410" s="1126"/>
      <c r="O410" s="1126"/>
      <c r="P410" s="1126"/>
      <c r="Q410" s="1126"/>
      <c r="R410" s="1126"/>
      <c r="S410" s="1126"/>
      <c r="T410" s="1126"/>
      <c r="U410" s="1126"/>
      <c r="V410" s="1126"/>
      <c r="W410" s="1126"/>
      <c r="X410" s="1126"/>
      <c r="Y410" s="1126"/>
      <c r="Z410" s="1126"/>
      <c r="AA410" s="1126"/>
      <c r="AB410" s="1126"/>
      <c r="AC410" s="1126"/>
      <c r="AD410" s="1126"/>
      <c r="AE410" s="1126"/>
      <c r="AF410" s="1126"/>
      <c r="AG410" s="1126"/>
      <c r="AH410" s="1126"/>
      <c r="AI410" s="1126"/>
      <c r="AJ410" s="1126"/>
      <c r="AK410" s="1126"/>
      <c r="AL410" s="1126"/>
      <c r="AM410" s="1126"/>
      <c r="AN410" s="1126"/>
      <c r="AO410" s="1126"/>
      <c r="AP410" s="1126"/>
      <c r="AQ410" s="1126"/>
      <c r="AR410" s="1126"/>
      <c r="AS410" s="1126"/>
      <c r="AT410" s="1126"/>
      <c r="AU410" s="413"/>
      <c r="AV410" s="1075"/>
    </row>
    <row r="411" spans="1:48" ht="15" customHeight="1" x14ac:dyDescent="0.2">
      <c r="A411" s="1076"/>
      <c r="B411" s="1045" t="str">
        <f t="shared" si="8"/>
        <v>Desk 91</v>
      </c>
      <c r="C411" s="1385" t="str">
        <f>IF('TB IMA general'!C176&lt;&gt;"",'TB IMA general'!C176,"")</f>
        <v/>
      </c>
      <c r="D411" s="1126"/>
      <c r="E411" s="1126"/>
      <c r="F411" s="1126"/>
      <c r="G411" s="1126"/>
      <c r="H411" s="1126"/>
      <c r="I411" s="1126"/>
      <c r="J411" s="1126"/>
      <c r="K411" s="1126"/>
      <c r="L411" s="1126"/>
      <c r="M411" s="1126"/>
      <c r="N411" s="1126"/>
      <c r="O411" s="1126"/>
      <c r="P411" s="1126"/>
      <c r="Q411" s="1126"/>
      <c r="R411" s="1126"/>
      <c r="S411" s="1126"/>
      <c r="T411" s="1126"/>
      <c r="U411" s="1126"/>
      <c r="V411" s="1126"/>
      <c r="W411" s="1126"/>
      <c r="X411" s="1126"/>
      <c r="Y411" s="1126"/>
      <c r="Z411" s="1126"/>
      <c r="AA411" s="1126"/>
      <c r="AB411" s="1126"/>
      <c r="AC411" s="1126"/>
      <c r="AD411" s="1126"/>
      <c r="AE411" s="1126"/>
      <c r="AF411" s="1126"/>
      <c r="AG411" s="1126"/>
      <c r="AH411" s="1126"/>
      <c r="AI411" s="1126"/>
      <c r="AJ411" s="1126"/>
      <c r="AK411" s="1126"/>
      <c r="AL411" s="1126"/>
      <c r="AM411" s="1126"/>
      <c r="AN411" s="1126"/>
      <c r="AO411" s="1126"/>
      <c r="AP411" s="1126"/>
      <c r="AQ411" s="1126"/>
      <c r="AR411" s="1126"/>
      <c r="AS411" s="1126"/>
      <c r="AT411" s="1126"/>
      <c r="AU411" s="413"/>
      <c r="AV411" s="1075"/>
    </row>
    <row r="412" spans="1:48" ht="15" customHeight="1" x14ac:dyDescent="0.2">
      <c r="A412" s="1076"/>
      <c r="B412" s="1045" t="str">
        <f t="shared" si="8"/>
        <v>Desk 92</v>
      </c>
      <c r="C412" s="1385" t="str">
        <f>IF('TB IMA general'!C177&lt;&gt;"",'TB IMA general'!C177,"")</f>
        <v/>
      </c>
      <c r="D412" s="1126"/>
      <c r="E412" s="1126"/>
      <c r="F412" s="1126"/>
      <c r="G412" s="1126"/>
      <c r="H412" s="1126"/>
      <c r="I412" s="1126"/>
      <c r="J412" s="1126"/>
      <c r="K412" s="1126"/>
      <c r="L412" s="1126"/>
      <c r="M412" s="1126"/>
      <c r="N412" s="1126"/>
      <c r="O412" s="1126"/>
      <c r="P412" s="1126"/>
      <c r="Q412" s="1126"/>
      <c r="R412" s="1126"/>
      <c r="S412" s="1126"/>
      <c r="T412" s="1126"/>
      <c r="U412" s="1126"/>
      <c r="V412" s="1126"/>
      <c r="W412" s="1126"/>
      <c r="X412" s="1126"/>
      <c r="Y412" s="1126"/>
      <c r="Z412" s="1126"/>
      <c r="AA412" s="1126"/>
      <c r="AB412" s="1126"/>
      <c r="AC412" s="1126"/>
      <c r="AD412" s="1126"/>
      <c r="AE412" s="1126"/>
      <c r="AF412" s="1126"/>
      <c r="AG412" s="1126"/>
      <c r="AH412" s="1126"/>
      <c r="AI412" s="1126"/>
      <c r="AJ412" s="1126"/>
      <c r="AK412" s="1126"/>
      <c r="AL412" s="1126"/>
      <c r="AM412" s="1126"/>
      <c r="AN412" s="1126"/>
      <c r="AO412" s="1126"/>
      <c r="AP412" s="1126"/>
      <c r="AQ412" s="1126"/>
      <c r="AR412" s="1126"/>
      <c r="AS412" s="1126"/>
      <c r="AT412" s="1126"/>
      <c r="AU412" s="413"/>
      <c r="AV412" s="1075"/>
    </row>
    <row r="413" spans="1:48" ht="15" customHeight="1" x14ac:dyDescent="0.2">
      <c r="A413" s="1076"/>
      <c r="B413" s="1045" t="str">
        <f t="shared" si="8"/>
        <v>Desk 93</v>
      </c>
      <c r="C413" s="1385" t="str">
        <f>IF('TB IMA general'!C178&lt;&gt;"",'TB IMA general'!C178,"")</f>
        <v/>
      </c>
      <c r="D413" s="1126"/>
      <c r="E413" s="1126"/>
      <c r="F413" s="1126"/>
      <c r="G413" s="1126"/>
      <c r="H413" s="1126"/>
      <c r="I413" s="1126"/>
      <c r="J413" s="1126"/>
      <c r="K413" s="1126"/>
      <c r="L413" s="1126"/>
      <c r="M413" s="1126"/>
      <c r="N413" s="1126"/>
      <c r="O413" s="1126"/>
      <c r="P413" s="1126"/>
      <c r="Q413" s="1126"/>
      <c r="R413" s="1126"/>
      <c r="S413" s="1126"/>
      <c r="T413" s="1126"/>
      <c r="U413" s="1126"/>
      <c r="V413" s="1126"/>
      <c r="W413" s="1126"/>
      <c r="X413" s="1126"/>
      <c r="Y413" s="1126"/>
      <c r="Z413" s="1126"/>
      <c r="AA413" s="1126"/>
      <c r="AB413" s="1126"/>
      <c r="AC413" s="1126"/>
      <c r="AD413" s="1126"/>
      <c r="AE413" s="1126"/>
      <c r="AF413" s="1126"/>
      <c r="AG413" s="1126"/>
      <c r="AH413" s="1126"/>
      <c r="AI413" s="1126"/>
      <c r="AJ413" s="1126"/>
      <c r="AK413" s="1126"/>
      <c r="AL413" s="1126"/>
      <c r="AM413" s="1126"/>
      <c r="AN413" s="1126"/>
      <c r="AO413" s="1126"/>
      <c r="AP413" s="1126"/>
      <c r="AQ413" s="1126"/>
      <c r="AR413" s="1126"/>
      <c r="AS413" s="1126"/>
      <c r="AT413" s="1126"/>
      <c r="AU413" s="413"/>
      <c r="AV413" s="1075"/>
    </row>
    <row r="414" spans="1:48" ht="15" customHeight="1" x14ac:dyDescent="0.2">
      <c r="A414" s="1076"/>
      <c r="B414" s="1045" t="str">
        <f t="shared" si="8"/>
        <v>Desk 94</v>
      </c>
      <c r="C414" s="1385" t="str">
        <f>IF('TB IMA general'!C179&lt;&gt;"",'TB IMA general'!C179,"")</f>
        <v/>
      </c>
      <c r="D414" s="1126"/>
      <c r="E414" s="1126"/>
      <c r="F414" s="1126"/>
      <c r="G414" s="1126"/>
      <c r="H414" s="1126"/>
      <c r="I414" s="1126"/>
      <c r="J414" s="1126"/>
      <c r="K414" s="1126"/>
      <c r="L414" s="1126"/>
      <c r="M414" s="1126"/>
      <c r="N414" s="1126"/>
      <c r="O414" s="1126"/>
      <c r="P414" s="1126"/>
      <c r="Q414" s="1126"/>
      <c r="R414" s="1126"/>
      <c r="S414" s="1126"/>
      <c r="T414" s="1126"/>
      <c r="U414" s="1126"/>
      <c r="V414" s="1126"/>
      <c r="W414" s="1126"/>
      <c r="X414" s="1126"/>
      <c r="Y414" s="1126"/>
      <c r="Z414" s="1126"/>
      <c r="AA414" s="1126"/>
      <c r="AB414" s="1126"/>
      <c r="AC414" s="1126"/>
      <c r="AD414" s="1126"/>
      <c r="AE414" s="1126"/>
      <c r="AF414" s="1126"/>
      <c r="AG414" s="1126"/>
      <c r="AH414" s="1126"/>
      <c r="AI414" s="1126"/>
      <c r="AJ414" s="1126"/>
      <c r="AK414" s="1126"/>
      <c r="AL414" s="1126"/>
      <c r="AM414" s="1126"/>
      <c r="AN414" s="1126"/>
      <c r="AO414" s="1126"/>
      <c r="AP414" s="1126"/>
      <c r="AQ414" s="1126"/>
      <c r="AR414" s="1126"/>
      <c r="AS414" s="1126"/>
      <c r="AT414" s="1126"/>
      <c r="AU414" s="413"/>
      <c r="AV414" s="1075"/>
    </row>
    <row r="415" spans="1:48" ht="15" customHeight="1" x14ac:dyDescent="0.2">
      <c r="A415" s="1076"/>
      <c r="B415" s="1045" t="str">
        <f t="shared" si="8"/>
        <v>Desk 95</v>
      </c>
      <c r="C415" s="1385" t="str">
        <f>IF('TB IMA general'!C180&lt;&gt;"",'TB IMA general'!C180,"")</f>
        <v/>
      </c>
      <c r="D415" s="1126"/>
      <c r="E415" s="1126"/>
      <c r="F415" s="1126"/>
      <c r="G415" s="1126"/>
      <c r="H415" s="1126"/>
      <c r="I415" s="1126"/>
      <c r="J415" s="1126"/>
      <c r="K415" s="1126"/>
      <c r="L415" s="1126"/>
      <c r="M415" s="1126"/>
      <c r="N415" s="1126"/>
      <c r="O415" s="1126"/>
      <c r="P415" s="1126"/>
      <c r="Q415" s="1126"/>
      <c r="R415" s="1126"/>
      <c r="S415" s="1126"/>
      <c r="T415" s="1126"/>
      <c r="U415" s="1126"/>
      <c r="V415" s="1126"/>
      <c r="W415" s="1126"/>
      <c r="X415" s="1126"/>
      <c r="Y415" s="1126"/>
      <c r="Z415" s="1126"/>
      <c r="AA415" s="1126"/>
      <c r="AB415" s="1126"/>
      <c r="AC415" s="1126"/>
      <c r="AD415" s="1126"/>
      <c r="AE415" s="1126"/>
      <c r="AF415" s="1126"/>
      <c r="AG415" s="1126"/>
      <c r="AH415" s="1126"/>
      <c r="AI415" s="1126"/>
      <c r="AJ415" s="1126"/>
      <c r="AK415" s="1126"/>
      <c r="AL415" s="1126"/>
      <c r="AM415" s="1126"/>
      <c r="AN415" s="1126"/>
      <c r="AO415" s="1126"/>
      <c r="AP415" s="1126"/>
      <c r="AQ415" s="1126"/>
      <c r="AR415" s="1126"/>
      <c r="AS415" s="1126"/>
      <c r="AT415" s="1126"/>
      <c r="AU415" s="413"/>
      <c r="AV415" s="1075"/>
    </row>
    <row r="416" spans="1:48" ht="15" customHeight="1" x14ac:dyDescent="0.2">
      <c r="A416" s="1076"/>
      <c r="B416" s="1045" t="str">
        <f t="shared" si="8"/>
        <v>Desk 96</v>
      </c>
      <c r="C416" s="1385" t="str">
        <f>IF('TB IMA general'!C181&lt;&gt;"",'TB IMA general'!C181,"")</f>
        <v/>
      </c>
      <c r="D416" s="1126"/>
      <c r="E416" s="1126"/>
      <c r="F416" s="1126"/>
      <c r="G416" s="1126"/>
      <c r="H416" s="1126"/>
      <c r="I416" s="1126"/>
      <c r="J416" s="1126"/>
      <c r="K416" s="1126"/>
      <c r="L416" s="1126"/>
      <c r="M416" s="1126"/>
      <c r="N416" s="1126"/>
      <c r="O416" s="1126"/>
      <c r="P416" s="1126"/>
      <c r="Q416" s="1126"/>
      <c r="R416" s="1126"/>
      <c r="S416" s="1126"/>
      <c r="T416" s="1126"/>
      <c r="U416" s="1126"/>
      <c r="V416" s="1126"/>
      <c r="W416" s="1126"/>
      <c r="X416" s="1126"/>
      <c r="Y416" s="1126"/>
      <c r="Z416" s="1126"/>
      <c r="AA416" s="1126"/>
      <c r="AB416" s="1126"/>
      <c r="AC416" s="1126"/>
      <c r="AD416" s="1126"/>
      <c r="AE416" s="1126"/>
      <c r="AF416" s="1126"/>
      <c r="AG416" s="1126"/>
      <c r="AH416" s="1126"/>
      <c r="AI416" s="1126"/>
      <c r="AJ416" s="1126"/>
      <c r="AK416" s="1126"/>
      <c r="AL416" s="1126"/>
      <c r="AM416" s="1126"/>
      <c r="AN416" s="1126"/>
      <c r="AO416" s="1126"/>
      <c r="AP416" s="1126"/>
      <c r="AQ416" s="1126"/>
      <c r="AR416" s="1126"/>
      <c r="AS416" s="1126"/>
      <c r="AT416" s="1126"/>
      <c r="AU416" s="413"/>
      <c r="AV416" s="1075"/>
    </row>
    <row r="417" spans="1:48" ht="15" customHeight="1" x14ac:dyDescent="0.2">
      <c r="A417" s="1076"/>
      <c r="B417" s="1045" t="str">
        <f t="shared" si="8"/>
        <v>Desk 97</v>
      </c>
      <c r="C417" s="1385" t="str">
        <f>IF('TB IMA general'!C182&lt;&gt;"",'TB IMA general'!C182,"")</f>
        <v/>
      </c>
      <c r="D417" s="1126"/>
      <c r="E417" s="1126"/>
      <c r="F417" s="1126"/>
      <c r="G417" s="1126"/>
      <c r="H417" s="1126"/>
      <c r="I417" s="1126"/>
      <c r="J417" s="1126"/>
      <c r="K417" s="1126"/>
      <c r="L417" s="1126"/>
      <c r="M417" s="1126"/>
      <c r="N417" s="1126"/>
      <c r="O417" s="1126"/>
      <c r="P417" s="1126"/>
      <c r="Q417" s="1126"/>
      <c r="R417" s="1126"/>
      <c r="S417" s="1126"/>
      <c r="T417" s="1126"/>
      <c r="U417" s="1126"/>
      <c r="V417" s="1126"/>
      <c r="W417" s="1126"/>
      <c r="X417" s="1126"/>
      <c r="Y417" s="1126"/>
      <c r="Z417" s="1126"/>
      <c r="AA417" s="1126"/>
      <c r="AB417" s="1126"/>
      <c r="AC417" s="1126"/>
      <c r="AD417" s="1126"/>
      <c r="AE417" s="1126"/>
      <c r="AF417" s="1126"/>
      <c r="AG417" s="1126"/>
      <c r="AH417" s="1126"/>
      <c r="AI417" s="1126"/>
      <c r="AJ417" s="1126"/>
      <c r="AK417" s="1126"/>
      <c r="AL417" s="1126"/>
      <c r="AM417" s="1126"/>
      <c r="AN417" s="1126"/>
      <c r="AO417" s="1126"/>
      <c r="AP417" s="1126"/>
      <c r="AQ417" s="1126"/>
      <c r="AR417" s="1126"/>
      <c r="AS417" s="1126"/>
      <c r="AT417" s="1126"/>
      <c r="AU417" s="413"/>
      <c r="AV417" s="1075"/>
    </row>
    <row r="418" spans="1:48" ht="15" customHeight="1" x14ac:dyDescent="0.2">
      <c r="A418" s="1076"/>
      <c r="B418" s="1045" t="str">
        <f t="shared" si="8"/>
        <v>Desk 98</v>
      </c>
      <c r="C418" s="1385" t="str">
        <f>IF('TB IMA general'!C183&lt;&gt;"",'TB IMA general'!C183,"")</f>
        <v/>
      </c>
      <c r="D418" s="1126"/>
      <c r="E418" s="1126"/>
      <c r="F418" s="1126"/>
      <c r="G418" s="1126"/>
      <c r="H418" s="1126"/>
      <c r="I418" s="1126"/>
      <c r="J418" s="1126"/>
      <c r="K418" s="1126"/>
      <c r="L418" s="1126"/>
      <c r="M418" s="1126"/>
      <c r="N418" s="1126"/>
      <c r="O418" s="1126"/>
      <c r="P418" s="1126"/>
      <c r="Q418" s="1126"/>
      <c r="R418" s="1126"/>
      <c r="S418" s="1126"/>
      <c r="T418" s="1126"/>
      <c r="U418" s="1126"/>
      <c r="V418" s="1126"/>
      <c r="W418" s="1126"/>
      <c r="X418" s="1126"/>
      <c r="Y418" s="1126"/>
      <c r="Z418" s="1126"/>
      <c r="AA418" s="1126"/>
      <c r="AB418" s="1126"/>
      <c r="AC418" s="1126"/>
      <c r="AD418" s="1126"/>
      <c r="AE418" s="1126"/>
      <c r="AF418" s="1126"/>
      <c r="AG418" s="1126"/>
      <c r="AH418" s="1126"/>
      <c r="AI418" s="1126"/>
      <c r="AJ418" s="1126"/>
      <c r="AK418" s="1126"/>
      <c r="AL418" s="1126"/>
      <c r="AM418" s="1126"/>
      <c r="AN418" s="1126"/>
      <c r="AO418" s="1126"/>
      <c r="AP418" s="1126"/>
      <c r="AQ418" s="1126"/>
      <c r="AR418" s="1126"/>
      <c r="AS418" s="1126"/>
      <c r="AT418" s="1126"/>
      <c r="AU418" s="413"/>
      <c r="AV418" s="1075"/>
    </row>
    <row r="419" spans="1:48" ht="15" customHeight="1" x14ac:dyDescent="0.2">
      <c r="A419" s="1076"/>
      <c r="B419" s="1045" t="str">
        <f t="shared" si="8"/>
        <v>Desk 99</v>
      </c>
      <c r="C419" s="1385" t="str">
        <f>IF('TB IMA general'!C184&lt;&gt;"",'TB IMA general'!C184,"")</f>
        <v/>
      </c>
      <c r="D419" s="1126"/>
      <c r="E419" s="1126"/>
      <c r="F419" s="1126"/>
      <c r="G419" s="1126"/>
      <c r="H419" s="1126"/>
      <c r="I419" s="1126"/>
      <c r="J419" s="1126"/>
      <c r="K419" s="1126"/>
      <c r="L419" s="1126"/>
      <c r="M419" s="1126"/>
      <c r="N419" s="1126"/>
      <c r="O419" s="1126"/>
      <c r="P419" s="1126"/>
      <c r="Q419" s="1126"/>
      <c r="R419" s="1126"/>
      <c r="S419" s="1126"/>
      <c r="T419" s="1126"/>
      <c r="U419" s="1126"/>
      <c r="V419" s="1126"/>
      <c r="W419" s="1126"/>
      <c r="X419" s="1126"/>
      <c r="Y419" s="1126"/>
      <c r="Z419" s="1126"/>
      <c r="AA419" s="1126"/>
      <c r="AB419" s="1126"/>
      <c r="AC419" s="1126"/>
      <c r="AD419" s="1126"/>
      <c r="AE419" s="1126"/>
      <c r="AF419" s="1126"/>
      <c r="AG419" s="1126"/>
      <c r="AH419" s="1126"/>
      <c r="AI419" s="1126"/>
      <c r="AJ419" s="1126"/>
      <c r="AK419" s="1126"/>
      <c r="AL419" s="1126"/>
      <c r="AM419" s="1126"/>
      <c r="AN419" s="1126"/>
      <c r="AO419" s="1126"/>
      <c r="AP419" s="1126"/>
      <c r="AQ419" s="1126"/>
      <c r="AR419" s="1126"/>
      <c r="AS419" s="1126"/>
      <c r="AT419" s="1126"/>
      <c r="AU419" s="413"/>
      <c r="AV419" s="1075"/>
    </row>
    <row r="420" spans="1:48" ht="15" customHeight="1" x14ac:dyDescent="0.2">
      <c r="A420" s="1076"/>
      <c r="B420" s="1045" t="str">
        <f t="shared" si="8"/>
        <v>Desk 100</v>
      </c>
      <c r="C420" s="1385" t="str">
        <f>IF('TB IMA general'!C185&lt;&gt;"",'TB IMA general'!C185,"")</f>
        <v/>
      </c>
      <c r="D420" s="1126"/>
      <c r="E420" s="1126"/>
      <c r="F420" s="1126"/>
      <c r="G420" s="1126"/>
      <c r="H420" s="1126"/>
      <c r="I420" s="1126"/>
      <c r="J420" s="1126"/>
      <c r="K420" s="1126"/>
      <c r="L420" s="1126"/>
      <c r="M420" s="1126"/>
      <c r="N420" s="1126"/>
      <c r="O420" s="1126"/>
      <c r="P420" s="1126"/>
      <c r="Q420" s="1126"/>
      <c r="R420" s="1126"/>
      <c r="S420" s="1126"/>
      <c r="T420" s="1126"/>
      <c r="U420" s="1126"/>
      <c r="V420" s="1126"/>
      <c r="W420" s="1126"/>
      <c r="X420" s="1126"/>
      <c r="Y420" s="1126"/>
      <c r="Z420" s="1126"/>
      <c r="AA420" s="1126"/>
      <c r="AB420" s="1126"/>
      <c r="AC420" s="1126"/>
      <c r="AD420" s="1126"/>
      <c r="AE420" s="1126"/>
      <c r="AF420" s="1126"/>
      <c r="AG420" s="1126"/>
      <c r="AH420" s="1126"/>
      <c r="AI420" s="1126"/>
      <c r="AJ420" s="1126"/>
      <c r="AK420" s="1126"/>
      <c r="AL420" s="1126"/>
      <c r="AM420" s="1126"/>
      <c r="AN420" s="1126"/>
      <c r="AO420" s="1126"/>
      <c r="AP420" s="1126"/>
      <c r="AQ420" s="1126"/>
      <c r="AR420" s="1126"/>
      <c r="AS420" s="1126"/>
      <c r="AT420" s="1126"/>
      <c r="AU420" s="413"/>
      <c r="AV420" s="1075"/>
    </row>
    <row r="421" spans="1:48" ht="15" customHeight="1" x14ac:dyDescent="0.2">
      <c r="A421" s="1076"/>
      <c r="B421" s="1324" t="s">
        <v>1171</v>
      </c>
      <c r="C421" s="1393" t="str">
        <f>IF('TB IMA general'!C502&lt;&gt;"",'TB IMA general'!C502,"")</f>
        <v/>
      </c>
      <c r="D421" s="1388"/>
      <c r="E421" s="1388"/>
      <c r="F421" s="1388"/>
      <c r="G421" s="1388"/>
      <c r="H421" s="1388"/>
      <c r="I421" s="1388"/>
      <c r="J421" s="1388"/>
      <c r="K421" s="1388"/>
      <c r="L421" s="1388"/>
      <c r="M421" s="1388"/>
      <c r="N421" s="1388"/>
      <c r="O421" s="1388"/>
      <c r="P421" s="1388"/>
      <c r="Q421" s="1388"/>
      <c r="R421" s="1388"/>
      <c r="S421" s="1388"/>
      <c r="T421" s="1388"/>
      <c r="U421" s="1388"/>
      <c r="V421" s="1388"/>
      <c r="W421" s="1388"/>
      <c r="X421" s="1388"/>
      <c r="Y421" s="1388"/>
      <c r="Z421" s="1388"/>
      <c r="AA421" s="1388"/>
      <c r="AB421" s="1388"/>
      <c r="AC421" s="1388"/>
      <c r="AD421" s="1388"/>
      <c r="AE421" s="1388"/>
      <c r="AF421" s="1388"/>
      <c r="AG421" s="1388"/>
      <c r="AH421" s="1388"/>
      <c r="AI421" s="1388"/>
      <c r="AJ421" s="1388"/>
      <c r="AK421" s="1388"/>
      <c r="AL421" s="1388"/>
      <c r="AM421" s="1388"/>
      <c r="AN421" s="1388"/>
      <c r="AO421" s="1388"/>
      <c r="AP421" s="1388"/>
      <c r="AQ421" s="1388"/>
      <c r="AR421" s="1388"/>
      <c r="AS421" s="1388"/>
      <c r="AT421" s="1388"/>
      <c r="AU421" s="1389"/>
      <c r="AV421" s="1075"/>
    </row>
    <row r="422" spans="1:48" ht="15" customHeight="1" x14ac:dyDescent="0.2">
      <c r="A422" s="214"/>
      <c r="B422" s="1070"/>
      <c r="C422" s="1070"/>
      <c r="D422" s="1070"/>
      <c r="E422" s="1070"/>
      <c r="F422" s="1070"/>
      <c r="G422" s="1070"/>
      <c r="H422" s="1070"/>
      <c r="I422" s="1070"/>
      <c r="J422" s="1070"/>
      <c r="K422" s="1070"/>
      <c r="L422" s="1070"/>
      <c r="M422" s="1070"/>
      <c r="N422" s="1070"/>
      <c r="O422" s="1070"/>
      <c r="P422" s="1070"/>
      <c r="Q422" s="1070"/>
      <c r="R422" s="1070"/>
      <c r="S422" s="1070"/>
      <c r="T422" s="1070"/>
      <c r="U422" s="1070"/>
      <c r="V422" s="1070"/>
      <c r="W422" s="1070"/>
      <c r="X422" s="1070"/>
      <c r="Y422" s="1070"/>
      <c r="Z422" s="1070"/>
      <c r="AA422" s="1070"/>
      <c r="AB422" s="1070"/>
      <c r="AC422" s="1070"/>
      <c r="AD422" s="1070"/>
      <c r="AE422" s="1070"/>
      <c r="AF422" s="1070"/>
      <c r="AG422" s="1070"/>
      <c r="AH422" s="1070"/>
      <c r="AI422" s="1070"/>
      <c r="AJ422" s="1070"/>
      <c r="AK422" s="1070"/>
      <c r="AL422" s="1070"/>
      <c r="AM422" s="1070"/>
      <c r="AN422" s="1070"/>
      <c r="AO422" s="1070"/>
      <c r="AP422" s="1070"/>
      <c r="AQ422" s="1070"/>
      <c r="AR422" s="1070"/>
      <c r="AS422" s="1070"/>
      <c r="AT422" s="1070"/>
      <c r="AU422" s="1070"/>
      <c r="AV422" s="1071"/>
    </row>
    <row r="423" spans="1:48" s="90" customFormat="1" ht="30" customHeight="1" x14ac:dyDescent="0.25">
      <c r="A423" s="1377" t="s">
        <v>1491</v>
      </c>
      <c r="B423" s="1558"/>
      <c r="C423" s="1559"/>
      <c r="D423" s="1560"/>
      <c r="E423" s="1560"/>
      <c r="F423" s="1560"/>
      <c r="G423" s="1560"/>
      <c r="H423" s="1560"/>
      <c r="I423" s="1560"/>
      <c r="J423" s="1560"/>
      <c r="K423" s="1560"/>
      <c r="L423" s="1560"/>
      <c r="M423" s="1560"/>
      <c r="N423" s="1560"/>
      <c r="O423" s="1560"/>
      <c r="P423" s="1560"/>
      <c r="Q423" s="1560"/>
      <c r="R423" s="1560"/>
      <c r="S423" s="1560"/>
      <c r="T423" s="1560"/>
      <c r="U423" s="1560"/>
      <c r="V423" s="1560"/>
      <c r="W423" s="1560"/>
      <c r="X423" s="1560"/>
      <c r="Y423" s="1560"/>
      <c r="Z423" s="1560"/>
      <c r="AA423" s="1560"/>
      <c r="AB423" s="1560"/>
      <c r="AC423" s="1560"/>
      <c r="AD423" s="1560"/>
      <c r="AE423" s="1560"/>
      <c r="AF423" s="1560"/>
      <c r="AG423" s="1560"/>
      <c r="AH423" s="1560"/>
      <c r="AI423" s="1560"/>
      <c r="AJ423" s="1560"/>
      <c r="AK423" s="1560"/>
      <c r="AL423" s="1560"/>
      <c r="AM423" s="1560"/>
      <c r="AN423" s="1560"/>
      <c r="AO423" s="1560"/>
      <c r="AP423" s="1560"/>
      <c r="AQ423" s="1560"/>
      <c r="AR423" s="1560"/>
      <c r="AS423" s="1560"/>
      <c r="AT423" s="1560"/>
      <c r="AU423" s="1560"/>
      <c r="AV423" s="1561"/>
    </row>
    <row r="424" spans="1:48" ht="15" customHeight="1" x14ac:dyDescent="0.2">
      <c r="A424" s="1076"/>
      <c r="B424" s="1074"/>
      <c r="D424" s="1074"/>
      <c r="E424" s="1074"/>
      <c r="F424" s="1074"/>
      <c r="G424" s="1074"/>
      <c r="H424" s="1074"/>
      <c r="I424" s="1074"/>
      <c r="J424" s="1074"/>
      <c r="K424" s="1074"/>
      <c r="L424" s="1074"/>
      <c r="M424" s="1074"/>
      <c r="AV424" s="1075"/>
    </row>
    <row r="425" spans="1:48" ht="15" customHeight="1" x14ac:dyDescent="0.2">
      <c r="A425" s="1076"/>
      <c r="B425" s="1044" t="str">
        <f>"Desk " &amp; (ROW(B425)-ROW(B$424))</f>
        <v>Desk 1</v>
      </c>
      <c r="C425" s="1383" t="str">
        <f>IF('TB IMA general'!C86&lt;&gt;"",'TB IMA general'!C86,"")</f>
        <v/>
      </c>
      <c r="D425" s="1043"/>
      <c r="E425" s="1043"/>
      <c r="F425" s="1043"/>
      <c r="G425" s="1043"/>
      <c r="H425" s="1043"/>
      <c r="I425" s="1043"/>
      <c r="J425" s="1043"/>
      <c r="K425" s="1043"/>
      <c r="L425" s="1043"/>
      <c r="M425" s="1043"/>
      <c r="N425" s="1043"/>
      <c r="O425" s="1043"/>
      <c r="P425" s="1043"/>
      <c r="Q425" s="1043"/>
      <c r="R425" s="1043"/>
      <c r="S425" s="1043"/>
      <c r="T425" s="1043"/>
      <c r="U425" s="1043"/>
      <c r="V425" s="1043"/>
      <c r="W425" s="1043"/>
      <c r="X425" s="1043"/>
      <c r="Y425" s="1043"/>
      <c r="Z425" s="1043"/>
      <c r="AA425" s="1043"/>
      <c r="AB425" s="1043"/>
      <c r="AC425" s="1043"/>
      <c r="AD425" s="1043"/>
      <c r="AE425" s="1043"/>
      <c r="AF425" s="1043"/>
      <c r="AG425" s="1043"/>
      <c r="AH425" s="1043"/>
      <c r="AI425" s="1043"/>
      <c r="AJ425" s="1043"/>
      <c r="AK425" s="1043"/>
      <c r="AL425" s="1043"/>
      <c r="AM425" s="1043"/>
      <c r="AN425" s="1043"/>
      <c r="AO425" s="1043"/>
      <c r="AP425" s="1043"/>
      <c r="AQ425" s="1043"/>
      <c r="AR425" s="1043"/>
      <c r="AS425" s="1043"/>
      <c r="AT425" s="1043"/>
      <c r="AU425" s="1066"/>
      <c r="AV425" s="1075"/>
    </row>
    <row r="426" spans="1:48" ht="15" customHeight="1" x14ac:dyDescent="0.2">
      <c r="A426" s="1076"/>
      <c r="B426" s="1045" t="str">
        <f t="shared" ref="B426:B489" si="9">"Desk " &amp; (ROW(B426)-ROW(B$424))</f>
        <v>Desk 2</v>
      </c>
      <c r="C426" s="1385" t="str">
        <f>IF('TB IMA general'!C87&lt;&gt;"",'TB IMA general'!C87,"")</f>
        <v/>
      </c>
      <c r="D426" s="1126"/>
      <c r="E426" s="1126"/>
      <c r="F426" s="1126"/>
      <c r="G426" s="1126"/>
      <c r="H426" s="1126"/>
      <c r="I426" s="1126"/>
      <c r="J426" s="1126"/>
      <c r="K426" s="1126"/>
      <c r="L426" s="1126"/>
      <c r="M426" s="1126"/>
      <c r="N426" s="1126"/>
      <c r="O426" s="1126"/>
      <c r="P426" s="1126"/>
      <c r="Q426" s="1126"/>
      <c r="R426" s="1126"/>
      <c r="S426" s="1126"/>
      <c r="T426" s="1126"/>
      <c r="U426" s="1126"/>
      <c r="V426" s="1126"/>
      <c r="W426" s="1126"/>
      <c r="X426" s="1126"/>
      <c r="Y426" s="1126"/>
      <c r="Z426" s="1126"/>
      <c r="AA426" s="1126"/>
      <c r="AB426" s="1126"/>
      <c r="AC426" s="1126"/>
      <c r="AD426" s="1126"/>
      <c r="AE426" s="1126"/>
      <c r="AF426" s="1126"/>
      <c r="AG426" s="1126"/>
      <c r="AH426" s="1126"/>
      <c r="AI426" s="1126"/>
      <c r="AJ426" s="1126"/>
      <c r="AK426" s="1126"/>
      <c r="AL426" s="1126"/>
      <c r="AM426" s="1126"/>
      <c r="AN426" s="1126"/>
      <c r="AO426" s="1126"/>
      <c r="AP426" s="1126"/>
      <c r="AQ426" s="1126"/>
      <c r="AR426" s="1126"/>
      <c r="AS426" s="1126"/>
      <c r="AT426" s="1126"/>
      <c r="AU426" s="413"/>
      <c r="AV426" s="1075"/>
    </row>
    <row r="427" spans="1:48" ht="15" customHeight="1" x14ac:dyDescent="0.2">
      <c r="A427" s="1076"/>
      <c r="B427" s="1045" t="str">
        <f t="shared" si="9"/>
        <v>Desk 3</v>
      </c>
      <c r="C427" s="1385" t="str">
        <f>IF('TB IMA general'!C88&lt;&gt;"",'TB IMA general'!C88,"")</f>
        <v/>
      </c>
      <c r="D427" s="1126"/>
      <c r="E427" s="1126"/>
      <c r="F427" s="1126"/>
      <c r="G427" s="1126"/>
      <c r="H427" s="1126"/>
      <c r="I427" s="1126"/>
      <c r="J427" s="1126"/>
      <c r="K427" s="1126"/>
      <c r="L427" s="1126"/>
      <c r="M427" s="1126"/>
      <c r="N427" s="1126"/>
      <c r="O427" s="1126"/>
      <c r="P427" s="1126"/>
      <c r="Q427" s="1126"/>
      <c r="R427" s="1126"/>
      <c r="S427" s="1126"/>
      <c r="T427" s="1126"/>
      <c r="U427" s="1126"/>
      <c r="V427" s="1126"/>
      <c r="W427" s="1126"/>
      <c r="X427" s="1126"/>
      <c r="Y427" s="1126"/>
      <c r="Z427" s="1126"/>
      <c r="AA427" s="1126"/>
      <c r="AB427" s="1126"/>
      <c r="AC427" s="1126"/>
      <c r="AD427" s="1126"/>
      <c r="AE427" s="1126"/>
      <c r="AF427" s="1126"/>
      <c r="AG427" s="1126"/>
      <c r="AH427" s="1126"/>
      <c r="AI427" s="1126"/>
      <c r="AJ427" s="1126"/>
      <c r="AK427" s="1126"/>
      <c r="AL427" s="1126"/>
      <c r="AM427" s="1126"/>
      <c r="AN427" s="1126"/>
      <c r="AO427" s="1126"/>
      <c r="AP427" s="1126"/>
      <c r="AQ427" s="1126"/>
      <c r="AR427" s="1126"/>
      <c r="AS427" s="1126"/>
      <c r="AT427" s="1126"/>
      <c r="AU427" s="413"/>
      <c r="AV427" s="1075"/>
    </row>
    <row r="428" spans="1:48" ht="15" customHeight="1" x14ac:dyDescent="0.2">
      <c r="A428" s="1076"/>
      <c r="B428" s="1045" t="str">
        <f t="shared" si="9"/>
        <v>Desk 4</v>
      </c>
      <c r="C428" s="1385" t="str">
        <f>IF('TB IMA general'!C89&lt;&gt;"",'TB IMA general'!C89,"")</f>
        <v/>
      </c>
      <c r="D428" s="1126"/>
      <c r="E428" s="1126"/>
      <c r="F428" s="1126"/>
      <c r="G428" s="1126"/>
      <c r="H428" s="1126"/>
      <c r="I428" s="1126"/>
      <c r="J428" s="1126"/>
      <c r="K428" s="1126"/>
      <c r="L428" s="1126"/>
      <c r="M428" s="1126"/>
      <c r="N428" s="1126"/>
      <c r="O428" s="1126"/>
      <c r="P428" s="1126"/>
      <c r="Q428" s="1126"/>
      <c r="R428" s="1126"/>
      <c r="S428" s="1126"/>
      <c r="T428" s="1126"/>
      <c r="U428" s="1126"/>
      <c r="V428" s="1126"/>
      <c r="W428" s="1126"/>
      <c r="X428" s="1126"/>
      <c r="Y428" s="1126"/>
      <c r="Z428" s="1126"/>
      <c r="AA428" s="1126"/>
      <c r="AB428" s="1126"/>
      <c r="AC428" s="1126"/>
      <c r="AD428" s="1126"/>
      <c r="AE428" s="1126"/>
      <c r="AF428" s="1126"/>
      <c r="AG428" s="1126"/>
      <c r="AH428" s="1126"/>
      <c r="AI428" s="1126"/>
      <c r="AJ428" s="1126"/>
      <c r="AK428" s="1126"/>
      <c r="AL428" s="1126"/>
      <c r="AM428" s="1126"/>
      <c r="AN428" s="1126"/>
      <c r="AO428" s="1126"/>
      <c r="AP428" s="1126"/>
      <c r="AQ428" s="1126"/>
      <c r="AR428" s="1126"/>
      <c r="AS428" s="1126"/>
      <c r="AT428" s="1126"/>
      <c r="AU428" s="413"/>
      <c r="AV428" s="1075"/>
    </row>
    <row r="429" spans="1:48" ht="15" customHeight="1" x14ac:dyDescent="0.2">
      <c r="A429" s="1076"/>
      <c r="B429" s="1045" t="str">
        <f t="shared" si="9"/>
        <v>Desk 5</v>
      </c>
      <c r="C429" s="1385" t="str">
        <f>IF('TB IMA general'!C90&lt;&gt;"",'TB IMA general'!C90,"")</f>
        <v/>
      </c>
      <c r="D429" s="1126"/>
      <c r="E429" s="1126"/>
      <c r="F429" s="1126"/>
      <c r="G429" s="1126"/>
      <c r="H429" s="1126"/>
      <c r="I429" s="1126"/>
      <c r="J429" s="1126"/>
      <c r="K429" s="1126"/>
      <c r="L429" s="1126"/>
      <c r="M429" s="1126"/>
      <c r="N429" s="1126"/>
      <c r="O429" s="1126"/>
      <c r="P429" s="1126"/>
      <c r="Q429" s="1126"/>
      <c r="R429" s="1126"/>
      <c r="S429" s="1126"/>
      <c r="T429" s="1126"/>
      <c r="U429" s="1126"/>
      <c r="V429" s="1126"/>
      <c r="W429" s="1126"/>
      <c r="X429" s="1126"/>
      <c r="Y429" s="1126"/>
      <c r="Z429" s="1126"/>
      <c r="AA429" s="1126"/>
      <c r="AB429" s="1126"/>
      <c r="AC429" s="1126"/>
      <c r="AD429" s="1126"/>
      <c r="AE429" s="1126"/>
      <c r="AF429" s="1126"/>
      <c r="AG429" s="1126"/>
      <c r="AH429" s="1126"/>
      <c r="AI429" s="1126"/>
      <c r="AJ429" s="1126"/>
      <c r="AK429" s="1126"/>
      <c r="AL429" s="1126"/>
      <c r="AM429" s="1126"/>
      <c r="AN429" s="1126"/>
      <c r="AO429" s="1126"/>
      <c r="AP429" s="1126"/>
      <c r="AQ429" s="1126"/>
      <c r="AR429" s="1126"/>
      <c r="AS429" s="1126"/>
      <c r="AT429" s="1126"/>
      <c r="AU429" s="413"/>
      <c r="AV429" s="1075"/>
    </row>
    <row r="430" spans="1:48" ht="15" customHeight="1" x14ac:dyDescent="0.2">
      <c r="A430" s="1076"/>
      <c r="B430" s="1045" t="str">
        <f t="shared" si="9"/>
        <v>Desk 6</v>
      </c>
      <c r="C430" s="1385" t="str">
        <f>IF('TB IMA general'!C91&lt;&gt;"",'TB IMA general'!C91,"")</f>
        <v/>
      </c>
      <c r="D430" s="1126"/>
      <c r="E430" s="1126"/>
      <c r="F430" s="1126"/>
      <c r="G430" s="1126"/>
      <c r="H430" s="1126"/>
      <c r="I430" s="1126"/>
      <c r="J430" s="1126"/>
      <c r="K430" s="1126"/>
      <c r="L430" s="1126"/>
      <c r="M430" s="1126"/>
      <c r="N430" s="1126"/>
      <c r="O430" s="1126"/>
      <c r="P430" s="1126"/>
      <c r="Q430" s="1126"/>
      <c r="R430" s="1126"/>
      <c r="S430" s="1126"/>
      <c r="T430" s="1126"/>
      <c r="U430" s="1126"/>
      <c r="V430" s="1126"/>
      <c r="W430" s="1126"/>
      <c r="X430" s="1126"/>
      <c r="Y430" s="1126"/>
      <c r="Z430" s="1126"/>
      <c r="AA430" s="1126"/>
      <c r="AB430" s="1126"/>
      <c r="AC430" s="1126"/>
      <c r="AD430" s="1126"/>
      <c r="AE430" s="1126"/>
      <c r="AF430" s="1126"/>
      <c r="AG430" s="1126"/>
      <c r="AH430" s="1126"/>
      <c r="AI430" s="1126"/>
      <c r="AJ430" s="1126"/>
      <c r="AK430" s="1126"/>
      <c r="AL430" s="1126"/>
      <c r="AM430" s="1126"/>
      <c r="AN430" s="1126"/>
      <c r="AO430" s="1126"/>
      <c r="AP430" s="1126"/>
      <c r="AQ430" s="1126"/>
      <c r="AR430" s="1126"/>
      <c r="AS430" s="1126"/>
      <c r="AT430" s="1126"/>
      <c r="AU430" s="413"/>
      <c r="AV430" s="1075"/>
    </row>
    <row r="431" spans="1:48" ht="15" customHeight="1" x14ac:dyDescent="0.2">
      <c r="A431" s="1076"/>
      <c r="B431" s="1045" t="str">
        <f t="shared" si="9"/>
        <v>Desk 7</v>
      </c>
      <c r="C431" s="1385" t="str">
        <f>IF('TB IMA general'!C92&lt;&gt;"",'TB IMA general'!C92,"")</f>
        <v/>
      </c>
      <c r="D431" s="1126"/>
      <c r="E431" s="1126"/>
      <c r="F431" s="1126"/>
      <c r="G431" s="1126"/>
      <c r="H431" s="1126"/>
      <c r="I431" s="1126"/>
      <c r="J431" s="1126"/>
      <c r="K431" s="1126"/>
      <c r="L431" s="1126"/>
      <c r="M431" s="1126"/>
      <c r="N431" s="1126"/>
      <c r="O431" s="1126"/>
      <c r="P431" s="1126"/>
      <c r="Q431" s="1126"/>
      <c r="R431" s="1126"/>
      <c r="S431" s="1126"/>
      <c r="T431" s="1126"/>
      <c r="U431" s="1126"/>
      <c r="V431" s="1126"/>
      <c r="W431" s="1126"/>
      <c r="X431" s="1126"/>
      <c r="Y431" s="1126"/>
      <c r="Z431" s="1126"/>
      <c r="AA431" s="1126"/>
      <c r="AB431" s="1126"/>
      <c r="AC431" s="1126"/>
      <c r="AD431" s="1126"/>
      <c r="AE431" s="1126"/>
      <c r="AF431" s="1126"/>
      <c r="AG431" s="1126"/>
      <c r="AH431" s="1126"/>
      <c r="AI431" s="1126"/>
      <c r="AJ431" s="1126"/>
      <c r="AK431" s="1126"/>
      <c r="AL431" s="1126"/>
      <c r="AM431" s="1126"/>
      <c r="AN431" s="1126"/>
      <c r="AO431" s="1126"/>
      <c r="AP431" s="1126"/>
      <c r="AQ431" s="1126"/>
      <c r="AR431" s="1126"/>
      <c r="AS431" s="1126"/>
      <c r="AT431" s="1126"/>
      <c r="AU431" s="413"/>
      <c r="AV431" s="1075"/>
    </row>
    <row r="432" spans="1:48" ht="15" customHeight="1" x14ac:dyDescent="0.2">
      <c r="A432" s="1076"/>
      <c r="B432" s="1045" t="str">
        <f t="shared" si="9"/>
        <v>Desk 8</v>
      </c>
      <c r="C432" s="1385" t="str">
        <f>IF('TB IMA general'!C93&lt;&gt;"",'TB IMA general'!C93,"")</f>
        <v/>
      </c>
      <c r="D432" s="1126"/>
      <c r="E432" s="1126"/>
      <c r="F432" s="1126"/>
      <c r="G432" s="1126"/>
      <c r="H432" s="1126"/>
      <c r="I432" s="1126"/>
      <c r="J432" s="1126"/>
      <c r="K432" s="1126"/>
      <c r="L432" s="1126"/>
      <c r="M432" s="1126"/>
      <c r="N432" s="1126"/>
      <c r="O432" s="1126"/>
      <c r="P432" s="1126"/>
      <c r="Q432" s="1126"/>
      <c r="R432" s="1126"/>
      <c r="S432" s="1126"/>
      <c r="T432" s="1126"/>
      <c r="U432" s="1126"/>
      <c r="V432" s="1126"/>
      <c r="W432" s="1126"/>
      <c r="X432" s="1126"/>
      <c r="Y432" s="1126"/>
      <c r="Z432" s="1126"/>
      <c r="AA432" s="1126"/>
      <c r="AB432" s="1126"/>
      <c r="AC432" s="1126"/>
      <c r="AD432" s="1126"/>
      <c r="AE432" s="1126"/>
      <c r="AF432" s="1126"/>
      <c r="AG432" s="1126"/>
      <c r="AH432" s="1126"/>
      <c r="AI432" s="1126"/>
      <c r="AJ432" s="1126"/>
      <c r="AK432" s="1126"/>
      <c r="AL432" s="1126"/>
      <c r="AM432" s="1126"/>
      <c r="AN432" s="1126"/>
      <c r="AO432" s="1126"/>
      <c r="AP432" s="1126"/>
      <c r="AQ432" s="1126"/>
      <c r="AR432" s="1126"/>
      <c r="AS432" s="1126"/>
      <c r="AT432" s="1126"/>
      <c r="AU432" s="413"/>
      <c r="AV432" s="1075"/>
    </row>
    <row r="433" spans="1:48" ht="15" customHeight="1" x14ac:dyDescent="0.2">
      <c r="A433" s="1076"/>
      <c r="B433" s="1045" t="str">
        <f t="shared" si="9"/>
        <v>Desk 9</v>
      </c>
      <c r="C433" s="1385" t="str">
        <f>IF('TB IMA general'!C94&lt;&gt;"",'TB IMA general'!C94,"")</f>
        <v/>
      </c>
      <c r="D433" s="1126"/>
      <c r="E433" s="1126"/>
      <c r="F433" s="1126"/>
      <c r="G433" s="1126"/>
      <c r="H433" s="1126"/>
      <c r="I433" s="1126"/>
      <c r="J433" s="1126"/>
      <c r="K433" s="1126"/>
      <c r="L433" s="1126"/>
      <c r="M433" s="1126"/>
      <c r="N433" s="1126"/>
      <c r="O433" s="1126"/>
      <c r="P433" s="1126"/>
      <c r="Q433" s="1126"/>
      <c r="R433" s="1126"/>
      <c r="S433" s="1126"/>
      <c r="T433" s="1126"/>
      <c r="U433" s="1126"/>
      <c r="V433" s="1126"/>
      <c r="W433" s="1126"/>
      <c r="X433" s="1126"/>
      <c r="Y433" s="1126"/>
      <c r="Z433" s="1126"/>
      <c r="AA433" s="1126"/>
      <c r="AB433" s="1126"/>
      <c r="AC433" s="1126"/>
      <c r="AD433" s="1126"/>
      <c r="AE433" s="1126"/>
      <c r="AF433" s="1126"/>
      <c r="AG433" s="1126"/>
      <c r="AH433" s="1126"/>
      <c r="AI433" s="1126"/>
      <c r="AJ433" s="1126"/>
      <c r="AK433" s="1126"/>
      <c r="AL433" s="1126"/>
      <c r="AM433" s="1126"/>
      <c r="AN433" s="1126"/>
      <c r="AO433" s="1126"/>
      <c r="AP433" s="1126"/>
      <c r="AQ433" s="1126"/>
      <c r="AR433" s="1126"/>
      <c r="AS433" s="1126"/>
      <c r="AT433" s="1126"/>
      <c r="AU433" s="413"/>
      <c r="AV433" s="1075"/>
    </row>
    <row r="434" spans="1:48" ht="15" customHeight="1" x14ac:dyDescent="0.2">
      <c r="A434" s="1076"/>
      <c r="B434" s="1045" t="str">
        <f t="shared" si="9"/>
        <v>Desk 10</v>
      </c>
      <c r="C434" s="1385" t="str">
        <f>IF('TB IMA general'!C95&lt;&gt;"",'TB IMA general'!C95,"")</f>
        <v/>
      </c>
      <c r="D434" s="1126"/>
      <c r="E434" s="1126"/>
      <c r="F434" s="1126"/>
      <c r="G434" s="1126"/>
      <c r="H434" s="1126"/>
      <c r="I434" s="1126"/>
      <c r="J434" s="1126"/>
      <c r="K434" s="1126"/>
      <c r="L434" s="1126"/>
      <c r="M434" s="1126"/>
      <c r="N434" s="1126"/>
      <c r="O434" s="1126"/>
      <c r="P434" s="1126"/>
      <c r="Q434" s="1126"/>
      <c r="R434" s="1126"/>
      <c r="S434" s="1126"/>
      <c r="T434" s="1126"/>
      <c r="U434" s="1126"/>
      <c r="V434" s="1126"/>
      <c r="W434" s="1126"/>
      <c r="X434" s="1126"/>
      <c r="Y434" s="1126"/>
      <c r="Z434" s="1126"/>
      <c r="AA434" s="1126"/>
      <c r="AB434" s="1126"/>
      <c r="AC434" s="1126"/>
      <c r="AD434" s="1126"/>
      <c r="AE434" s="1126"/>
      <c r="AF434" s="1126"/>
      <c r="AG434" s="1126"/>
      <c r="AH434" s="1126"/>
      <c r="AI434" s="1126"/>
      <c r="AJ434" s="1126"/>
      <c r="AK434" s="1126"/>
      <c r="AL434" s="1126"/>
      <c r="AM434" s="1126"/>
      <c r="AN434" s="1126"/>
      <c r="AO434" s="1126"/>
      <c r="AP434" s="1126"/>
      <c r="AQ434" s="1126"/>
      <c r="AR434" s="1126"/>
      <c r="AS434" s="1126"/>
      <c r="AT434" s="1126"/>
      <c r="AU434" s="413"/>
      <c r="AV434" s="1075"/>
    </row>
    <row r="435" spans="1:48" ht="15" customHeight="1" x14ac:dyDescent="0.2">
      <c r="A435" s="1076"/>
      <c r="B435" s="1045" t="str">
        <f t="shared" si="9"/>
        <v>Desk 11</v>
      </c>
      <c r="C435" s="1385" t="str">
        <f>IF('TB IMA general'!C96&lt;&gt;"",'TB IMA general'!C96,"")</f>
        <v/>
      </c>
      <c r="D435" s="1126"/>
      <c r="E435" s="1126"/>
      <c r="F435" s="1126"/>
      <c r="G435" s="1126"/>
      <c r="H435" s="1126"/>
      <c r="I435" s="1126"/>
      <c r="J435" s="1126"/>
      <c r="K435" s="1126"/>
      <c r="L435" s="1126"/>
      <c r="M435" s="1126"/>
      <c r="N435" s="1126"/>
      <c r="O435" s="1126"/>
      <c r="P435" s="1126"/>
      <c r="Q435" s="1126"/>
      <c r="R435" s="1126"/>
      <c r="S435" s="1126"/>
      <c r="T435" s="1126"/>
      <c r="U435" s="1126"/>
      <c r="V435" s="1126"/>
      <c r="W435" s="1126"/>
      <c r="X435" s="1126"/>
      <c r="Y435" s="1126"/>
      <c r="Z435" s="1126"/>
      <c r="AA435" s="1126"/>
      <c r="AB435" s="1126"/>
      <c r="AC435" s="1126"/>
      <c r="AD435" s="1126"/>
      <c r="AE435" s="1126"/>
      <c r="AF435" s="1126"/>
      <c r="AG435" s="1126"/>
      <c r="AH435" s="1126"/>
      <c r="AI435" s="1126"/>
      <c r="AJ435" s="1126"/>
      <c r="AK435" s="1126"/>
      <c r="AL435" s="1126"/>
      <c r="AM435" s="1126"/>
      <c r="AN435" s="1126"/>
      <c r="AO435" s="1126"/>
      <c r="AP435" s="1126"/>
      <c r="AQ435" s="1126"/>
      <c r="AR435" s="1126"/>
      <c r="AS435" s="1126"/>
      <c r="AT435" s="1126"/>
      <c r="AU435" s="413"/>
      <c r="AV435" s="1075"/>
    </row>
    <row r="436" spans="1:48" ht="15" customHeight="1" x14ac:dyDescent="0.2">
      <c r="A436" s="1076"/>
      <c r="B436" s="1045" t="str">
        <f t="shared" si="9"/>
        <v>Desk 12</v>
      </c>
      <c r="C436" s="1385" t="str">
        <f>IF('TB IMA general'!C97&lt;&gt;"",'TB IMA general'!C97,"")</f>
        <v/>
      </c>
      <c r="D436" s="1126"/>
      <c r="E436" s="1126"/>
      <c r="F436" s="1126"/>
      <c r="G436" s="1126"/>
      <c r="H436" s="1126"/>
      <c r="I436" s="1126"/>
      <c r="J436" s="1126"/>
      <c r="K436" s="1126"/>
      <c r="L436" s="1126"/>
      <c r="M436" s="1126"/>
      <c r="N436" s="1126"/>
      <c r="O436" s="1126"/>
      <c r="P436" s="1126"/>
      <c r="Q436" s="1126"/>
      <c r="R436" s="1126"/>
      <c r="S436" s="1126"/>
      <c r="T436" s="1126"/>
      <c r="U436" s="1126"/>
      <c r="V436" s="1126"/>
      <c r="W436" s="1126"/>
      <c r="X436" s="1126"/>
      <c r="Y436" s="1126"/>
      <c r="Z436" s="1126"/>
      <c r="AA436" s="1126"/>
      <c r="AB436" s="1126"/>
      <c r="AC436" s="1126"/>
      <c r="AD436" s="1126"/>
      <c r="AE436" s="1126"/>
      <c r="AF436" s="1126"/>
      <c r="AG436" s="1126"/>
      <c r="AH436" s="1126"/>
      <c r="AI436" s="1126"/>
      <c r="AJ436" s="1126"/>
      <c r="AK436" s="1126"/>
      <c r="AL436" s="1126"/>
      <c r="AM436" s="1126"/>
      <c r="AN436" s="1126"/>
      <c r="AO436" s="1126"/>
      <c r="AP436" s="1126"/>
      <c r="AQ436" s="1126"/>
      <c r="AR436" s="1126"/>
      <c r="AS436" s="1126"/>
      <c r="AT436" s="1126"/>
      <c r="AU436" s="413"/>
      <c r="AV436" s="1075"/>
    </row>
    <row r="437" spans="1:48" ht="15" customHeight="1" x14ac:dyDescent="0.2">
      <c r="A437" s="1076"/>
      <c r="B437" s="1045" t="str">
        <f t="shared" si="9"/>
        <v>Desk 13</v>
      </c>
      <c r="C437" s="1385" t="str">
        <f>IF('TB IMA general'!C98&lt;&gt;"",'TB IMA general'!C98,"")</f>
        <v/>
      </c>
      <c r="D437" s="1126"/>
      <c r="E437" s="1126"/>
      <c r="F437" s="1126"/>
      <c r="G437" s="1126"/>
      <c r="H437" s="1126"/>
      <c r="I437" s="1126"/>
      <c r="J437" s="1126"/>
      <c r="K437" s="1126"/>
      <c r="L437" s="1126"/>
      <c r="M437" s="1126"/>
      <c r="N437" s="1126"/>
      <c r="O437" s="1126"/>
      <c r="P437" s="1126"/>
      <c r="Q437" s="1126"/>
      <c r="R437" s="1126"/>
      <c r="S437" s="1126"/>
      <c r="T437" s="1126"/>
      <c r="U437" s="1126"/>
      <c r="V437" s="1126"/>
      <c r="W437" s="1126"/>
      <c r="X437" s="1126"/>
      <c r="Y437" s="1126"/>
      <c r="Z437" s="1126"/>
      <c r="AA437" s="1126"/>
      <c r="AB437" s="1126"/>
      <c r="AC437" s="1126"/>
      <c r="AD437" s="1126"/>
      <c r="AE437" s="1126"/>
      <c r="AF437" s="1126"/>
      <c r="AG437" s="1126"/>
      <c r="AH437" s="1126"/>
      <c r="AI437" s="1126"/>
      <c r="AJ437" s="1126"/>
      <c r="AK437" s="1126"/>
      <c r="AL437" s="1126"/>
      <c r="AM437" s="1126"/>
      <c r="AN437" s="1126"/>
      <c r="AO437" s="1126"/>
      <c r="AP437" s="1126"/>
      <c r="AQ437" s="1126"/>
      <c r="AR437" s="1126"/>
      <c r="AS437" s="1126"/>
      <c r="AT437" s="1126"/>
      <c r="AU437" s="413"/>
      <c r="AV437" s="1075"/>
    </row>
    <row r="438" spans="1:48" ht="15" customHeight="1" x14ac:dyDescent="0.2">
      <c r="A438" s="1076"/>
      <c r="B438" s="1045" t="str">
        <f t="shared" si="9"/>
        <v>Desk 14</v>
      </c>
      <c r="C438" s="1385" t="str">
        <f>IF('TB IMA general'!C99&lt;&gt;"",'TB IMA general'!C99,"")</f>
        <v/>
      </c>
      <c r="D438" s="1126"/>
      <c r="E438" s="1126"/>
      <c r="F438" s="1126"/>
      <c r="G438" s="1126"/>
      <c r="H438" s="1126"/>
      <c r="I438" s="1126"/>
      <c r="J438" s="1126"/>
      <c r="K438" s="1126"/>
      <c r="L438" s="1126"/>
      <c r="M438" s="1126"/>
      <c r="N438" s="1126"/>
      <c r="O438" s="1126"/>
      <c r="P438" s="1126"/>
      <c r="Q438" s="1126"/>
      <c r="R438" s="1126"/>
      <c r="S438" s="1126"/>
      <c r="T438" s="1126"/>
      <c r="U438" s="1126"/>
      <c r="V438" s="1126"/>
      <c r="W438" s="1126"/>
      <c r="X438" s="1126"/>
      <c r="Y438" s="1126"/>
      <c r="Z438" s="1126"/>
      <c r="AA438" s="1126"/>
      <c r="AB438" s="1126"/>
      <c r="AC438" s="1126"/>
      <c r="AD438" s="1126"/>
      <c r="AE438" s="1126"/>
      <c r="AF438" s="1126"/>
      <c r="AG438" s="1126"/>
      <c r="AH438" s="1126"/>
      <c r="AI438" s="1126"/>
      <c r="AJ438" s="1126"/>
      <c r="AK438" s="1126"/>
      <c r="AL438" s="1126"/>
      <c r="AM438" s="1126"/>
      <c r="AN438" s="1126"/>
      <c r="AO438" s="1126"/>
      <c r="AP438" s="1126"/>
      <c r="AQ438" s="1126"/>
      <c r="AR438" s="1126"/>
      <c r="AS438" s="1126"/>
      <c r="AT438" s="1126"/>
      <c r="AU438" s="413"/>
      <c r="AV438" s="1075"/>
    </row>
    <row r="439" spans="1:48" ht="15" customHeight="1" x14ac:dyDescent="0.2">
      <c r="A439" s="1076"/>
      <c r="B439" s="1045" t="str">
        <f t="shared" si="9"/>
        <v>Desk 15</v>
      </c>
      <c r="C439" s="1385" t="str">
        <f>IF('TB IMA general'!C100&lt;&gt;"",'TB IMA general'!C100,"")</f>
        <v/>
      </c>
      <c r="D439" s="1126"/>
      <c r="E439" s="1126"/>
      <c r="F439" s="1126"/>
      <c r="G439" s="1126"/>
      <c r="H439" s="1126"/>
      <c r="I439" s="1126"/>
      <c r="J439" s="1126"/>
      <c r="K439" s="1126"/>
      <c r="L439" s="1126"/>
      <c r="M439" s="1126"/>
      <c r="N439" s="1126"/>
      <c r="O439" s="1126"/>
      <c r="P439" s="1126"/>
      <c r="Q439" s="1126"/>
      <c r="R439" s="1126"/>
      <c r="S439" s="1126"/>
      <c r="T439" s="1126"/>
      <c r="U439" s="1126"/>
      <c r="V439" s="1126"/>
      <c r="W439" s="1126"/>
      <c r="X439" s="1126"/>
      <c r="Y439" s="1126"/>
      <c r="Z439" s="1126"/>
      <c r="AA439" s="1126"/>
      <c r="AB439" s="1126"/>
      <c r="AC439" s="1126"/>
      <c r="AD439" s="1126"/>
      <c r="AE439" s="1126"/>
      <c r="AF439" s="1126"/>
      <c r="AG439" s="1126"/>
      <c r="AH439" s="1126"/>
      <c r="AI439" s="1126"/>
      <c r="AJ439" s="1126"/>
      <c r="AK439" s="1126"/>
      <c r="AL439" s="1126"/>
      <c r="AM439" s="1126"/>
      <c r="AN439" s="1126"/>
      <c r="AO439" s="1126"/>
      <c r="AP439" s="1126"/>
      <c r="AQ439" s="1126"/>
      <c r="AR439" s="1126"/>
      <c r="AS439" s="1126"/>
      <c r="AT439" s="1126"/>
      <c r="AU439" s="413"/>
      <c r="AV439" s="1075"/>
    </row>
    <row r="440" spans="1:48" ht="15" customHeight="1" x14ac:dyDescent="0.2">
      <c r="A440" s="1076"/>
      <c r="B440" s="1045" t="str">
        <f t="shared" si="9"/>
        <v>Desk 16</v>
      </c>
      <c r="C440" s="1385" t="str">
        <f>IF('TB IMA general'!C101&lt;&gt;"",'TB IMA general'!C101,"")</f>
        <v/>
      </c>
      <c r="D440" s="1126"/>
      <c r="E440" s="1126"/>
      <c r="F440" s="1126"/>
      <c r="G440" s="1126"/>
      <c r="H440" s="1126"/>
      <c r="I440" s="1126"/>
      <c r="J440" s="1126"/>
      <c r="K440" s="1126"/>
      <c r="L440" s="1126"/>
      <c r="M440" s="1126"/>
      <c r="N440" s="1126"/>
      <c r="O440" s="1126"/>
      <c r="P440" s="1126"/>
      <c r="Q440" s="1126"/>
      <c r="R440" s="1126"/>
      <c r="S440" s="1126"/>
      <c r="T440" s="1126"/>
      <c r="U440" s="1126"/>
      <c r="V440" s="1126"/>
      <c r="W440" s="1126"/>
      <c r="X440" s="1126"/>
      <c r="Y440" s="1126"/>
      <c r="Z440" s="1126"/>
      <c r="AA440" s="1126"/>
      <c r="AB440" s="1126"/>
      <c r="AC440" s="1126"/>
      <c r="AD440" s="1126"/>
      <c r="AE440" s="1126"/>
      <c r="AF440" s="1126"/>
      <c r="AG440" s="1126"/>
      <c r="AH440" s="1126"/>
      <c r="AI440" s="1126"/>
      <c r="AJ440" s="1126"/>
      <c r="AK440" s="1126"/>
      <c r="AL440" s="1126"/>
      <c r="AM440" s="1126"/>
      <c r="AN440" s="1126"/>
      <c r="AO440" s="1126"/>
      <c r="AP440" s="1126"/>
      <c r="AQ440" s="1126"/>
      <c r="AR440" s="1126"/>
      <c r="AS440" s="1126"/>
      <c r="AT440" s="1126"/>
      <c r="AU440" s="413"/>
      <c r="AV440" s="1075"/>
    </row>
    <row r="441" spans="1:48" ht="15" customHeight="1" x14ac:dyDescent="0.2">
      <c r="A441" s="1076"/>
      <c r="B441" s="1045" t="str">
        <f t="shared" si="9"/>
        <v>Desk 17</v>
      </c>
      <c r="C441" s="1385" t="str">
        <f>IF('TB IMA general'!C102&lt;&gt;"",'TB IMA general'!C102,"")</f>
        <v/>
      </c>
      <c r="D441" s="1126"/>
      <c r="E441" s="1126"/>
      <c r="F441" s="1126"/>
      <c r="G441" s="1126"/>
      <c r="H441" s="1126"/>
      <c r="I441" s="1126"/>
      <c r="J441" s="1126"/>
      <c r="K441" s="1126"/>
      <c r="L441" s="1126"/>
      <c r="M441" s="1126"/>
      <c r="N441" s="1126"/>
      <c r="O441" s="1126"/>
      <c r="P441" s="1126"/>
      <c r="Q441" s="1126"/>
      <c r="R441" s="1126"/>
      <c r="S441" s="1126"/>
      <c r="T441" s="1126"/>
      <c r="U441" s="1126"/>
      <c r="V441" s="1126"/>
      <c r="W441" s="1126"/>
      <c r="X441" s="1126"/>
      <c r="Y441" s="1126"/>
      <c r="Z441" s="1126"/>
      <c r="AA441" s="1126"/>
      <c r="AB441" s="1126"/>
      <c r="AC441" s="1126"/>
      <c r="AD441" s="1126"/>
      <c r="AE441" s="1126"/>
      <c r="AF441" s="1126"/>
      <c r="AG441" s="1126"/>
      <c r="AH441" s="1126"/>
      <c r="AI441" s="1126"/>
      <c r="AJ441" s="1126"/>
      <c r="AK441" s="1126"/>
      <c r="AL441" s="1126"/>
      <c r="AM441" s="1126"/>
      <c r="AN441" s="1126"/>
      <c r="AO441" s="1126"/>
      <c r="AP441" s="1126"/>
      <c r="AQ441" s="1126"/>
      <c r="AR441" s="1126"/>
      <c r="AS441" s="1126"/>
      <c r="AT441" s="1126"/>
      <c r="AU441" s="413"/>
      <c r="AV441" s="1075"/>
    </row>
    <row r="442" spans="1:48" ht="15" customHeight="1" x14ac:dyDescent="0.2">
      <c r="A442" s="1076"/>
      <c r="B442" s="1045" t="str">
        <f t="shared" si="9"/>
        <v>Desk 18</v>
      </c>
      <c r="C442" s="1385" t="str">
        <f>IF('TB IMA general'!C103&lt;&gt;"",'TB IMA general'!C103,"")</f>
        <v/>
      </c>
      <c r="D442" s="1126"/>
      <c r="E442" s="1126"/>
      <c r="F442" s="1126"/>
      <c r="G442" s="1126"/>
      <c r="H442" s="1126"/>
      <c r="I442" s="1126"/>
      <c r="J442" s="1126"/>
      <c r="K442" s="1126"/>
      <c r="L442" s="1126"/>
      <c r="M442" s="1126"/>
      <c r="N442" s="1126"/>
      <c r="O442" s="1126"/>
      <c r="P442" s="1126"/>
      <c r="Q442" s="1126"/>
      <c r="R442" s="1126"/>
      <c r="S442" s="1126"/>
      <c r="T442" s="1126"/>
      <c r="U442" s="1126"/>
      <c r="V442" s="1126"/>
      <c r="W442" s="1126"/>
      <c r="X442" s="1126"/>
      <c r="Y442" s="1126"/>
      <c r="Z442" s="1126"/>
      <c r="AA442" s="1126"/>
      <c r="AB442" s="1126"/>
      <c r="AC442" s="1126"/>
      <c r="AD442" s="1126"/>
      <c r="AE442" s="1126"/>
      <c r="AF442" s="1126"/>
      <c r="AG442" s="1126"/>
      <c r="AH442" s="1126"/>
      <c r="AI442" s="1126"/>
      <c r="AJ442" s="1126"/>
      <c r="AK442" s="1126"/>
      <c r="AL442" s="1126"/>
      <c r="AM442" s="1126"/>
      <c r="AN442" s="1126"/>
      <c r="AO442" s="1126"/>
      <c r="AP442" s="1126"/>
      <c r="AQ442" s="1126"/>
      <c r="AR442" s="1126"/>
      <c r="AS442" s="1126"/>
      <c r="AT442" s="1126"/>
      <c r="AU442" s="413"/>
      <c r="AV442" s="1075"/>
    </row>
    <row r="443" spans="1:48" ht="15" customHeight="1" x14ac:dyDescent="0.2">
      <c r="A443" s="1076"/>
      <c r="B443" s="1045" t="str">
        <f t="shared" si="9"/>
        <v>Desk 19</v>
      </c>
      <c r="C443" s="1385" t="str">
        <f>IF('TB IMA general'!C104&lt;&gt;"",'TB IMA general'!C104,"")</f>
        <v/>
      </c>
      <c r="D443" s="1126"/>
      <c r="E443" s="1126"/>
      <c r="F443" s="1126"/>
      <c r="G443" s="1126"/>
      <c r="H443" s="1126"/>
      <c r="I443" s="1126"/>
      <c r="J443" s="1126"/>
      <c r="K443" s="1126"/>
      <c r="L443" s="1126"/>
      <c r="M443" s="1126"/>
      <c r="N443" s="1126"/>
      <c r="O443" s="1126"/>
      <c r="P443" s="1126"/>
      <c r="Q443" s="1126"/>
      <c r="R443" s="1126"/>
      <c r="S443" s="1126"/>
      <c r="T443" s="1126"/>
      <c r="U443" s="1126"/>
      <c r="V443" s="1126"/>
      <c r="W443" s="1126"/>
      <c r="X443" s="1126"/>
      <c r="Y443" s="1126"/>
      <c r="Z443" s="1126"/>
      <c r="AA443" s="1126"/>
      <c r="AB443" s="1126"/>
      <c r="AC443" s="1126"/>
      <c r="AD443" s="1126"/>
      <c r="AE443" s="1126"/>
      <c r="AF443" s="1126"/>
      <c r="AG443" s="1126"/>
      <c r="AH443" s="1126"/>
      <c r="AI443" s="1126"/>
      <c r="AJ443" s="1126"/>
      <c r="AK443" s="1126"/>
      <c r="AL443" s="1126"/>
      <c r="AM443" s="1126"/>
      <c r="AN443" s="1126"/>
      <c r="AO443" s="1126"/>
      <c r="AP443" s="1126"/>
      <c r="AQ443" s="1126"/>
      <c r="AR443" s="1126"/>
      <c r="AS443" s="1126"/>
      <c r="AT443" s="1126"/>
      <c r="AU443" s="413"/>
      <c r="AV443" s="1075"/>
    </row>
    <row r="444" spans="1:48" ht="15" customHeight="1" x14ac:dyDescent="0.2">
      <c r="A444" s="1076"/>
      <c r="B444" s="1045" t="str">
        <f t="shared" si="9"/>
        <v>Desk 20</v>
      </c>
      <c r="C444" s="1385" t="str">
        <f>IF('TB IMA general'!C105&lt;&gt;"",'TB IMA general'!C105,"")</f>
        <v/>
      </c>
      <c r="D444" s="1126"/>
      <c r="E444" s="1126"/>
      <c r="F444" s="1126"/>
      <c r="G444" s="1126"/>
      <c r="H444" s="1126"/>
      <c r="I444" s="1126"/>
      <c r="J444" s="1126"/>
      <c r="K444" s="1126"/>
      <c r="L444" s="1126"/>
      <c r="M444" s="1126"/>
      <c r="N444" s="1126"/>
      <c r="O444" s="1126"/>
      <c r="P444" s="1126"/>
      <c r="Q444" s="1126"/>
      <c r="R444" s="1126"/>
      <c r="S444" s="1126"/>
      <c r="T444" s="1126"/>
      <c r="U444" s="1126"/>
      <c r="V444" s="1126"/>
      <c r="W444" s="1126"/>
      <c r="X444" s="1126"/>
      <c r="Y444" s="1126"/>
      <c r="Z444" s="1126"/>
      <c r="AA444" s="1126"/>
      <c r="AB444" s="1126"/>
      <c r="AC444" s="1126"/>
      <c r="AD444" s="1126"/>
      <c r="AE444" s="1126"/>
      <c r="AF444" s="1126"/>
      <c r="AG444" s="1126"/>
      <c r="AH444" s="1126"/>
      <c r="AI444" s="1126"/>
      <c r="AJ444" s="1126"/>
      <c r="AK444" s="1126"/>
      <c r="AL444" s="1126"/>
      <c r="AM444" s="1126"/>
      <c r="AN444" s="1126"/>
      <c r="AO444" s="1126"/>
      <c r="AP444" s="1126"/>
      <c r="AQ444" s="1126"/>
      <c r="AR444" s="1126"/>
      <c r="AS444" s="1126"/>
      <c r="AT444" s="1126"/>
      <c r="AU444" s="413"/>
      <c r="AV444" s="1075"/>
    </row>
    <row r="445" spans="1:48" ht="15" customHeight="1" x14ac:dyDescent="0.2">
      <c r="A445" s="1076"/>
      <c r="B445" s="1045" t="str">
        <f t="shared" si="9"/>
        <v>Desk 21</v>
      </c>
      <c r="C445" s="1385" t="str">
        <f>IF('TB IMA general'!C106&lt;&gt;"",'TB IMA general'!C106,"")</f>
        <v/>
      </c>
      <c r="D445" s="1126"/>
      <c r="E445" s="1126"/>
      <c r="F445" s="1126"/>
      <c r="G445" s="1126"/>
      <c r="H445" s="1126"/>
      <c r="I445" s="1126"/>
      <c r="J445" s="1126"/>
      <c r="K445" s="1126"/>
      <c r="L445" s="1126"/>
      <c r="M445" s="1126"/>
      <c r="N445" s="1126"/>
      <c r="O445" s="1126"/>
      <c r="P445" s="1126"/>
      <c r="Q445" s="1126"/>
      <c r="R445" s="1126"/>
      <c r="S445" s="1126"/>
      <c r="T445" s="1126"/>
      <c r="U445" s="1126"/>
      <c r="V445" s="1126"/>
      <c r="W445" s="1126"/>
      <c r="X445" s="1126"/>
      <c r="Y445" s="1126"/>
      <c r="Z445" s="1126"/>
      <c r="AA445" s="1126"/>
      <c r="AB445" s="1126"/>
      <c r="AC445" s="1126"/>
      <c r="AD445" s="1126"/>
      <c r="AE445" s="1126"/>
      <c r="AF445" s="1126"/>
      <c r="AG445" s="1126"/>
      <c r="AH445" s="1126"/>
      <c r="AI445" s="1126"/>
      <c r="AJ445" s="1126"/>
      <c r="AK445" s="1126"/>
      <c r="AL445" s="1126"/>
      <c r="AM445" s="1126"/>
      <c r="AN445" s="1126"/>
      <c r="AO445" s="1126"/>
      <c r="AP445" s="1126"/>
      <c r="AQ445" s="1126"/>
      <c r="AR445" s="1126"/>
      <c r="AS445" s="1126"/>
      <c r="AT445" s="1126"/>
      <c r="AU445" s="413"/>
      <c r="AV445" s="1075"/>
    </row>
    <row r="446" spans="1:48" ht="15" customHeight="1" x14ac:dyDescent="0.2">
      <c r="A446" s="1076"/>
      <c r="B446" s="1045" t="str">
        <f t="shared" si="9"/>
        <v>Desk 22</v>
      </c>
      <c r="C446" s="1385" t="str">
        <f>IF('TB IMA general'!C107&lt;&gt;"",'TB IMA general'!C107,"")</f>
        <v/>
      </c>
      <c r="D446" s="1126"/>
      <c r="E446" s="1126"/>
      <c r="F446" s="1126"/>
      <c r="G446" s="1126"/>
      <c r="H446" s="1126"/>
      <c r="I446" s="1126"/>
      <c r="J446" s="1126"/>
      <c r="K446" s="1126"/>
      <c r="L446" s="1126"/>
      <c r="M446" s="1126"/>
      <c r="N446" s="1126"/>
      <c r="O446" s="1126"/>
      <c r="P446" s="1126"/>
      <c r="Q446" s="1126"/>
      <c r="R446" s="1126"/>
      <c r="S446" s="1126"/>
      <c r="T446" s="1126"/>
      <c r="U446" s="1126"/>
      <c r="V446" s="1126"/>
      <c r="W446" s="1126"/>
      <c r="X446" s="1126"/>
      <c r="Y446" s="1126"/>
      <c r="Z446" s="1126"/>
      <c r="AA446" s="1126"/>
      <c r="AB446" s="1126"/>
      <c r="AC446" s="1126"/>
      <c r="AD446" s="1126"/>
      <c r="AE446" s="1126"/>
      <c r="AF446" s="1126"/>
      <c r="AG446" s="1126"/>
      <c r="AH446" s="1126"/>
      <c r="AI446" s="1126"/>
      <c r="AJ446" s="1126"/>
      <c r="AK446" s="1126"/>
      <c r="AL446" s="1126"/>
      <c r="AM446" s="1126"/>
      <c r="AN446" s="1126"/>
      <c r="AO446" s="1126"/>
      <c r="AP446" s="1126"/>
      <c r="AQ446" s="1126"/>
      <c r="AR446" s="1126"/>
      <c r="AS446" s="1126"/>
      <c r="AT446" s="1126"/>
      <c r="AU446" s="413"/>
      <c r="AV446" s="1075"/>
    </row>
    <row r="447" spans="1:48" ht="15" customHeight="1" x14ac:dyDescent="0.2">
      <c r="A447" s="1076"/>
      <c r="B447" s="1045" t="str">
        <f t="shared" si="9"/>
        <v>Desk 23</v>
      </c>
      <c r="C447" s="1385" t="str">
        <f>IF('TB IMA general'!C108&lt;&gt;"",'TB IMA general'!C108,"")</f>
        <v/>
      </c>
      <c r="D447" s="1126"/>
      <c r="E447" s="1126"/>
      <c r="F447" s="1126"/>
      <c r="G447" s="1126"/>
      <c r="H447" s="1126"/>
      <c r="I447" s="1126"/>
      <c r="J447" s="1126"/>
      <c r="K447" s="1126"/>
      <c r="L447" s="1126"/>
      <c r="M447" s="1126"/>
      <c r="N447" s="1126"/>
      <c r="O447" s="1126"/>
      <c r="P447" s="1126"/>
      <c r="Q447" s="1126"/>
      <c r="R447" s="1126"/>
      <c r="S447" s="1126"/>
      <c r="T447" s="1126"/>
      <c r="U447" s="1126"/>
      <c r="V447" s="1126"/>
      <c r="W447" s="1126"/>
      <c r="X447" s="1126"/>
      <c r="Y447" s="1126"/>
      <c r="Z447" s="1126"/>
      <c r="AA447" s="1126"/>
      <c r="AB447" s="1126"/>
      <c r="AC447" s="1126"/>
      <c r="AD447" s="1126"/>
      <c r="AE447" s="1126"/>
      <c r="AF447" s="1126"/>
      <c r="AG447" s="1126"/>
      <c r="AH447" s="1126"/>
      <c r="AI447" s="1126"/>
      <c r="AJ447" s="1126"/>
      <c r="AK447" s="1126"/>
      <c r="AL447" s="1126"/>
      <c r="AM447" s="1126"/>
      <c r="AN447" s="1126"/>
      <c r="AO447" s="1126"/>
      <c r="AP447" s="1126"/>
      <c r="AQ447" s="1126"/>
      <c r="AR447" s="1126"/>
      <c r="AS447" s="1126"/>
      <c r="AT447" s="1126"/>
      <c r="AU447" s="413"/>
      <c r="AV447" s="1075"/>
    </row>
    <row r="448" spans="1:48" ht="15" customHeight="1" x14ac:dyDescent="0.2">
      <c r="A448" s="1076"/>
      <c r="B448" s="1045" t="str">
        <f t="shared" si="9"/>
        <v>Desk 24</v>
      </c>
      <c r="C448" s="1385" t="str">
        <f>IF('TB IMA general'!C109&lt;&gt;"",'TB IMA general'!C109,"")</f>
        <v/>
      </c>
      <c r="D448" s="1126"/>
      <c r="E448" s="1126"/>
      <c r="F448" s="1126"/>
      <c r="G448" s="1126"/>
      <c r="H448" s="1126"/>
      <c r="I448" s="1126"/>
      <c r="J448" s="1126"/>
      <c r="K448" s="1126"/>
      <c r="L448" s="1126"/>
      <c r="M448" s="1126"/>
      <c r="N448" s="1126"/>
      <c r="O448" s="1126"/>
      <c r="P448" s="1126"/>
      <c r="Q448" s="1126"/>
      <c r="R448" s="1126"/>
      <c r="S448" s="1126"/>
      <c r="T448" s="1126"/>
      <c r="U448" s="1126"/>
      <c r="V448" s="1126"/>
      <c r="W448" s="1126"/>
      <c r="X448" s="1126"/>
      <c r="Y448" s="1126"/>
      <c r="Z448" s="1126"/>
      <c r="AA448" s="1126"/>
      <c r="AB448" s="1126"/>
      <c r="AC448" s="1126"/>
      <c r="AD448" s="1126"/>
      <c r="AE448" s="1126"/>
      <c r="AF448" s="1126"/>
      <c r="AG448" s="1126"/>
      <c r="AH448" s="1126"/>
      <c r="AI448" s="1126"/>
      <c r="AJ448" s="1126"/>
      <c r="AK448" s="1126"/>
      <c r="AL448" s="1126"/>
      <c r="AM448" s="1126"/>
      <c r="AN448" s="1126"/>
      <c r="AO448" s="1126"/>
      <c r="AP448" s="1126"/>
      <c r="AQ448" s="1126"/>
      <c r="AR448" s="1126"/>
      <c r="AS448" s="1126"/>
      <c r="AT448" s="1126"/>
      <c r="AU448" s="413"/>
      <c r="AV448" s="1075"/>
    </row>
    <row r="449" spans="1:48" ht="15" customHeight="1" x14ac:dyDescent="0.2">
      <c r="A449" s="1076"/>
      <c r="B449" s="1045" t="str">
        <f t="shared" si="9"/>
        <v>Desk 25</v>
      </c>
      <c r="C449" s="1385" t="str">
        <f>IF('TB IMA general'!C110&lt;&gt;"",'TB IMA general'!C110,"")</f>
        <v/>
      </c>
      <c r="D449" s="1126"/>
      <c r="E449" s="1126"/>
      <c r="F449" s="1126"/>
      <c r="G449" s="1126"/>
      <c r="H449" s="1126"/>
      <c r="I449" s="1126"/>
      <c r="J449" s="1126"/>
      <c r="K449" s="1126"/>
      <c r="L449" s="1126"/>
      <c r="M449" s="1126"/>
      <c r="N449" s="1126"/>
      <c r="O449" s="1126"/>
      <c r="P449" s="1126"/>
      <c r="Q449" s="1126"/>
      <c r="R449" s="1126"/>
      <c r="S449" s="1126"/>
      <c r="T449" s="1126"/>
      <c r="U449" s="1126"/>
      <c r="V449" s="1126"/>
      <c r="W449" s="1126"/>
      <c r="X449" s="1126"/>
      <c r="Y449" s="1126"/>
      <c r="Z449" s="1126"/>
      <c r="AA449" s="1126"/>
      <c r="AB449" s="1126"/>
      <c r="AC449" s="1126"/>
      <c r="AD449" s="1126"/>
      <c r="AE449" s="1126"/>
      <c r="AF449" s="1126"/>
      <c r="AG449" s="1126"/>
      <c r="AH449" s="1126"/>
      <c r="AI449" s="1126"/>
      <c r="AJ449" s="1126"/>
      <c r="AK449" s="1126"/>
      <c r="AL449" s="1126"/>
      <c r="AM449" s="1126"/>
      <c r="AN449" s="1126"/>
      <c r="AO449" s="1126"/>
      <c r="AP449" s="1126"/>
      <c r="AQ449" s="1126"/>
      <c r="AR449" s="1126"/>
      <c r="AS449" s="1126"/>
      <c r="AT449" s="1126"/>
      <c r="AU449" s="413"/>
      <c r="AV449" s="1075"/>
    </row>
    <row r="450" spans="1:48" ht="15" customHeight="1" x14ac:dyDescent="0.2">
      <c r="A450" s="1076"/>
      <c r="B450" s="1045" t="str">
        <f t="shared" si="9"/>
        <v>Desk 26</v>
      </c>
      <c r="C450" s="1385" t="str">
        <f>IF('TB IMA general'!C111&lt;&gt;"",'TB IMA general'!C111,"")</f>
        <v/>
      </c>
      <c r="D450" s="1126"/>
      <c r="E450" s="1126"/>
      <c r="F450" s="1126"/>
      <c r="G450" s="1126"/>
      <c r="H450" s="1126"/>
      <c r="I450" s="1126"/>
      <c r="J450" s="1126"/>
      <c r="K450" s="1126"/>
      <c r="L450" s="1126"/>
      <c r="M450" s="1126"/>
      <c r="N450" s="1126"/>
      <c r="O450" s="1126"/>
      <c r="P450" s="1126"/>
      <c r="Q450" s="1126"/>
      <c r="R450" s="1126"/>
      <c r="S450" s="1126"/>
      <c r="T450" s="1126"/>
      <c r="U450" s="1126"/>
      <c r="V450" s="1126"/>
      <c r="W450" s="1126"/>
      <c r="X450" s="1126"/>
      <c r="Y450" s="1126"/>
      <c r="Z450" s="1126"/>
      <c r="AA450" s="1126"/>
      <c r="AB450" s="1126"/>
      <c r="AC450" s="1126"/>
      <c r="AD450" s="1126"/>
      <c r="AE450" s="1126"/>
      <c r="AF450" s="1126"/>
      <c r="AG450" s="1126"/>
      <c r="AH450" s="1126"/>
      <c r="AI450" s="1126"/>
      <c r="AJ450" s="1126"/>
      <c r="AK450" s="1126"/>
      <c r="AL450" s="1126"/>
      <c r="AM450" s="1126"/>
      <c r="AN450" s="1126"/>
      <c r="AO450" s="1126"/>
      <c r="AP450" s="1126"/>
      <c r="AQ450" s="1126"/>
      <c r="AR450" s="1126"/>
      <c r="AS450" s="1126"/>
      <c r="AT450" s="1126"/>
      <c r="AU450" s="413"/>
      <c r="AV450" s="1075"/>
    </row>
    <row r="451" spans="1:48" ht="15" customHeight="1" x14ac:dyDescent="0.2">
      <c r="A451" s="1076"/>
      <c r="B451" s="1045" t="str">
        <f t="shared" si="9"/>
        <v>Desk 27</v>
      </c>
      <c r="C451" s="1385" t="str">
        <f>IF('TB IMA general'!C112&lt;&gt;"",'TB IMA general'!C112,"")</f>
        <v/>
      </c>
      <c r="D451" s="1126"/>
      <c r="E451" s="1126"/>
      <c r="F451" s="1126"/>
      <c r="G451" s="1126"/>
      <c r="H451" s="1126"/>
      <c r="I451" s="1126"/>
      <c r="J451" s="1126"/>
      <c r="K451" s="1126"/>
      <c r="L451" s="1126"/>
      <c r="M451" s="1126"/>
      <c r="N451" s="1126"/>
      <c r="O451" s="1126"/>
      <c r="P451" s="1126"/>
      <c r="Q451" s="1126"/>
      <c r="R451" s="1126"/>
      <c r="S451" s="1126"/>
      <c r="T451" s="1126"/>
      <c r="U451" s="1126"/>
      <c r="V451" s="1126"/>
      <c r="W451" s="1126"/>
      <c r="X451" s="1126"/>
      <c r="Y451" s="1126"/>
      <c r="Z451" s="1126"/>
      <c r="AA451" s="1126"/>
      <c r="AB451" s="1126"/>
      <c r="AC451" s="1126"/>
      <c r="AD451" s="1126"/>
      <c r="AE451" s="1126"/>
      <c r="AF451" s="1126"/>
      <c r="AG451" s="1126"/>
      <c r="AH451" s="1126"/>
      <c r="AI451" s="1126"/>
      <c r="AJ451" s="1126"/>
      <c r="AK451" s="1126"/>
      <c r="AL451" s="1126"/>
      <c r="AM451" s="1126"/>
      <c r="AN451" s="1126"/>
      <c r="AO451" s="1126"/>
      <c r="AP451" s="1126"/>
      <c r="AQ451" s="1126"/>
      <c r="AR451" s="1126"/>
      <c r="AS451" s="1126"/>
      <c r="AT451" s="1126"/>
      <c r="AU451" s="413"/>
      <c r="AV451" s="1075"/>
    </row>
    <row r="452" spans="1:48" ht="15" customHeight="1" x14ac:dyDescent="0.2">
      <c r="A452" s="1076"/>
      <c r="B452" s="1045" t="str">
        <f t="shared" si="9"/>
        <v>Desk 28</v>
      </c>
      <c r="C452" s="1385" t="str">
        <f>IF('TB IMA general'!C113&lt;&gt;"",'TB IMA general'!C113,"")</f>
        <v/>
      </c>
      <c r="D452" s="1126"/>
      <c r="E452" s="1126"/>
      <c r="F452" s="1126"/>
      <c r="G452" s="1126"/>
      <c r="H452" s="1126"/>
      <c r="I452" s="1126"/>
      <c r="J452" s="1126"/>
      <c r="K452" s="1126"/>
      <c r="L452" s="1126"/>
      <c r="M452" s="1126"/>
      <c r="N452" s="1126"/>
      <c r="O452" s="1126"/>
      <c r="P452" s="1126"/>
      <c r="Q452" s="1126"/>
      <c r="R452" s="1126"/>
      <c r="S452" s="1126"/>
      <c r="T452" s="1126"/>
      <c r="U452" s="1126"/>
      <c r="V452" s="1126"/>
      <c r="W452" s="1126"/>
      <c r="X452" s="1126"/>
      <c r="Y452" s="1126"/>
      <c r="Z452" s="1126"/>
      <c r="AA452" s="1126"/>
      <c r="AB452" s="1126"/>
      <c r="AC452" s="1126"/>
      <c r="AD452" s="1126"/>
      <c r="AE452" s="1126"/>
      <c r="AF452" s="1126"/>
      <c r="AG452" s="1126"/>
      <c r="AH452" s="1126"/>
      <c r="AI452" s="1126"/>
      <c r="AJ452" s="1126"/>
      <c r="AK452" s="1126"/>
      <c r="AL452" s="1126"/>
      <c r="AM452" s="1126"/>
      <c r="AN452" s="1126"/>
      <c r="AO452" s="1126"/>
      <c r="AP452" s="1126"/>
      <c r="AQ452" s="1126"/>
      <c r="AR452" s="1126"/>
      <c r="AS452" s="1126"/>
      <c r="AT452" s="1126"/>
      <c r="AU452" s="413"/>
      <c r="AV452" s="1075"/>
    </row>
    <row r="453" spans="1:48" ht="15" customHeight="1" x14ac:dyDescent="0.2">
      <c r="A453" s="1076"/>
      <c r="B453" s="1045" t="str">
        <f t="shared" si="9"/>
        <v>Desk 29</v>
      </c>
      <c r="C453" s="1385" t="str">
        <f>IF('TB IMA general'!C114&lt;&gt;"",'TB IMA general'!C114,"")</f>
        <v/>
      </c>
      <c r="D453" s="1126"/>
      <c r="E453" s="1126"/>
      <c r="F453" s="1126"/>
      <c r="G453" s="1126"/>
      <c r="H453" s="1126"/>
      <c r="I453" s="1126"/>
      <c r="J453" s="1126"/>
      <c r="K453" s="1126"/>
      <c r="L453" s="1126"/>
      <c r="M453" s="1126"/>
      <c r="N453" s="1126"/>
      <c r="O453" s="1126"/>
      <c r="P453" s="1126"/>
      <c r="Q453" s="1126"/>
      <c r="R453" s="1126"/>
      <c r="S453" s="1126"/>
      <c r="T453" s="1126"/>
      <c r="U453" s="1126"/>
      <c r="V453" s="1126"/>
      <c r="W453" s="1126"/>
      <c r="X453" s="1126"/>
      <c r="Y453" s="1126"/>
      <c r="Z453" s="1126"/>
      <c r="AA453" s="1126"/>
      <c r="AB453" s="1126"/>
      <c r="AC453" s="1126"/>
      <c r="AD453" s="1126"/>
      <c r="AE453" s="1126"/>
      <c r="AF453" s="1126"/>
      <c r="AG453" s="1126"/>
      <c r="AH453" s="1126"/>
      <c r="AI453" s="1126"/>
      <c r="AJ453" s="1126"/>
      <c r="AK453" s="1126"/>
      <c r="AL453" s="1126"/>
      <c r="AM453" s="1126"/>
      <c r="AN453" s="1126"/>
      <c r="AO453" s="1126"/>
      <c r="AP453" s="1126"/>
      <c r="AQ453" s="1126"/>
      <c r="AR453" s="1126"/>
      <c r="AS453" s="1126"/>
      <c r="AT453" s="1126"/>
      <c r="AU453" s="413"/>
      <c r="AV453" s="1075"/>
    </row>
    <row r="454" spans="1:48" ht="15" customHeight="1" x14ac:dyDescent="0.2">
      <c r="A454" s="1076"/>
      <c r="B454" s="1045" t="str">
        <f t="shared" si="9"/>
        <v>Desk 30</v>
      </c>
      <c r="C454" s="1385" t="str">
        <f>IF('TB IMA general'!C115&lt;&gt;"",'TB IMA general'!C115,"")</f>
        <v/>
      </c>
      <c r="D454" s="1126"/>
      <c r="E454" s="1126"/>
      <c r="F454" s="1126"/>
      <c r="G454" s="1126"/>
      <c r="H454" s="1126"/>
      <c r="I454" s="1126"/>
      <c r="J454" s="1126"/>
      <c r="K454" s="1126"/>
      <c r="L454" s="1126"/>
      <c r="M454" s="1126"/>
      <c r="N454" s="1126"/>
      <c r="O454" s="1126"/>
      <c r="P454" s="1126"/>
      <c r="Q454" s="1126"/>
      <c r="R454" s="1126"/>
      <c r="S454" s="1126"/>
      <c r="T454" s="1126"/>
      <c r="U454" s="1126"/>
      <c r="V454" s="1126"/>
      <c r="W454" s="1126"/>
      <c r="X454" s="1126"/>
      <c r="Y454" s="1126"/>
      <c r="Z454" s="1126"/>
      <c r="AA454" s="1126"/>
      <c r="AB454" s="1126"/>
      <c r="AC454" s="1126"/>
      <c r="AD454" s="1126"/>
      <c r="AE454" s="1126"/>
      <c r="AF454" s="1126"/>
      <c r="AG454" s="1126"/>
      <c r="AH454" s="1126"/>
      <c r="AI454" s="1126"/>
      <c r="AJ454" s="1126"/>
      <c r="AK454" s="1126"/>
      <c r="AL454" s="1126"/>
      <c r="AM454" s="1126"/>
      <c r="AN454" s="1126"/>
      <c r="AO454" s="1126"/>
      <c r="AP454" s="1126"/>
      <c r="AQ454" s="1126"/>
      <c r="AR454" s="1126"/>
      <c r="AS454" s="1126"/>
      <c r="AT454" s="1126"/>
      <c r="AU454" s="413"/>
      <c r="AV454" s="1075"/>
    </row>
    <row r="455" spans="1:48" ht="15" customHeight="1" x14ac:dyDescent="0.2">
      <c r="A455" s="1076"/>
      <c r="B455" s="1045" t="str">
        <f t="shared" si="9"/>
        <v>Desk 31</v>
      </c>
      <c r="C455" s="1385" t="str">
        <f>IF('TB IMA general'!C116&lt;&gt;"",'TB IMA general'!C116,"")</f>
        <v/>
      </c>
      <c r="D455" s="1126"/>
      <c r="E455" s="1126"/>
      <c r="F455" s="1126"/>
      <c r="G455" s="1126"/>
      <c r="H455" s="1126"/>
      <c r="I455" s="1126"/>
      <c r="J455" s="1126"/>
      <c r="K455" s="1126"/>
      <c r="L455" s="1126"/>
      <c r="M455" s="1126"/>
      <c r="N455" s="1126"/>
      <c r="O455" s="1126"/>
      <c r="P455" s="1126"/>
      <c r="Q455" s="1126"/>
      <c r="R455" s="1126"/>
      <c r="S455" s="1126"/>
      <c r="T455" s="1126"/>
      <c r="U455" s="1126"/>
      <c r="V455" s="1126"/>
      <c r="W455" s="1126"/>
      <c r="X455" s="1126"/>
      <c r="Y455" s="1126"/>
      <c r="Z455" s="1126"/>
      <c r="AA455" s="1126"/>
      <c r="AB455" s="1126"/>
      <c r="AC455" s="1126"/>
      <c r="AD455" s="1126"/>
      <c r="AE455" s="1126"/>
      <c r="AF455" s="1126"/>
      <c r="AG455" s="1126"/>
      <c r="AH455" s="1126"/>
      <c r="AI455" s="1126"/>
      <c r="AJ455" s="1126"/>
      <c r="AK455" s="1126"/>
      <c r="AL455" s="1126"/>
      <c r="AM455" s="1126"/>
      <c r="AN455" s="1126"/>
      <c r="AO455" s="1126"/>
      <c r="AP455" s="1126"/>
      <c r="AQ455" s="1126"/>
      <c r="AR455" s="1126"/>
      <c r="AS455" s="1126"/>
      <c r="AT455" s="1126"/>
      <c r="AU455" s="413"/>
      <c r="AV455" s="1075"/>
    </row>
    <row r="456" spans="1:48" ht="15" customHeight="1" x14ac:dyDescent="0.2">
      <c r="A456" s="1076"/>
      <c r="B456" s="1045" t="str">
        <f t="shared" si="9"/>
        <v>Desk 32</v>
      </c>
      <c r="C456" s="1385" t="str">
        <f>IF('TB IMA general'!C117&lt;&gt;"",'TB IMA general'!C117,"")</f>
        <v/>
      </c>
      <c r="D456" s="1126"/>
      <c r="E456" s="1126"/>
      <c r="F456" s="1126"/>
      <c r="G456" s="1126"/>
      <c r="H456" s="1126"/>
      <c r="I456" s="1126"/>
      <c r="J456" s="1126"/>
      <c r="K456" s="1126"/>
      <c r="L456" s="1126"/>
      <c r="M456" s="1126"/>
      <c r="N456" s="1126"/>
      <c r="O456" s="1126"/>
      <c r="P456" s="1126"/>
      <c r="Q456" s="1126"/>
      <c r="R456" s="1126"/>
      <c r="S456" s="1126"/>
      <c r="T456" s="1126"/>
      <c r="U456" s="1126"/>
      <c r="V456" s="1126"/>
      <c r="W456" s="1126"/>
      <c r="X456" s="1126"/>
      <c r="Y456" s="1126"/>
      <c r="Z456" s="1126"/>
      <c r="AA456" s="1126"/>
      <c r="AB456" s="1126"/>
      <c r="AC456" s="1126"/>
      <c r="AD456" s="1126"/>
      <c r="AE456" s="1126"/>
      <c r="AF456" s="1126"/>
      <c r="AG456" s="1126"/>
      <c r="AH456" s="1126"/>
      <c r="AI456" s="1126"/>
      <c r="AJ456" s="1126"/>
      <c r="AK456" s="1126"/>
      <c r="AL456" s="1126"/>
      <c r="AM456" s="1126"/>
      <c r="AN456" s="1126"/>
      <c r="AO456" s="1126"/>
      <c r="AP456" s="1126"/>
      <c r="AQ456" s="1126"/>
      <c r="AR456" s="1126"/>
      <c r="AS456" s="1126"/>
      <c r="AT456" s="1126"/>
      <c r="AU456" s="413"/>
      <c r="AV456" s="1075"/>
    </row>
    <row r="457" spans="1:48" ht="15" customHeight="1" x14ac:dyDescent="0.2">
      <c r="A457" s="1076"/>
      <c r="B457" s="1045" t="str">
        <f t="shared" si="9"/>
        <v>Desk 33</v>
      </c>
      <c r="C457" s="1385" t="str">
        <f>IF('TB IMA general'!C118&lt;&gt;"",'TB IMA general'!C118,"")</f>
        <v/>
      </c>
      <c r="D457" s="1126"/>
      <c r="E457" s="1126"/>
      <c r="F457" s="1126"/>
      <c r="G457" s="1126"/>
      <c r="H457" s="1126"/>
      <c r="I457" s="1126"/>
      <c r="J457" s="1126"/>
      <c r="K457" s="1126"/>
      <c r="L457" s="1126"/>
      <c r="M457" s="1126"/>
      <c r="N457" s="1126"/>
      <c r="O457" s="1126"/>
      <c r="P457" s="1126"/>
      <c r="Q457" s="1126"/>
      <c r="R457" s="1126"/>
      <c r="S457" s="1126"/>
      <c r="T457" s="1126"/>
      <c r="U457" s="1126"/>
      <c r="V457" s="1126"/>
      <c r="W457" s="1126"/>
      <c r="X457" s="1126"/>
      <c r="Y457" s="1126"/>
      <c r="Z457" s="1126"/>
      <c r="AA457" s="1126"/>
      <c r="AB457" s="1126"/>
      <c r="AC457" s="1126"/>
      <c r="AD457" s="1126"/>
      <c r="AE457" s="1126"/>
      <c r="AF457" s="1126"/>
      <c r="AG457" s="1126"/>
      <c r="AH457" s="1126"/>
      <c r="AI457" s="1126"/>
      <c r="AJ457" s="1126"/>
      <c r="AK457" s="1126"/>
      <c r="AL457" s="1126"/>
      <c r="AM457" s="1126"/>
      <c r="AN457" s="1126"/>
      <c r="AO457" s="1126"/>
      <c r="AP457" s="1126"/>
      <c r="AQ457" s="1126"/>
      <c r="AR457" s="1126"/>
      <c r="AS457" s="1126"/>
      <c r="AT457" s="1126"/>
      <c r="AU457" s="413"/>
      <c r="AV457" s="1075"/>
    </row>
    <row r="458" spans="1:48" ht="15" customHeight="1" x14ac:dyDescent="0.2">
      <c r="A458" s="1076"/>
      <c r="B458" s="1045" t="str">
        <f t="shared" si="9"/>
        <v>Desk 34</v>
      </c>
      <c r="C458" s="1385" t="str">
        <f>IF('TB IMA general'!C119&lt;&gt;"",'TB IMA general'!C119,"")</f>
        <v/>
      </c>
      <c r="D458" s="1126"/>
      <c r="E458" s="1126"/>
      <c r="F458" s="1126"/>
      <c r="G458" s="1126"/>
      <c r="H458" s="1126"/>
      <c r="I458" s="1126"/>
      <c r="J458" s="1126"/>
      <c r="K458" s="1126"/>
      <c r="L458" s="1126"/>
      <c r="M458" s="1126"/>
      <c r="N458" s="1126"/>
      <c r="O458" s="1126"/>
      <c r="P458" s="1126"/>
      <c r="Q458" s="1126"/>
      <c r="R458" s="1126"/>
      <c r="S458" s="1126"/>
      <c r="T458" s="1126"/>
      <c r="U458" s="1126"/>
      <c r="V458" s="1126"/>
      <c r="W458" s="1126"/>
      <c r="X458" s="1126"/>
      <c r="Y458" s="1126"/>
      <c r="Z458" s="1126"/>
      <c r="AA458" s="1126"/>
      <c r="AB458" s="1126"/>
      <c r="AC458" s="1126"/>
      <c r="AD458" s="1126"/>
      <c r="AE458" s="1126"/>
      <c r="AF458" s="1126"/>
      <c r="AG458" s="1126"/>
      <c r="AH458" s="1126"/>
      <c r="AI458" s="1126"/>
      <c r="AJ458" s="1126"/>
      <c r="AK458" s="1126"/>
      <c r="AL458" s="1126"/>
      <c r="AM458" s="1126"/>
      <c r="AN458" s="1126"/>
      <c r="AO458" s="1126"/>
      <c r="AP458" s="1126"/>
      <c r="AQ458" s="1126"/>
      <c r="AR458" s="1126"/>
      <c r="AS458" s="1126"/>
      <c r="AT458" s="1126"/>
      <c r="AU458" s="413"/>
      <c r="AV458" s="1075"/>
    </row>
    <row r="459" spans="1:48" ht="15" customHeight="1" x14ac:dyDescent="0.2">
      <c r="A459" s="1076"/>
      <c r="B459" s="1045" t="str">
        <f t="shared" si="9"/>
        <v>Desk 35</v>
      </c>
      <c r="C459" s="1385" t="str">
        <f>IF('TB IMA general'!C120&lt;&gt;"",'TB IMA general'!C120,"")</f>
        <v/>
      </c>
      <c r="D459" s="1126"/>
      <c r="E459" s="1126"/>
      <c r="F459" s="1126"/>
      <c r="G459" s="1126"/>
      <c r="H459" s="1126"/>
      <c r="I459" s="1126"/>
      <c r="J459" s="1126"/>
      <c r="K459" s="1126"/>
      <c r="L459" s="1126"/>
      <c r="M459" s="1126"/>
      <c r="N459" s="1126"/>
      <c r="O459" s="1126"/>
      <c r="P459" s="1126"/>
      <c r="Q459" s="1126"/>
      <c r="R459" s="1126"/>
      <c r="S459" s="1126"/>
      <c r="T459" s="1126"/>
      <c r="U459" s="1126"/>
      <c r="V459" s="1126"/>
      <c r="W459" s="1126"/>
      <c r="X459" s="1126"/>
      <c r="Y459" s="1126"/>
      <c r="Z459" s="1126"/>
      <c r="AA459" s="1126"/>
      <c r="AB459" s="1126"/>
      <c r="AC459" s="1126"/>
      <c r="AD459" s="1126"/>
      <c r="AE459" s="1126"/>
      <c r="AF459" s="1126"/>
      <c r="AG459" s="1126"/>
      <c r="AH459" s="1126"/>
      <c r="AI459" s="1126"/>
      <c r="AJ459" s="1126"/>
      <c r="AK459" s="1126"/>
      <c r="AL459" s="1126"/>
      <c r="AM459" s="1126"/>
      <c r="AN459" s="1126"/>
      <c r="AO459" s="1126"/>
      <c r="AP459" s="1126"/>
      <c r="AQ459" s="1126"/>
      <c r="AR459" s="1126"/>
      <c r="AS459" s="1126"/>
      <c r="AT459" s="1126"/>
      <c r="AU459" s="413"/>
      <c r="AV459" s="1075"/>
    </row>
    <row r="460" spans="1:48" ht="15" customHeight="1" x14ac:dyDescent="0.2">
      <c r="A460" s="1076"/>
      <c r="B460" s="1045" t="str">
        <f t="shared" si="9"/>
        <v>Desk 36</v>
      </c>
      <c r="C460" s="1385" t="str">
        <f>IF('TB IMA general'!C121&lt;&gt;"",'TB IMA general'!C121,"")</f>
        <v/>
      </c>
      <c r="D460" s="1126"/>
      <c r="E460" s="1126"/>
      <c r="F460" s="1126"/>
      <c r="G460" s="1126"/>
      <c r="H460" s="1126"/>
      <c r="I460" s="1126"/>
      <c r="J460" s="1126"/>
      <c r="K460" s="1126"/>
      <c r="L460" s="1126"/>
      <c r="M460" s="1126"/>
      <c r="N460" s="1126"/>
      <c r="O460" s="1126"/>
      <c r="P460" s="1126"/>
      <c r="Q460" s="1126"/>
      <c r="R460" s="1126"/>
      <c r="S460" s="1126"/>
      <c r="T460" s="1126"/>
      <c r="U460" s="1126"/>
      <c r="V460" s="1126"/>
      <c r="W460" s="1126"/>
      <c r="X460" s="1126"/>
      <c r="Y460" s="1126"/>
      <c r="Z460" s="1126"/>
      <c r="AA460" s="1126"/>
      <c r="AB460" s="1126"/>
      <c r="AC460" s="1126"/>
      <c r="AD460" s="1126"/>
      <c r="AE460" s="1126"/>
      <c r="AF460" s="1126"/>
      <c r="AG460" s="1126"/>
      <c r="AH460" s="1126"/>
      <c r="AI460" s="1126"/>
      <c r="AJ460" s="1126"/>
      <c r="AK460" s="1126"/>
      <c r="AL460" s="1126"/>
      <c r="AM460" s="1126"/>
      <c r="AN460" s="1126"/>
      <c r="AO460" s="1126"/>
      <c r="AP460" s="1126"/>
      <c r="AQ460" s="1126"/>
      <c r="AR460" s="1126"/>
      <c r="AS460" s="1126"/>
      <c r="AT460" s="1126"/>
      <c r="AU460" s="413"/>
      <c r="AV460" s="1075"/>
    </row>
    <row r="461" spans="1:48" ht="15" customHeight="1" x14ac:dyDescent="0.2">
      <c r="A461" s="1076"/>
      <c r="B461" s="1045" t="str">
        <f t="shared" si="9"/>
        <v>Desk 37</v>
      </c>
      <c r="C461" s="1385" t="str">
        <f>IF('TB IMA general'!C122&lt;&gt;"",'TB IMA general'!C122,"")</f>
        <v/>
      </c>
      <c r="D461" s="1126"/>
      <c r="E461" s="1126"/>
      <c r="F461" s="1126"/>
      <c r="G461" s="1126"/>
      <c r="H461" s="1126"/>
      <c r="I461" s="1126"/>
      <c r="J461" s="1126"/>
      <c r="K461" s="1126"/>
      <c r="L461" s="1126"/>
      <c r="M461" s="1126"/>
      <c r="N461" s="1126"/>
      <c r="O461" s="1126"/>
      <c r="P461" s="1126"/>
      <c r="Q461" s="1126"/>
      <c r="R461" s="1126"/>
      <c r="S461" s="1126"/>
      <c r="T461" s="1126"/>
      <c r="U461" s="1126"/>
      <c r="V461" s="1126"/>
      <c r="W461" s="1126"/>
      <c r="X461" s="1126"/>
      <c r="Y461" s="1126"/>
      <c r="Z461" s="1126"/>
      <c r="AA461" s="1126"/>
      <c r="AB461" s="1126"/>
      <c r="AC461" s="1126"/>
      <c r="AD461" s="1126"/>
      <c r="AE461" s="1126"/>
      <c r="AF461" s="1126"/>
      <c r="AG461" s="1126"/>
      <c r="AH461" s="1126"/>
      <c r="AI461" s="1126"/>
      <c r="AJ461" s="1126"/>
      <c r="AK461" s="1126"/>
      <c r="AL461" s="1126"/>
      <c r="AM461" s="1126"/>
      <c r="AN461" s="1126"/>
      <c r="AO461" s="1126"/>
      <c r="AP461" s="1126"/>
      <c r="AQ461" s="1126"/>
      <c r="AR461" s="1126"/>
      <c r="AS461" s="1126"/>
      <c r="AT461" s="1126"/>
      <c r="AU461" s="413"/>
      <c r="AV461" s="1075"/>
    </row>
    <row r="462" spans="1:48" ht="15" customHeight="1" x14ac:dyDescent="0.2">
      <c r="A462" s="1076"/>
      <c r="B462" s="1045" t="str">
        <f t="shared" si="9"/>
        <v>Desk 38</v>
      </c>
      <c r="C462" s="1385" t="str">
        <f>IF('TB IMA general'!C123&lt;&gt;"",'TB IMA general'!C123,"")</f>
        <v/>
      </c>
      <c r="D462" s="1126"/>
      <c r="E462" s="1126"/>
      <c r="F462" s="1126"/>
      <c r="G462" s="1126"/>
      <c r="H462" s="1126"/>
      <c r="I462" s="1126"/>
      <c r="J462" s="1126"/>
      <c r="K462" s="1126"/>
      <c r="L462" s="1126"/>
      <c r="M462" s="1126"/>
      <c r="N462" s="1126"/>
      <c r="O462" s="1126"/>
      <c r="P462" s="1126"/>
      <c r="Q462" s="1126"/>
      <c r="R462" s="1126"/>
      <c r="S462" s="1126"/>
      <c r="T462" s="1126"/>
      <c r="U462" s="1126"/>
      <c r="V462" s="1126"/>
      <c r="W462" s="1126"/>
      <c r="X462" s="1126"/>
      <c r="Y462" s="1126"/>
      <c r="Z462" s="1126"/>
      <c r="AA462" s="1126"/>
      <c r="AB462" s="1126"/>
      <c r="AC462" s="1126"/>
      <c r="AD462" s="1126"/>
      <c r="AE462" s="1126"/>
      <c r="AF462" s="1126"/>
      <c r="AG462" s="1126"/>
      <c r="AH462" s="1126"/>
      <c r="AI462" s="1126"/>
      <c r="AJ462" s="1126"/>
      <c r="AK462" s="1126"/>
      <c r="AL462" s="1126"/>
      <c r="AM462" s="1126"/>
      <c r="AN462" s="1126"/>
      <c r="AO462" s="1126"/>
      <c r="AP462" s="1126"/>
      <c r="AQ462" s="1126"/>
      <c r="AR462" s="1126"/>
      <c r="AS462" s="1126"/>
      <c r="AT462" s="1126"/>
      <c r="AU462" s="413"/>
      <c r="AV462" s="1075"/>
    </row>
    <row r="463" spans="1:48" ht="15" customHeight="1" x14ac:dyDescent="0.2">
      <c r="A463" s="1076"/>
      <c r="B463" s="1045" t="str">
        <f t="shared" si="9"/>
        <v>Desk 39</v>
      </c>
      <c r="C463" s="1385" t="str">
        <f>IF('TB IMA general'!C124&lt;&gt;"",'TB IMA general'!C124,"")</f>
        <v/>
      </c>
      <c r="D463" s="1126"/>
      <c r="E463" s="1126"/>
      <c r="F463" s="1126"/>
      <c r="G463" s="1126"/>
      <c r="H463" s="1126"/>
      <c r="I463" s="1126"/>
      <c r="J463" s="1126"/>
      <c r="K463" s="1126"/>
      <c r="L463" s="1126"/>
      <c r="M463" s="1126"/>
      <c r="N463" s="1126"/>
      <c r="O463" s="1126"/>
      <c r="P463" s="1126"/>
      <c r="Q463" s="1126"/>
      <c r="R463" s="1126"/>
      <c r="S463" s="1126"/>
      <c r="T463" s="1126"/>
      <c r="U463" s="1126"/>
      <c r="V463" s="1126"/>
      <c r="W463" s="1126"/>
      <c r="X463" s="1126"/>
      <c r="Y463" s="1126"/>
      <c r="Z463" s="1126"/>
      <c r="AA463" s="1126"/>
      <c r="AB463" s="1126"/>
      <c r="AC463" s="1126"/>
      <c r="AD463" s="1126"/>
      <c r="AE463" s="1126"/>
      <c r="AF463" s="1126"/>
      <c r="AG463" s="1126"/>
      <c r="AH463" s="1126"/>
      <c r="AI463" s="1126"/>
      <c r="AJ463" s="1126"/>
      <c r="AK463" s="1126"/>
      <c r="AL463" s="1126"/>
      <c r="AM463" s="1126"/>
      <c r="AN463" s="1126"/>
      <c r="AO463" s="1126"/>
      <c r="AP463" s="1126"/>
      <c r="AQ463" s="1126"/>
      <c r="AR463" s="1126"/>
      <c r="AS463" s="1126"/>
      <c r="AT463" s="1126"/>
      <c r="AU463" s="413"/>
      <c r="AV463" s="1075"/>
    </row>
    <row r="464" spans="1:48" ht="15" customHeight="1" x14ac:dyDescent="0.2">
      <c r="A464" s="1076"/>
      <c r="B464" s="1045" t="str">
        <f t="shared" si="9"/>
        <v>Desk 40</v>
      </c>
      <c r="C464" s="1385" t="str">
        <f>IF('TB IMA general'!C125&lt;&gt;"",'TB IMA general'!C125,"")</f>
        <v/>
      </c>
      <c r="D464" s="1126"/>
      <c r="E464" s="1126"/>
      <c r="F464" s="1126"/>
      <c r="G464" s="1126"/>
      <c r="H464" s="1126"/>
      <c r="I464" s="1126"/>
      <c r="J464" s="1126"/>
      <c r="K464" s="1126"/>
      <c r="L464" s="1126"/>
      <c r="M464" s="1126"/>
      <c r="N464" s="1126"/>
      <c r="O464" s="1126"/>
      <c r="P464" s="1126"/>
      <c r="Q464" s="1126"/>
      <c r="R464" s="1126"/>
      <c r="S464" s="1126"/>
      <c r="T464" s="1126"/>
      <c r="U464" s="1126"/>
      <c r="V464" s="1126"/>
      <c r="W464" s="1126"/>
      <c r="X464" s="1126"/>
      <c r="Y464" s="1126"/>
      <c r="Z464" s="1126"/>
      <c r="AA464" s="1126"/>
      <c r="AB464" s="1126"/>
      <c r="AC464" s="1126"/>
      <c r="AD464" s="1126"/>
      <c r="AE464" s="1126"/>
      <c r="AF464" s="1126"/>
      <c r="AG464" s="1126"/>
      <c r="AH464" s="1126"/>
      <c r="AI464" s="1126"/>
      <c r="AJ464" s="1126"/>
      <c r="AK464" s="1126"/>
      <c r="AL464" s="1126"/>
      <c r="AM464" s="1126"/>
      <c r="AN464" s="1126"/>
      <c r="AO464" s="1126"/>
      <c r="AP464" s="1126"/>
      <c r="AQ464" s="1126"/>
      <c r="AR464" s="1126"/>
      <c r="AS464" s="1126"/>
      <c r="AT464" s="1126"/>
      <c r="AU464" s="413"/>
      <c r="AV464" s="1075"/>
    </row>
    <row r="465" spans="1:48" ht="15" customHeight="1" x14ac:dyDescent="0.2">
      <c r="A465" s="1076"/>
      <c r="B465" s="1045" t="str">
        <f t="shared" si="9"/>
        <v>Desk 41</v>
      </c>
      <c r="C465" s="1385" t="str">
        <f>IF('TB IMA general'!C126&lt;&gt;"",'TB IMA general'!C126,"")</f>
        <v/>
      </c>
      <c r="D465" s="1126"/>
      <c r="E465" s="1126"/>
      <c r="F465" s="1126"/>
      <c r="G465" s="1126"/>
      <c r="H465" s="1126"/>
      <c r="I465" s="1126"/>
      <c r="J465" s="1126"/>
      <c r="K465" s="1126"/>
      <c r="L465" s="1126"/>
      <c r="M465" s="1126"/>
      <c r="N465" s="1126"/>
      <c r="O465" s="1126"/>
      <c r="P465" s="1126"/>
      <c r="Q465" s="1126"/>
      <c r="R465" s="1126"/>
      <c r="S465" s="1126"/>
      <c r="T465" s="1126"/>
      <c r="U465" s="1126"/>
      <c r="V465" s="1126"/>
      <c r="W465" s="1126"/>
      <c r="X465" s="1126"/>
      <c r="Y465" s="1126"/>
      <c r="Z465" s="1126"/>
      <c r="AA465" s="1126"/>
      <c r="AB465" s="1126"/>
      <c r="AC465" s="1126"/>
      <c r="AD465" s="1126"/>
      <c r="AE465" s="1126"/>
      <c r="AF465" s="1126"/>
      <c r="AG465" s="1126"/>
      <c r="AH465" s="1126"/>
      <c r="AI465" s="1126"/>
      <c r="AJ465" s="1126"/>
      <c r="AK465" s="1126"/>
      <c r="AL465" s="1126"/>
      <c r="AM465" s="1126"/>
      <c r="AN465" s="1126"/>
      <c r="AO465" s="1126"/>
      <c r="AP465" s="1126"/>
      <c r="AQ465" s="1126"/>
      <c r="AR465" s="1126"/>
      <c r="AS465" s="1126"/>
      <c r="AT465" s="1126"/>
      <c r="AU465" s="413"/>
      <c r="AV465" s="1075"/>
    </row>
    <row r="466" spans="1:48" ht="15" customHeight="1" x14ac:dyDescent="0.2">
      <c r="A466" s="1076"/>
      <c r="B466" s="1045" t="str">
        <f t="shared" si="9"/>
        <v>Desk 42</v>
      </c>
      <c r="C466" s="1385" t="str">
        <f>IF('TB IMA general'!C127&lt;&gt;"",'TB IMA general'!C127,"")</f>
        <v/>
      </c>
      <c r="D466" s="1126"/>
      <c r="E466" s="1126"/>
      <c r="F466" s="1126"/>
      <c r="G466" s="1126"/>
      <c r="H466" s="1126"/>
      <c r="I466" s="1126"/>
      <c r="J466" s="1126"/>
      <c r="K466" s="1126"/>
      <c r="L466" s="1126"/>
      <c r="M466" s="1126"/>
      <c r="N466" s="1126"/>
      <c r="O466" s="1126"/>
      <c r="P466" s="1126"/>
      <c r="Q466" s="1126"/>
      <c r="R466" s="1126"/>
      <c r="S466" s="1126"/>
      <c r="T466" s="1126"/>
      <c r="U466" s="1126"/>
      <c r="V466" s="1126"/>
      <c r="W466" s="1126"/>
      <c r="X466" s="1126"/>
      <c r="Y466" s="1126"/>
      <c r="Z466" s="1126"/>
      <c r="AA466" s="1126"/>
      <c r="AB466" s="1126"/>
      <c r="AC466" s="1126"/>
      <c r="AD466" s="1126"/>
      <c r="AE466" s="1126"/>
      <c r="AF466" s="1126"/>
      <c r="AG466" s="1126"/>
      <c r="AH466" s="1126"/>
      <c r="AI466" s="1126"/>
      <c r="AJ466" s="1126"/>
      <c r="AK466" s="1126"/>
      <c r="AL466" s="1126"/>
      <c r="AM466" s="1126"/>
      <c r="AN466" s="1126"/>
      <c r="AO466" s="1126"/>
      <c r="AP466" s="1126"/>
      <c r="AQ466" s="1126"/>
      <c r="AR466" s="1126"/>
      <c r="AS466" s="1126"/>
      <c r="AT466" s="1126"/>
      <c r="AU466" s="413"/>
      <c r="AV466" s="1075"/>
    </row>
    <row r="467" spans="1:48" ht="15" customHeight="1" x14ac:dyDescent="0.2">
      <c r="A467" s="1076"/>
      <c r="B467" s="1045" t="str">
        <f t="shared" si="9"/>
        <v>Desk 43</v>
      </c>
      <c r="C467" s="1385" t="str">
        <f>IF('TB IMA general'!C128&lt;&gt;"",'TB IMA general'!C128,"")</f>
        <v/>
      </c>
      <c r="D467" s="1126"/>
      <c r="E467" s="1126"/>
      <c r="F467" s="1126"/>
      <c r="G467" s="1126"/>
      <c r="H467" s="1126"/>
      <c r="I467" s="1126"/>
      <c r="J467" s="1126"/>
      <c r="K467" s="1126"/>
      <c r="L467" s="1126"/>
      <c r="M467" s="1126"/>
      <c r="N467" s="1126"/>
      <c r="O467" s="1126"/>
      <c r="P467" s="1126"/>
      <c r="Q467" s="1126"/>
      <c r="R467" s="1126"/>
      <c r="S467" s="1126"/>
      <c r="T467" s="1126"/>
      <c r="U467" s="1126"/>
      <c r="V467" s="1126"/>
      <c r="W467" s="1126"/>
      <c r="X467" s="1126"/>
      <c r="Y467" s="1126"/>
      <c r="Z467" s="1126"/>
      <c r="AA467" s="1126"/>
      <c r="AB467" s="1126"/>
      <c r="AC467" s="1126"/>
      <c r="AD467" s="1126"/>
      <c r="AE467" s="1126"/>
      <c r="AF467" s="1126"/>
      <c r="AG467" s="1126"/>
      <c r="AH467" s="1126"/>
      <c r="AI467" s="1126"/>
      <c r="AJ467" s="1126"/>
      <c r="AK467" s="1126"/>
      <c r="AL467" s="1126"/>
      <c r="AM467" s="1126"/>
      <c r="AN467" s="1126"/>
      <c r="AO467" s="1126"/>
      <c r="AP467" s="1126"/>
      <c r="AQ467" s="1126"/>
      <c r="AR467" s="1126"/>
      <c r="AS467" s="1126"/>
      <c r="AT467" s="1126"/>
      <c r="AU467" s="413"/>
      <c r="AV467" s="1075"/>
    </row>
    <row r="468" spans="1:48" ht="15" customHeight="1" x14ac:dyDescent="0.2">
      <c r="A468" s="1076"/>
      <c r="B468" s="1045" t="str">
        <f t="shared" si="9"/>
        <v>Desk 44</v>
      </c>
      <c r="C468" s="1385" t="str">
        <f>IF('TB IMA general'!C129&lt;&gt;"",'TB IMA general'!C129,"")</f>
        <v/>
      </c>
      <c r="D468" s="1126"/>
      <c r="E468" s="1126"/>
      <c r="F468" s="1126"/>
      <c r="G468" s="1126"/>
      <c r="H468" s="1126"/>
      <c r="I468" s="1126"/>
      <c r="J468" s="1126"/>
      <c r="K468" s="1126"/>
      <c r="L468" s="1126"/>
      <c r="M468" s="1126"/>
      <c r="N468" s="1126"/>
      <c r="O468" s="1126"/>
      <c r="P468" s="1126"/>
      <c r="Q468" s="1126"/>
      <c r="R468" s="1126"/>
      <c r="S468" s="1126"/>
      <c r="T468" s="1126"/>
      <c r="U468" s="1126"/>
      <c r="V468" s="1126"/>
      <c r="W468" s="1126"/>
      <c r="X468" s="1126"/>
      <c r="Y468" s="1126"/>
      <c r="Z468" s="1126"/>
      <c r="AA468" s="1126"/>
      <c r="AB468" s="1126"/>
      <c r="AC468" s="1126"/>
      <c r="AD468" s="1126"/>
      <c r="AE468" s="1126"/>
      <c r="AF468" s="1126"/>
      <c r="AG468" s="1126"/>
      <c r="AH468" s="1126"/>
      <c r="AI468" s="1126"/>
      <c r="AJ468" s="1126"/>
      <c r="AK468" s="1126"/>
      <c r="AL468" s="1126"/>
      <c r="AM468" s="1126"/>
      <c r="AN468" s="1126"/>
      <c r="AO468" s="1126"/>
      <c r="AP468" s="1126"/>
      <c r="AQ468" s="1126"/>
      <c r="AR468" s="1126"/>
      <c r="AS468" s="1126"/>
      <c r="AT468" s="1126"/>
      <c r="AU468" s="413"/>
      <c r="AV468" s="1075"/>
    </row>
    <row r="469" spans="1:48" ht="15" customHeight="1" x14ac:dyDescent="0.2">
      <c r="A469" s="1076"/>
      <c r="B469" s="1045" t="str">
        <f t="shared" si="9"/>
        <v>Desk 45</v>
      </c>
      <c r="C469" s="1385" t="str">
        <f>IF('TB IMA general'!C130&lt;&gt;"",'TB IMA general'!C130,"")</f>
        <v/>
      </c>
      <c r="D469" s="1126"/>
      <c r="E469" s="1126"/>
      <c r="F469" s="1126"/>
      <c r="G469" s="1126"/>
      <c r="H469" s="1126"/>
      <c r="I469" s="1126"/>
      <c r="J469" s="1126"/>
      <c r="K469" s="1126"/>
      <c r="L469" s="1126"/>
      <c r="M469" s="1126"/>
      <c r="N469" s="1126"/>
      <c r="O469" s="1126"/>
      <c r="P469" s="1126"/>
      <c r="Q469" s="1126"/>
      <c r="R469" s="1126"/>
      <c r="S469" s="1126"/>
      <c r="T469" s="1126"/>
      <c r="U469" s="1126"/>
      <c r="V469" s="1126"/>
      <c r="W469" s="1126"/>
      <c r="X469" s="1126"/>
      <c r="Y469" s="1126"/>
      <c r="Z469" s="1126"/>
      <c r="AA469" s="1126"/>
      <c r="AB469" s="1126"/>
      <c r="AC469" s="1126"/>
      <c r="AD469" s="1126"/>
      <c r="AE469" s="1126"/>
      <c r="AF469" s="1126"/>
      <c r="AG469" s="1126"/>
      <c r="AH469" s="1126"/>
      <c r="AI469" s="1126"/>
      <c r="AJ469" s="1126"/>
      <c r="AK469" s="1126"/>
      <c r="AL469" s="1126"/>
      <c r="AM469" s="1126"/>
      <c r="AN469" s="1126"/>
      <c r="AO469" s="1126"/>
      <c r="AP469" s="1126"/>
      <c r="AQ469" s="1126"/>
      <c r="AR469" s="1126"/>
      <c r="AS469" s="1126"/>
      <c r="AT469" s="1126"/>
      <c r="AU469" s="413"/>
      <c r="AV469" s="1075"/>
    </row>
    <row r="470" spans="1:48" ht="15" customHeight="1" x14ac:dyDescent="0.2">
      <c r="A470" s="1076"/>
      <c r="B470" s="1045" t="str">
        <f t="shared" si="9"/>
        <v>Desk 46</v>
      </c>
      <c r="C470" s="1385" t="str">
        <f>IF('TB IMA general'!C131&lt;&gt;"",'TB IMA general'!C131,"")</f>
        <v/>
      </c>
      <c r="D470" s="1126"/>
      <c r="E470" s="1126"/>
      <c r="F470" s="1126"/>
      <c r="G470" s="1126"/>
      <c r="H470" s="1126"/>
      <c r="I470" s="1126"/>
      <c r="J470" s="1126"/>
      <c r="K470" s="1126"/>
      <c r="L470" s="1126"/>
      <c r="M470" s="1126"/>
      <c r="N470" s="1126"/>
      <c r="O470" s="1126"/>
      <c r="P470" s="1126"/>
      <c r="Q470" s="1126"/>
      <c r="R470" s="1126"/>
      <c r="S470" s="1126"/>
      <c r="T470" s="1126"/>
      <c r="U470" s="1126"/>
      <c r="V470" s="1126"/>
      <c r="W470" s="1126"/>
      <c r="X470" s="1126"/>
      <c r="Y470" s="1126"/>
      <c r="Z470" s="1126"/>
      <c r="AA470" s="1126"/>
      <c r="AB470" s="1126"/>
      <c r="AC470" s="1126"/>
      <c r="AD470" s="1126"/>
      <c r="AE470" s="1126"/>
      <c r="AF470" s="1126"/>
      <c r="AG470" s="1126"/>
      <c r="AH470" s="1126"/>
      <c r="AI470" s="1126"/>
      <c r="AJ470" s="1126"/>
      <c r="AK470" s="1126"/>
      <c r="AL470" s="1126"/>
      <c r="AM470" s="1126"/>
      <c r="AN470" s="1126"/>
      <c r="AO470" s="1126"/>
      <c r="AP470" s="1126"/>
      <c r="AQ470" s="1126"/>
      <c r="AR470" s="1126"/>
      <c r="AS470" s="1126"/>
      <c r="AT470" s="1126"/>
      <c r="AU470" s="413"/>
      <c r="AV470" s="1075"/>
    </row>
    <row r="471" spans="1:48" ht="15" customHeight="1" x14ac:dyDescent="0.2">
      <c r="A471" s="1076"/>
      <c r="B471" s="1045" t="str">
        <f t="shared" si="9"/>
        <v>Desk 47</v>
      </c>
      <c r="C471" s="1385" t="str">
        <f>IF('TB IMA general'!C132&lt;&gt;"",'TB IMA general'!C132,"")</f>
        <v/>
      </c>
      <c r="D471" s="1126"/>
      <c r="E471" s="1126"/>
      <c r="F471" s="1126"/>
      <c r="G471" s="1126"/>
      <c r="H471" s="1126"/>
      <c r="I471" s="1126"/>
      <c r="J471" s="1126"/>
      <c r="K471" s="1126"/>
      <c r="L471" s="1126"/>
      <c r="M471" s="1126"/>
      <c r="N471" s="1126"/>
      <c r="O471" s="1126"/>
      <c r="P471" s="1126"/>
      <c r="Q471" s="1126"/>
      <c r="R471" s="1126"/>
      <c r="S471" s="1126"/>
      <c r="T471" s="1126"/>
      <c r="U471" s="1126"/>
      <c r="V471" s="1126"/>
      <c r="W471" s="1126"/>
      <c r="X471" s="1126"/>
      <c r="Y471" s="1126"/>
      <c r="Z471" s="1126"/>
      <c r="AA471" s="1126"/>
      <c r="AB471" s="1126"/>
      <c r="AC471" s="1126"/>
      <c r="AD471" s="1126"/>
      <c r="AE471" s="1126"/>
      <c r="AF471" s="1126"/>
      <c r="AG471" s="1126"/>
      <c r="AH471" s="1126"/>
      <c r="AI471" s="1126"/>
      <c r="AJ471" s="1126"/>
      <c r="AK471" s="1126"/>
      <c r="AL471" s="1126"/>
      <c r="AM471" s="1126"/>
      <c r="AN471" s="1126"/>
      <c r="AO471" s="1126"/>
      <c r="AP471" s="1126"/>
      <c r="AQ471" s="1126"/>
      <c r="AR471" s="1126"/>
      <c r="AS471" s="1126"/>
      <c r="AT471" s="1126"/>
      <c r="AU471" s="413"/>
      <c r="AV471" s="1075"/>
    </row>
    <row r="472" spans="1:48" ht="15" customHeight="1" x14ac:dyDescent="0.2">
      <c r="A472" s="1076"/>
      <c r="B472" s="1045" t="str">
        <f t="shared" si="9"/>
        <v>Desk 48</v>
      </c>
      <c r="C472" s="1385" t="str">
        <f>IF('TB IMA general'!C133&lt;&gt;"",'TB IMA general'!C133,"")</f>
        <v/>
      </c>
      <c r="D472" s="1126"/>
      <c r="E472" s="1126"/>
      <c r="F472" s="1126"/>
      <c r="G472" s="1126"/>
      <c r="H472" s="1126"/>
      <c r="I472" s="1126"/>
      <c r="J472" s="1126"/>
      <c r="K472" s="1126"/>
      <c r="L472" s="1126"/>
      <c r="M472" s="1126"/>
      <c r="N472" s="1126"/>
      <c r="O472" s="1126"/>
      <c r="P472" s="1126"/>
      <c r="Q472" s="1126"/>
      <c r="R472" s="1126"/>
      <c r="S472" s="1126"/>
      <c r="T472" s="1126"/>
      <c r="U472" s="1126"/>
      <c r="V472" s="1126"/>
      <c r="W472" s="1126"/>
      <c r="X472" s="1126"/>
      <c r="Y472" s="1126"/>
      <c r="Z472" s="1126"/>
      <c r="AA472" s="1126"/>
      <c r="AB472" s="1126"/>
      <c r="AC472" s="1126"/>
      <c r="AD472" s="1126"/>
      <c r="AE472" s="1126"/>
      <c r="AF472" s="1126"/>
      <c r="AG472" s="1126"/>
      <c r="AH472" s="1126"/>
      <c r="AI472" s="1126"/>
      <c r="AJ472" s="1126"/>
      <c r="AK472" s="1126"/>
      <c r="AL472" s="1126"/>
      <c r="AM472" s="1126"/>
      <c r="AN472" s="1126"/>
      <c r="AO472" s="1126"/>
      <c r="AP472" s="1126"/>
      <c r="AQ472" s="1126"/>
      <c r="AR472" s="1126"/>
      <c r="AS472" s="1126"/>
      <c r="AT472" s="1126"/>
      <c r="AU472" s="413"/>
      <c r="AV472" s="1075"/>
    </row>
    <row r="473" spans="1:48" ht="15" customHeight="1" x14ac:dyDescent="0.2">
      <c r="A473" s="1076"/>
      <c r="B473" s="1045" t="str">
        <f t="shared" si="9"/>
        <v>Desk 49</v>
      </c>
      <c r="C473" s="1385" t="str">
        <f>IF('TB IMA general'!C134&lt;&gt;"",'TB IMA general'!C134,"")</f>
        <v/>
      </c>
      <c r="D473" s="1126"/>
      <c r="E473" s="1126"/>
      <c r="F473" s="1126"/>
      <c r="G473" s="1126"/>
      <c r="H473" s="1126"/>
      <c r="I473" s="1126"/>
      <c r="J473" s="1126"/>
      <c r="K473" s="1126"/>
      <c r="L473" s="1126"/>
      <c r="M473" s="1126"/>
      <c r="N473" s="1126"/>
      <c r="O473" s="1126"/>
      <c r="P473" s="1126"/>
      <c r="Q473" s="1126"/>
      <c r="R473" s="1126"/>
      <c r="S473" s="1126"/>
      <c r="T473" s="1126"/>
      <c r="U473" s="1126"/>
      <c r="V473" s="1126"/>
      <c r="W473" s="1126"/>
      <c r="X473" s="1126"/>
      <c r="Y473" s="1126"/>
      <c r="Z473" s="1126"/>
      <c r="AA473" s="1126"/>
      <c r="AB473" s="1126"/>
      <c r="AC473" s="1126"/>
      <c r="AD473" s="1126"/>
      <c r="AE473" s="1126"/>
      <c r="AF473" s="1126"/>
      <c r="AG473" s="1126"/>
      <c r="AH473" s="1126"/>
      <c r="AI473" s="1126"/>
      <c r="AJ473" s="1126"/>
      <c r="AK473" s="1126"/>
      <c r="AL473" s="1126"/>
      <c r="AM473" s="1126"/>
      <c r="AN473" s="1126"/>
      <c r="AO473" s="1126"/>
      <c r="AP473" s="1126"/>
      <c r="AQ473" s="1126"/>
      <c r="AR473" s="1126"/>
      <c r="AS473" s="1126"/>
      <c r="AT473" s="1126"/>
      <c r="AU473" s="413"/>
      <c r="AV473" s="1075"/>
    </row>
    <row r="474" spans="1:48" ht="15" customHeight="1" x14ac:dyDescent="0.2">
      <c r="A474" s="1076"/>
      <c r="B474" s="1045" t="str">
        <f t="shared" si="9"/>
        <v>Desk 50</v>
      </c>
      <c r="C474" s="1385" t="str">
        <f>IF('TB IMA general'!C135&lt;&gt;"",'TB IMA general'!C135,"")</f>
        <v/>
      </c>
      <c r="D474" s="1126"/>
      <c r="E474" s="1126"/>
      <c r="F474" s="1126"/>
      <c r="G474" s="1126"/>
      <c r="H474" s="1126"/>
      <c r="I474" s="1126"/>
      <c r="J474" s="1126"/>
      <c r="K474" s="1126"/>
      <c r="L474" s="1126"/>
      <c r="M474" s="1126"/>
      <c r="N474" s="1126"/>
      <c r="O474" s="1126"/>
      <c r="P474" s="1126"/>
      <c r="Q474" s="1126"/>
      <c r="R474" s="1126"/>
      <c r="S474" s="1126"/>
      <c r="T474" s="1126"/>
      <c r="U474" s="1126"/>
      <c r="V474" s="1126"/>
      <c r="W474" s="1126"/>
      <c r="X474" s="1126"/>
      <c r="Y474" s="1126"/>
      <c r="Z474" s="1126"/>
      <c r="AA474" s="1126"/>
      <c r="AB474" s="1126"/>
      <c r="AC474" s="1126"/>
      <c r="AD474" s="1126"/>
      <c r="AE474" s="1126"/>
      <c r="AF474" s="1126"/>
      <c r="AG474" s="1126"/>
      <c r="AH474" s="1126"/>
      <c r="AI474" s="1126"/>
      <c r="AJ474" s="1126"/>
      <c r="AK474" s="1126"/>
      <c r="AL474" s="1126"/>
      <c r="AM474" s="1126"/>
      <c r="AN474" s="1126"/>
      <c r="AO474" s="1126"/>
      <c r="AP474" s="1126"/>
      <c r="AQ474" s="1126"/>
      <c r="AR474" s="1126"/>
      <c r="AS474" s="1126"/>
      <c r="AT474" s="1126"/>
      <c r="AU474" s="413"/>
      <c r="AV474" s="1075"/>
    </row>
    <row r="475" spans="1:48" ht="15" customHeight="1" x14ac:dyDescent="0.2">
      <c r="A475" s="1076"/>
      <c r="B475" s="1045" t="str">
        <f t="shared" si="9"/>
        <v>Desk 51</v>
      </c>
      <c r="C475" s="1385" t="str">
        <f>IF('TB IMA general'!C136&lt;&gt;"",'TB IMA general'!C136,"")</f>
        <v/>
      </c>
      <c r="D475" s="1126"/>
      <c r="E475" s="1126"/>
      <c r="F475" s="1126"/>
      <c r="G475" s="1126"/>
      <c r="H475" s="1126"/>
      <c r="I475" s="1126"/>
      <c r="J475" s="1126"/>
      <c r="K475" s="1126"/>
      <c r="L475" s="1126"/>
      <c r="M475" s="1126"/>
      <c r="N475" s="1126"/>
      <c r="O475" s="1126"/>
      <c r="P475" s="1126"/>
      <c r="Q475" s="1126"/>
      <c r="R475" s="1126"/>
      <c r="S475" s="1126"/>
      <c r="T475" s="1126"/>
      <c r="U475" s="1126"/>
      <c r="V475" s="1126"/>
      <c r="W475" s="1126"/>
      <c r="X475" s="1126"/>
      <c r="Y475" s="1126"/>
      <c r="Z475" s="1126"/>
      <c r="AA475" s="1126"/>
      <c r="AB475" s="1126"/>
      <c r="AC475" s="1126"/>
      <c r="AD475" s="1126"/>
      <c r="AE475" s="1126"/>
      <c r="AF475" s="1126"/>
      <c r="AG475" s="1126"/>
      <c r="AH475" s="1126"/>
      <c r="AI475" s="1126"/>
      <c r="AJ475" s="1126"/>
      <c r="AK475" s="1126"/>
      <c r="AL475" s="1126"/>
      <c r="AM475" s="1126"/>
      <c r="AN475" s="1126"/>
      <c r="AO475" s="1126"/>
      <c r="AP475" s="1126"/>
      <c r="AQ475" s="1126"/>
      <c r="AR475" s="1126"/>
      <c r="AS475" s="1126"/>
      <c r="AT475" s="1126"/>
      <c r="AU475" s="413"/>
      <c r="AV475" s="1075"/>
    </row>
    <row r="476" spans="1:48" ht="15" customHeight="1" x14ac:dyDescent="0.2">
      <c r="A476" s="1076"/>
      <c r="B476" s="1045" t="str">
        <f t="shared" si="9"/>
        <v>Desk 52</v>
      </c>
      <c r="C476" s="1385" t="str">
        <f>IF('TB IMA general'!C137&lt;&gt;"",'TB IMA general'!C137,"")</f>
        <v/>
      </c>
      <c r="D476" s="1126"/>
      <c r="E476" s="1126"/>
      <c r="F476" s="1126"/>
      <c r="G476" s="1126"/>
      <c r="H476" s="1126"/>
      <c r="I476" s="1126"/>
      <c r="J476" s="1126"/>
      <c r="K476" s="1126"/>
      <c r="L476" s="1126"/>
      <c r="M476" s="1126"/>
      <c r="N476" s="1126"/>
      <c r="O476" s="1126"/>
      <c r="P476" s="1126"/>
      <c r="Q476" s="1126"/>
      <c r="R476" s="1126"/>
      <c r="S476" s="1126"/>
      <c r="T476" s="1126"/>
      <c r="U476" s="1126"/>
      <c r="V476" s="1126"/>
      <c r="W476" s="1126"/>
      <c r="X476" s="1126"/>
      <c r="Y476" s="1126"/>
      <c r="Z476" s="1126"/>
      <c r="AA476" s="1126"/>
      <c r="AB476" s="1126"/>
      <c r="AC476" s="1126"/>
      <c r="AD476" s="1126"/>
      <c r="AE476" s="1126"/>
      <c r="AF476" s="1126"/>
      <c r="AG476" s="1126"/>
      <c r="AH476" s="1126"/>
      <c r="AI476" s="1126"/>
      <c r="AJ476" s="1126"/>
      <c r="AK476" s="1126"/>
      <c r="AL476" s="1126"/>
      <c r="AM476" s="1126"/>
      <c r="AN476" s="1126"/>
      <c r="AO476" s="1126"/>
      <c r="AP476" s="1126"/>
      <c r="AQ476" s="1126"/>
      <c r="AR476" s="1126"/>
      <c r="AS476" s="1126"/>
      <c r="AT476" s="1126"/>
      <c r="AU476" s="413"/>
      <c r="AV476" s="1075"/>
    </row>
    <row r="477" spans="1:48" ht="15" customHeight="1" x14ac:dyDescent="0.2">
      <c r="A477" s="1076"/>
      <c r="B477" s="1045" t="str">
        <f t="shared" si="9"/>
        <v>Desk 53</v>
      </c>
      <c r="C477" s="1385" t="str">
        <f>IF('TB IMA general'!C138&lt;&gt;"",'TB IMA general'!C138,"")</f>
        <v/>
      </c>
      <c r="D477" s="1126"/>
      <c r="E477" s="1126"/>
      <c r="F477" s="1126"/>
      <c r="G477" s="1126"/>
      <c r="H477" s="1126"/>
      <c r="I477" s="1126"/>
      <c r="J477" s="1126"/>
      <c r="K477" s="1126"/>
      <c r="L477" s="1126"/>
      <c r="M477" s="1126"/>
      <c r="N477" s="1126"/>
      <c r="O477" s="1126"/>
      <c r="P477" s="1126"/>
      <c r="Q477" s="1126"/>
      <c r="R477" s="1126"/>
      <c r="S477" s="1126"/>
      <c r="T477" s="1126"/>
      <c r="U477" s="1126"/>
      <c r="V477" s="1126"/>
      <c r="W477" s="1126"/>
      <c r="X477" s="1126"/>
      <c r="Y477" s="1126"/>
      <c r="Z477" s="1126"/>
      <c r="AA477" s="1126"/>
      <c r="AB477" s="1126"/>
      <c r="AC477" s="1126"/>
      <c r="AD477" s="1126"/>
      <c r="AE477" s="1126"/>
      <c r="AF477" s="1126"/>
      <c r="AG477" s="1126"/>
      <c r="AH477" s="1126"/>
      <c r="AI477" s="1126"/>
      <c r="AJ477" s="1126"/>
      <c r="AK477" s="1126"/>
      <c r="AL477" s="1126"/>
      <c r="AM477" s="1126"/>
      <c r="AN477" s="1126"/>
      <c r="AO477" s="1126"/>
      <c r="AP477" s="1126"/>
      <c r="AQ477" s="1126"/>
      <c r="AR477" s="1126"/>
      <c r="AS477" s="1126"/>
      <c r="AT477" s="1126"/>
      <c r="AU477" s="413"/>
      <c r="AV477" s="1075"/>
    </row>
    <row r="478" spans="1:48" ht="15" customHeight="1" x14ac:dyDescent="0.2">
      <c r="A478" s="1076"/>
      <c r="B478" s="1045" t="str">
        <f t="shared" si="9"/>
        <v>Desk 54</v>
      </c>
      <c r="C478" s="1385" t="str">
        <f>IF('TB IMA general'!C139&lt;&gt;"",'TB IMA general'!C139,"")</f>
        <v/>
      </c>
      <c r="D478" s="1126"/>
      <c r="E478" s="1126"/>
      <c r="F478" s="1126"/>
      <c r="G478" s="1126"/>
      <c r="H478" s="1126"/>
      <c r="I478" s="1126"/>
      <c r="J478" s="1126"/>
      <c r="K478" s="1126"/>
      <c r="L478" s="1126"/>
      <c r="M478" s="1126"/>
      <c r="N478" s="1126"/>
      <c r="O478" s="1126"/>
      <c r="P478" s="1126"/>
      <c r="Q478" s="1126"/>
      <c r="R478" s="1126"/>
      <c r="S478" s="1126"/>
      <c r="T478" s="1126"/>
      <c r="U478" s="1126"/>
      <c r="V478" s="1126"/>
      <c r="W478" s="1126"/>
      <c r="X478" s="1126"/>
      <c r="Y478" s="1126"/>
      <c r="Z478" s="1126"/>
      <c r="AA478" s="1126"/>
      <c r="AB478" s="1126"/>
      <c r="AC478" s="1126"/>
      <c r="AD478" s="1126"/>
      <c r="AE478" s="1126"/>
      <c r="AF478" s="1126"/>
      <c r="AG478" s="1126"/>
      <c r="AH478" s="1126"/>
      <c r="AI478" s="1126"/>
      <c r="AJ478" s="1126"/>
      <c r="AK478" s="1126"/>
      <c r="AL478" s="1126"/>
      <c r="AM478" s="1126"/>
      <c r="AN478" s="1126"/>
      <c r="AO478" s="1126"/>
      <c r="AP478" s="1126"/>
      <c r="AQ478" s="1126"/>
      <c r="AR478" s="1126"/>
      <c r="AS478" s="1126"/>
      <c r="AT478" s="1126"/>
      <c r="AU478" s="413"/>
      <c r="AV478" s="1075"/>
    </row>
    <row r="479" spans="1:48" ht="15" customHeight="1" x14ac:dyDescent="0.2">
      <c r="A479" s="1076"/>
      <c r="B479" s="1045" t="str">
        <f t="shared" si="9"/>
        <v>Desk 55</v>
      </c>
      <c r="C479" s="1385" t="str">
        <f>IF('TB IMA general'!C140&lt;&gt;"",'TB IMA general'!C140,"")</f>
        <v/>
      </c>
      <c r="D479" s="1126"/>
      <c r="E479" s="1126"/>
      <c r="F479" s="1126"/>
      <c r="G479" s="1126"/>
      <c r="H479" s="1126"/>
      <c r="I479" s="1126"/>
      <c r="J479" s="1126"/>
      <c r="K479" s="1126"/>
      <c r="L479" s="1126"/>
      <c r="M479" s="1126"/>
      <c r="N479" s="1126"/>
      <c r="O479" s="1126"/>
      <c r="P479" s="1126"/>
      <c r="Q479" s="1126"/>
      <c r="R479" s="1126"/>
      <c r="S479" s="1126"/>
      <c r="T479" s="1126"/>
      <c r="U479" s="1126"/>
      <c r="V479" s="1126"/>
      <c r="W479" s="1126"/>
      <c r="X479" s="1126"/>
      <c r="Y479" s="1126"/>
      <c r="Z479" s="1126"/>
      <c r="AA479" s="1126"/>
      <c r="AB479" s="1126"/>
      <c r="AC479" s="1126"/>
      <c r="AD479" s="1126"/>
      <c r="AE479" s="1126"/>
      <c r="AF479" s="1126"/>
      <c r="AG479" s="1126"/>
      <c r="AH479" s="1126"/>
      <c r="AI479" s="1126"/>
      <c r="AJ479" s="1126"/>
      <c r="AK479" s="1126"/>
      <c r="AL479" s="1126"/>
      <c r="AM479" s="1126"/>
      <c r="AN479" s="1126"/>
      <c r="AO479" s="1126"/>
      <c r="AP479" s="1126"/>
      <c r="AQ479" s="1126"/>
      <c r="AR479" s="1126"/>
      <c r="AS479" s="1126"/>
      <c r="AT479" s="1126"/>
      <c r="AU479" s="413"/>
      <c r="AV479" s="1075"/>
    </row>
    <row r="480" spans="1:48" ht="15" customHeight="1" x14ac:dyDescent="0.2">
      <c r="A480" s="1076"/>
      <c r="B480" s="1045" t="str">
        <f t="shared" si="9"/>
        <v>Desk 56</v>
      </c>
      <c r="C480" s="1385" t="str">
        <f>IF('TB IMA general'!C141&lt;&gt;"",'TB IMA general'!C141,"")</f>
        <v/>
      </c>
      <c r="D480" s="1126"/>
      <c r="E480" s="1126"/>
      <c r="F480" s="1126"/>
      <c r="G480" s="1126"/>
      <c r="H480" s="1126"/>
      <c r="I480" s="1126"/>
      <c r="J480" s="1126"/>
      <c r="K480" s="1126"/>
      <c r="L480" s="1126"/>
      <c r="M480" s="1126"/>
      <c r="N480" s="1126"/>
      <c r="O480" s="1126"/>
      <c r="P480" s="1126"/>
      <c r="Q480" s="1126"/>
      <c r="R480" s="1126"/>
      <c r="S480" s="1126"/>
      <c r="T480" s="1126"/>
      <c r="U480" s="1126"/>
      <c r="V480" s="1126"/>
      <c r="W480" s="1126"/>
      <c r="X480" s="1126"/>
      <c r="Y480" s="1126"/>
      <c r="Z480" s="1126"/>
      <c r="AA480" s="1126"/>
      <c r="AB480" s="1126"/>
      <c r="AC480" s="1126"/>
      <c r="AD480" s="1126"/>
      <c r="AE480" s="1126"/>
      <c r="AF480" s="1126"/>
      <c r="AG480" s="1126"/>
      <c r="AH480" s="1126"/>
      <c r="AI480" s="1126"/>
      <c r="AJ480" s="1126"/>
      <c r="AK480" s="1126"/>
      <c r="AL480" s="1126"/>
      <c r="AM480" s="1126"/>
      <c r="AN480" s="1126"/>
      <c r="AO480" s="1126"/>
      <c r="AP480" s="1126"/>
      <c r="AQ480" s="1126"/>
      <c r="AR480" s="1126"/>
      <c r="AS480" s="1126"/>
      <c r="AT480" s="1126"/>
      <c r="AU480" s="413"/>
      <c r="AV480" s="1075"/>
    </row>
    <row r="481" spans="1:48" ht="15" customHeight="1" x14ac:dyDescent="0.2">
      <c r="A481" s="1076"/>
      <c r="B481" s="1045" t="str">
        <f t="shared" si="9"/>
        <v>Desk 57</v>
      </c>
      <c r="C481" s="1385" t="str">
        <f>IF('TB IMA general'!C142&lt;&gt;"",'TB IMA general'!C142,"")</f>
        <v/>
      </c>
      <c r="D481" s="1126"/>
      <c r="E481" s="1126"/>
      <c r="F481" s="1126"/>
      <c r="G481" s="1126"/>
      <c r="H481" s="1126"/>
      <c r="I481" s="1126"/>
      <c r="J481" s="1126"/>
      <c r="K481" s="1126"/>
      <c r="L481" s="1126"/>
      <c r="M481" s="1126"/>
      <c r="N481" s="1126"/>
      <c r="O481" s="1126"/>
      <c r="P481" s="1126"/>
      <c r="Q481" s="1126"/>
      <c r="R481" s="1126"/>
      <c r="S481" s="1126"/>
      <c r="T481" s="1126"/>
      <c r="U481" s="1126"/>
      <c r="V481" s="1126"/>
      <c r="W481" s="1126"/>
      <c r="X481" s="1126"/>
      <c r="Y481" s="1126"/>
      <c r="Z481" s="1126"/>
      <c r="AA481" s="1126"/>
      <c r="AB481" s="1126"/>
      <c r="AC481" s="1126"/>
      <c r="AD481" s="1126"/>
      <c r="AE481" s="1126"/>
      <c r="AF481" s="1126"/>
      <c r="AG481" s="1126"/>
      <c r="AH481" s="1126"/>
      <c r="AI481" s="1126"/>
      <c r="AJ481" s="1126"/>
      <c r="AK481" s="1126"/>
      <c r="AL481" s="1126"/>
      <c r="AM481" s="1126"/>
      <c r="AN481" s="1126"/>
      <c r="AO481" s="1126"/>
      <c r="AP481" s="1126"/>
      <c r="AQ481" s="1126"/>
      <c r="AR481" s="1126"/>
      <c r="AS481" s="1126"/>
      <c r="AT481" s="1126"/>
      <c r="AU481" s="413"/>
      <c r="AV481" s="1075"/>
    </row>
    <row r="482" spans="1:48" ht="15" customHeight="1" x14ac:dyDescent="0.2">
      <c r="A482" s="1076"/>
      <c r="B482" s="1045" t="str">
        <f t="shared" si="9"/>
        <v>Desk 58</v>
      </c>
      <c r="C482" s="1385" t="str">
        <f>IF('TB IMA general'!C143&lt;&gt;"",'TB IMA general'!C143,"")</f>
        <v/>
      </c>
      <c r="D482" s="1126"/>
      <c r="E482" s="1126"/>
      <c r="F482" s="1126"/>
      <c r="G482" s="1126"/>
      <c r="H482" s="1126"/>
      <c r="I482" s="1126"/>
      <c r="J482" s="1126"/>
      <c r="K482" s="1126"/>
      <c r="L482" s="1126"/>
      <c r="M482" s="1126"/>
      <c r="N482" s="1126"/>
      <c r="O482" s="1126"/>
      <c r="P482" s="1126"/>
      <c r="Q482" s="1126"/>
      <c r="R482" s="1126"/>
      <c r="S482" s="1126"/>
      <c r="T482" s="1126"/>
      <c r="U482" s="1126"/>
      <c r="V482" s="1126"/>
      <c r="W482" s="1126"/>
      <c r="X482" s="1126"/>
      <c r="Y482" s="1126"/>
      <c r="Z482" s="1126"/>
      <c r="AA482" s="1126"/>
      <c r="AB482" s="1126"/>
      <c r="AC482" s="1126"/>
      <c r="AD482" s="1126"/>
      <c r="AE482" s="1126"/>
      <c r="AF482" s="1126"/>
      <c r="AG482" s="1126"/>
      <c r="AH482" s="1126"/>
      <c r="AI482" s="1126"/>
      <c r="AJ482" s="1126"/>
      <c r="AK482" s="1126"/>
      <c r="AL482" s="1126"/>
      <c r="AM482" s="1126"/>
      <c r="AN482" s="1126"/>
      <c r="AO482" s="1126"/>
      <c r="AP482" s="1126"/>
      <c r="AQ482" s="1126"/>
      <c r="AR482" s="1126"/>
      <c r="AS482" s="1126"/>
      <c r="AT482" s="1126"/>
      <c r="AU482" s="413"/>
      <c r="AV482" s="1075"/>
    </row>
    <row r="483" spans="1:48" ht="15" customHeight="1" x14ac:dyDescent="0.2">
      <c r="A483" s="1076"/>
      <c r="B483" s="1045" t="str">
        <f t="shared" si="9"/>
        <v>Desk 59</v>
      </c>
      <c r="C483" s="1385" t="str">
        <f>IF('TB IMA general'!C144&lt;&gt;"",'TB IMA general'!C144,"")</f>
        <v/>
      </c>
      <c r="D483" s="1126"/>
      <c r="E483" s="1126"/>
      <c r="F483" s="1126"/>
      <c r="G483" s="1126"/>
      <c r="H483" s="1126"/>
      <c r="I483" s="1126"/>
      <c r="J483" s="1126"/>
      <c r="K483" s="1126"/>
      <c r="L483" s="1126"/>
      <c r="M483" s="1126"/>
      <c r="N483" s="1126"/>
      <c r="O483" s="1126"/>
      <c r="P483" s="1126"/>
      <c r="Q483" s="1126"/>
      <c r="R483" s="1126"/>
      <c r="S483" s="1126"/>
      <c r="T483" s="1126"/>
      <c r="U483" s="1126"/>
      <c r="V483" s="1126"/>
      <c r="W483" s="1126"/>
      <c r="X483" s="1126"/>
      <c r="Y483" s="1126"/>
      <c r="Z483" s="1126"/>
      <c r="AA483" s="1126"/>
      <c r="AB483" s="1126"/>
      <c r="AC483" s="1126"/>
      <c r="AD483" s="1126"/>
      <c r="AE483" s="1126"/>
      <c r="AF483" s="1126"/>
      <c r="AG483" s="1126"/>
      <c r="AH483" s="1126"/>
      <c r="AI483" s="1126"/>
      <c r="AJ483" s="1126"/>
      <c r="AK483" s="1126"/>
      <c r="AL483" s="1126"/>
      <c r="AM483" s="1126"/>
      <c r="AN483" s="1126"/>
      <c r="AO483" s="1126"/>
      <c r="AP483" s="1126"/>
      <c r="AQ483" s="1126"/>
      <c r="AR483" s="1126"/>
      <c r="AS483" s="1126"/>
      <c r="AT483" s="1126"/>
      <c r="AU483" s="413"/>
      <c r="AV483" s="1075"/>
    </row>
    <row r="484" spans="1:48" ht="15" customHeight="1" x14ac:dyDescent="0.2">
      <c r="A484" s="1076"/>
      <c r="B484" s="1045" t="str">
        <f t="shared" si="9"/>
        <v>Desk 60</v>
      </c>
      <c r="C484" s="1385" t="str">
        <f>IF('TB IMA general'!C145&lt;&gt;"",'TB IMA general'!C145,"")</f>
        <v/>
      </c>
      <c r="D484" s="1126"/>
      <c r="E484" s="1126"/>
      <c r="F484" s="1126"/>
      <c r="G484" s="1126"/>
      <c r="H484" s="1126"/>
      <c r="I484" s="1126"/>
      <c r="J484" s="1126"/>
      <c r="K484" s="1126"/>
      <c r="L484" s="1126"/>
      <c r="M484" s="1126"/>
      <c r="N484" s="1126"/>
      <c r="O484" s="1126"/>
      <c r="P484" s="1126"/>
      <c r="Q484" s="1126"/>
      <c r="R484" s="1126"/>
      <c r="S484" s="1126"/>
      <c r="T484" s="1126"/>
      <c r="U484" s="1126"/>
      <c r="V484" s="1126"/>
      <c r="W484" s="1126"/>
      <c r="X484" s="1126"/>
      <c r="Y484" s="1126"/>
      <c r="Z484" s="1126"/>
      <c r="AA484" s="1126"/>
      <c r="AB484" s="1126"/>
      <c r="AC484" s="1126"/>
      <c r="AD484" s="1126"/>
      <c r="AE484" s="1126"/>
      <c r="AF484" s="1126"/>
      <c r="AG484" s="1126"/>
      <c r="AH484" s="1126"/>
      <c r="AI484" s="1126"/>
      <c r="AJ484" s="1126"/>
      <c r="AK484" s="1126"/>
      <c r="AL484" s="1126"/>
      <c r="AM484" s="1126"/>
      <c r="AN484" s="1126"/>
      <c r="AO484" s="1126"/>
      <c r="AP484" s="1126"/>
      <c r="AQ484" s="1126"/>
      <c r="AR484" s="1126"/>
      <c r="AS484" s="1126"/>
      <c r="AT484" s="1126"/>
      <c r="AU484" s="413"/>
      <c r="AV484" s="1075"/>
    </row>
    <row r="485" spans="1:48" ht="15" customHeight="1" x14ac:dyDescent="0.2">
      <c r="A485" s="1076"/>
      <c r="B485" s="1045" t="str">
        <f t="shared" si="9"/>
        <v>Desk 61</v>
      </c>
      <c r="C485" s="1385" t="str">
        <f>IF('TB IMA general'!C146&lt;&gt;"",'TB IMA general'!C146,"")</f>
        <v/>
      </c>
      <c r="D485" s="1126"/>
      <c r="E485" s="1126"/>
      <c r="F485" s="1126"/>
      <c r="G485" s="1126"/>
      <c r="H485" s="1126"/>
      <c r="I485" s="1126"/>
      <c r="J485" s="1126"/>
      <c r="K485" s="1126"/>
      <c r="L485" s="1126"/>
      <c r="M485" s="1126"/>
      <c r="N485" s="1126"/>
      <c r="O485" s="1126"/>
      <c r="P485" s="1126"/>
      <c r="Q485" s="1126"/>
      <c r="R485" s="1126"/>
      <c r="S485" s="1126"/>
      <c r="T485" s="1126"/>
      <c r="U485" s="1126"/>
      <c r="V485" s="1126"/>
      <c r="W485" s="1126"/>
      <c r="X485" s="1126"/>
      <c r="Y485" s="1126"/>
      <c r="Z485" s="1126"/>
      <c r="AA485" s="1126"/>
      <c r="AB485" s="1126"/>
      <c r="AC485" s="1126"/>
      <c r="AD485" s="1126"/>
      <c r="AE485" s="1126"/>
      <c r="AF485" s="1126"/>
      <c r="AG485" s="1126"/>
      <c r="AH485" s="1126"/>
      <c r="AI485" s="1126"/>
      <c r="AJ485" s="1126"/>
      <c r="AK485" s="1126"/>
      <c r="AL485" s="1126"/>
      <c r="AM485" s="1126"/>
      <c r="AN485" s="1126"/>
      <c r="AO485" s="1126"/>
      <c r="AP485" s="1126"/>
      <c r="AQ485" s="1126"/>
      <c r="AR485" s="1126"/>
      <c r="AS485" s="1126"/>
      <c r="AT485" s="1126"/>
      <c r="AU485" s="413"/>
      <c r="AV485" s="1075"/>
    </row>
    <row r="486" spans="1:48" ht="15" customHeight="1" x14ac:dyDescent="0.2">
      <c r="A486" s="1076"/>
      <c r="B486" s="1045" t="str">
        <f t="shared" si="9"/>
        <v>Desk 62</v>
      </c>
      <c r="C486" s="1385" t="str">
        <f>IF('TB IMA general'!C147&lt;&gt;"",'TB IMA general'!C147,"")</f>
        <v/>
      </c>
      <c r="D486" s="1126"/>
      <c r="E486" s="1126"/>
      <c r="F486" s="1126"/>
      <c r="G486" s="1126"/>
      <c r="H486" s="1126"/>
      <c r="I486" s="1126"/>
      <c r="J486" s="1126"/>
      <c r="K486" s="1126"/>
      <c r="L486" s="1126"/>
      <c r="M486" s="1126"/>
      <c r="N486" s="1126"/>
      <c r="O486" s="1126"/>
      <c r="P486" s="1126"/>
      <c r="Q486" s="1126"/>
      <c r="R486" s="1126"/>
      <c r="S486" s="1126"/>
      <c r="T486" s="1126"/>
      <c r="U486" s="1126"/>
      <c r="V486" s="1126"/>
      <c r="W486" s="1126"/>
      <c r="X486" s="1126"/>
      <c r="Y486" s="1126"/>
      <c r="Z486" s="1126"/>
      <c r="AA486" s="1126"/>
      <c r="AB486" s="1126"/>
      <c r="AC486" s="1126"/>
      <c r="AD486" s="1126"/>
      <c r="AE486" s="1126"/>
      <c r="AF486" s="1126"/>
      <c r="AG486" s="1126"/>
      <c r="AH486" s="1126"/>
      <c r="AI486" s="1126"/>
      <c r="AJ486" s="1126"/>
      <c r="AK486" s="1126"/>
      <c r="AL486" s="1126"/>
      <c r="AM486" s="1126"/>
      <c r="AN486" s="1126"/>
      <c r="AO486" s="1126"/>
      <c r="AP486" s="1126"/>
      <c r="AQ486" s="1126"/>
      <c r="AR486" s="1126"/>
      <c r="AS486" s="1126"/>
      <c r="AT486" s="1126"/>
      <c r="AU486" s="413"/>
      <c r="AV486" s="1075"/>
    </row>
    <row r="487" spans="1:48" ht="15" customHeight="1" x14ac:dyDescent="0.2">
      <c r="A487" s="1076"/>
      <c r="B487" s="1045" t="str">
        <f t="shared" si="9"/>
        <v>Desk 63</v>
      </c>
      <c r="C487" s="1385" t="str">
        <f>IF('TB IMA general'!C148&lt;&gt;"",'TB IMA general'!C148,"")</f>
        <v/>
      </c>
      <c r="D487" s="1126"/>
      <c r="E487" s="1126"/>
      <c r="F487" s="1126"/>
      <c r="G487" s="1126"/>
      <c r="H487" s="1126"/>
      <c r="I487" s="1126"/>
      <c r="J487" s="1126"/>
      <c r="K487" s="1126"/>
      <c r="L487" s="1126"/>
      <c r="M487" s="1126"/>
      <c r="N487" s="1126"/>
      <c r="O487" s="1126"/>
      <c r="P487" s="1126"/>
      <c r="Q487" s="1126"/>
      <c r="R487" s="1126"/>
      <c r="S487" s="1126"/>
      <c r="T487" s="1126"/>
      <c r="U487" s="1126"/>
      <c r="V487" s="1126"/>
      <c r="W487" s="1126"/>
      <c r="X487" s="1126"/>
      <c r="Y487" s="1126"/>
      <c r="Z487" s="1126"/>
      <c r="AA487" s="1126"/>
      <c r="AB487" s="1126"/>
      <c r="AC487" s="1126"/>
      <c r="AD487" s="1126"/>
      <c r="AE487" s="1126"/>
      <c r="AF487" s="1126"/>
      <c r="AG487" s="1126"/>
      <c r="AH487" s="1126"/>
      <c r="AI487" s="1126"/>
      <c r="AJ487" s="1126"/>
      <c r="AK487" s="1126"/>
      <c r="AL487" s="1126"/>
      <c r="AM487" s="1126"/>
      <c r="AN487" s="1126"/>
      <c r="AO487" s="1126"/>
      <c r="AP487" s="1126"/>
      <c r="AQ487" s="1126"/>
      <c r="AR487" s="1126"/>
      <c r="AS487" s="1126"/>
      <c r="AT487" s="1126"/>
      <c r="AU487" s="413"/>
      <c r="AV487" s="1075"/>
    </row>
    <row r="488" spans="1:48" ht="15" customHeight="1" x14ac:dyDescent="0.2">
      <c r="A488" s="1076"/>
      <c r="B488" s="1045" t="str">
        <f t="shared" si="9"/>
        <v>Desk 64</v>
      </c>
      <c r="C488" s="1385" t="str">
        <f>IF('TB IMA general'!C149&lt;&gt;"",'TB IMA general'!C149,"")</f>
        <v/>
      </c>
      <c r="D488" s="1126"/>
      <c r="E488" s="1126"/>
      <c r="F488" s="1126"/>
      <c r="G488" s="1126"/>
      <c r="H488" s="1126"/>
      <c r="I488" s="1126"/>
      <c r="J488" s="1126"/>
      <c r="K488" s="1126"/>
      <c r="L488" s="1126"/>
      <c r="M488" s="1126"/>
      <c r="N488" s="1126"/>
      <c r="O488" s="1126"/>
      <c r="P488" s="1126"/>
      <c r="Q488" s="1126"/>
      <c r="R488" s="1126"/>
      <c r="S488" s="1126"/>
      <c r="T488" s="1126"/>
      <c r="U488" s="1126"/>
      <c r="V488" s="1126"/>
      <c r="W488" s="1126"/>
      <c r="X488" s="1126"/>
      <c r="Y488" s="1126"/>
      <c r="Z488" s="1126"/>
      <c r="AA488" s="1126"/>
      <c r="AB488" s="1126"/>
      <c r="AC488" s="1126"/>
      <c r="AD488" s="1126"/>
      <c r="AE488" s="1126"/>
      <c r="AF488" s="1126"/>
      <c r="AG488" s="1126"/>
      <c r="AH488" s="1126"/>
      <c r="AI488" s="1126"/>
      <c r="AJ488" s="1126"/>
      <c r="AK488" s="1126"/>
      <c r="AL488" s="1126"/>
      <c r="AM488" s="1126"/>
      <c r="AN488" s="1126"/>
      <c r="AO488" s="1126"/>
      <c r="AP488" s="1126"/>
      <c r="AQ488" s="1126"/>
      <c r="AR488" s="1126"/>
      <c r="AS488" s="1126"/>
      <c r="AT488" s="1126"/>
      <c r="AU488" s="413"/>
      <c r="AV488" s="1075"/>
    </row>
    <row r="489" spans="1:48" ht="15" customHeight="1" x14ac:dyDescent="0.2">
      <c r="A489" s="1076"/>
      <c r="B489" s="1045" t="str">
        <f t="shared" si="9"/>
        <v>Desk 65</v>
      </c>
      <c r="C489" s="1385" t="str">
        <f>IF('TB IMA general'!C150&lt;&gt;"",'TB IMA general'!C150,"")</f>
        <v/>
      </c>
      <c r="D489" s="1126"/>
      <c r="E489" s="1126"/>
      <c r="F489" s="1126"/>
      <c r="G489" s="1126"/>
      <c r="H489" s="1126"/>
      <c r="I489" s="1126"/>
      <c r="J489" s="1126"/>
      <c r="K489" s="1126"/>
      <c r="L489" s="1126"/>
      <c r="M489" s="1126"/>
      <c r="N489" s="1126"/>
      <c r="O489" s="1126"/>
      <c r="P489" s="1126"/>
      <c r="Q489" s="1126"/>
      <c r="R489" s="1126"/>
      <c r="S489" s="1126"/>
      <c r="T489" s="1126"/>
      <c r="U489" s="1126"/>
      <c r="V489" s="1126"/>
      <c r="W489" s="1126"/>
      <c r="X489" s="1126"/>
      <c r="Y489" s="1126"/>
      <c r="Z489" s="1126"/>
      <c r="AA489" s="1126"/>
      <c r="AB489" s="1126"/>
      <c r="AC489" s="1126"/>
      <c r="AD489" s="1126"/>
      <c r="AE489" s="1126"/>
      <c r="AF489" s="1126"/>
      <c r="AG489" s="1126"/>
      <c r="AH489" s="1126"/>
      <c r="AI489" s="1126"/>
      <c r="AJ489" s="1126"/>
      <c r="AK489" s="1126"/>
      <c r="AL489" s="1126"/>
      <c r="AM489" s="1126"/>
      <c r="AN489" s="1126"/>
      <c r="AO489" s="1126"/>
      <c r="AP489" s="1126"/>
      <c r="AQ489" s="1126"/>
      <c r="AR489" s="1126"/>
      <c r="AS489" s="1126"/>
      <c r="AT489" s="1126"/>
      <c r="AU489" s="413"/>
      <c r="AV489" s="1075"/>
    </row>
    <row r="490" spans="1:48" ht="15" customHeight="1" x14ac:dyDescent="0.2">
      <c r="A490" s="1076"/>
      <c r="B490" s="1045" t="str">
        <f t="shared" ref="B490:B524" si="10">"Desk " &amp; (ROW(B490)-ROW(B$424))</f>
        <v>Desk 66</v>
      </c>
      <c r="C490" s="1385" t="str">
        <f>IF('TB IMA general'!C151&lt;&gt;"",'TB IMA general'!C151,"")</f>
        <v/>
      </c>
      <c r="D490" s="1126"/>
      <c r="E490" s="1126"/>
      <c r="F490" s="1126"/>
      <c r="G490" s="1126"/>
      <c r="H490" s="1126"/>
      <c r="I490" s="1126"/>
      <c r="J490" s="1126"/>
      <c r="K490" s="1126"/>
      <c r="L490" s="1126"/>
      <c r="M490" s="1126"/>
      <c r="N490" s="1126"/>
      <c r="O490" s="1126"/>
      <c r="P490" s="1126"/>
      <c r="Q490" s="1126"/>
      <c r="R490" s="1126"/>
      <c r="S490" s="1126"/>
      <c r="T490" s="1126"/>
      <c r="U490" s="1126"/>
      <c r="V490" s="1126"/>
      <c r="W490" s="1126"/>
      <c r="X490" s="1126"/>
      <c r="Y490" s="1126"/>
      <c r="Z490" s="1126"/>
      <c r="AA490" s="1126"/>
      <c r="AB490" s="1126"/>
      <c r="AC490" s="1126"/>
      <c r="AD490" s="1126"/>
      <c r="AE490" s="1126"/>
      <c r="AF490" s="1126"/>
      <c r="AG490" s="1126"/>
      <c r="AH490" s="1126"/>
      <c r="AI490" s="1126"/>
      <c r="AJ490" s="1126"/>
      <c r="AK490" s="1126"/>
      <c r="AL490" s="1126"/>
      <c r="AM490" s="1126"/>
      <c r="AN490" s="1126"/>
      <c r="AO490" s="1126"/>
      <c r="AP490" s="1126"/>
      <c r="AQ490" s="1126"/>
      <c r="AR490" s="1126"/>
      <c r="AS490" s="1126"/>
      <c r="AT490" s="1126"/>
      <c r="AU490" s="413"/>
      <c r="AV490" s="1075"/>
    </row>
    <row r="491" spans="1:48" ht="15" customHeight="1" x14ac:dyDescent="0.2">
      <c r="A491" s="1076"/>
      <c r="B491" s="1045" t="str">
        <f t="shared" si="10"/>
        <v>Desk 67</v>
      </c>
      <c r="C491" s="1385" t="str">
        <f>IF('TB IMA general'!C152&lt;&gt;"",'TB IMA general'!C152,"")</f>
        <v/>
      </c>
      <c r="D491" s="1126"/>
      <c r="E491" s="1126"/>
      <c r="F491" s="1126"/>
      <c r="G491" s="1126"/>
      <c r="H491" s="1126"/>
      <c r="I491" s="1126"/>
      <c r="J491" s="1126"/>
      <c r="K491" s="1126"/>
      <c r="L491" s="1126"/>
      <c r="M491" s="1126"/>
      <c r="N491" s="1126"/>
      <c r="O491" s="1126"/>
      <c r="P491" s="1126"/>
      <c r="Q491" s="1126"/>
      <c r="R491" s="1126"/>
      <c r="S491" s="1126"/>
      <c r="T491" s="1126"/>
      <c r="U491" s="1126"/>
      <c r="V491" s="1126"/>
      <c r="W491" s="1126"/>
      <c r="X491" s="1126"/>
      <c r="Y491" s="1126"/>
      <c r="Z491" s="1126"/>
      <c r="AA491" s="1126"/>
      <c r="AB491" s="1126"/>
      <c r="AC491" s="1126"/>
      <c r="AD491" s="1126"/>
      <c r="AE491" s="1126"/>
      <c r="AF491" s="1126"/>
      <c r="AG491" s="1126"/>
      <c r="AH491" s="1126"/>
      <c r="AI491" s="1126"/>
      <c r="AJ491" s="1126"/>
      <c r="AK491" s="1126"/>
      <c r="AL491" s="1126"/>
      <c r="AM491" s="1126"/>
      <c r="AN491" s="1126"/>
      <c r="AO491" s="1126"/>
      <c r="AP491" s="1126"/>
      <c r="AQ491" s="1126"/>
      <c r="AR491" s="1126"/>
      <c r="AS491" s="1126"/>
      <c r="AT491" s="1126"/>
      <c r="AU491" s="413"/>
      <c r="AV491" s="1075"/>
    </row>
    <row r="492" spans="1:48" ht="15" customHeight="1" x14ac:dyDescent="0.2">
      <c r="A492" s="1076"/>
      <c r="B492" s="1045" t="str">
        <f t="shared" si="10"/>
        <v>Desk 68</v>
      </c>
      <c r="C492" s="1385" t="str">
        <f>IF('TB IMA general'!C153&lt;&gt;"",'TB IMA general'!C153,"")</f>
        <v/>
      </c>
      <c r="D492" s="1126"/>
      <c r="E492" s="1126"/>
      <c r="F492" s="1126"/>
      <c r="G492" s="1126"/>
      <c r="H492" s="1126"/>
      <c r="I492" s="1126"/>
      <c r="J492" s="1126"/>
      <c r="K492" s="1126"/>
      <c r="L492" s="1126"/>
      <c r="M492" s="1126"/>
      <c r="N492" s="1126"/>
      <c r="O492" s="1126"/>
      <c r="P492" s="1126"/>
      <c r="Q492" s="1126"/>
      <c r="R492" s="1126"/>
      <c r="S492" s="1126"/>
      <c r="T492" s="1126"/>
      <c r="U492" s="1126"/>
      <c r="V492" s="1126"/>
      <c r="W492" s="1126"/>
      <c r="X492" s="1126"/>
      <c r="Y492" s="1126"/>
      <c r="Z492" s="1126"/>
      <c r="AA492" s="1126"/>
      <c r="AB492" s="1126"/>
      <c r="AC492" s="1126"/>
      <c r="AD492" s="1126"/>
      <c r="AE492" s="1126"/>
      <c r="AF492" s="1126"/>
      <c r="AG492" s="1126"/>
      <c r="AH492" s="1126"/>
      <c r="AI492" s="1126"/>
      <c r="AJ492" s="1126"/>
      <c r="AK492" s="1126"/>
      <c r="AL492" s="1126"/>
      <c r="AM492" s="1126"/>
      <c r="AN492" s="1126"/>
      <c r="AO492" s="1126"/>
      <c r="AP492" s="1126"/>
      <c r="AQ492" s="1126"/>
      <c r="AR492" s="1126"/>
      <c r="AS492" s="1126"/>
      <c r="AT492" s="1126"/>
      <c r="AU492" s="413"/>
      <c r="AV492" s="1075"/>
    </row>
    <row r="493" spans="1:48" ht="15" customHeight="1" x14ac:dyDescent="0.2">
      <c r="A493" s="1076"/>
      <c r="B493" s="1045" t="str">
        <f t="shared" si="10"/>
        <v>Desk 69</v>
      </c>
      <c r="C493" s="1385" t="str">
        <f>IF('TB IMA general'!C154&lt;&gt;"",'TB IMA general'!C154,"")</f>
        <v/>
      </c>
      <c r="D493" s="1126"/>
      <c r="E493" s="1126"/>
      <c r="F493" s="1126"/>
      <c r="G493" s="1126"/>
      <c r="H493" s="1126"/>
      <c r="I493" s="1126"/>
      <c r="J493" s="1126"/>
      <c r="K493" s="1126"/>
      <c r="L493" s="1126"/>
      <c r="M493" s="1126"/>
      <c r="N493" s="1126"/>
      <c r="O493" s="1126"/>
      <c r="P493" s="1126"/>
      <c r="Q493" s="1126"/>
      <c r="R493" s="1126"/>
      <c r="S493" s="1126"/>
      <c r="T493" s="1126"/>
      <c r="U493" s="1126"/>
      <c r="V493" s="1126"/>
      <c r="W493" s="1126"/>
      <c r="X493" s="1126"/>
      <c r="Y493" s="1126"/>
      <c r="Z493" s="1126"/>
      <c r="AA493" s="1126"/>
      <c r="AB493" s="1126"/>
      <c r="AC493" s="1126"/>
      <c r="AD493" s="1126"/>
      <c r="AE493" s="1126"/>
      <c r="AF493" s="1126"/>
      <c r="AG493" s="1126"/>
      <c r="AH493" s="1126"/>
      <c r="AI493" s="1126"/>
      <c r="AJ493" s="1126"/>
      <c r="AK493" s="1126"/>
      <c r="AL493" s="1126"/>
      <c r="AM493" s="1126"/>
      <c r="AN493" s="1126"/>
      <c r="AO493" s="1126"/>
      <c r="AP493" s="1126"/>
      <c r="AQ493" s="1126"/>
      <c r="AR493" s="1126"/>
      <c r="AS493" s="1126"/>
      <c r="AT493" s="1126"/>
      <c r="AU493" s="413"/>
      <c r="AV493" s="1075"/>
    </row>
    <row r="494" spans="1:48" ht="15" customHeight="1" x14ac:dyDescent="0.2">
      <c r="A494" s="1076"/>
      <c r="B494" s="1045" t="str">
        <f t="shared" si="10"/>
        <v>Desk 70</v>
      </c>
      <c r="C494" s="1385" t="str">
        <f>IF('TB IMA general'!C155&lt;&gt;"",'TB IMA general'!C155,"")</f>
        <v/>
      </c>
      <c r="D494" s="1126"/>
      <c r="E494" s="1126"/>
      <c r="F494" s="1126"/>
      <c r="G494" s="1126"/>
      <c r="H494" s="1126"/>
      <c r="I494" s="1126"/>
      <c r="J494" s="1126"/>
      <c r="K494" s="1126"/>
      <c r="L494" s="1126"/>
      <c r="M494" s="1126"/>
      <c r="N494" s="1126"/>
      <c r="O494" s="1126"/>
      <c r="P494" s="1126"/>
      <c r="Q494" s="1126"/>
      <c r="R494" s="1126"/>
      <c r="S494" s="1126"/>
      <c r="T494" s="1126"/>
      <c r="U494" s="1126"/>
      <c r="V494" s="1126"/>
      <c r="W494" s="1126"/>
      <c r="X494" s="1126"/>
      <c r="Y494" s="1126"/>
      <c r="Z494" s="1126"/>
      <c r="AA494" s="1126"/>
      <c r="AB494" s="1126"/>
      <c r="AC494" s="1126"/>
      <c r="AD494" s="1126"/>
      <c r="AE494" s="1126"/>
      <c r="AF494" s="1126"/>
      <c r="AG494" s="1126"/>
      <c r="AH494" s="1126"/>
      <c r="AI494" s="1126"/>
      <c r="AJ494" s="1126"/>
      <c r="AK494" s="1126"/>
      <c r="AL494" s="1126"/>
      <c r="AM494" s="1126"/>
      <c r="AN494" s="1126"/>
      <c r="AO494" s="1126"/>
      <c r="AP494" s="1126"/>
      <c r="AQ494" s="1126"/>
      <c r="AR494" s="1126"/>
      <c r="AS494" s="1126"/>
      <c r="AT494" s="1126"/>
      <c r="AU494" s="413"/>
      <c r="AV494" s="1075"/>
    </row>
    <row r="495" spans="1:48" ht="15" customHeight="1" x14ac:dyDescent="0.2">
      <c r="A495" s="1076"/>
      <c r="B495" s="1045" t="str">
        <f t="shared" si="10"/>
        <v>Desk 71</v>
      </c>
      <c r="C495" s="1385" t="str">
        <f>IF('TB IMA general'!C156&lt;&gt;"",'TB IMA general'!C156,"")</f>
        <v/>
      </c>
      <c r="D495" s="1126"/>
      <c r="E495" s="1126"/>
      <c r="F495" s="1126"/>
      <c r="G495" s="1126"/>
      <c r="H495" s="1126"/>
      <c r="I495" s="1126"/>
      <c r="J495" s="1126"/>
      <c r="K495" s="1126"/>
      <c r="L495" s="1126"/>
      <c r="M495" s="1126"/>
      <c r="N495" s="1126"/>
      <c r="O495" s="1126"/>
      <c r="P495" s="1126"/>
      <c r="Q495" s="1126"/>
      <c r="R495" s="1126"/>
      <c r="S495" s="1126"/>
      <c r="T495" s="1126"/>
      <c r="U495" s="1126"/>
      <c r="V495" s="1126"/>
      <c r="W495" s="1126"/>
      <c r="X495" s="1126"/>
      <c r="Y495" s="1126"/>
      <c r="Z495" s="1126"/>
      <c r="AA495" s="1126"/>
      <c r="AB495" s="1126"/>
      <c r="AC495" s="1126"/>
      <c r="AD495" s="1126"/>
      <c r="AE495" s="1126"/>
      <c r="AF495" s="1126"/>
      <c r="AG495" s="1126"/>
      <c r="AH495" s="1126"/>
      <c r="AI495" s="1126"/>
      <c r="AJ495" s="1126"/>
      <c r="AK495" s="1126"/>
      <c r="AL495" s="1126"/>
      <c r="AM495" s="1126"/>
      <c r="AN495" s="1126"/>
      <c r="AO495" s="1126"/>
      <c r="AP495" s="1126"/>
      <c r="AQ495" s="1126"/>
      <c r="AR495" s="1126"/>
      <c r="AS495" s="1126"/>
      <c r="AT495" s="1126"/>
      <c r="AU495" s="413"/>
      <c r="AV495" s="1075"/>
    </row>
    <row r="496" spans="1:48" ht="15" customHeight="1" x14ac:dyDescent="0.2">
      <c r="A496" s="1076"/>
      <c r="B496" s="1045" t="str">
        <f t="shared" si="10"/>
        <v>Desk 72</v>
      </c>
      <c r="C496" s="1385" t="str">
        <f>IF('TB IMA general'!C157&lt;&gt;"",'TB IMA general'!C157,"")</f>
        <v/>
      </c>
      <c r="D496" s="1126"/>
      <c r="E496" s="1126"/>
      <c r="F496" s="1126"/>
      <c r="G496" s="1126"/>
      <c r="H496" s="1126"/>
      <c r="I496" s="1126"/>
      <c r="J496" s="1126"/>
      <c r="K496" s="1126"/>
      <c r="L496" s="1126"/>
      <c r="M496" s="1126"/>
      <c r="N496" s="1126"/>
      <c r="O496" s="1126"/>
      <c r="P496" s="1126"/>
      <c r="Q496" s="1126"/>
      <c r="R496" s="1126"/>
      <c r="S496" s="1126"/>
      <c r="T496" s="1126"/>
      <c r="U496" s="1126"/>
      <c r="V496" s="1126"/>
      <c r="W496" s="1126"/>
      <c r="X496" s="1126"/>
      <c r="Y496" s="1126"/>
      <c r="Z496" s="1126"/>
      <c r="AA496" s="1126"/>
      <c r="AB496" s="1126"/>
      <c r="AC496" s="1126"/>
      <c r="AD496" s="1126"/>
      <c r="AE496" s="1126"/>
      <c r="AF496" s="1126"/>
      <c r="AG496" s="1126"/>
      <c r="AH496" s="1126"/>
      <c r="AI496" s="1126"/>
      <c r="AJ496" s="1126"/>
      <c r="AK496" s="1126"/>
      <c r="AL496" s="1126"/>
      <c r="AM496" s="1126"/>
      <c r="AN496" s="1126"/>
      <c r="AO496" s="1126"/>
      <c r="AP496" s="1126"/>
      <c r="AQ496" s="1126"/>
      <c r="AR496" s="1126"/>
      <c r="AS496" s="1126"/>
      <c r="AT496" s="1126"/>
      <c r="AU496" s="413"/>
      <c r="AV496" s="1075"/>
    </row>
    <row r="497" spans="1:48" ht="15" customHeight="1" x14ac:dyDescent="0.2">
      <c r="A497" s="1076"/>
      <c r="B497" s="1045" t="str">
        <f t="shared" si="10"/>
        <v>Desk 73</v>
      </c>
      <c r="C497" s="1385" t="str">
        <f>IF('TB IMA general'!C158&lt;&gt;"",'TB IMA general'!C158,"")</f>
        <v/>
      </c>
      <c r="D497" s="1126"/>
      <c r="E497" s="1126"/>
      <c r="F497" s="1126"/>
      <c r="G497" s="1126"/>
      <c r="H497" s="1126"/>
      <c r="I497" s="1126"/>
      <c r="J497" s="1126"/>
      <c r="K497" s="1126"/>
      <c r="L497" s="1126"/>
      <c r="M497" s="1126"/>
      <c r="N497" s="1126"/>
      <c r="O497" s="1126"/>
      <c r="P497" s="1126"/>
      <c r="Q497" s="1126"/>
      <c r="R497" s="1126"/>
      <c r="S497" s="1126"/>
      <c r="T497" s="1126"/>
      <c r="U497" s="1126"/>
      <c r="V497" s="1126"/>
      <c r="W497" s="1126"/>
      <c r="X497" s="1126"/>
      <c r="Y497" s="1126"/>
      <c r="Z497" s="1126"/>
      <c r="AA497" s="1126"/>
      <c r="AB497" s="1126"/>
      <c r="AC497" s="1126"/>
      <c r="AD497" s="1126"/>
      <c r="AE497" s="1126"/>
      <c r="AF497" s="1126"/>
      <c r="AG497" s="1126"/>
      <c r="AH497" s="1126"/>
      <c r="AI497" s="1126"/>
      <c r="AJ497" s="1126"/>
      <c r="AK497" s="1126"/>
      <c r="AL497" s="1126"/>
      <c r="AM497" s="1126"/>
      <c r="AN497" s="1126"/>
      <c r="AO497" s="1126"/>
      <c r="AP497" s="1126"/>
      <c r="AQ497" s="1126"/>
      <c r="AR497" s="1126"/>
      <c r="AS497" s="1126"/>
      <c r="AT497" s="1126"/>
      <c r="AU497" s="413"/>
      <c r="AV497" s="1075"/>
    </row>
    <row r="498" spans="1:48" ht="15" customHeight="1" x14ac:dyDescent="0.2">
      <c r="A498" s="1076"/>
      <c r="B498" s="1045" t="str">
        <f t="shared" si="10"/>
        <v>Desk 74</v>
      </c>
      <c r="C498" s="1385" t="str">
        <f>IF('TB IMA general'!C159&lt;&gt;"",'TB IMA general'!C159,"")</f>
        <v/>
      </c>
      <c r="D498" s="1126"/>
      <c r="E498" s="1126"/>
      <c r="F498" s="1126"/>
      <c r="G498" s="1126"/>
      <c r="H498" s="1126"/>
      <c r="I498" s="1126"/>
      <c r="J498" s="1126"/>
      <c r="K498" s="1126"/>
      <c r="L498" s="1126"/>
      <c r="M498" s="1126"/>
      <c r="N498" s="1126"/>
      <c r="O498" s="1126"/>
      <c r="P498" s="1126"/>
      <c r="Q498" s="1126"/>
      <c r="R498" s="1126"/>
      <c r="S498" s="1126"/>
      <c r="T498" s="1126"/>
      <c r="U498" s="1126"/>
      <c r="V498" s="1126"/>
      <c r="W498" s="1126"/>
      <c r="X498" s="1126"/>
      <c r="Y498" s="1126"/>
      <c r="Z498" s="1126"/>
      <c r="AA498" s="1126"/>
      <c r="AB498" s="1126"/>
      <c r="AC498" s="1126"/>
      <c r="AD498" s="1126"/>
      <c r="AE498" s="1126"/>
      <c r="AF498" s="1126"/>
      <c r="AG498" s="1126"/>
      <c r="AH498" s="1126"/>
      <c r="AI498" s="1126"/>
      <c r="AJ498" s="1126"/>
      <c r="AK498" s="1126"/>
      <c r="AL498" s="1126"/>
      <c r="AM498" s="1126"/>
      <c r="AN498" s="1126"/>
      <c r="AO498" s="1126"/>
      <c r="AP498" s="1126"/>
      <c r="AQ498" s="1126"/>
      <c r="AR498" s="1126"/>
      <c r="AS498" s="1126"/>
      <c r="AT498" s="1126"/>
      <c r="AU498" s="413"/>
      <c r="AV498" s="1075"/>
    </row>
    <row r="499" spans="1:48" ht="15" customHeight="1" x14ac:dyDescent="0.2">
      <c r="A499" s="1076"/>
      <c r="B499" s="1045" t="str">
        <f t="shared" si="10"/>
        <v>Desk 75</v>
      </c>
      <c r="C499" s="1385" t="str">
        <f>IF('TB IMA general'!C160&lt;&gt;"",'TB IMA general'!C160,"")</f>
        <v/>
      </c>
      <c r="D499" s="1126"/>
      <c r="E499" s="1126"/>
      <c r="F499" s="1126"/>
      <c r="G499" s="1126"/>
      <c r="H499" s="1126"/>
      <c r="I499" s="1126"/>
      <c r="J499" s="1126"/>
      <c r="K499" s="1126"/>
      <c r="L499" s="1126"/>
      <c r="M499" s="1126"/>
      <c r="N499" s="1126"/>
      <c r="O499" s="1126"/>
      <c r="P499" s="1126"/>
      <c r="Q499" s="1126"/>
      <c r="R499" s="1126"/>
      <c r="S499" s="1126"/>
      <c r="T499" s="1126"/>
      <c r="U499" s="1126"/>
      <c r="V499" s="1126"/>
      <c r="W499" s="1126"/>
      <c r="X499" s="1126"/>
      <c r="Y499" s="1126"/>
      <c r="Z499" s="1126"/>
      <c r="AA499" s="1126"/>
      <c r="AB499" s="1126"/>
      <c r="AC499" s="1126"/>
      <c r="AD499" s="1126"/>
      <c r="AE499" s="1126"/>
      <c r="AF499" s="1126"/>
      <c r="AG499" s="1126"/>
      <c r="AH499" s="1126"/>
      <c r="AI499" s="1126"/>
      <c r="AJ499" s="1126"/>
      <c r="AK499" s="1126"/>
      <c r="AL499" s="1126"/>
      <c r="AM499" s="1126"/>
      <c r="AN499" s="1126"/>
      <c r="AO499" s="1126"/>
      <c r="AP499" s="1126"/>
      <c r="AQ499" s="1126"/>
      <c r="AR499" s="1126"/>
      <c r="AS499" s="1126"/>
      <c r="AT499" s="1126"/>
      <c r="AU499" s="413"/>
      <c r="AV499" s="1075"/>
    </row>
    <row r="500" spans="1:48" ht="15" customHeight="1" x14ac:dyDescent="0.2">
      <c r="A500" s="1076"/>
      <c r="B500" s="1045" t="str">
        <f t="shared" si="10"/>
        <v>Desk 76</v>
      </c>
      <c r="C500" s="1385" t="str">
        <f>IF('TB IMA general'!C161&lt;&gt;"",'TB IMA general'!C161,"")</f>
        <v/>
      </c>
      <c r="D500" s="1126"/>
      <c r="E500" s="1126"/>
      <c r="F500" s="1126"/>
      <c r="G500" s="1126"/>
      <c r="H500" s="1126"/>
      <c r="I500" s="1126"/>
      <c r="J500" s="1126"/>
      <c r="K500" s="1126"/>
      <c r="L500" s="1126"/>
      <c r="M500" s="1126"/>
      <c r="N500" s="1126"/>
      <c r="O500" s="1126"/>
      <c r="P500" s="1126"/>
      <c r="Q500" s="1126"/>
      <c r="R500" s="1126"/>
      <c r="S500" s="1126"/>
      <c r="T500" s="1126"/>
      <c r="U500" s="1126"/>
      <c r="V500" s="1126"/>
      <c r="W500" s="1126"/>
      <c r="X500" s="1126"/>
      <c r="Y500" s="1126"/>
      <c r="Z500" s="1126"/>
      <c r="AA500" s="1126"/>
      <c r="AB500" s="1126"/>
      <c r="AC500" s="1126"/>
      <c r="AD500" s="1126"/>
      <c r="AE500" s="1126"/>
      <c r="AF500" s="1126"/>
      <c r="AG500" s="1126"/>
      <c r="AH500" s="1126"/>
      <c r="AI500" s="1126"/>
      <c r="AJ500" s="1126"/>
      <c r="AK500" s="1126"/>
      <c r="AL500" s="1126"/>
      <c r="AM500" s="1126"/>
      <c r="AN500" s="1126"/>
      <c r="AO500" s="1126"/>
      <c r="AP500" s="1126"/>
      <c r="AQ500" s="1126"/>
      <c r="AR500" s="1126"/>
      <c r="AS500" s="1126"/>
      <c r="AT500" s="1126"/>
      <c r="AU500" s="413"/>
      <c r="AV500" s="1075"/>
    </row>
    <row r="501" spans="1:48" ht="15" customHeight="1" x14ac:dyDescent="0.2">
      <c r="A501" s="1076"/>
      <c r="B501" s="1045" t="str">
        <f t="shared" si="10"/>
        <v>Desk 77</v>
      </c>
      <c r="C501" s="1385" t="str">
        <f>IF('TB IMA general'!C162&lt;&gt;"",'TB IMA general'!C162,"")</f>
        <v/>
      </c>
      <c r="D501" s="1126"/>
      <c r="E501" s="1126"/>
      <c r="F501" s="1126"/>
      <c r="G501" s="1126"/>
      <c r="H501" s="1126"/>
      <c r="I501" s="1126"/>
      <c r="J501" s="1126"/>
      <c r="K501" s="1126"/>
      <c r="L501" s="1126"/>
      <c r="M501" s="1126"/>
      <c r="N501" s="1126"/>
      <c r="O501" s="1126"/>
      <c r="P501" s="1126"/>
      <c r="Q501" s="1126"/>
      <c r="R501" s="1126"/>
      <c r="S501" s="1126"/>
      <c r="T501" s="1126"/>
      <c r="U501" s="1126"/>
      <c r="V501" s="1126"/>
      <c r="W501" s="1126"/>
      <c r="X501" s="1126"/>
      <c r="Y501" s="1126"/>
      <c r="Z501" s="1126"/>
      <c r="AA501" s="1126"/>
      <c r="AB501" s="1126"/>
      <c r="AC501" s="1126"/>
      <c r="AD501" s="1126"/>
      <c r="AE501" s="1126"/>
      <c r="AF501" s="1126"/>
      <c r="AG501" s="1126"/>
      <c r="AH501" s="1126"/>
      <c r="AI501" s="1126"/>
      <c r="AJ501" s="1126"/>
      <c r="AK501" s="1126"/>
      <c r="AL501" s="1126"/>
      <c r="AM501" s="1126"/>
      <c r="AN501" s="1126"/>
      <c r="AO501" s="1126"/>
      <c r="AP501" s="1126"/>
      <c r="AQ501" s="1126"/>
      <c r="AR501" s="1126"/>
      <c r="AS501" s="1126"/>
      <c r="AT501" s="1126"/>
      <c r="AU501" s="413"/>
      <c r="AV501" s="1075"/>
    </row>
    <row r="502" spans="1:48" ht="15" customHeight="1" x14ac:dyDescent="0.2">
      <c r="A502" s="1076"/>
      <c r="B502" s="1045" t="str">
        <f t="shared" si="10"/>
        <v>Desk 78</v>
      </c>
      <c r="C502" s="1385" t="str">
        <f>IF('TB IMA general'!C163&lt;&gt;"",'TB IMA general'!C163,"")</f>
        <v/>
      </c>
      <c r="D502" s="1126"/>
      <c r="E502" s="1126"/>
      <c r="F502" s="1126"/>
      <c r="G502" s="1126"/>
      <c r="H502" s="1126"/>
      <c r="I502" s="1126"/>
      <c r="J502" s="1126"/>
      <c r="K502" s="1126"/>
      <c r="L502" s="1126"/>
      <c r="M502" s="1126"/>
      <c r="N502" s="1126"/>
      <c r="O502" s="1126"/>
      <c r="P502" s="1126"/>
      <c r="Q502" s="1126"/>
      <c r="R502" s="1126"/>
      <c r="S502" s="1126"/>
      <c r="T502" s="1126"/>
      <c r="U502" s="1126"/>
      <c r="V502" s="1126"/>
      <c r="W502" s="1126"/>
      <c r="X502" s="1126"/>
      <c r="Y502" s="1126"/>
      <c r="Z502" s="1126"/>
      <c r="AA502" s="1126"/>
      <c r="AB502" s="1126"/>
      <c r="AC502" s="1126"/>
      <c r="AD502" s="1126"/>
      <c r="AE502" s="1126"/>
      <c r="AF502" s="1126"/>
      <c r="AG502" s="1126"/>
      <c r="AH502" s="1126"/>
      <c r="AI502" s="1126"/>
      <c r="AJ502" s="1126"/>
      <c r="AK502" s="1126"/>
      <c r="AL502" s="1126"/>
      <c r="AM502" s="1126"/>
      <c r="AN502" s="1126"/>
      <c r="AO502" s="1126"/>
      <c r="AP502" s="1126"/>
      <c r="AQ502" s="1126"/>
      <c r="AR502" s="1126"/>
      <c r="AS502" s="1126"/>
      <c r="AT502" s="1126"/>
      <c r="AU502" s="413"/>
      <c r="AV502" s="1075"/>
    </row>
    <row r="503" spans="1:48" ht="15" customHeight="1" x14ac:dyDescent="0.2">
      <c r="A503" s="1076"/>
      <c r="B503" s="1045" t="str">
        <f t="shared" si="10"/>
        <v>Desk 79</v>
      </c>
      <c r="C503" s="1385" t="str">
        <f>IF('TB IMA general'!C164&lt;&gt;"",'TB IMA general'!C164,"")</f>
        <v/>
      </c>
      <c r="D503" s="1126"/>
      <c r="E503" s="1126"/>
      <c r="F503" s="1126"/>
      <c r="G503" s="1126"/>
      <c r="H503" s="1126"/>
      <c r="I503" s="1126"/>
      <c r="J503" s="1126"/>
      <c r="K503" s="1126"/>
      <c r="L503" s="1126"/>
      <c r="M503" s="1126"/>
      <c r="N503" s="1126"/>
      <c r="O503" s="1126"/>
      <c r="P503" s="1126"/>
      <c r="Q503" s="1126"/>
      <c r="R503" s="1126"/>
      <c r="S503" s="1126"/>
      <c r="T503" s="1126"/>
      <c r="U503" s="1126"/>
      <c r="V503" s="1126"/>
      <c r="W503" s="1126"/>
      <c r="X503" s="1126"/>
      <c r="Y503" s="1126"/>
      <c r="Z503" s="1126"/>
      <c r="AA503" s="1126"/>
      <c r="AB503" s="1126"/>
      <c r="AC503" s="1126"/>
      <c r="AD503" s="1126"/>
      <c r="AE503" s="1126"/>
      <c r="AF503" s="1126"/>
      <c r="AG503" s="1126"/>
      <c r="AH503" s="1126"/>
      <c r="AI503" s="1126"/>
      <c r="AJ503" s="1126"/>
      <c r="AK503" s="1126"/>
      <c r="AL503" s="1126"/>
      <c r="AM503" s="1126"/>
      <c r="AN503" s="1126"/>
      <c r="AO503" s="1126"/>
      <c r="AP503" s="1126"/>
      <c r="AQ503" s="1126"/>
      <c r="AR503" s="1126"/>
      <c r="AS503" s="1126"/>
      <c r="AT503" s="1126"/>
      <c r="AU503" s="413"/>
      <c r="AV503" s="1075"/>
    </row>
    <row r="504" spans="1:48" ht="15" customHeight="1" x14ac:dyDescent="0.2">
      <c r="A504" s="1076"/>
      <c r="B504" s="1045" t="str">
        <f t="shared" si="10"/>
        <v>Desk 80</v>
      </c>
      <c r="C504" s="1385" t="str">
        <f>IF('TB IMA general'!C165&lt;&gt;"",'TB IMA general'!C165,"")</f>
        <v/>
      </c>
      <c r="D504" s="1126"/>
      <c r="E504" s="1126"/>
      <c r="F504" s="1126"/>
      <c r="G504" s="1126"/>
      <c r="H504" s="1126"/>
      <c r="I504" s="1126"/>
      <c r="J504" s="1126"/>
      <c r="K504" s="1126"/>
      <c r="L504" s="1126"/>
      <c r="M504" s="1126"/>
      <c r="N504" s="1126"/>
      <c r="O504" s="1126"/>
      <c r="P504" s="1126"/>
      <c r="Q504" s="1126"/>
      <c r="R504" s="1126"/>
      <c r="S504" s="1126"/>
      <c r="T504" s="1126"/>
      <c r="U504" s="1126"/>
      <c r="V504" s="1126"/>
      <c r="W504" s="1126"/>
      <c r="X504" s="1126"/>
      <c r="Y504" s="1126"/>
      <c r="Z504" s="1126"/>
      <c r="AA504" s="1126"/>
      <c r="AB504" s="1126"/>
      <c r="AC504" s="1126"/>
      <c r="AD504" s="1126"/>
      <c r="AE504" s="1126"/>
      <c r="AF504" s="1126"/>
      <c r="AG504" s="1126"/>
      <c r="AH504" s="1126"/>
      <c r="AI504" s="1126"/>
      <c r="AJ504" s="1126"/>
      <c r="AK504" s="1126"/>
      <c r="AL504" s="1126"/>
      <c r="AM504" s="1126"/>
      <c r="AN504" s="1126"/>
      <c r="AO504" s="1126"/>
      <c r="AP504" s="1126"/>
      <c r="AQ504" s="1126"/>
      <c r="AR504" s="1126"/>
      <c r="AS504" s="1126"/>
      <c r="AT504" s="1126"/>
      <c r="AU504" s="413"/>
      <c r="AV504" s="1075"/>
    </row>
    <row r="505" spans="1:48" ht="15" customHeight="1" x14ac:dyDescent="0.2">
      <c r="A505" s="1076"/>
      <c r="B505" s="1045" t="str">
        <f t="shared" si="10"/>
        <v>Desk 81</v>
      </c>
      <c r="C505" s="1385" t="str">
        <f>IF('TB IMA general'!C166&lt;&gt;"",'TB IMA general'!C166,"")</f>
        <v/>
      </c>
      <c r="D505" s="1126"/>
      <c r="E505" s="1126"/>
      <c r="F505" s="1126"/>
      <c r="G505" s="1126"/>
      <c r="H505" s="1126"/>
      <c r="I505" s="1126"/>
      <c r="J505" s="1126"/>
      <c r="K505" s="1126"/>
      <c r="L505" s="1126"/>
      <c r="M505" s="1126"/>
      <c r="N505" s="1126"/>
      <c r="O505" s="1126"/>
      <c r="P505" s="1126"/>
      <c r="Q505" s="1126"/>
      <c r="R505" s="1126"/>
      <c r="S505" s="1126"/>
      <c r="T505" s="1126"/>
      <c r="U505" s="1126"/>
      <c r="V505" s="1126"/>
      <c r="W505" s="1126"/>
      <c r="X505" s="1126"/>
      <c r="Y505" s="1126"/>
      <c r="Z505" s="1126"/>
      <c r="AA505" s="1126"/>
      <c r="AB505" s="1126"/>
      <c r="AC505" s="1126"/>
      <c r="AD505" s="1126"/>
      <c r="AE505" s="1126"/>
      <c r="AF505" s="1126"/>
      <c r="AG505" s="1126"/>
      <c r="AH505" s="1126"/>
      <c r="AI505" s="1126"/>
      <c r="AJ505" s="1126"/>
      <c r="AK505" s="1126"/>
      <c r="AL505" s="1126"/>
      <c r="AM505" s="1126"/>
      <c r="AN505" s="1126"/>
      <c r="AO505" s="1126"/>
      <c r="AP505" s="1126"/>
      <c r="AQ505" s="1126"/>
      <c r="AR505" s="1126"/>
      <c r="AS505" s="1126"/>
      <c r="AT505" s="1126"/>
      <c r="AU505" s="413"/>
      <c r="AV505" s="1075"/>
    </row>
    <row r="506" spans="1:48" ht="15" customHeight="1" x14ac:dyDescent="0.2">
      <c r="A506" s="1076"/>
      <c r="B506" s="1045" t="str">
        <f t="shared" si="10"/>
        <v>Desk 82</v>
      </c>
      <c r="C506" s="1385" t="str">
        <f>IF('TB IMA general'!C167&lt;&gt;"",'TB IMA general'!C167,"")</f>
        <v/>
      </c>
      <c r="D506" s="1126"/>
      <c r="E506" s="1126"/>
      <c r="F506" s="1126"/>
      <c r="G506" s="1126"/>
      <c r="H506" s="1126"/>
      <c r="I506" s="1126"/>
      <c r="J506" s="1126"/>
      <c r="K506" s="1126"/>
      <c r="L506" s="1126"/>
      <c r="M506" s="1126"/>
      <c r="N506" s="1126"/>
      <c r="O506" s="1126"/>
      <c r="P506" s="1126"/>
      <c r="Q506" s="1126"/>
      <c r="R506" s="1126"/>
      <c r="S506" s="1126"/>
      <c r="T506" s="1126"/>
      <c r="U506" s="1126"/>
      <c r="V506" s="1126"/>
      <c r="W506" s="1126"/>
      <c r="X506" s="1126"/>
      <c r="Y506" s="1126"/>
      <c r="Z506" s="1126"/>
      <c r="AA506" s="1126"/>
      <c r="AB506" s="1126"/>
      <c r="AC506" s="1126"/>
      <c r="AD506" s="1126"/>
      <c r="AE506" s="1126"/>
      <c r="AF506" s="1126"/>
      <c r="AG506" s="1126"/>
      <c r="AH506" s="1126"/>
      <c r="AI506" s="1126"/>
      <c r="AJ506" s="1126"/>
      <c r="AK506" s="1126"/>
      <c r="AL506" s="1126"/>
      <c r="AM506" s="1126"/>
      <c r="AN506" s="1126"/>
      <c r="AO506" s="1126"/>
      <c r="AP506" s="1126"/>
      <c r="AQ506" s="1126"/>
      <c r="AR506" s="1126"/>
      <c r="AS506" s="1126"/>
      <c r="AT506" s="1126"/>
      <c r="AU506" s="413"/>
      <c r="AV506" s="1075"/>
    </row>
    <row r="507" spans="1:48" ht="15" customHeight="1" x14ac:dyDescent="0.2">
      <c r="A507" s="1076"/>
      <c r="B507" s="1045" t="str">
        <f t="shared" si="10"/>
        <v>Desk 83</v>
      </c>
      <c r="C507" s="1385" t="str">
        <f>IF('TB IMA general'!C168&lt;&gt;"",'TB IMA general'!C168,"")</f>
        <v/>
      </c>
      <c r="D507" s="1126"/>
      <c r="E507" s="1126"/>
      <c r="F507" s="1126"/>
      <c r="G507" s="1126"/>
      <c r="H507" s="1126"/>
      <c r="I507" s="1126"/>
      <c r="J507" s="1126"/>
      <c r="K507" s="1126"/>
      <c r="L507" s="1126"/>
      <c r="M507" s="1126"/>
      <c r="N507" s="1126"/>
      <c r="O507" s="1126"/>
      <c r="P507" s="1126"/>
      <c r="Q507" s="1126"/>
      <c r="R507" s="1126"/>
      <c r="S507" s="1126"/>
      <c r="T507" s="1126"/>
      <c r="U507" s="1126"/>
      <c r="V507" s="1126"/>
      <c r="W507" s="1126"/>
      <c r="X507" s="1126"/>
      <c r="Y507" s="1126"/>
      <c r="Z507" s="1126"/>
      <c r="AA507" s="1126"/>
      <c r="AB507" s="1126"/>
      <c r="AC507" s="1126"/>
      <c r="AD507" s="1126"/>
      <c r="AE507" s="1126"/>
      <c r="AF507" s="1126"/>
      <c r="AG507" s="1126"/>
      <c r="AH507" s="1126"/>
      <c r="AI507" s="1126"/>
      <c r="AJ507" s="1126"/>
      <c r="AK507" s="1126"/>
      <c r="AL507" s="1126"/>
      <c r="AM507" s="1126"/>
      <c r="AN507" s="1126"/>
      <c r="AO507" s="1126"/>
      <c r="AP507" s="1126"/>
      <c r="AQ507" s="1126"/>
      <c r="AR507" s="1126"/>
      <c r="AS507" s="1126"/>
      <c r="AT507" s="1126"/>
      <c r="AU507" s="413"/>
      <c r="AV507" s="1075"/>
    </row>
    <row r="508" spans="1:48" ht="15" customHeight="1" x14ac:dyDescent="0.2">
      <c r="A508" s="1076"/>
      <c r="B508" s="1045" t="str">
        <f t="shared" si="10"/>
        <v>Desk 84</v>
      </c>
      <c r="C508" s="1385" t="str">
        <f>IF('TB IMA general'!C169&lt;&gt;"",'TB IMA general'!C169,"")</f>
        <v/>
      </c>
      <c r="D508" s="1126"/>
      <c r="E508" s="1126"/>
      <c r="F508" s="1126"/>
      <c r="G508" s="1126"/>
      <c r="H508" s="1126"/>
      <c r="I508" s="1126"/>
      <c r="J508" s="1126"/>
      <c r="K508" s="1126"/>
      <c r="L508" s="1126"/>
      <c r="M508" s="1126"/>
      <c r="N508" s="1126"/>
      <c r="O508" s="1126"/>
      <c r="P508" s="1126"/>
      <c r="Q508" s="1126"/>
      <c r="R508" s="1126"/>
      <c r="S508" s="1126"/>
      <c r="T508" s="1126"/>
      <c r="U508" s="1126"/>
      <c r="V508" s="1126"/>
      <c r="W508" s="1126"/>
      <c r="X508" s="1126"/>
      <c r="Y508" s="1126"/>
      <c r="Z508" s="1126"/>
      <c r="AA508" s="1126"/>
      <c r="AB508" s="1126"/>
      <c r="AC508" s="1126"/>
      <c r="AD508" s="1126"/>
      <c r="AE508" s="1126"/>
      <c r="AF508" s="1126"/>
      <c r="AG508" s="1126"/>
      <c r="AH508" s="1126"/>
      <c r="AI508" s="1126"/>
      <c r="AJ508" s="1126"/>
      <c r="AK508" s="1126"/>
      <c r="AL508" s="1126"/>
      <c r="AM508" s="1126"/>
      <c r="AN508" s="1126"/>
      <c r="AO508" s="1126"/>
      <c r="AP508" s="1126"/>
      <c r="AQ508" s="1126"/>
      <c r="AR508" s="1126"/>
      <c r="AS508" s="1126"/>
      <c r="AT508" s="1126"/>
      <c r="AU508" s="413"/>
      <c r="AV508" s="1075"/>
    </row>
    <row r="509" spans="1:48" ht="15" customHeight="1" x14ac:dyDescent="0.2">
      <c r="A509" s="1076"/>
      <c r="B509" s="1045" t="str">
        <f t="shared" si="10"/>
        <v>Desk 85</v>
      </c>
      <c r="C509" s="1385" t="str">
        <f>IF('TB IMA general'!C170&lt;&gt;"",'TB IMA general'!C170,"")</f>
        <v/>
      </c>
      <c r="D509" s="1126"/>
      <c r="E509" s="1126"/>
      <c r="F509" s="1126"/>
      <c r="G509" s="1126"/>
      <c r="H509" s="1126"/>
      <c r="I509" s="1126"/>
      <c r="J509" s="1126"/>
      <c r="K509" s="1126"/>
      <c r="L509" s="1126"/>
      <c r="M509" s="1126"/>
      <c r="N509" s="1126"/>
      <c r="O509" s="1126"/>
      <c r="P509" s="1126"/>
      <c r="Q509" s="1126"/>
      <c r="R509" s="1126"/>
      <c r="S509" s="1126"/>
      <c r="T509" s="1126"/>
      <c r="U509" s="1126"/>
      <c r="V509" s="1126"/>
      <c r="W509" s="1126"/>
      <c r="X509" s="1126"/>
      <c r="Y509" s="1126"/>
      <c r="Z509" s="1126"/>
      <c r="AA509" s="1126"/>
      <c r="AB509" s="1126"/>
      <c r="AC509" s="1126"/>
      <c r="AD509" s="1126"/>
      <c r="AE509" s="1126"/>
      <c r="AF509" s="1126"/>
      <c r="AG509" s="1126"/>
      <c r="AH509" s="1126"/>
      <c r="AI509" s="1126"/>
      <c r="AJ509" s="1126"/>
      <c r="AK509" s="1126"/>
      <c r="AL509" s="1126"/>
      <c r="AM509" s="1126"/>
      <c r="AN509" s="1126"/>
      <c r="AO509" s="1126"/>
      <c r="AP509" s="1126"/>
      <c r="AQ509" s="1126"/>
      <c r="AR509" s="1126"/>
      <c r="AS509" s="1126"/>
      <c r="AT509" s="1126"/>
      <c r="AU509" s="413"/>
      <c r="AV509" s="1075"/>
    </row>
    <row r="510" spans="1:48" ht="15" customHeight="1" x14ac:dyDescent="0.2">
      <c r="A510" s="1076"/>
      <c r="B510" s="1045" t="str">
        <f t="shared" si="10"/>
        <v>Desk 86</v>
      </c>
      <c r="C510" s="1385" t="str">
        <f>IF('TB IMA general'!C171&lt;&gt;"",'TB IMA general'!C171,"")</f>
        <v/>
      </c>
      <c r="D510" s="1126"/>
      <c r="E510" s="1126"/>
      <c r="F510" s="1126"/>
      <c r="G510" s="1126"/>
      <c r="H510" s="1126"/>
      <c r="I510" s="1126"/>
      <c r="J510" s="1126"/>
      <c r="K510" s="1126"/>
      <c r="L510" s="1126"/>
      <c r="M510" s="1126"/>
      <c r="N510" s="1126"/>
      <c r="O510" s="1126"/>
      <c r="P510" s="1126"/>
      <c r="Q510" s="1126"/>
      <c r="R510" s="1126"/>
      <c r="S510" s="1126"/>
      <c r="T510" s="1126"/>
      <c r="U510" s="1126"/>
      <c r="V510" s="1126"/>
      <c r="W510" s="1126"/>
      <c r="X510" s="1126"/>
      <c r="Y510" s="1126"/>
      <c r="Z510" s="1126"/>
      <c r="AA510" s="1126"/>
      <c r="AB510" s="1126"/>
      <c r="AC510" s="1126"/>
      <c r="AD510" s="1126"/>
      <c r="AE510" s="1126"/>
      <c r="AF510" s="1126"/>
      <c r="AG510" s="1126"/>
      <c r="AH510" s="1126"/>
      <c r="AI510" s="1126"/>
      <c r="AJ510" s="1126"/>
      <c r="AK510" s="1126"/>
      <c r="AL510" s="1126"/>
      <c r="AM510" s="1126"/>
      <c r="AN510" s="1126"/>
      <c r="AO510" s="1126"/>
      <c r="AP510" s="1126"/>
      <c r="AQ510" s="1126"/>
      <c r="AR510" s="1126"/>
      <c r="AS510" s="1126"/>
      <c r="AT510" s="1126"/>
      <c r="AU510" s="413"/>
      <c r="AV510" s="1075"/>
    </row>
    <row r="511" spans="1:48" ht="15" customHeight="1" x14ac:dyDescent="0.2">
      <c r="A511" s="1076"/>
      <c r="B511" s="1045" t="str">
        <f t="shared" si="10"/>
        <v>Desk 87</v>
      </c>
      <c r="C511" s="1385" t="str">
        <f>IF('TB IMA general'!C172&lt;&gt;"",'TB IMA general'!C172,"")</f>
        <v/>
      </c>
      <c r="D511" s="1126"/>
      <c r="E511" s="1126"/>
      <c r="F511" s="1126"/>
      <c r="G511" s="1126"/>
      <c r="H511" s="1126"/>
      <c r="I511" s="1126"/>
      <c r="J511" s="1126"/>
      <c r="K511" s="1126"/>
      <c r="L511" s="1126"/>
      <c r="M511" s="1126"/>
      <c r="N511" s="1126"/>
      <c r="O511" s="1126"/>
      <c r="P511" s="1126"/>
      <c r="Q511" s="1126"/>
      <c r="R511" s="1126"/>
      <c r="S511" s="1126"/>
      <c r="T511" s="1126"/>
      <c r="U511" s="1126"/>
      <c r="V511" s="1126"/>
      <c r="W511" s="1126"/>
      <c r="X511" s="1126"/>
      <c r="Y511" s="1126"/>
      <c r="Z511" s="1126"/>
      <c r="AA511" s="1126"/>
      <c r="AB511" s="1126"/>
      <c r="AC511" s="1126"/>
      <c r="AD511" s="1126"/>
      <c r="AE511" s="1126"/>
      <c r="AF511" s="1126"/>
      <c r="AG511" s="1126"/>
      <c r="AH511" s="1126"/>
      <c r="AI511" s="1126"/>
      <c r="AJ511" s="1126"/>
      <c r="AK511" s="1126"/>
      <c r="AL511" s="1126"/>
      <c r="AM511" s="1126"/>
      <c r="AN511" s="1126"/>
      <c r="AO511" s="1126"/>
      <c r="AP511" s="1126"/>
      <c r="AQ511" s="1126"/>
      <c r="AR511" s="1126"/>
      <c r="AS511" s="1126"/>
      <c r="AT511" s="1126"/>
      <c r="AU511" s="413"/>
      <c r="AV511" s="1075"/>
    </row>
    <row r="512" spans="1:48" ht="15" customHeight="1" x14ac:dyDescent="0.2">
      <c r="A512" s="1076"/>
      <c r="B512" s="1045" t="str">
        <f t="shared" si="10"/>
        <v>Desk 88</v>
      </c>
      <c r="C512" s="1385" t="str">
        <f>IF('TB IMA general'!C173&lt;&gt;"",'TB IMA general'!C173,"")</f>
        <v/>
      </c>
      <c r="D512" s="1126"/>
      <c r="E512" s="1126"/>
      <c r="F512" s="1126"/>
      <c r="G512" s="1126"/>
      <c r="H512" s="1126"/>
      <c r="I512" s="1126"/>
      <c r="J512" s="1126"/>
      <c r="K512" s="1126"/>
      <c r="L512" s="1126"/>
      <c r="M512" s="1126"/>
      <c r="N512" s="1126"/>
      <c r="O512" s="1126"/>
      <c r="P512" s="1126"/>
      <c r="Q512" s="1126"/>
      <c r="R512" s="1126"/>
      <c r="S512" s="1126"/>
      <c r="T512" s="1126"/>
      <c r="U512" s="1126"/>
      <c r="V512" s="1126"/>
      <c r="W512" s="1126"/>
      <c r="X512" s="1126"/>
      <c r="Y512" s="1126"/>
      <c r="Z512" s="1126"/>
      <c r="AA512" s="1126"/>
      <c r="AB512" s="1126"/>
      <c r="AC512" s="1126"/>
      <c r="AD512" s="1126"/>
      <c r="AE512" s="1126"/>
      <c r="AF512" s="1126"/>
      <c r="AG512" s="1126"/>
      <c r="AH512" s="1126"/>
      <c r="AI512" s="1126"/>
      <c r="AJ512" s="1126"/>
      <c r="AK512" s="1126"/>
      <c r="AL512" s="1126"/>
      <c r="AM512" s="1126"/>
      <c r="AN512" s="1126"/>
      <c r="AO512" s="1126"/>
      <c r="AP512" s="1126"/>
      <c r="AQ512" s="1126"/>
      <c r="AR512" s="1126"/>
      <c r="AS512" s="1126"/>
      <c r="AT512" s="1126"/>
      <c r="AU512" s="413"/>
      <c r="AV512" s="1075"/>
    </row>
    <row r="513" spans="1:48" ht="15" customHeight="1" x14ac:dyDescent="0.2">
      <c r="A513" s="1076"/>
      <c r="B513" s="1045" t="str">
        <f t="shared" si="10"/>
        <v>Desk 89</v>
      </c>
      <c r="C513" s="1385" t="str">
        <f>IF('TB IMA general'!C174&lt;&gt;"",'TB IMA general'!C174,"")</f>
        <v/>
      </c>
      <c r="D513" s="1126"/>
      <c r="E513" s="1126"/>
      <c r="F513" s="1126"/>
      <c r="G513" s="1126"/>
      <c r="H513" s="1126"/>
      <c r="I513" s="1126"/>
      <c r="J513" s="1126"/>
      <c r="K513" s="1126"/>
      <c r="L513" s="1126"/>
      <c r="M513" s="1126"/>
      <c r="N513" s="1126"/>
      <c r="O513" s="1126"/>
      <c r="P513" s="1126"/>
      <c r="Q513" s="1126"/>
      <c r="R513" s="1126"/>
      <c r="S513" s="1126"/>
      <c r="T513" s="1126"/>
      <c r="U513" s="1126"/>
      <c r="V513" s="1126"/>
      <c r="W513" s="1126"/>
      <c r="X513" s="1126"/>
      <c r="Y513" s="1126"/>
      <c r="Z513" s="1126"/>
      <c r="AA513" s="1126"/>
      <c r="AB513" s="1126"/>
      <c r="AC513" s="1126"/>
      <c r="AD513" s="1126"/>
      <c r="AE513" s="1126"/>
      <c r="AF513" s="1126"/>
      <c r="AG513" s="1126"/>
      <c r="AH513" s="1126"/>
      <c r="AI513" s="1126"/>
      <c r="AJ513" s="1126"/>
      <c r="AK513" s="1126"/>
      <c r="AL513" s="1126"/>
      <c r="AM513" s="1126"/>
      <c r="AN513" s="1126"/>
      <c r="AO513" s="1126"/>
      <c r="AP513" s="1126"/>
      <c r="AQ513" s="1126"/>
      <c r="AR513" s="1126"/>
      <c r="AS513" s="1126"/>
      <c r="AT513" s="1126"/>
      <c r="AU513" s="413"/>
      <c r="AV513" s="1075"/>
    </row>
    <row r="514" spans="1:48" ht="15" customHeight="1" x14ac:dyDescent="0.2">
      <c r="A514" s="1076"/>
      <c r="B514" s="1045" t="str">
        <f t="shared" si="10"/>
        <v>Desk 90</v>
      </c>
      <c r="C514" s="1385" t="str">
        <f>IF('TB IMA general'!C175&lt;&gt;"",'TB IMA general'!C175,"")</f>
        <v/>
      </c>
      <c r="D514" s="1126"/>
      <c r="E514" s="1126"/>
      <c r="F514" s="1126"/>
      <c r="G514" s="1126"/>
      <c r="H514" s="1126"/>
      <c r="I514" s="1126"/>
      <c r="J514" s="1126"/>
      <c r="K514" s="1126"/>
      <c r="L514" s="1126"/>
      <c r="M514" s="1126"/>
      <c r="N514" s="1126"/>
      <c r="O514" s="1126"/>
      <c r="P514" s="1126"/>
      <c r="Q514" s="1126"/>
      <c r="R514" s="1126"/>
      <c r="S514" s="1126"/>
      <c r="T514" s="1126"/>
      <c r="U514" s="1126"/>
      <c r="V514" s="1126"/>
      <c r="W514" s="1126"/>
      <c r="X514" s="1126"/>
      <c r="Y514" s="1126"/>
      <c r="Z514" s="1126"/>
      <c r="AA514" s="1126"/>
      <c r="AB514" s="1126"/>
      <c r="AC514" s="1126"/>
      <c r="AD514" s="1126"/>
      <c r="AE514" s="1126"/>
      <c r="AF514" s="1126"/>
      <c r="AG514" s="1126"/>
      <c r="AH514" s="1126"/>
      <c r="AI514" s="1126"/>
      <c r="AJ514" s="1126"/>
      <c r="AK514" s="1126"/>
      <c r="AL514" s="1126"/>
      <c r="AM514" s="1126"/>
      <c r="AN514" s="1126"/>
      <c r="AO514" s="1126"/>
      <c r="AP514" s="1126"/>
      <c r="AQ514" s="1126"/>
      <c r="AR514" s="1126"/>
      <c r="AS514" s="1126"/>
      <c r="AT514" s="1126"/>
      <c r="AU514" s="413"/>
      <c r="AV514" s="1075"/>
    </row>
    <row r="515" spans="1:48" ht="15" customHeight="1" x14ac:dyDescent="0.2">
      <c r="A515" s="1076"/>
      <c r="B515" s="1045" t="str">
        <f t="shared" si="10"/>
        <v>Desk 91</v>
      </c>
      <c r="C515" s="1385" t="str">
        <f>IF('TB IMA general'!C176&lt;&gt;"",'TB IMA general'!C176,"")</f>
        <v/>
      </c>
      <c r="D515" s="1126"/>
      <c r="E515" s="1126"/>
      <c r="F515" s="1126"/>
      <c r="G515" s="1126"/>
      <c r="H515" s="1126"/>
      <c r="I515" s="1126"/>
      <c r="J515" s="1126"/>
      <c r="K515" s="1126"/>
      <c r="L515" s="1126"/>
      <c r="M515" s="1126"/>
      <c r="N515" s="1126"/>
      <c r="O515" s="1126"/>
      <c r="P515" s="1126"/>
      <c r="Q515" s="1126"/>
      <c r="R515" s="1126"/>
      <c r="S515" s="1126"/>
      <c r="T515" s="1126"/>
      <c r="U515" s="1126"/>
      <c r="V515" s="1126"/>
      <c r="W515" s="1126"/>
      <c r="X515" s="1126"/>
      <c r="Y515" s="1126"/>
      <c r="Z515" s="1126"/>
      <c r="AA515" s="1126"/>
      <c r="AB515" s="1126"/>
      <c r="AC515" s="1126"/>
      <c r="AD515" s="1126"/>
      <c r="AE515" s="1126"/>
      <c r="AF515" s="1126"/>
      <c r="AG515" s="1126"/>
      <c r="AH515" s="1126"/>
      <c r="AI515" s="1126"/>
      <c r="AJ515" s="1126"/>
      <c r="AK515" s="1126"/>
      <c r="AL515" s="1126"/>
      <c r="AM515" s="1126"/>
      <c r="AN515" s="1126"/>
      <c r="AO515" s="1126"/>
      <c r="AP515" s="1126"/>
      <c r="AQ515" s="1126"/>
      <c r="AR515" s="1126"/>
      <c r="AS515" s="1126"/>
      <c r="AT515" s="1126"/>
      <c r="AU515" s="413"/>
      <c r="AV515" s="1075"/>
    </row>
    <row r="516" spans="1:48" ht="15" customHeight="1" x14ac:dyDescent="0.2">
      <c r="A516" s="1076"/>
      <c r="B516" s="1045" t="str">
        <f t="shared" si="10"/>
        <v>Desk 92</v>
      </c>
      <c r="C516" s="1385" t="str">
        <f>IF('TB IMA general'!C177&lt;&gt;"",'TB IMA general'!C177,"")</f>
        <v/>
      </c>
      <c r="D516" s="1126"/>
      <c r="E516" s="1126"/>
      <c r="F516" s="1126"/>
      <c r="G516" s="1126"/>
      <c r="H516" s="1126"/>
      <c r="I516" s="1126"/>
      <c r="J516" s="1126"/>
      <c r="K516" s="1126"/>
      <c r="L516" s="1126"/>
      <c r="M516" s="1126"/>
      <c r="N516" s="1126"/>
      <c r="O516" s="1126"/>
      <c r="P516" s="1126"/>
      <c r="Q516" s="1126"/>
      <c r="R516" s="1126"/>
      <c r="S516" s="1126"/>
      <c r="T516" s="1126"/>
      <c r="U516" s="1126"/>
      <c r="V516" s="1126"/>
      <c r="W516" s="1126"/>
      <c r="X516" s="1126"/>
      <c r="Y516" s="1126"/>
      <c r="Z516" s="1126"/>
      <c r="AA516" s="1126"/>
      <c r="AB516" s="1126"/>
      <c r="AC516" s="1126"/>
      <c r="AD516" s="1126"/>
      <c r="AE516" s="1126"/>
      <c r="AF516" s="1126"/>
      <c r="AG516" s="1126"/>
      <c r="AH516" s="1126"/>
      <c r="AI516" s="1126"/>
      <c r="AJ516" s="1126"/>
      <c r="AK516" s="1126"/>
      <c r="AL516" s="1126"/>
      <c r="AM516" s="1126"/>
      <c r="AN516" s="1126"/>
      <c r="AO516" s="1126"/>
      <c r="AP516" s="1126"/>
      <c r="AQ516" s="1126"/>
      <c r="AR516" s="1126"/>
      <c r="AS516" s="1126"/>
      <c r="AT516" s="1126"/>
      <c r="AU516" s="413"/>
      <c r="AV516" s="1075"/>
    </row>
    <row r="517" spans="1:48" ht="15" customHeight="1" x14ac:dyDescent="0.2">
      <c r="A517" s="1076"/>
      <c r="B517" s="1045" t="str">
        <f t="shared" si="10"/>
        <v>Desk 93</v>
      </c>
      <c r="C517" s="1385" t="str">
        <f>IF('TB IMA general'!C178&lt;&gt;"",'TB IMA general'!C178,"")</f>
        <v/>
      </c>
      <c r="D517" s="1126"/>
      <c r="E517" s="1126"/>
      <c r="F517" s="1126"/>
      <c r="G517" s="1126"/>
      <c r="H517" s="1126"/>
      <c r="I517" s="1126"/>
      <c r="J517" s="1126"/>
      <c r="K517" s="1126"/>
      <c r="L517" s="1126"/>
      <c r="M517" s="1126"/>
      <c r="N517" s="1126"/>
      <c r="O517" s="1126"/>
      <c r="P517" s="1126"/>
      <c r="Q517" s="1126"/>
      <c r="R517" s="1126"/>
      <c r="S517" s="1126"/>
      <c r="T517" s="1126"/>
      <c r="U517" s="1126"/>
      <c r="V517" s="1126"/>
      <c r="W517" s="1126"/>
      <c r="X517" s="1126"/>
      <c r="Y517" s="1126"/>
      <c r="Z517" s="1126"/>
      <c r="AA517" s="1126"/>
      <c r="AB517" s="1126"/>
      <c r="AC517" s="1126"/>
      <c r="AD517" s="1126"/>
      <c r="AE517" s="1126"/>
      <c r="AF517" s="1126"/>
      <c r="AG517" s="1126"/>
      <c r="AH517" s="1126"/>
      <c r="AI517" s="1126"/>
      <c r="AJ517" s="1126"/>
      <c r="AK517" s="1126"/>
      <c r="AL517" s="1126"/>
      <c r="AM517" s="1126"/>
      <c r="AN517" s="1126"/>
      <c r="AO517" s="1126"/>
      <c r="AP517" s="1126"/>
      <c r="AQ517" s="1126"/>
      <c r="AR517" s="1126"/>
      <c r="AS517" s="1126"/>
      <c r="AT517" s="1126"/>
      <c r="AU517" s="413"/>
      <c r="AV517" s="1075"/>
    </row>
    <row r="518" spans="1:48" ht="15" customHeight="1" x14ac:dyDescent="0.2">
      <c r="A518" s="1076"/>
      <c r="B518" s="1045" t="str">
        <f t="shared" si="10"/>
        <v>Desk 94</v>
      </c>
      <c r="C518" s="1385" t="str">
        <f>IF('TB IMA general'!C179&lt;&gt;"",'TB IMA general'!C179,"")</f>
        <v/>
      </c>
      <c r="D518" s="1126"/>
      <c r="E518" s="1126"/>
      <c r="F518" s="1126"/>
      <c r="G518" s="1126"/>
      <c r="H518" s="1126"/>
      <c r="I518" s="1126"/>
      <c r="J518" s="1126"/>
      <c r="K518" s="1126"/>
      <c r="L518" s="1126"/>
      <c r="M518" s="1126"/>
      <c r="N518" s="1126"/>
      <c r="O518" s="1126"/>
      <c r="P518" s="1126"/>
      <c r="Q518" s="1126"/>
      <c r="R518" s="1126"/>
      <c r="S518" s="1126"/>
      <c r="T518" s="1126"/>
      <c r="U518" s="1126"/>
      <c r="V518" s="1126"/>
      <c r="W518" s="1126"/>
      <c r="X518" s="1126"/>
      <c r="Y518" s="1126"/>
      <c r="Z518" s="1126"/>
      <c r="AA518" s="1126"/>
      <c r="AB518" s="1126"/>
      <c r="AC518" s="1126"/>
      <c r="AD518" s="1126"/>
      <c r="AE518" s="1126"/>
      <c r="AF518" s="1126"/>
      <c r="AG518" s="1126"/>
      <c r="AH518" s="1126"/>
      <c r="AI518" s="1126"/>
      <c r="AJ518" s="1126"/>
      <c r="AK518" s="1126"/>
      <c r="AL518" s="1126"/>
      <c r="AM518" s="1126"/>
      <c r="AN518" s="1126"/>
      <c r="AO518" s="1126"/>
      <c r="AP518" s="1126"/>
      <c r="AQ518" s="1126"/>
      <c r="AR518" s="1126"/>
      <c r="AS518" s="1126"/>
      <c r="AT518" s="1126"/>
      <c r="AU518" s="413"/>
      <c r="AV518" s="1075"/>
    </row>
    <row r="519" spans="1:48" ht="15" customHeight="1" x14ac:dyDescent="0.2">
      <c r="A519" s="1076"/>
      <c r="B519" s="1045" t="str">
        <f t="shared" si="10"/>
        <v>Desk 95</v>
      </c>
      <c r="C519" s="1385" t="str">
        <f>IF('TB IMA general'!C180&lt;&gt;"",'TB IMA general'!C180,"")</f>
        <v/>
      </c>
      <c r="D519" s="1126"/>
      <c r="E519" s="1126"/>
      <c r="F519" s="1126"/>
      <c r="G519" s="1126"/>
      <c r="H519" s="1126"/>
      <c r="I519" s="1126"/>
      <c r="J519" s="1126"/>
      <c r="K519" s="1126"/>
      <c r="L519" s="1126"/>
      <c r="M519" s="1126"/>
      <c r="N519" s="1126"/>
      <c r="O519" s="1126"/>
      <c r="P519" s="1126"/>
      <c r="Q519" s="1126"/>
      <c r="R519" s="1126"/>
      <c r="S519" s="1126"/>
      <c r="T519" s="1126"/>
      <c r="U519" s="1126"/>
      <c r="V519" s="1126"/>
      <c r="W519" s="1126"/>
      <c r="X519" s="1126"/>
      <c r="Y519" s="1126"/>
      <c r="Z519" s="1126"/>
      <c r="AA519" s="1126"/>
      <c r="AB519" s="1126"/>
      <c r="AC519" s="1126"/>
      <c r="AD519" s="1126"/>
      <c r="AE519" s="1126"/>
      <c r="AF519" s="1126"/>
      <c r="AG519" s="1126"/>
      <c r="AH519" s="1126"/>
      <c r="AI519" s="1126"/>
      <c r="AJ519" s="1126"/>
      <c r="AK519" s="1126"/>
      <c r="AL519" s="1126"/>
      <c r="AM519" s="1126"/>
      <c r="AN519" s="1126"/>
      <c r="AO519" s="1126"/>
      <c r="AP519" s="1126"/>
      <c r="AQ519" s="1126"/>
      <c r="AR519" s="1126"/>
      <c r="AS519" s="1126"/>
      <c r="AT519" s="1126"/>
      <c r="AU519" s="413"/>
      <c r="AV519" s="1075"/>
    </row>
    <row r="520" spans="1:48" ht="15" customHeight="1" x14ac:dyDescent="0.2">
      <c r="A520" s="1076"/>
      <c r="B520" s="1045" t="str">
        <f t="shared" si="10"/>
        <v>Desk 96</v>
      </c>
      <c r="C520" s="1385" t="str">
        <f>IF('TB IMA general'!C181&lt;&gt;"",'TB IMA general'!C181,"")</f>
        <v/>
      </c>
      <c r="D520" s="1126"/>
      <c r="E520" s="1126"/>
      <c r="F520" s="1126"/>
      <c r="G520" s="1126"/>
      <c r="H520" s="1126"/>
      <c r="I520" s="1126"/>
      <c r="J520" s="1126"/>
      <c r="K520" s="1126"/>
      <c r="L520" s="1126"/>
      <c r="M520" s="1126"/>
      <c r="N520" s="1126"/>
      <c r="O520" s="1126"/>
      <c r="P520" s="1126"/>
      <c r="Q520" s="1126"/>
      <c r="R520" s="1126"/>
      <c r="S520" s="1126"/>
      <c r="T520" s="1126"/>
      <c r="U520" s="1126"/>
      <c r="V520" s="1126"/>
      <c r="W520" s="1126"/>
      <c r="X520" s="1126"/>
      <c r="Y520" s="1126"/>
      <c r="Z520" s="1126"/>
      <c r="AA520" s="1126"/>
      <c r="AB520" s="1126"/>
      <c r="AC520" s="1126"/>
      <c r="AD520" s="1126"/>
      <c r="AE520" s="1126"/>
      <c r="AF520" s="1126"/>
      <c r="AG520" s="1126"/>
      <c r="AH520" s="1126"/>
      <c r="AI520" s="1126"/>
      <c r="AJ520" s="1126"/>
      <c r="AK520" s="1126"/>
      <c r="AL520" s="1126"/>
      <c r="AM520" s="1126"/>
      <c r="AN520" s="1126"/>
      <c r="AO520" s="1126"/>
      <c r="AP520" s="1126"/>
      <c r="AQ520" s="1126"/>
      <c r="AR520" s="1126"/>
      <c r="AS520" s="1126"/>
      <c r="AT520" s="1126"/>
      <c r="AU520" s="413"/>
      <c r="AV520" s="1075"/>
    </row>
    <row r="521" spans="1:48" ht="15" customHeight="1" x14ac:dyDescent="0.2">
      <c r="A521" s="1076"/>
      <c r="B521" s="1045" t="str">
        <f t="shared" si="10"/>
        <v>Desk 97</v>
      </c>
      <c r="C521" s="1385" t="str">
        <f>IF('TB IMA general'!C182&lt;&gt;"",'TB IMA general'!C182,"")</f>
        <v/>
      </c>
      <c r="D521" s="1126"/>
      <c r="E521" s="1126"/>
      <c r="F521" s="1126"/>
      <c r="G521" s="1126"/>
      <c r="H521" s="1126"/>
      <c r="I521" s="1126"/>
      <c r="J521" s="1126"/>
      <c r="K521" s="1126"/>
      <c r="L521" s="1126"/>
      <c r="M521" s="1126"/>
      <c r="N521" s="1126"/>
      <c r="O521" s="1126"/>
      <c r="P521" s="1126"/>
      <c r="Q521" s="1126"/>
      <c r="R521" s="1126"/>
      <c r="S521" s="1126"/>
      <c r="T521" s="1126"/>
      <c r="U521" s="1126"/>
      <c r="V521" s="1126"/>
      <c r="W521" s="1126"/>
      <c r="X521" s="1126"/>
      <c r="Y521" s="1126"/>
      <c r="Z521" s="1126"/>
      <c r="AA521" s="1126"/>
      <c r="AB521" s="1126"/>
      <c r="AC521" s="1126"/>
      <c r="AD521" s="1126"/>
      <c r="AE521" s="1126"/>
      <c r="AF521" s="1126"/>
      <c r="AG521" s="1126"/>
      <c r="AH521" s="1126"/>
      <c r="AI521" s="1126"/>
      <c r="AJ521" s="1126"/>
      <c r="AK521" s="1126"/>
      <c r="AL521" s="1126"/>
      <c r="AM521" s="1126"/>
      <c r="AN521" s="1126"/>
      <c r="AO521" s="1126"/>
      <c r="AP521" s="1126"/>
      <c r="AQ521" s="1126"/>
      <c r="AR521" s="1126"/>
      <c r="AS521" s="1126"/>
      <c r="AT521" s="1126"/>
      <c r="AU521" s="413"/>
      <c r="AV521" s="1075"/>
    </row>
    <row r="522" spans="1:48" ht="15" customHeight="1" x14ac:dyDescent="0.2">
      <c r="A522" s="1076"/>
      <c r="B522" s="1045" t="str">
        <f t="shared" si="10"/>
        <v>Desk 98</v>
      </c>
      <c r="C522" s="1385" t="str">
        <f>IF('TB IMA general'!C183&lt;&gt;"",'TB IMA general'!C183,"")</f>
        <v/>
      </c>
      <c r="D522" s="1126"/>
      <c r="E522" s="1126"/>
      <c r="F522" s="1126"/>
      <c r="G522" s="1126"/>
      <c r="H522" s="1126"/>
      <c r="I522" s="1126"/>
      <c r="J522" s="1126"/>
      <c r="K522" s="1126"/>
      <c r="L522" s="1126"/>
      <c r="M522" s="1126"/>
      <c r="N522" s="1126"/>
      <c r="O522" s="1126"/>
      <c r="P522" s="1126"/>
      <c r="Q522" s="1126"/>
      <c r="R522" s="1126"/>
      <c r="S522" s="1126"/>
      <c r="T522" s="1126"/>
      <c r="U522" s="1126"/>
      <c r="V522" s="1126"/>
      <c r="W522" s="1126"/>
      <c r="X522" s="1126"/>
      <c r="Y522" s="1126"/>
      <c r="Z522" s="1126"/>
      <c r="AA522" s="1126"/>
      <c r="AB522" s="1126"/>
      <c r="AC522" s="1126"/>
      <c r="AD522" s="1126"/>
      <c r="AE522" s="1126"/>
      <c r="AF522" s="1126"/>
      <c r="AG522" s="1126"/>
      <c r="AH522" s="1126"/>
      <c r="AI522" s="1126"/>
      <c r="AJ522" s="1126"/>
      <c r="AK522" s="1126"/>
      <c r="AL522" s="1126"/>
      <c r="AM522" s="1126"/>
      <c r="AN522" s="1126"/>
      <c r="AO522" s="1126"/>
      <c r="AP522" s="1126"/>
      <c r="AQ522" s="1126"/>
      <c r="AR522" s="1126"/>
      <c r="AS522" s="1126"/>
      <c r="AT522" s="1126"/>
      <c r="AU522" s="413"/>
      <c r="AV522" s="1075"/>
    </row>
    <row r="523" spans="1:48" ht="15" customHeight="1" x14ac:dyDescent="0.2">
      <c r="A523" s="1076"/>
      <c r="B523" s="1045" t="str">
        <f t="shared" si="10"/>
        <v>Desk 99</v>
      </c>
      <c r="C523" s="1385" t="str">
        <f>IF('TB IMA general'!C184&lt;&gt;"",'TB IMA general'!C184,"")</f>
        <v/>
      </c>
      <c r="D523" s="1126"/>
      <c r="E523" s="1126"/>
      <c r="F523" s="1126"/>
      <c r="G523" s="1126"/>
      <c r="H523" s="1126"/>
      <c r="I523" s="1126"/>
      <c r="J523" s="1126"/>
      <c r="K523" s="1126"/>
      <c r="L523" s="1126"/>
      <c r="M523" s="1126"/>
      <c r="N523" s="1126"/>
      <c r="O523" s="1126"/>
      <c r="P523" s="1126"/>
      <c r="Q523" s="1126"/>
      <c r="R523" s="1126"/>
      <c r="S523" s="1126"/>
      <c r="T523" s="1126"/>
      <c r="U523" s="1126"/>
      <c r="V523" s="1126"/>
      <c r="W523" s="1126"/>
      <c r="X523" s="1126"/>
      <c r="Y523" s="1126"/>
      <c r="Z523" s="1126"/>
      <c r="AA523" s="1126"/>
      <c r="AB523" s="1126"/>
      <c r="AC523" s="1126"/>
      <c r="AD523" s="1126"/>
      <c r="AE523" s="1126"/>
      <c r="AF523" s="1126"/>
      <c r="AG523" s="1126"/>
      <c r="AH523" s="1126"/>
      <c r="AI523" s="1126"/>
      <c r="AJ523" s="1126"/>
      <c r="AK523" s="1126"/>
      <c r="AL523" s="1126"/>
      <c r="AM523" s="1126"/>
      <c r="AN523" s="1126"/>
      <c r="AO523" s="1126"/>
      <c r="AP523" s="1126"/>
      <c r="AQ523" s="1126"/>
      <c r="AR523" s="1126"/>
      <c r="AS523" s="1126"/>
      <c r="AT523" s="1126"/>
      <c r="AU523" s="413"/>
      <c r="AV523" s="1075"/>
    </row>
    <row r="524" spans="1:48" ht="15" customHeight="1" x14ac:dyDescent="0.2">
      <c r="A524" s="1076"/>
      <c r="B524" s="1045" t="str">
        <f t="shared" si="10"/>
        <v>Desk 100</v>
      </c>
      <c r="C524" s="1385" t="str">
        <f>IF('TB IMA general'!C185&lt;&gt;"",'TB IMA general'!C185,"")</f>
        <v/>
      </c>
      <c r="D524" s="1126"/>
      <c r="E524" s="1126"/>
      <c r="F524" s="1126"/>
      <c r="G524" s="1126"/>
      <c r="H524" s="1126"/>
      <c r="I524" s="1126"/>
      <c r="J524" s="1126"/>
      <c r="K524" s="1126"/>
      <c r="L524" s="1126"/>
      <c r="M524" s="1126"/>
      <c r="N524" s="1126"/>
      <c r="O524" s="1126"/>
      <c r="P524" s="1126"/>
      <c r="Q524" s="1126"/>
      <c r="R524" s="1126"/>
      <c r="S524" s="1126"/>
      <c r="T524" s="1126"/>
      <c r="U524" s="1126"/>
      <c r="V524" s="1126"/>
      <c r="W524" s="1126"/>
      <c r="X524" s="1126"/>
      <c r="Y524" s="1126"/>
      <c r="Z524" s="1126"/>
      <c r="AA524" s="1126"/>
      <c r="AB524" s="1126"/>
      <c r="AC524" s="1126"/>
      <c r="AD524" s="1126"/>
      <c r="AE524" s="1126"/>
      <c r="AF524" s="1126"/>
      <c r="AG524" s="1126"/>
      <c r="AH524" s="1126"/>
      <c r="AI524" s="1126"/>
      <c r="AJ524" s="1126"/>
      <c r="AK524" s="1126"/>
      <c r="AL524" s="1126"/>
      <c r="AM524" s="1126"/>
      <c r="AN524" s="1126"/>
      <c r="AO524" s="1126"/>
      <c r="AP524" s="1126"/>
      <c r="AQ524" s="1126"/>
      <c r="AR524" s="1126"/>
      <c r="AS524" s="1126"/>
      <c r="AT524" s="1126"/>
      <c r="AU524" s="413"/>
      <c r="AV524" s="1075"/>
    </row>
    <row r="525" spans="1:48" ht="15" customHeight="1" x14ac:dyDescent="0.2">
      <c r="A525" s="1076"/>
      <c r="B525" s="1324" t="s">
        <v>1171</v>
      </c>
      <c r="C525" s="1393" t="str">
        <f>IF('TB IMA general'!C606&lt;&gt;"",'TB IMA general'!C606,"")</f>
        <v/>
      </c>
      <c r="D525" s="1388"/>
      <c r="E525" s="1388"/>
      <c r="F525" s="1388"/>
      <c r="G525" s="1388"/>
      <c r="H525" s="1388"/>
      <c r="I525" s="1388"/>
      <c r="J525" s="1388"/>
      <c r="K525" s="1388"/>
      <c r="L525" s="1388"/>
      <c r="M525" s="1388"/>
      <c r="N525" s="1388"/>
      <c r="O525" s="1388"/>
      <c r="P525" s="1388"/>
      <c r="Q525" s="1388"/>
      <c r="R525" s="1388"/>
      <c r="S525" s="1388"/>
      <c r="T525" s="1388"/>
      <c r="U525" s="1388"/>
      <c r="V525" s="1388"/>
      <c r="W525" s="1388"/>
      <c r="X525" s="1388"/>
      <c r="Y525" s="1388"/>
      <c r="Z525" s="1388"/>
      <c r="AA525" s="1388"/>
      <c r="AB525" s="1388"/>
      <c r="AC525" s="1388"/>
      <c r="AD525" s="1388"/>
      <c r="AE525" s="1388"/>
      <c r="AF525" s="1388"/>
      <c r="AG525" s="1388"/>
      <c r="AH525" s="1388"/>
      <c r="AI525" s="1388"/>
      <c r="AJ525" s="1388"/>
      <c r="AK525" s="1388"/>
      <c r="AL525" s="1388"/>
      <c r="AM525" s="1388"/>
      <c r="AN525" s="1388"/>
      <c r="AO525" s="1388"/>
      <c r="AP525" s="1388"/>
      <c r="AQ525" s="1388"/>
      <c r="AR525" s="1388"/>
      <c r="AS525" s="1388"/>
      <c r="AT525" s="1388"/>
      <c r="AU525" s="1389"/>
      <c r="AV525" s="1075"/>
    </row>
    <row r="526" spans="1:48" ht="15" customHeight="1" x14ac:dyDescent="0.2">
      <c r="A526" s="214"/>
      <c r="B526" s="1070"/>
      <c r="C526" s="1070"/>
      <c r="D526" s="1070"/>
      <c r="E526" s="1070"/>
      <c r="F526" s="1070"/>
      <c r="G526" s="1070"/>
      <c r="H526" s="1070"/>
      <c r="I526" s="1070"/>
      <c r="J526" s="1070"/>
      <c r="K526" s="1070"/>
      <c r="L526" s="1070"/>
      <c r="M526" s="1070"/>
      <c r="N526" s="1070"/>
      <c r="O526" s="1070"/>
      <c r="P526" s="1070"/>
      <c r="Q526" s="1070"/>
      <c r="R526" s="1070"/>
      <c r="S526" s="1070"/>
      <c r="T526" s="1070"/>
      <c r="U526" s="1070"/>
      <c r="V526" s="1070"/>
      <c r="W526" s="1070"/>
      <c r="X526" s="1070"/>
      <c r="Y526" s="1070"/>
      <c r="Z526" s="1070"/>
      <c r="AA526" s="1070"/>
      <c r="AB526" s="1070"/>
      <c r="AC526" s="1070"/>
      <c r="AD526" s="1070"/>
      <c r="AE526" s="1070"/>
      <c r="AF526" s="1070"/>
      <c r="AG526" s="1070"/>
      <c r="AH526" s="1070"/>
      <c r="AI526" s="1070"/>
      <c r="AJ526" s="1070"/>
      <c r="AK526" s="1070"/>
      <c r="AL526" s="1070"/>
      <c r="AM526" s="1070"/>
      <c r="AN526" s="1070"/>
      <c r="AO526" s="1070"/>
      <c r="AP526" s="1070"/>
      <c r="AQ526" s="1070"/>
      <c r="AR526" s="1070"/>
      <c r="AS526" s="1070"/>
      <c r="AT526" s="1070"/>
      <c r="AU526" s="1070"/>
      <c r="AV526" s="1071"/>
    </row>
  </sheetData>
  <printOptions headings="1"/>
  <pageMargins left="0.70866141732283472" right="0.70866141732283472" top="0.74803149606299213" bottom="0.74803149606299213" header="0.31496062992125984" footer="0.31496062992125984"/>
  <pageSetup paperSize="9" scale="50" pageOrder="overThenDown" orientation="landscape" r:id="rId1"/>
  <headerFooter>
    <oddHeader>&amp;L&amp;"Arial,Bold"&amp;14Basel Committee on Banking Supervision
Basel III monitoring template&amp;C&amp;14&amp;F
&amp;A&amp;R&amp;"Arial,Bold"&amp;14Confidential when completed</oddHeader>
    <oddFooter>&amp;L&amp;14&amp;D  &amp;T&amp;R&amp;14Page &amp;P of &amp;N</oddFooter>
  </headerFooter>
  <rowBreaks count="9" manualBreakCount="9">
    <brk id="55" max="47" man="1"/>
    <brk id="110" max="47" man="1"/>
    <brk id="162" max="47" man="1"/>
    <brk id="214" max="47" man="1"/>
    <brk id="266" max="47" man="1"/>
    <brk id="318" max="47" man="1"/>
    <brk id="370" max="47" man="1"/>
    <brk id="422" max="47" man="1"/>
    <brk id="474" max="47" man="1"/>
  </rowBreaks>
  <ignoredErrors>
    <ignoredError sqref="D4 B9:C538" emptyCellReferenc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sheetPr>
  <dimension ref="A1:O280"/>
  <sheetViews>
    <sheetView zoomScale="75" zoomScaleNormal="75" workbookViewId="0">
      <pane xSplit="3" ySplit="4" topLeftCell="D5" activePane="bottomRight" state="frozen"/>
      <selection pane="topRight" activeCell="D1" sqref="D1"/>
      <selection pane="bottomLeft" activeCell="A6" sqref="A6"/>
      <selection pane="bottomRight"/>
    </sheetView>
  </sheetViews>
  <sheetFormatPr defaultColWidth="9.140625" defaultRowHeight="15" customHeight="1" x14ac:dyDescent="0.2"/>
  <cols>
    <col min="1" max="1" width="1.7109375" style="207" customWidth="1"/>
    <col min="2" max="2" width="20.7109375" style="207" customWidth="1"/>
    <col min="3" max="3" width="55.7109375" style="1074" customWidth="1"/>
    <col min="4" max="13" width="16.7109375" style="207" customWidth="1"/>
    <col min="14" max="14" width="1.7109375" style="1074" customWidth="1"/>
    <col min="15" max="16384" width="9.140625" style="1074"/>
  </cols>
  <sheetData>
    <row r="1" spans="1:14" s="1052" customFormat="1" ht="30" customHeight="1" x14ac:dyDescent="0.4">
      <c r="A1" s="1055" t="s">
        <v>1342</v>
      </c>
      <c r="B1" s="44"/>
      <c r="C1" s="44"/>
      <c r="D1" s="44"/>
      <c r="E1" s="44"/>
      <c r="F1" s="44"/>
      <c r="G1" s="44"/>
      <c r="H1" s="44"/>
      <c r="I1" s="44"/>
      <c r="J1" s="44"/>
      <c r="K1" s="44"/>
      <c r="L1" s="44"/>
      <c r="M1" s="44"/>
      <c r="N1" s="169"/>
    </row>
    <row r="2" spans="1:14" ht="15" customHeight="1" x14ac:dyDescent="0.2">
      <c r="A2" s="1076"/>
      <c r="B2" s="1074"/>
      <c r="D2" s="1074"/>
      <c r="E2" s="1074"/>
      <c r="F2" s="1074"/>
      <c r="G2" s="1074"/>
      <c r="H2" s="1074"/>
      <c r="I2" s="1074"/>
      <c r="J2" s="1074"/>
      <c r="K2" s="1074"/>
      <c r="L2" s="1074"/>
      <c r="M2" s="1074"/>
      <c r="N2" s="1075"/>
    </row>
    <row r="3" spans="1:14" ht="15" customHeight="1" x14ac:dyDescent="0.2">
      <c r="A3" s="1076"/>
      <c r="B3" s="1696" t="s">
        <v>1344</v>
      </c>
      <c r="C3" s="1695"/>
      <c r="D3" s="1496">
        <v>2004</v>
      </c>
      <c r="E3" s="1496">
        <f>+D3+1</f>
        <v>2005</v>
      </c>
      <c r="F3" s="1496">
        <f t="shared" ref="F3:M3" si="0">+E3+1</f>
        <v>2006</v>
      </c>
      <c r="G3" s="1496">
        <f t="shared" si="0"/>
        <v>2007</v>
      </c>
      <c r="H3" s="1496">
        <f t="shared" si="0"/>
        <v>2008</v>
      </c>
      <c r="I3" s="1496">
        <f t="shared" si="0"/>
        <v>2009</v>
      </c>
      <c r="J3" s="1496">
        <f t="shared" si="0"/>
        <v>2010</v>
      </c>
      <c r="K3" s="1496">
        <f t="shared" si="0"/>
        <v>2011</v>
      </c>
      <c r="L3" s="1496">
        <f t="shared" si="0"/>
        <v>2012</v>
      </c>
      <c r="M3" s="1509">
        <f t="shared" si="0"/>
        <v>2013</v>
      </c>
      <c r="N3" s="1075"/>
    </row>
    <row r="4" spans="1:14" ht="15" customHeight="1" x14ac:dyDescent="0.2">
      <c r="A4" s="1076"/>
      <c r="B4" s="1494"/>
      <c r="C4" s="1494"/>
      <c r="D4" s="1494"/>
      <c r="E4" s="1494"/>
      <c r="F4" s="1494"/>
      <c r="G4" s="1494"/>
      <c r="H4" s="1494"/>
      <c r="I4" s="1494"/>
      <c r="J4" s="1494"/>
      <c r="K4" s="1494"/>
      <c r="L4" s="1494"/>
      <c r="M4" s="1511"/>
      <c r="N4" s="1075"/>
    </row>
    <row r="5" spans="1:14" s="207" customFormat="1" ht="30" customHeight="1" x14ac:dyDescent="0.25">
      <c r="A5" s="1377" t="s">
        <v>1343</v>
      </c>
      <c r="B5" s="18"/>
      <c r="C5" s="16"/>
      <c r="D5" s="203"/>
      <c r="E5" s="203"/>
      <c r="F5" s="203"/>
      <c r="G5" s="203"/>
      <c r="H5" s="180"/>
      <c r="I5" s="180"/>
      <c r="J5" s="180"/>
      <c r="K5" s="180"/>
      <c r="L5" s="180"/>
      <c r="M5" s="180"/>
      <c r="N5" s="181"/>
    </row>
    <row r="6" spans="1:14" ht="15" customHeight="1" x14ac:dyDescent="0.2">
      <c r="A6" s="1076"/>
      <c r="B6" s="1495"/>
      <c r="C6" s="1495"/>
      <c r="D6" s="1495"/>
      <c r="E6" s="1495"/>
      <c r="F6" s="1495"/>
      <c r="G6" s="1495"/>
      <c r="H6" s="1495"/>
      <c r="I6" s="1495"/>
      <c r="J6" s="1495"/>
      <c r="K6" s="1495"/>
      <c r="L6" s="1495"/>
      <c r="M6" s="1512"/>
      <c r="N6" s="1075"/>
    </row>
    <row r="7" spans="1:14" ht="15" customHeight="1" x14ac:dyDescent="0.2">
      <c r="A7" s="1076"/>
      <c r="B7" s="1838" t="s">
        <v>1345</v>
      </c>
      <c r="C7" s="1839"/>
      <c r="D7" s="1043"/>
      <c r="E7" s="1043"/>
      <c r="F7" s="1043"/>
      <c r="G7" s="1043"/>
      <c r="H7" s="1043"/>
      <c r="I7" s="1043"/>
      <c r="J7" s="1043"/>
      <c r="K7" s="1043"/>
      <c r="L7" s="1043"/>
      <c r="M7" s="1066"/>
      <c r="N7" s="1075"/>
    </row>
    <row r="8" spans="1:14" ht="15" customHeight="1" x14ac:dyDescent="0.2">
      <c r="A8" s="1076"/>
      <c r="B8" s="1840" t="s">
        <v>1356</v>
      </c>
      <c r="C8" s="1841"/>
      <c r="D8" s="1172"/>
      <c r="E8" s="1172"/>
      <c r="F8" s="1172"/>
      <c r="G8" s="1172"/>
      <c r="H8" s="1172"/>
      <c r="I8" s="1172"/>
      <c r="J8" s="1172"/>
      <c r="K8" s="1172"/>
      <c r="L8" s="1172"/>
      <c r="M8" s="1065"/>
      <c r="N8" s="1075"/>
    </row>
    <row r="9" spans="1:14" ht="15" customHeight="1" x14ac:dyDescent="0.2">
      <c r="A9" s="1076"/>
      <c r="B9" s="1840" t="s">
        <v>1357</v>
      </c>
      <c r="C9" s="1841"/>
      <c r="D9" s="1172"/>
      <c r="E9" s="1172"/>
      <c r="F9" s="1172"/>
      <c r="G9" s="1172"/>
      <c r="H9" s="1172"/>
      <c r="I9" s="1172"/>
      <c r="J9" s="1172"/>
      <c r="K9" s="1172"/>
      <c r="L9" s="1172"/>
      <c r="M9" s="1065"/>
      <c r="N9" s="1075"/>
    </row>
    <row r="10" spans="1:14" ht="15" customHeight="1" x14ac:dyDescent="0.2">
      <c r="A10" s="1076"/>
      <c r="B10" s="1842" t="s">
        <v>1358</v>
      </c>
      <c r="C10" s="1843"/>
      <c r="D10" s="1146"/>
      <c r="E10" s="1146"/>
      <c r="F10" s="1146"/>
      <c r="G10" s="1146"/>
      <c r="H10" s="1146"/>
      <c r="I10" s="1146"/>
      <c r="J10" s="1146"/>
      <c r="K10" s="1146"/>
      <c r="L10" s="1146"/>
      <c r="M10" s="1067"/>
      <c r="N10" s="1075"/>
    </row>
    <row r="11" spans="1:14" ht="15" customHeight="1" x14ac:dyDescent="0.2">
      <c r="A11" s="1076"/>
      <c r="B11" s="1074"/>
      <c r="D11" s="1074"/>
      <c r="E11" s="1074"/>
      <c r="F11" s="1074"/>
      <c r="G11" s="1074"/>
      <c r="H11" s="1074"/>
      <c r="I11" s="1074"/>
      <c r="J11" s="1074"/>
      <c r="K11" s="1074"/>
      <c r="L11" s="1074"/>
      <c r="M11" s="1074"/>
      <c r="N11" s="1075"/>
    </row>
    <row r="12" spans="1:14" s="207" customFormat="1" ht="30" customHeight="1" x14ac:dyDescent="0.25">
      <c r="A12" s="1377" t="s">
        <v>1359</v>
      </c>
      <c r="B12" s="18"/>
      <c r="C12" s="16"/>
      <c r="D12" s="203"/>
      <c r="E12" s="203"/>
      <c r="F12" s="203"/>
      <c r="G12" s="203"/>
      <c r="H12" s="180"/>
      <c r="I12" s="180"/>
      <c r="J12" s="180"/>
      <c r="K12" s="180"/>
      <c r="L12" s="180"/>
      <c r="M12" s="180"/>
      <c r="N12" s="181"/>
    </row>
    <row r="13" spans="1:14" ht="15" customHeight="1" x14ac:dyDescent="0.2">
      <c r="A13" s="1076"/>
      <c r="B13" s="1495"/>
      <c r="C13" s="1495"/>
      <c r="D13" s="1495"/>
      <c r="E13" s="1495"/>
      <c r="F13" s="1495"/>
      <c r="G13" s="1495"/>
      <c r="H13" s="1495"/>
      <c r="I13" s="1495"/>
      <c r="J13" s="1495"/>
      <c r="K13" s="1495"/>
      <c r="L13" s="1495"/>
      <c r="M13" s="1512"/>
      <c r="N13" s="1075"/>
    </row>
    <row r="14" spans="1:14" ht="15" customHeight="1" x14ac:dyDescent="0.2">
      <c r="A14" s="1076"/>
      <c r="B14" s="1838" t="s">
        <v>1360</v>
      </c>
      <c r="C14" s="1839"/>
      <c r="D14" s="1043"/>
      <c r="E14" s="1043"/>
      <c r="F14" s="1043"/>
      <c r="G14" s="1043"/>
      <c r="H14" s="1043"/>
      <c r="I14" s="1043"/>
      <c r="J14" s="1043"/>
      <c r="K14" s="1043"/>
      <c r="L14" s="1043"/>
      <c r="M14" s="1066"/>
      <c r="N14" s="1075"/>
    </row>
    <row r="15" spans="1:14" ht="15" customHeight="1" x14ac:dyDescent="0.2">
      <c r="A15" s="1076"/>
      <c r="B15" s="1840" t="s">
        <v>1346</v>
      </c>
      <c r="C15" s="1841"/>
      <c r="D15" s="1172"/>
      <c r="E15" s="1172"/>
      <c r="F15" s="1172"/>
      <c r="G15" s="1172"/>
      <c r="H15" s="1172"/>
      <c r="I15" s="1172"/>
      <c r="J15" s="1172"/>
      <c r="K15" s="1172"/>
      <c r="L15" s="1172"/>
      <c r="M15" s="1065"/>
      <c r="N15" s="1075"/>
    </row>
    <row r="16" spans="1:14" ht="15" customHeight="1" x14ac:dyDescent="0.2">
      <c r="A16" s="1076"/>
      <c r="B16" s="1840" t="s">
        <v>1347</v>
      </c>
      <c r="C16" s="1841"/>
      <c r="D16" s="1172"/>
      <c r="E16" s="1172"/>
      <c r="F16" s="1172"/>
      <c r="G16" s="1172"/>
      <c r="H16" s="1172"/>
      <c r="I16" s="1172"/>
      <c r="J16" s="1172"/>
      <c r="K16" s="1172"/>
      <c r="L16" s="1172"/>
      <c r="M16" s="1065"/>
      <c r="N16" s="1075"/>
    </row>
    <row r="17" spans="1:14" ht="15" customHeight="1" x14ac:dyDescent="0.2">
      <c r="A17" s="1076"/>
      <c r="B17" s="1840" t="s">
        <v>1348</v>
      </c>
      <c r="C17" s="1841"/>
      <c r="D17" s="1172"/>
      <c r="E17" s="1172"/>
      <c r="F17" s="1172"/>
      <c r="G17" s="1172"/>
      <c r="H17" s="1172"/>
      <c r="I17" s="1172"/>
      <c r="J17" s="1172"/>
      <c r="K17" s="1172"/>
      <c r="L17" s="1172"/>
      <c r="M17" s="1065"/>
      <c r="N17" s="1075"/>
    </row>
    <row r="18" spans="1:14" ht="15" customHeight="1" x14ac:dyDescent="0.2">
      <c r="A18" s="1076"/>
      <c r="B18" s="1840" t="s">
        <v>1349</v>
      </c>
      <c r="C18" s="1841"/>
      <c r="D18" s="1172"/>
      <c r="E18" s="1172"/>
      <c r="F18" s="1172"/>
      <c r="G18" s="1172"/>
      <c r="H18" s="1172"/>
      <c r="I18" s="1172"/>
      <c r="J18" s="1172"/>
      <c r="K18" s="1172"/>
      <c r="L18" s="1172"/>
      <c r="M18" s="1065"/>
      <c r="N18" s="1075"/>
    </row>
    <row r="19" spans="1:14" ht="15" customHeight="1" x14ac:dyDescent="0.2">
      <c r="A19" s="1076"/>
      <c r="B19" s="1840" t="s">
        <v>1350</v>
      </c>
      <c r="C19" s="1841"/>
      <c r="D19" s="1172"/>
      <c r="E19" s="1172"/>
      <c r="F19" s="1172"/>
      <c r="G19" s="1172"/>
      <c r="H19" s="1172"/>
      <c r="I19" s="1172"/>
      <c r="J19" s="1172"/>
      <c r="K19" s="1172"/>
      <c r="L19" s="1172"/>
      <c r="M19" s="1065"/>
      <c r="N19" s="1075"/>
    </row>
    <row r="20" spans="1:14" ht="15" customHeight="1" x14ac:dyDescent="0.2">
      <c r="A20" s="1076"/>
      <c r="B20" s="1840" t="s">
        <v>1351</v>
      </c>
      <c r="C20" s="1841"/>
      <c r="D20" s="1172"/>
      <c r="E20" s="1172"/>
      <c r="F20" s="1172"/>
      <c r="G20" s="1172"/>
      <c r="H20" s="1172"/>
      <c r="I20" s="1172"/>
      <c r="J20" s="1172"/>
      <c r="K20" s="1172"/>
      <c r="L20" s="1172"/>
      <c r="M20" s="1065"/>
      <c r="N20" s="1075"/>
    </row>
    <row r="21" spans="1:14" ht="15" customHeight="1" x14ac:dyDescent="0.2">
      <c r="A21" s="1076"/>
      <c r="B21" s="1840" t="s">
        <v>1352</v>
      </c>
      <c r="C21" s="1841"/>
      <c r="D21" s="1172"/>
      <c r="E21" s="1172"/>
      <c r="F21" s="1172"/>
      <c r="G21" s="1172"/>
      <c r="H21" s="1172"/>
      <c r="I21" s="1172"/>
      <c r="J21" s="1172"/>
      <c r="K21" s="1172"/>
      <c r="L21" s="1172"/>
      <c r="M21" s="1065"/>
      <c r="N21" s="1075"/>
    </row>
    <row r="22" spans="1:14" ht="15" customHeight="1" x14ac:dyDescent="0.2">
      <c r="A22" s="1076"/>
      <c r="B22" s="1840" t="s">
        <v>1353</v>
      </c>
      <c r="C22" s="1841"/>
      <c r="D22" s="1172"/>
      <c r="E22" s="1172"/>
      <c r="F22" s="1172"/>
      <c r="G22" s="1172"/>
      <c r="H22" s="1172"/>
      <c r="I22" s="1172"/>
      <c r="J22" s="1172"/>
      <c r="K22" s="1172"/>
      <c r="L22" s="1172"/>
      <c r="M22" s="1065"/>
      <c r="N22" s="1075"/>
    </row>
    <row r="23" spans="1:14" ht="15" customHeight="1" x14ac:dyDescent="0.2">
      <c r="A23" s="1076"/>
      <c r="B23" s="1840" t="s">
        <v>1354</v>
      </c>
      <c r="C23" s="1841"/>
      <c r="D23" s="1172"/>
      <c r="E23" s="1172"/>
      <c r="F23" s="1172"/>
      <c r="G23" s="1172"/>
      <c r="H23" s="1172"/>
      <c r="I23" s="1172"/>
      <c r="J23" s="1172"/>
      <c r="K23" s="1172"/>
      <c r="L23" s="1172"/>
      <c r="M23" s="1065"/>
      <c r="N23" s="1075"/>
    </row>
    <row r="24" spans="1:14" ht="15" customHeight="1" x14ac:dyDescent="0.2">
      <c r="A24" s="1076"/>
      <c r="B24" s="1842" t="s">
        <v>1355</v>
      </c>
      <c r="C24" s="1843"/>
      <c r="D24" s="1146"/>
      <c r="E24" s="1146"/>
      <c r="F24" s="1146"/>
      <c r="G24" s="1146"/>
      <c r="H24" s="1146"/>
      <c r="I24" s="1146"/>
      <c r="J24" s="1146"/>
      <c r="K24" s="1146"/>
      <c r="L24" s="1146"/>
      <c r="M24" s="1067"/>
      <c r="N24" s="1075"/>
    </row>
    <row r="25" spans="1:14" ht="15" customHeight="1" x14ac:dyDescent="0.2">
      <c r="A25" s="1076"/>
      <c r="B25" s="1074"/>
      <c r="D25" s="1074"/>
      <c r="E25" s="1074"/>
      <c r="F25" s="1074"/>
      <c r="G25" s="1074"/>
      <c r="H25" s="1074"/>
      <c r="I25" s="1074"/>
      <c r="J25" s="1074"/>
      <c r="K25" s="1074"/>
      <c r="L25" s="1074"/>
      <c r="M25" s="1074"/>
      <c r="N25" s="1075"/>
    </row>
    <row r="26" spans="1:14" s="207" customFormat="1" ht="30" customHeight="1" x14ac:dyDescent="0.25">
      <c r="A26" s="1377" t="s">
        <v>1361</v>
      </c>
      <c r="B26" s="18"/>
      <c r="C26" s="16"/>
      <c r="D26" s="203"/>
      <c r="E26" s="203"/>
      <c r="F26" s="203"/>
      <c r="G26" s="203"/>
      <c r="H26" s="180"/>
      <c r="I26" s="180"/>
      <c r="J26" s="180"/>
      <c r="K26" s="180"/>
      <c r="L26" s="180"/>
      <c r="M26" s="180"/>
      <c r="N26" s="181"/>
    </row>
    <row r="27" spans="1:14" ht="15" customHeight="1" x14ac:dyDescent="0.2">
      <c r="A27" s="1076"/>
      <c r="B27" s="1495"/>
      <c r="C27" s="1495"/>
      <c r="D27" s="1495"/>
      <c r="E27" s="1495"/>
      <c r="F27" s="1495"/>
      <c r="G27" s="1495"/>
      <c r="H27" s="1495"/>
      <c r="I27" s="1495"/>
      <c r="J27" s="1495"/>
      <c r="K27" s="1495"/>
      <c r="L27" s="1495"/>
      <c r="M27" s="1512"/>
      <c r="N27" s="1075"/>
    </row>
    <row r="28" spans="1:14" ht="15" customHeight="1" x14ac:dyDescent="0.2">
      <c r="A28" s="1076"/>
      <c r="B28" s="1493" t="s">
        <v>1362</v>
      </c>
      <c r="C28" s="1483"/>
      <c r="D28" s="1496">
        <v>2004</v>
      </c>
      <c r="E28" s="1496">
        <f>+D28+1</f>
        <v>2005</v>
      </c>
      <c r="F28" s="1496">
        <f t="shared" ref="F28:M28" si="1">+E28+1</f>
        <v>2006</v>
      </c>
      <c r="G28" s="1496">
        <f t="shared" si="1"/>
        <v>2007</v>
      </c>
      <c r="H28" s="1496">
        <f t="shared" si="1"/>
        <v>2008</v>
      </c>
      <c r="I28" s="1496">
        <f t="shared" si="1"/>
        <v>2009</v>
      </c>
      <c r="J28" s="1496">
        <f t="shared" si="1"/>
        <v>2010</v>
      </c>
      <c r="K28" s="1496">
        <f t="shared" si="1"/>
        <v>2011</v>
      </c>
      <c r="L28" s="1496">
        <f t="shared" si="1"/>
        <v>2012</v>
      </c>
      <c r="M28" s="1509">
        <f t="shared" si="1"/>
        <v>2013</v>
      </c>
      <c r="N28" s="1075"/>
    </row>
    <row r="29" spans="1:14" ht="15" customHeight="1" x14ac:dyDescent="0.2">
      <c r="A29" s="1076"/>
      <c r="B29" s="1844" t="s">
        <v>1367</v>
      </c>
      <c r="C29" s="1484" t="s">
        <v>1395</v>
      </c>
      <c r="D29" s="1172"/>
      <c r="E29" s="1172"/>
      <c r="F29" s="1172"/>
      <c r="G29" s="1172"/>
      <c r="H29" s="1172"/>
      <c r="I29" s="1172"/>
      <c r="J29" s="1172"/>
      <c r="K29" s="1172"/>
      <c r="L29" s="1172"/>
      <c r="M29" s="1065"/>
      <c r="N29" s="1075"/>
    </row>
    <row r="30" spans="1:14" ht="15" customHeight="1" x14ac:dyDescent="0.2">
      <c r="A30" s="1076"/>
      <c r="B30" s="1845"/>
      <c r="C30" s="1485" t="s">
        <v>1396</v>
      </c>
      <c r="D30" s="1172"/>
      <c r="E30" s="1172"/>
      <c r="F30" s="1172"/>
      <c r="G30" s="1172"/>
      <c r="H30" s="1172"/>
      <c r="I30" s="1172"/>
      <c r="J30" s="1172"/>
      <c r="K30" s="1172"/>
      <c r="L30" s="1172"/>
      <c r="M30" s="1065"/>
      <c r="N30" s="1075"/>
    </row>
    <row r="31" spans="1:14" ht="15" customHeight="1" x14ac:dyDescent="0.2">
      <c r="A31" s="1076"/>
      <c r="B31" s="1845"/>
      <c r="C31" s="1485" t="s">
        <v>1394</v>
      </c>
      <c r="D31" s="1172"/>
      <c r="E31" s="1172"/>
      <c r="F31" s="1172"/>
      <c r="G31" s="1172"/>
      <c r="H31" s="1172"/>
      <c r="I31" s="1172"/>
      <c r="J31" s="1172"/>
      <c r="K31" s="1172"/>
      <c r="L31" s="1172"/>
      <c r="M31" s="1065"/>
      <c r="N31" s="1075"/>
    </row>
    <row r="32" spans="1:14" ht="15" customHeight="1" x14ac:dyDescent="0.2">
      <c r="A32" s="1076"/>
      <c r="B32" s="1845"/>
      <c r="C32" s="1485" t="s">
        <v>1393</v>
      </c>
      <c r="D32" s="1172"/>
      <c r="E32" s="1172"/>
      <c r="F32" s="1172"/>
      <c r="G32" s="1172"/>
      <c r="H32" s="1172"/>
      <c r="I32" s="1172"/>
      <c r="J32" s="1172"/>
      <c r="K32" s="1172"/>
      <c r="L32" s="1172"/>
      <c r="M32" s="1065"/>
      <c r="N32" s="1075"/>
    </row>
    <row r="33" spans="1:14" ht="15" customHeight="1" x14ac:dyDescent="0.2">
      <c r="A33" s="1076"/>
      <c r="B33" s="1845"/>
      <c r="C33" s="1540" t="str">
        <f>CONCATENATE("Check: row ", ROW(C32), " ≤ row ", ROW(C31)," ≤ row ", ROW(C30)," ≤ row ", ROW(C29))</f>
        <v>Check: row 32 ≤ row 31 ≤ row 30 ≤ row 29</v>
      </c>
      <c r="D33" s="927" t="str">
        <f>IF(AND(D32&lt;=D31, D31&lt;=D30, D30&lt;=D29), "Pass", "Fail")</f>
        <v>Pass</v>
      </c>
      <c r="E33" s="927" t="str">
        <f t="shared" ref="E33:M33" si="2">IF(AND(E32&lt;=E31, E31&lt;=E30, E30&lt;=E29), "Pass", "Fail")</f>
        <v>Pass</v>
      </c>
      <c r="F33" s="927" t="str">
        <f t="shared" si="2"/>
        <v>Pass</v>
      </c>
      <c r="G33" s="927" t="str">
        <f t="shared" si="2"/>
        <v>Pass</v>
      </c>
      <c r="H33" s="927" t="str">
        <f t="shared" si="2"/>
        <v>Pass</v>
      </c>
      <c r="I33" s="927" t="str">
        <f t="shared" si="2"/>
        <v>Pass</v>
      </c>
      <c r="J33" s="927" t="str">
        <f t="shared" si="2"/>
        <v>Pass</v>
      </c>
      <c r="K33" s="927" t="str">
        <f t="shared" si="2"/>
        <v>Pass</v>
      </c>
      <c r="L33" s="927" t="str">
        <f t="shared" si="2"/>
        <v>Pass</v>
      </c>
      <c r="M33" s="927" t="str">
        <f t="shared" si="2"/>
        <v>Pass</v>
      </c>
      <c r="N33" s="1075"/>
    </row>
    <row r="34" spans="1:14" ht="15" customHeight="1" x14ac:dyDescent="0.2">
      <c r="A34" s="1076"/>
      <c r="B34" s="1845"/>
      <c r="C34" s="1485" t="s">
        <v>1392</v>
      </c>
      <c r="D34" s="1172"/>
      <c r="E34" s="1172"/>
      <c r="F34" s="1172"/>
      <c r="G34" s="1172"/>
      <c r="H34" s="1172"/>
      <c r="I34" s="1172"/>
      <c r="J34" s="1172"/>
      <c r="K34" s="1172"/>
      <c r="L34" s="1172"/>
      <c r="M34" s="1065"/>
      <c r="N34" s="1075"/>
    </row>
    <row r="35" spans="1:14" ht="15" customHeight="1" x14ac:dyDescent="0.2">
      <c r="A35" s="1076"/>
      <c r="B35" s="1845"/>
      <c r="C35" s="1485" t="s">
        <v>1397</v>
      </c>
      <c r="D35" s="1172"/>
      <c r="E35" s="1172"/>
      <c r="F35" s="1172"/>
      <c r="G35" s="1172"/>
      <c r="H35" s="1172"/>
      <c r="I35" s="1172"/>
      <c r="J35" s="1172"/>
      <c r="K35" s="1172"/>
      <c r="L35" s="1172"/>
      <c r="M35" s="1065"/>
      <c r="N35" s="1075"/>
    </row>
    <row r="36" spans="1:14" ht="15" customHeight="1" x14ac:dyDescent="0.2">
      <c r="A36" s="1076"/>
      <c r="B36" s="1845"/>
      <c r="C36" s="1482" t="s">
        <v>1391</v>
      </c>
      <c r="D36" s="1172"/>
      <c r="E36" s="1172"/>
      <c r="F36" s="1172"/>
      <c r="G36" s="1172"/>
      <c r="H36" s="1172"/>
      <c r="I36" s="1172"/>
      <c r="J36" s="1172"/>
      <c r="K36" s="1172"/>
      <c r="L36" s="1172"/>
      <c r="M36" s="1065"/>
      <c r="N36" s="1075"/>
    </row>
    <row r="37" spans="1:14" ht="15" customHeight="1" x14ac:dyDescent="0.2">
      <c r="A37" s="1076"/>
      <c r="B37" s="1845"/>
      <c r="C37" s="1482" t="s">
        <v>1390</v>
      </c>
      <c r="D37" s="1172"/>
      <c r="E37" s="1172"/>
      <c r="F37" s="1172"/>
      <c r="G37" s="1172"/>
      <c r="H37" s="1172"/>
      <c r="I37" s="1172"/>
      <c r="J37" s="1172"/>
      <c r="K37" s="1172"/>
      <c r="L37" s="1172"/>
      <c r="M37" s="1065"/>
      <c r="N37" s="1075"/>
    </row>
    <row r="38" spans="1:14" ht="15" customHeight="1" x14ac:dyDescent="0.2">
      <c r="A38" s="1076"/>
      <c r="B38" s="1845"/>
      <c r="C38" s="1540" t="str">
        <f>CONCATENATE("Check: row ", ROW(C37), " ≤ row ", ROW(C36)," ≤ row ", ROW(C35)," ≤ row ", ROW(C34))</f>
        <v>Check: row 37 ≤ row 36 ≤ row 35 ≤ row 34</v>
      </c>
      <c r="D38" s="927" t="str">
        <f>IF(AND(D37&lt;=D36, D36&lt;=D35, D35&lt;=D34), "Pass", "Fail")</f>
        <v>Pass</v>
      </c>
      <c r="E38" s="927" t="str">
        <f t="shared" ref="E38" si="3">IF(AND(E37&lt;=E36, E36&lt;=E35, E35&lt;=E34), "Pass", "Fail")</f>
        <v>Pass</v>
      </c>
      <c r="F38" s="927" t="str">
        <f t="shared" ref="F38" si="4">IF(AND(F37&lt;=F36, F36&lt;=F35, F35&lt;=F34), "Pass", "Fail")</f>
        <v>Pass</v>
      </c>
      <c r="G38" s="927" t="str">
        <f t="shared" ref="G38" si="5">IF(AND(G37&lt;=G36, G36&lt;=G35, G35&lt;=G34), "Pass", "Fail")</f>
        <v>Pass</v>
      </c>
      <c r="H38" s="927" t="str">
        <f t="shared" ref="H38" si="6">IF(AND(H37&lt;=H36, H36&lt;=H35, H35&lt;=H34), "Pass", "Fail")</f>
        <v>Pass</v>
      </c>
      <c r="I38" s="927" t="str">
        <f t="shared" ref="I38" si="7">IF(AND(I37&lt;=I36, I36&lt;=I35, I35&lt;=I34), "Pass", "Fail")</f>
        <v>Pass</v>
      </c>
      <c r="J38" s="927" t="str">
        <f t="shared" ref="J38" si="8">IF(AND(J37&lt;=J36, J36&lt;=J35, J35&lt;=J34), "Pass", "Fail")</f>
        <v>Pass</v>
      </c>
      <c r="K38" s="927" t="str">
        <f t="shared" ref="K38" si="9">IF(AND(K37&lt;=K36, K36&lt;=K35, K35&lt;=K34), "Pass", "Fail")</f>
        <v>Pass</v>
      </c>
      <c r="L38" s="927" t="str">
        <f t="shared" ref="L38" si="10">IF(AND(L37&lt;=L36, L36&lt;=L35, L35&lt;=L34), "Pass", "Fail")</f>
        <v>Pass</v>
      </c>
      <c r="M38" s="927" t="str">
        <f t="shared" ref="M38" si="11">IF(AND(M37&lt;=M36, M36&lt;=M35, M35&lt;=M34), "Pass", "Fail")</f>
        <v>Pass</v>
      </c>
      <c r="N38" s="1075"/>
    </row>
    <row r="39" spans="1:14" ht="15" customHeight="1" x14ac:dyDescent="0.2">
      <c r="A39" s="1076"/>
      <c r="B39" s="1845"/>
      <c r="C39" s="1482" t="s">
        <v>1364</v>
      </c>
      <c r="D39" s="1172"/>
      <c r="E39" s="1172"/>
      <c r="F39" s="1172"/>
      <c r="G39" s="1172"/>
      <c r="H39" s="1172"/>
      <c r="I39" s="1172"/>
      <c r="J39" s="1172"/>
      <c r="K39" s="1172"/>
      <c r="L39" s="1172"/>
      <c r="M39" s="1065"/>
      <c r="N39" s="1075"/>
    </row>
    <row r="40" spans="1:14" ht="15" customHeight="1" x14ac:dyDescent="0.2">
      <c r="A40" s="1076"/>
      <c r="B40" s="1845"/>
      <c r="C40" s="1482" t="s">
        <v>1363</v>
      </c>
      <c r="D40" s="1172"/>
      <c r="E40" s="1172"/>
      <c r="F40" s="1172"/>
      <c r="G40" s="1172"/>
      <c r="H40" s="1172"/>
      <c r="I40" s="1172"/>
      <c r="J40" s="1172"/>
      <c r="K40" s="1172"/>
      <c r="L40" s="1172"/>
      <c r="M40" s="1065"/>
      <c r="N40" s="1075"/>
    </row>
    <row r="41" spans="1:14" ht="15" customHeight="1" x14ac:dyDescent="0.2">
      <c r="A41" s="1076"/>
      <c r="B41" s="1845"/>
      <c r="C41" s="1482" t="s">
        <v>1365</v>
      </c>
      <c r="D41" s="1172"/>
      <c r="E41" s="1172"/>
      <c r="F41" s="1172"/>
      <c r="G41" s="1172"/>
      <c r="H41" s="1172"/>
      <c r="I41" s="1172"/>
      <c r="J41" s="1172"/>
      <c r="K41" s="1172"/>
      <c r="L41" s="1172"/>
      <c r="M41" s="1065"/>
      <c r="N41" s="1075"/>
    </row>
    <row r="42" spans="1:14" ht="15" customHeight="1" x14ac:dyDescent="0.2">
      <c r="A42" s="1076"/>
      <c r="B42" s="1845"/>
      <c r="C42" s="1540" t="str">
        <f>CONCATENATE("Check: row ", ROW(C41), " ≥ row ", ROW(C40)," ≥ row ", ROW(C39))</f>
        <v>Check: row 41 ≥ row 40 ≥ row 39</v>
      </c>
      <c r="D42" s="927" t="str">
        <f>IF(AND(D41&gt;=D40, D40&gt;=D39), "Pass", "Fail")</f>
        <v>Pass</v>
      </c>
      <c r="E42" s="927" t="str">
        <f t="shared" ref="E42:M42" si="12">IF(AND(E41&gt;=E40, E40&gt;=E39), "Pass", "Fail")</f>
        <v>Pass</v>
      </c>
      <c r="F42" s="927" t="str">
        <f t="shared" si="12"/>
        <v>Pass</v>
      </c>
      <c r="G42" s="927" t="str">
        <f t="shared" si="12"/>
        <v>Pass</v>
      </c>
      <c r="H42" s="927" t="str">
        <f t="shared" si="12"/>
        <v>Pass</v>
      </c>
      <c r="I42" s="927" t="str">
        <f t="shared" si="12"/>
        <v>Pass</v>
      </c>
      <c r="J42" s="927" t="str">
        <f t="shared" si="12"/>
        <v>Pass</v>
      </c>
      <c r="K42" s="927" t="str">
        <f t="shared" si="12"/>
        <v>Pass</v>
      </c>
      <c r="L42" s="927" t="str">
        <f t="shared" si="12"/>
        <v>Pass</v>
      </c>
      <c r="M42" s="927" t="str">
        <f t="shared" si="12"/>
        <v>Pass</v>
      </c>
      <c r="N42" s="1075"/>
    </row>
    <row r="43" spans="1:14" ht="15" customHeight="1" x14ac:dyDescent="0.2">
      <c r="A43" s="1076"/>
      <c r="B43" s="1846"/>
      <c r="C43" s="1486" t="s">
        <v>1366</v>
      </c>
      <c r="D43" s="1116"/>
      <c r="E43" s="1116"/>
      <c r="F43" s="1116"/>
      <c r="G43" s="1116"/>
      <c r="H43" s="1116"/>
      <c r="I43" s="1116"/>
      <c r="J43" s="1116"/>
      <c r="K43" s="1116"/>
      <c r="L43" s="1116"/>
      <c r="M43" s="1342"/>
      <c r="N43" s="1075"/>
    </row>
    <row r="44" spans="1:14" ht="15" customHeight="1" x14ac:dyDescent="0.2">
      <c r="A44" s="1076"/>
      <c r="B44" s="1833" t="s">
        <v>1369</v>
      </c>
      <c r="C44" s="1485" t="s">
        <v>1395</v>
      </c>
      <c r="D44" s="1172"/>
      <c r="E44" s="1172"/>
      <c r="F44" s="1172"/>
      <c r="G44" s="1172"/>
      <c r="H44" s="1172"/>
      <c r="I44" s="1172"/>
      <c r="J44" s="1172"/>
      <c r="K44" s="1172"/>
      <c r="L44" s="1172"/>
      <c r="M44" s="1065"/>
      <c r="N44" s="1075"/>
    </row>
    <row r="45" spans="1:14" ht="15" customHeight="1" x14ac:dyDescent="0.2">
      <c r="A45" s="1076"/>
      <c r="B45" s="1834"/>
      <c r="C45" s="1485" t="s">
        <v>1396</v>
      </c>
      <c r="D45" s="1172"/>
      <c r="E45" s="1172"/>
      <c r="F45" s="1172"/>
      <c r="G45" s="1172"/>
      <c r="H45" s="1172"/>
      <c r="I45" s="1172"/>
      <c r="J45" s="1172"/>
      <c r="K45" s="1172"/>
      <c r="L45" s="1172"/>
      <c r="M45" s="1065"/>
      <c r="N45" s="1075"/>
    </row>
    <row r="46" spans="1:14" ht="15" customHeight="1" x14ac:dyDescent="0.2">
      <c r="A46" s="1076"/>
      <c r="B46" s="1834"/>
      <c r="C46" s="1485" t="s">
        <v>1394</v>
      </c>
      <c r="D46" s="1172"/>
      <c r="E46" s="1172"/>
      <c r="F46" s="1172"/>
      <c r="G46" s="1172"/>
      <c r="H46" s="1172"/>
      <c r="I46" s="1172"/>
      <c r="J46" s="1172"/>
      <c r="K46" s="1172"/>
      <c r="L46" s="1172"/>
      <c r="M46" s="1065"/>
      <c r="N46" s="1075"/>
    </row>
    <row r="47" spans="1:14" ht="15" customHeight="1" x14ac:dyDescent="0.2">
      <c r="A47" s="1076"/>
      <c r="B47" s="1834"/>
      <c r="C47" s="1485" t="s">
        <v>1393</v>
      </c>
      <c r="D47" s="1172"/>
      <c r="E47" s="1172"/>
      <c r="F47" s="1172"/>
      <c r="G47" s="1172"/>
      <c r="H47" s="1172"/>
      <c r="I47" s="1172"/>
      <c r="J47" s="1172"/>
      <c r="K47" s="1172"/>
      <c r="L47" s="1172"/>
      <c r="M47" s="1065"/>
      <c r="N47" s="1075"/>
    </row>
    <row r="48" spans="1:14" ht="15" customHeight="1" x14ac:dyDescent="0.2">
      <c r="A48" s="1076"/>
      <c r="B48" s="1834"/>
      <c r="C48" s="1540" t="str">
        <f>CONCATENATE("Check: row ", ROW(C47), " ≤ row ", ROW(C46)," ≤ row ", ROW(C45)," ≤ row ", ROW(C44))</f>
        <v>Check: row 47 ≤ row 46 ≤ row 45 ≤ row 44</v>
      </c>
      <c r="D48" s="927" t="str">
        <f>IF(AND(D47&lt;=D46, D46&lt;=D45, D45&lt;=D44), "Pass", "Fail")</f>
        <v>Pass</v>
      </c>
      <c r="E48" s="927" t="str">
        <f t="shared" ref="E48" si="13">IF(AND(E47&lt;=E46, E46&lt;=E45, E45&lt;=E44), "Pass", "Fail")</f>
        <v>Pass</v>
      </c>
      <c r="F48" s="927" t="str">
        <f t="shared" ref="F48" si="14">IF(AND(F47&lt;=F46, F46&lt;=F45, F45&lt;=F44), "Pass", "Fail")</f>
        <v>Pass</v>
      </c>
      <c r="G48" s="927" t="str">
        <f t="shared" ref="G48" si="15">IF(AND(G47&lt;=G46, G46&lt;=G45, G45&lt;=G44), "Pass", "Fail")</f>
        <v>Pass</v>
      </c>
      <c r="H48" s="927" t="str">
        <f t="shared" ref="H48" si="16">IF(AND(H47&lt;=H46, H46&lt;=H45, H45&lt;=H44), "Pass", "Fail")</f>
        <v>Pass</v>
      </c>
      <c r="I48" s="927" t="str">
        <f t="shared" ref="I48" si="17">IF(AND(I47&lt;=I46, I46&lt;=I45, I45&lt;=I44), "Pass", "Fail")</f>
        <v>Pass</v>
      </c>
      <c r="J48" s="927" t="str">
        <f t="shared" ref="J48" si="18">IF(AND(J47&lt;=J46, J46&lt;=J45, J45&lt;=J44), "Pass", "Fail")</f>
        <v>Pass</v>
      </c>
      <c r="K48" s="927" t="str">
        <f t="shared" ref="K48" si="19">IF(AND(K47&lt;=K46, K46&lt;=K45, K45&lt;=K44), "Pass", "Fail")</f>
        <v>Pass</v>
      </c>
      <c r="L48" s="927" t="str">
        <f t="shared" ref="L48" si="20">IF(AND(L47&lt;=L46, L46&lt;=L45, L45&lt;=L44), "Pass", "Fail")</f>
        <v>Pass</v>
      </c>
      <c r="M48" s="927" t="str">
        <f t="shared" ref="M48" si="21">IF(AND(M47&lt;=M46, M46&lt;=M45, M45&lt;=M44), "Pass", "Fail")</f>
        <v>Pass</v>
      </c>
      <c r="N48" s="1075"/>
    </row>
    <row r="49" spans="1:14" ht="15" customHeight="1" x14ac:dyDescent="0.2">
      <c r="A49" s="1076"/>
      <c r="B49" s="1834"/>
      <c r="C49" s="1485" t="s">
        <v>1392</v>
      </c>
      <c r="D49" s="1172"/>
      <c r="E49" s="1172"/>
      <c r="F49" s="1172"/>
      <c r="G49" s="1172"/>
      <c r="H49" s="1172"/>
      <c r="I49" s="1172"/>
      <c r="J49" s="1172"/>
      <c r="K49" s="1172"/>
      <c r="L49" s="1172"/>
      <c r="M49" s="1065"/>
      <c r="N49" s="1075"/>
    </row>
    <row r="50" spans="1:14" ht="15" customHeight="1" x14ac:dyDescent="0.2">
      <c r="A50" s="1076"/>
      <c r="B50" s="1834"/>
      <c r="C50" s="1485" t="s">
        <v>1397</v>
      </c>
      <c r="D50" s="1172"/>
      <c r="E50" s="1172"/>
      <c r="F50" s="1172"/>
      <c r="G50" s="1172"/>
      <c r="H50" s="1172"/>
      <c r="I50" s="1172"/>
      <c r="J50" s="1172"/>
      <c r="K50" s="1172"/>
      <c r="L50" s="1172"/>
      <c r="M50" s="1065"/>
      <c r="N50" s="1075"/>
    </row>
    <row r="51" spans="1:14" ht="15" customHeight="1" x14ac:dyDescent="0.2">
      <c r="A51" s="1076"/>
      <c r="B51" s="1834"/>
      <c r="C51" s="1482" t="s">
        <v>1391</v>
      </c>
      <c r="D51" s="1172"/>
      <c r="E51" s="1172"/>
      <c r="F51" s="1172"/>
      <c r="G51" s="1172"/>
      <c r="H51" s="1172"/>
      <c r="I51" s="1172"/>
      <c r="J51" s="1172"/>
      <c r="K51" s="1172"/>
      <c r="L51" s="1172"/>
      <c r="M51" s="1065"/>
      <c r="N51" s="1075"/>
    </row>
    <row r="52" spans="1:14" ht="15" customHeight="1" x14ac:dyDescent="0.2">
      <c r="A52" s="1076"/>
      <c r="B52" s="1834"/>
      <c r="C52" s="1482" t="s">
        <v>1390</v>
      </c>
      <c r="D52" s="1172"/>
      <c r="E52" s="1172"/>
      <c r="F52" s="1172"/>
      <c r="G52" s="1172"/>
      <c r="H52" s="1172"/>
      <c r="I52" s="1172"/>
      <c r="J52" s="1172"/>
      <c r="K52" s="1172"/>
      <c r="L52" s="1172"/>
      <c r="M52" s="1065"/>
      <c r="N52" s="1075"/>
    </row>
    <row r="53" spans="1:14" ht="15" customHeight="1" x14ac:dyDescent="0.2">
      <c r="A53" s="1076"/>
      <c r="B53" s="1834"/>
      <c r="C53" s="1540" t="str">
        <f>CONCATENATE("Check: row ", ROW(C52), " ≤ row ", ROW(C51)," ≤ row ", ROW(C50)," ≤ row ", ROW(C49))</f>
        <v>Check: row 52 ≤ row 51 ≤ row 50 ≤ row 49</v>
      </c>
      <c r="D53" s="927" t="str">
        <f>IF(AND(D52&lt;=D51, D51&lt;=D50, D50&lt;=D49), "Pass", "Fail")</f>
        <v>Pass</v>
      </c>
      <c r="E53" s="927" t="str">
        <f t="shared" ref="E53" si="22">IF(AND(E52&lt;=E51, E51&lt;=E50, E50&lt;=E49), "Pass", "Fail")</f>
        <v>Pass</v>
      </c>
      <c r="F53" s="927" t="str">
        <f t="shared" ref="F53" si="23">IF(AND(F52&lt;=F51, F51&lt;=F50, F50&lt;=F49), "Pass", "Fail")</f>
        <v>Pass</v>
      </c>
      <c r="G53" s="927" t="str">
        <f t="shared" ref="G53" si="24">IF(AND(G52&lt;=G51, G51&lt;=G50, G50&lt;=G49), "Pass", "Fail")</f>
        <v>Pass</v>
      </c>
      <c r="H53" s="927" t="str">
        <f t="shared" ref="H53" si="25">IF(AND(H52&lt;=H51, H51&lt;=H50, H50&lt;=H49), "Pass", "Fail")</f>
        <v>Pass</v>
      </c>
      <c r="I53" s="927" t="str">
        <f t="shared" ref="I53" si="26">IF(AND(I52&lt;=I51, I51&lt;=I50, I50&lt;=I49), "Pass", "Fail")</f>
        <v>Pass</v>
      </c>
      <c r="J53" s="927" t="str">
        <f t="shared" ref="J53" si="27">IF(AND(J52&lt;=J51, J51&lt;=J50, J50&lt;=J49), "Pass", "Fail")</f>
        <v>Pass</v>
      </c>
      <c r="K53" s="927" t="str">
        <f t="shared" ref="K53" si="28">IF(AND(K52&lt;=K51, K51&lt;=K50, K50&lt;=K49), "Pass", "Fail")</f>
        <v>Pass</v>
      </c>
      <c r="L53" s="927" t="str">
        <f t="shared" ref="L53" si="29">IF(AND(L52&lt;=L51, L51&lt;=L50, L50&lt;=L49), "Pass", "Fail")</f>
        <v>Pass</v>
      </c>
      <c r="M53" s="927" t="str">
        <f t="shared" ref="M53" si="30">IF(AND(M52&lt;=M51, M51&lt;=M50, M50&lt;=M49), "Pass", "Fail")</f>
        <v>Pass</v>
      </c>
      <c r="N53" s="1075"/>
    </row>
    <row r="54" spans="1:14" ht="15" customHeight="1" x14ac:dyDescent="0.2">
      <c r="A54" s="1076"/>
      <c r="B54" s="1834"/>
      <c r="C54" s="1482" t="s">
        <v>1364</v>
      </c>
      <c r="D54" s="1172"/>
      <c r="E54" s="1172"/>
      <c r="F54" s="1172"/>
      <c r="G54" s="1172"/>
      <c r="H54" s="1172"/>
      <c r="I54" s="1172"/>
      <c r="J54" s="1172"/>
      <c r="K54" s="1172"/>
      <c r="L54" s="1172"/>
      <c r="M54" s="1065"/>
      <c r="N54" s="1075"/>
    </row>
    <row r="55" spans="1:14" ht="15" customHeight="1" x14ac:dyDescent="0.2">
      <c r="A55" s="1076"/>
      <c r="B55" s="1834"/>
      <c r="C55" s="1482" t="s">
        <v>1363</v>
      </c>
      <c r="D55" s="1172"/>
      <c r="E55" s="1172"/>
      <c r="F55" s="1172"/>
      <c r="G55" s="1172"/>
      <c r="H55" s="1172"/>
      <c r="I55" s="1172"/>
      <c r="J55" s="1172"/>
      <c r="K55" s="1172"/>
      <c r="L55" s="1172"/>
      <c r="M55" s="1065"/>
      <c r="N55" s="1075"/>
    </row>
    <row r="56" spans="1:14" ht="15" customHeight="1" x14ac:dyDescent="0.2">
      <c r="A56" s="1076"/>
      <c r="B56" s="1834"/>
      <c r="C56" s="1482" t="s">
        <v>1365</v>
      </c>
      <c r="D56" s="1172"/>
      <c r="E56" s="1172"/>
      <c r="F56" s="1172"/>
      <c r="G56" s="1172"/>
      <c r="H56" s="1172"/>
      <c r="I56" s="1172"/>
      <c r="J56" s="1172"/>
      <c r="K56" s="1172"/>
      <c r="L56" s="1172"/>
      <c r="M56" s="1065"/>
      <c r="N56" s="1075"/>
    </row>
    <row r="57" spans="1:14" ht="15" customHeight="1" x14ac:dyDescent="0.2">
      <c r="A57" s="1076"/>
      <c r="B57" s="1834"/>
      <c r="C57" s="1540" t="str">
        <f>CONCATENATE("Check: row ", ROW(C56), " ≥ row ", ROW(C55)," ≥ row ", ROW(C54))</f>
        <v>Check: row 56 ≥ row 55 ≥ row 54</v>
      </c>
      <c r="D57" s="927" t="str">
        <f>IF(AND(D56&gt;=D55, D55&gt;=D54), "Pass", "Fail")</f>
        <v>Pass</v>
      </c>
      <c r="E57" s="927" t="str">
        <f t="shared" ref="E57" si="31">IF(AND(E56&gt;=E55, E55&gt;=E54), "Pass", "Fail")</f>
        <v>Pass</v>
      </c>
      <c r="F57" s="927" t="str">
        <f t="shared" ref="F57" si="32">IF(AND(F56&gt;=F55, F55&gt;=F54), "Pass", "Fail")</f>
        <v>Pass</v>
      </c>
      <c r="G57" s="927" t="str">
        <f t="shared" ref="G57" si="33">IF(AND(G56&gt;=G55, G55&gt;=G54), "Pass", "Fail")</f>
        <v>Pass</v>
      </c>
      <c r="H57" s="927" t="str">
        <f t="shared" ref="H57" si="34">IF(AND(H56&gt;=H55, H55&gt;=H54), "Pass", "Fail")</f>
        <v>Pass</v>
      </c>
      <c r="I57" s="927" t="str">
        <f t="shared" ref="I57" si="35">IF(AND(I56&gt;=I55, I55&gt;=I54), "Pass", "Fail")</f>
        <v>Pass</v>
      </c>
      <c r="J57" s="927" t="str">
        <f t="shared" ref="J57" si="36">IF(AND(J56&gt;=J55, J55&gt;=J54), "Pass", "Fail")</f>
        <v>Pass</v>
      </c>
      <c r="K57" s="927" t="str">
        <f t="shared" ref="K57" si="37">IF(AND(K56&gt;=K55, K55&gt;=K54), "Pass", "Fail")</f>
        <v>Pass</v>
      </c>
      <c r="L57" s="927" t="str">
        <f t="shared" ref="L57" si="38">IF(AND(L56&gt;=L55, L55&gt;=L54), "Pass", "Fail")</f>
        <v>Pass</v>
      </c>
      <c r="M57" s="927" t="str">
        <f t="shared" ref="M57" si="39">IF(AND(M56&gt;=M55, M55&gt;=M54), "Pass", "Fail")</f>
        <v>Pass</v>
      </c>
      <c r="N57" s="1075"/>
    </row>
    <row r="58" spans="1:14" ht="15" customHeight="1" x14ac:dyDescent="0.2">
      <c r="A58" s="1076"/>
      <c r="B58" s="1835"/>
      <c r="C58" s="1486" t="s">
        <v>1366</v>
      </c>
      <c r="D58" s="1116"/>
      <c r="E58" s="1116"/>
      <c r="F58" s="1116"/>
      <c r="G58" s="1116"/>
      <c r="H58" s="1116"/>
      <c r="I58" s="1116"/>
      <c r="J58" s="1116"/>
      <c r="K58" s="1116"/>
      <c r="L58" s="1116"/>
      <c r="M58" s="1342"/>
      <c r="N58" s="1075"/>
    </row>
    <row r="59" spans="1:14" ht="15" customHeight="1" x14ac:dyDescent="0.2">
      <c r="A59" s="1076"/>
      <c r="B59" s="1833" t="s">
        <v>1368</v>
      </c>
      <c r="C59" s="1485" t="s">
        <v>1395</v>
      </c>
      <c r="D59" s="1172"/>
      <c r="E59" s="1172"/>
      <c r="F59" s="1172"/>
      <c r="G59" s="1172"/>
      <c r="H59" s="1172"/>
      <c r="I59" s="1172"/>
      <c r="J59" s="1172"/>
      <c r="K59" s="1172"/>
      <c r="L59" s="1172"/>
      <c r="M59" s="1065"/>
      <c r="N59" s="1075"/>
    </row>
    <row r="60" spans="1:14" ht="15" customHeight="1" x14ac:dyDescent="0.2">
      <c r="A60" s="1076"/>
      <c r="B60" s="1834"/>
      <c r="C60" s="1485" t="s">
        <v>1396</v>
      </c>
      <c r="D60" s="1172"/>
      <c r="E60" s="1172"/>
      <c r="F60" s="1172"/>
      <c r="G60" s="1172"/>
      <c r="H60" s="1172"/>
      <c r="I60" s="1172"/>
      <c r="J60" s="1172"/>
      <c r="K60" s="1172"/>
      <c r="L60" s="1172"/>
      <c r="M60" s="1065"/>
      <c r="N60" s="1075"/>
    </row>
    <row r="61" spans="1:14" ht="15" customHeight="1" x14ac:dyDescent="0.2">
      <c r="A61" s="1076"/>
      <c r="B61" s="1834"/>
      <c r="C61" s="1485" t="s">
        <v>1394</v>
      </c>
      <c r="D61" s="1172"/>
      <c r="E61" s="1172"/>
      <c r="F61" s="1172"/>
      <c r="G61" s="1172"/>
      <c r="H61" s="1172"/>
      <c r="I61" s="1172"/>
      <c r="J61" s="1172"/>
      <c r="K61" s="1172"/>
      <c r="L61" s="1172"/>
      <c r="M61" s="1065"/>
      <c r="N61" s="1075"/>
    </row>
    <row r="62" spans="1:14" ht="15" customHeight="1" x14ac:dyDescent="0.2">
      <c r="A62" s="1076"/>
      <c r="B62" s="1834"/>
      <c r="C62" s="1485" t="s">
        <v>1393</v>
      </c>
      <c r="D62" s="1172"/>
      <c r="E62" s="1172"/>
      <c r="F62" s="1172"/>
      <c r="G62" s="1172"/>
      <c r="H62" s="1172"/>
      <c r="I62" s="1172"/>
      <c r="J62" s="1172"/>
      <c r="K62" s="1172"/>
      <c r="L62" s="1172"/>
      <c r="M62" s="1065"/>
      <c r="N62" s="1075"/>
    </row>
    <row r="63" spans="1:14" ht="15" customHeight="1" x14ac:dyDescent="0.2">
      <c r="A63" s="1076"/>
      <c r="B63" s="1834"/>
      <c r="C63" s="1540" t="str">
        <f>CONCATENATE("Check: row ", ROW(C62), " ≤ row ", ROW(C61)," ≤ row ", ROW(C60)," ≤ row ", ROW(C59))</f>
        <v>Check: row 62 ≤ row 61 ≤ row 60 ≤ row 59</v>
      </c>
      <c r="D63" s="927" t="str">
        <f>IF(AND(D62&lt;=D61, D61&lt;=D60, D60&lt;=D59), "Pass", "Fail")</f>
        <v>Pass</v>
      </c>
      <c r="E63" s="927" t="str">
        <f t="shared" ref="E63" si="40">IF(AND(E62&lt;=E61, E61&lt;=E60, E60&lt;=E59), "Pass", "Fail")</f>
        <v>Pass</v>
      </c>
      <c r="F63" s="927" t="str">
        <f t="shared" ref="F63" si="41">IF(AND(F62&lt;=F61, F61&lt;=F60, F60&lt;=F59), "Pass", "Fail")</f>
        <v>Pass</v>
      </c>
      <c r="G63" s="927" t="str">
        <f t="shared" ref="G63" si="42">IF(AND(G62&lt;=G61, G61&lt;=G60, G60&lt;=G59), "Pass", "Fail")</f>
        <v>Pass</v>
      </c>
      <c r="H63" s="927" t="str">
        <f t="shared" ref="H63" si="43">IF(AND(H62&lt;=H61, H61&lt;=H60, H60&lt;=H59), "Pass", "Fail")</f>
        <v>Pass</v>
      </c>
      <c r="I63" s="927" t="str">
        <f t="shared" ref="I63" si="44">IF(AND(I62&lt;=I61, I61&lt;=I60, I60&lt;=I59), "Pass", "Fail")</f>
        <v>Pass</v>
      </c>
      <c r="J63" s="927" t="str">
        <f t="shared" ref="J63" si="45">IF(AND(J62&lt;=J61, J61&lt;=J60, J60&lt;=J59), "Pass", "Fail")</f>
        <v>Pass</v>
      </c>
      <c r="K63" s="927" t="str">
        <f t="shared" ref="K63" si="46">IF(AND(K62&lt;=K61, K61&lt;=K60, K60&lt;=K59), "Pass", "Fail")</f>
        <v>Pass</v>
      </c>
      <c r="L63" s="927" t="str">
        <f t="shared" ref="L63" si="47">IF(AND(L62&lt;=L61, L61&lt;=L60, L60&lt;=L59), "Pass", "Fail")</f>
        <v>Pass</v>
      </c>
      <c r="M63" s="927" t="str">
        <f t="shared" ref="M63" si="48">IF(AND(M62&lt;=M61, M61&lt;=M60, M60&lt;=M59), "Pass", "Fail")</f>
        <v>Pass</v>
      </c>
      <c r="N63" s="1075"/>
    </row>
    <row r="64" spans="1:14" ht="15" customHeight="1" x14ac:dyDescent="0.2">
      <c r="A64" s="1076"/>
      <c r="B64" s="1834"/>
      <c r="C64" s="1485" t="s">
        <v>1392</v>
      </c>
      <c r="D64" s="1172"/>
      <c r="E64" s="1172"/>
      <c r="F64" s="1172"/>
      <c r="G64" s="1172"/>
      <c r="H64" s="1172"/>
      <c r="I64" s="1172"/>
      <c r="J64" s="1172"/>
      <c r="K64" s="1172"/>
      <c r="L64" s="1172"/>
      <c r="M64" s="1065"/>
      <c r="N64" s="1075"/>
    </row>
    <row r="65" spans="1:14" ht="15" customHeight="1" x14ac:dyDescent="0.2">
      <c r="A65" s="1076"/>
      <c r="B65" s="1834"/>
      <c r="C65" s="1485" t="s">
        <v>1397</v>
      </c>
      <c r="D65" s="1172"/>
      <c r="E65" s="1172"/>
      <c r="F65" s="1172"/>
      <c r="G65" s="1172"/>
      <c r="H65" s="1172"/>
      <c r="I65" s="1172"/>
      <c r="J65" s="1172"/>
      <c r="K65" s="1172"/>
      <c r="L65" s="1172"/>
      <c r="M65" s="1065"/>
      <c r="N65" s="1075"/>
    </row>
    <row r="66" spans="1:14" ht="15" customHeight="1" x14ac:dyDescent="0.2">
      <c r="A66" s="1076"/>
      <c r="B66" s="1834"/>
      <c r="C66" s="1482" t="s">
        <v>1391</v>
      </c>
      <c r="D66" s="1172"/>
      <c r="E66" s="1172"/>
      <c r="F66" s="1172"/>
      <c r="G66" s="1172"/>
      <c r="H66" s="1172"/>
      <c r="I66" s="1172"/>
      <c r="J66" s="1172"/>
      <c r="K66" s="1172"/>
      <c r="L66" s="1172"/>
      <c r="M66" s="1065"/>
      <c r="N66" s="1075"/>
    </row>
    <row r="67" spans="1:14" ht="15" customHeight="1" x14ac:dyDescent="0.2">
      <c r="A67" s="1076"/>
      <c r="B67" s="1834"/>
      <c r="C67" s="1482" t="s">
        <v>1390</v>
      </c>
      <c r="D67" s="1172"/>
      <c r="E67" s="1172"/>
      <c r="F67" s="1172"/>
      <c r="G67" s="1172"/>
      <c r="H67" s="1172"/>
      <c r="I67" s="1172"/>
      <c r="J67" s="1172"/>
      <c r="K67" s="1172"/>
      <c r="L67" s="1172"/>
      <c r="M67" s="1065"/>
      <c r="N67" s="1075"/>
    </row>
    <row r="68" spans="1:14" ht="15" customHeight="1" x14ac:dyDescent="0.2">
      <c r="A68" s="1076"/>
      <c r="B68" s="1834"/>
      <c r="C68" s="1540" t="str">
        <f>CONCATENATE("Check: row ", ROW(C67), " ≤ row ", ROW(C66)," ≤ row ", ROW(C65)," ≤ row ", ROW(C64))</f>
        <v>Check: row 67 ≤ row 66 ≤ row 65 ≤ row 64</v>
      </c>
      <c r="D68" s="927" t="str">
        <f>IF(AND(D67&lt;=D66, D66&lt;=D65, D65&lt;=D64), "Pass", "Fail")</f>
        <v>Pass</v>
      </c>
      <c r="E68" s="927" t="str">
        <f t="shared" ref="E68" si="49">IF(AND(E67&lt;=E66, E66&lt;=E65, E65&lt;=E64), "Pass", "Fail")</f>
        <v>Pass</v>
      </c>
      <c r="F68" s="927" t="str">
        <f t="shared" ref="F68" si="50">IF(AND(F67&lt;=F66, F66&lt;=F65, F65&lt;=F64), "Pass", "Fail")</f>
        <v>Pass</v>
      </c>
      <c r="G68" s="927" t="str">
        <f t="shared" ref="G68" si="51">IF(AND(G67&lt;=G66, G66&lt;=G65, G65&lt;=G64), "Pass", "Fail")</f>
        <v>Pass</v>
      </c>
      <c r="H68" s="927" t="str">
        <f t="shared" ref="H68" si="52">IF(AND(H67&lt;=H66, H66&lt;=H65, H65&lt;=H64), "Pass", "Fail")</f>
        <v>Pass</v>
      </c>
      <c r="I68" s="927" t="str">
        <f t="shared" ref="I68" si="53">IF(AND(I67&lt;=I66, I66&lt;=I65, I65&lt;=I64), "Pass", "Fail")</f>
        <v>Pass</v>
      </c>
      <c r="J68" s="927" t="str">
        <f t="shared" ref="J68" si="54">IF(AND(J67&lt;=J66, J66&lt;=J65, J65&lt;=J64), "Pass", "Fail")</f>
        <v>Pass</v>
      </c>
      <c r="K68" s="927" t="str">
        <f t="shared" ref="K68" si="55">IF(AND(K67&lt;=K66, K66&lt;=K65, K65&lt;=K64), "Pass", "Fail")</f>
        <v>Pass</v>
      </c>
      <c r="L68" s="927" t="str">
        <f t="shared" ref="L68" si="56">IF(AND(L67&lt;=L66, L66&lt;=L65, L65&lt;=L64), "Pass", "Fail")</f>
        <v>Pass</v>
      </c>
      <c r="M68" s="927" t="str">
        <f t="shared" ref="M68" si="57">IF(AND(M67&lt;=M66, M66&lt;=M65, M65&lt;=M64), "Pass", "Fail")</f>
        <v>Pass</v>
      </c>
      <c r="N68" s="1075"/>
    </row>
    <row r="69" spans="1:14" ht="15" customHeight="1" x14ac:dyDescent="0.2">
      <c r="A69" s="1076"/>
      <c r="B69" s="1834"/>
      <c r="C69" s="1482" t="s">
        <v>1364</v>
      </c>
      <c r="D69" s="1172"/>
      <c r="E69" s="1172"/>
      <c r="F69" s="1172"/>
      <c r="G69" s="1172"/>
      <c r="H69" s="1172"/>
      <c r="I69" s="1172"/>
      <c r="J69" s="1172"/>
      <c r="K69" s="1172"/>
      <c r="L69" s="1172"/>
      <c r="M69" s="1065"/>
      <c r="N69" s="1075"/>
    </row>
    <row r="70" spans="1:14" ht="15" customHeight="1" x14ac:dyDescent="0.2">
      <c r="A70" s="1076"/>
      <c r="B70" s="1834"/>
      <c r="C70" s="1482" t="s">
        <v>1363</v>
      </c>
      <c r="D70" s="1172"/>
      <c r="E70" s="1172"/>
      <c r="F70" s="1172"/>
      <c r="G70" s="1172"/>
      <c r="H70" s="1172"/>
      <c r="I70" s="1172"/>
      <c r="J70" s="1172"/>
      <c r="K70" s="1172"/>
      <c r="L70" s="1172"/>
      <c r="M70" s="1065"/>
      <c r="N70" s="1075"/>
    </row>
    <row r="71" spans="1:14" ht="15" customHeight="1" x14ac:dyDescent="0.2">
      <c r="A71" s="1076"/>
      <c r="B71" s="1834"/>
      <c r="C71" s="1482" t="s">
        <v>1365</v>
      </c>
      <c r="D71" s="1172"/>
      <c r="E71" s="1172"/>
      <c r="F71" s="1172"/>
      <c r="G71" s="1172"/>
      <c r="H71" s="1172"/>
      <c r="I71" s="1172"/>
      <c r="J71" s="1172"/>
      <c r="K71" s="1172"/>
      <c r="L71" s="1172"/>
      <c r="M71" s="1065"/>
      <c r="N71" s="1075"/>
    </row>
    <row r="72" spans="1:14" ht="15" customHeight="1" x14ac:dyDescent="0.2">
      <c r="A72" s="1076"/>
      <c r="B72" s="1834"/>
      <c r="C72" s="1540" t="str">
        <f>CONCATENATE("Check: row ", ROW(C71), " ≥ row ", ROW(C70)," ≥ row ", ROW(C69))</f>
        <v>Check: row 71 ≥ row 70 ≥ row 69</v>
      </c>
      <c r="D72" s="927" t="str">
        <f>IF(AND(D71&gt;=D70, D70&gt;=D69), "Pass", "Fail")</f>
        <v>Pass</v>
      </c>
      <c r="E72" s="927" t="str">
        <f t="shared" ref="E72" si="58">IF(AND(E71&gt;=E70, E70&gt;=E69), "Pass", "Fail")</f>
        <v>Pass</v>
      </c>
      <c r="F72" s="927" t="str">
        <f t="shared" ref="F72" si="59">IF(AND(F71&gt;=F70, F70&gt;=F69), "Pass", "Fail")</f>
        <v>Pass</v>
      </c>
      <c r="G72" s="927" t="str">
        <f t="shared" ref="G72" si="60">IF(AND(G71&gt;=G70, G70&gt;=G69), "Pass", "Fail")</f>
        <v>Pass</v>
      </c>
      <c r="H72" s="927" t="str">
        <f t="shared" ref="H72" si="61">IF(AND(H71&gt;=H70, H70&gt;=H69), "Pass", "Fail")</f>
        <v>Pass</v>
      </c>
      <c r="I72" s="927" t="str">
        <f t="shared" ref="I72" si="62">IF(AND(I71&gt;=I70, I70&gt;=I69), "Pass", "Fail")</f>
        <v>Pass</v>
      </c>
      <c r="J72" s="927" t="str">
        <f t="shared" ref="J72" si="63">IF(AND(J71&gt;=J70, J70&gt;=J69), "Pass", "Fail")</f>
        <v>Pass</v>
      </c>
      <c r="K72" s="927" t="str">
        <f t="shared" ref="K72" si="64">IF(AND(K71&gt;=K70, K70&gt;=K69), "Pass", "Fail")</f>
        <v>Pass</v>
      </c>
      <c r="L72" s="927" t="str">
        <f t="shared" ref="L72" si="65">IF(AND(L71&gt;=L70, L70&gt;=L69), "Pass", "Fail")</f>
        <v>Pass</v>
      </c>
      <c r="M72" s="927" t="str">
        <f t="shared" ref="M72" si="66">IF(AND(M71&gt;=M70, M70&gt;=M69), "Pass", "Fail")</f>
        <v>Pass</v>
      </c>
      <c r="N72" s="1075"/>
    </row>
    <row r="73" spans="1:14" ht="15" customHeight="1" x14ac:dyDescent="0.2">
      <c r="A73" s="1076"/>
      <c r="B73" s="1835"/>
      <c r="C73" s="1486" t="s">
        <v>1366</v>
      </c>
      <c r="D73" s="1116"/>
      <c r="E73" s="1116"/>
      <c r="F73" s="1116"/>
      <c r="G73" s="1116"/>
      <c r="H73" s="1116"/>
      <c r="I73" s="1116"/>
      <c r="J73" s="1116"/>
      <c r="K73" s="1116"/>
      <c r="L73" s="1116"/>
      <c r="M73" s="1342"/>
      <c r="N73" s="1075"/>
    </row>
    <row r="74" spans="1:14" ht="15" customHeight="1" x14ac:dyDescent="0.2">
      <c r="A74" s="1076"/>
      <c r="B74" s="1833" t="s">
        <v>1370</v>
      </c>
      <c r="C74" s="1485" t="s">
        <v>1395</v>
      </c>
      <c r="D74" s="1172"/>
      <c r="E74" s="1172"/>
      <c r="F74" s="1172"/>
      <c r="G74" s="1172"/>
      <c r="H74" s="1172"/>
      <c r="I74" s="1172"/>
      <c r="J74" s="1172"/>
      <c r="K74" s="1172"/>
      <c r="L74" s="1172"/>
      <c r="M74" s="1065"/>
      <c r="N74" s="1075"/>
    </row>
    <row r="75" spans="1:14" ht="15" customHeight="1" x14ac:dyDescent="0.2">
      <c r="A75" s="1076"/>
      <c r="B75" s="1834"/>
      <c r="C75" s="1485" t="s">
        <v>1396</v>
      </c>
      <c r="D75" s="1172"/>
      <c r="E75" s="1172"/>
      <c r="F75" s="1172"/>
      <c r="G75" s="1172"/>
      <c r="H75" s="1172"/>
      <c r="I75" s="1172"/>
      <c r="J75" s="1172"/>
      <c r="K75" s="1172"/>
      <c r="L75" s="1172"/>
      <c r="M75" s="1065"/>
      <c r="N75" s="1075"/>
    </row>
    <row r="76" spans="1:14" ht="15" customHeight="1" x14ac:dyDescent="0.2">
      <c r="A76" s="1076"/>
      <c r="B76" s="1834"/>
      <c r="C76" s="1485" t="s">
        <v>1394</v>
      </c>
      <c r="D76" s="1172"/>
      <c r="E76" s="1172"/>
      <c r="F76" s="1172"/>
      <c r="G76" s="1172"/>
      <c r="H76" s="1172"/>
      <c r="I76" s="1172"/>
      <c r="J76" s="1172"/>
      <c r="K76" s="1172"/>
      <c r="L76" s="1172"/>
      <c r="M76" s="1065"/>
      <c r="N76" s="1075"/>
    </row>
    <row r="77" spans="1:14" ht="15" customHeight="1" x14ac:dyDescent="0.2">
      <c r="A77" s="1076"/>
      <c r="B77" s="1834"/>
      <c r="C77" s="1485" t="s">
        <v>1393</v>
      </c>
      <c r="D77" s="1172"/>
      <c r="E77" s="1172"/>
      <c r="F77" s="1172"/>
      <c r="G77" s="1172"/>
      <c r="H77" s="1172"/>
      <c r="I77" s="1172"/>
      <c r="J77" s="1172"/>
      <c r="K77" s="1172"/>
      <c r="L77" s="1172"/>
      <c r="M77" s="1065"/>
      <c r="N77" s="1075"/>
    </row>
    <row r="78" spans="1:14" ht="15" customHeight="1" x14ac:dyDescent="0.2">
      <c r="A78" s="1076"/>
      <c r="B78" s="1834"/>
      <c r="C78" s="1540" t="str">
        <f>CONCATENATE("Check: row ", ROW(C77), " ≤ row ", ROW(C76)," ≤ row ", ROW(C75)," ≤ row ", ROW(C74))</f>
        <v>Check: row 77 ≤ row 76 ≤ row 75 ≤ row 74</v>
      </c>
      <c r="D78" s="927" t="str">
        <f>IF(AND(D77&lt;=D76, D76&lt;=D75, D75&lt;=D74), "Pass", "Fail")</f>
        <v>Pass</v>
      </c>
      <c r="E78" s="927" t="str">
        <f t="shared" ref="E78" si="67">IF(AND(E77&lt;=E76, E76&lt;=E75, E75&lt;=E74), "Pass", "Fail")</f>
        <v>Pass</v>
      </c>
      <c r="F78" s="927" t="str">
        <f t="shared" ref="F78" si="68">IF(AND(F77&lt;=F76, F76&lt;=F75, F75&lt;=F74), "Pass", "Fail")</f>
        <v>Pass</v>
      </c>
      <c r="G78" s="927" t="str">
        <f t="shared" ref="G78" si="69">IF(AND(G77&lt;=G76, G76&lt;=G75, G75&lt;=G74), "Pass", "Fail")</f>
        <v>Pass</v>
      </c>
      <c r="H78" s="927" t="str">
        <f t="shared" ref="H78" si="70">IF(AND(H77&lt;=H76, H76&lt;=H75, H75&lt;=H74), "Pass", "Fail")</f>
        <v>Pass</v>
      </c>
      <c r="I78" s="927" t="str">
        <f t="shared" ref="I78" si="71">IF(AND(I77&lt;=I76, I76&lt;=I75, I75&lt;=I74), "Pass", "Fail")</f>
        <v>Pass</v>
      </c>
      <c r="J78" s="927" t="str">
        <f t="shared" ref="J78" si="72">IF(AND(J77&lt;=J76, J76&lt;=J75, J75&lt;=J74), "Pass", "Fail")</f>
        <v>Pass</v>
      </c>
      <c r="K78" s="927" t="str">
        <f t="shared" ref="K78" si="73">IF(AND(K77&lt;=K76, K76&lt;=K75, K75&lt;=K74), "Pass", "Fail")</f>
        <v>Pass</v>
      </c>
      <c r="L78" s="927" t="str">
        <f t="shared" ref="L78" si="74">IF(AND(L77&lt;=L76, L76&lt;=L75, L75&lt;=L74), "Pass", "Fail")</f>
        <v>Pass</v>
      </c>
      <c r="M78" s="927" t="str">
        <f t="shared" ref="M78" si="75">IF(AND(M77&lt;=M76, M76&lt;=M75, M75&lt;=M74), "Pass", "Fail")</f>
        <v>Pass</v>
      </c>
      <c r="N78" s="1075"/>
    </row>
    <row r="79" spans="1:14" ht="15" customHeight="1" x14ac:dyDescent="0.2">
      <c r="A79" s="1076"/>
      <c r="B79" s="1834"/>
      <c r="C79" s="1485" t="s">
        <v>1392</v>
      </c>
      <c r="D79" s="1172"/>
      <c r="E79" s="1172"/>
      <c r="F79" s="1172"/>
      <c r="G79" s="1172"/>
      <c r="H79" s="1172"/>
      <c r="I79" s="1172"/>
      <c r="J79" s="1172"/>
      <c r="K79" s="1172"/>
      <c r="L79" s="1172"/>
      <c r="M79" s="1065"/>
      <c r="N79" s="1075"/>
    </row>
    <row r="80" spans="1:14" ht="15" customHeight="1" x14ac:dyDescent="0.2">
      <c r="A80" s="1076"/>
      <c r="B80" s="1834"/>
      <c r="C80" s="1485" t="s">
        <v>1397</v>
      </c>
      <c r="D80" s="1172"/>
      <c r="E80" s="1172"/>
      <c r="F80" s="1172"/>
      <c r="G80" s="1172"/>
      <c r="H80" s="1172"/>
      <c r="I80" s="1172"/>
      <c r="J80" s="1172"/>
      <c r="K80" s="1172"/>
      <c r="L80" s="1172"/>
      <c r="M80" s="1065"/>
      <c r="N80" s="1075"/>
    </row>
    <row r="81" spans="1:14" ht="15" customHeight="1" x14ac:dyDescent="0.2">
      <c r="A81" s="1076"/>
      <c r="B81" s="1834"/>
      <c r="C81" s="1482" t="s">
        <v>1391</v>
      </c>
      <c r="D81" s="1172"/>
      <c r="E81" s="1172"/>
      <c r="F81" s="1172"/>
      <c r="G81" s="1172"/>
      <c r="H81" s="1172"/>
      <c r="I81" s="1172"/>
      <c r="J81" s="1172"/>
      <c r="K81" s="1172"/>
      <c r="L81" s="1172"/>
      <c r="M81" s="1065"/>
      <c r="N81" s="1075"/>
    </row>
    <row r="82" spans="1:14" ht="15" customHeight="1" x14ac:dyDescent="0.2">
      <c r="A82" s="1076"/>
      <c r="B82" s="1834"/>
      <c r="C82" s="1482" t="s">
        <v>1390</v>
      </c>
      <c r="D82" s="1172"/>
      <c r="E82" s="1172"/>
      <c r="F82" s="1172"/>
      <c r="G82" s="1172"/>
      <c r="H82" s="1172"/>
      <c r="I82" s="1172"/>
      <c r="J82" s="1172"/>
      <c r="K82" s="1172"/>
      <c r="L82" s="1172"/>
      <c r="M82" s="1065"/>
      <c r="N82" s="1075"/>
    </row>
    <row r="83" spans="1:14" ht="15" customHeight="1" x14ac:dyDescent="0.2">
      <c r="A83" s="1076"/>
      <c r="B83" s="1834"/>
      <c r="C83" s="1540" t="str">
        <f>CONCATENATE("Check: row ", ROW(C82), " ≤ row ", ROW(C81)," ≤ row ", ROW(C80)," ≤ row ", ROW(C79))</f>
        <v>Check: row 82 ≤ row 81 ≤ row 80 ≤ row 79</v>
      </c>
      <c r="D83" s="927" t="str">
        <f>IF(AND(D82&lt;=D81, D81&lt;=D80, D80&lt;=D79), "Pass", "Fail")</f>
        <v>Pass</v>
      </c>
      <c r="E83" s="927" t="str">
        <f t="shared" ref="E83" si="76">IF(AND(E82&lt;=E81, E81&lt;=E80, E80&lt;=E79), "Pass", "Fail")</f>
        <v>Pass</v>
      </c>
      <c r="F83" s="927" t="str">
        <f t="shared" ref="F83" si="77">IF(AND(F82&lt;=F81, F81&lt;=F80, F80&lt;=F79), "Pass", "Fail")</f>
        <v>Pass</v>
      </c>
      <c r="G83" s="927" t="str">
        <f t="shared" ref="G83" si="78">IF(AND(G82&lt;=G81, G81&lt;=G80, G80&lt;=G79), "Pass", "Fail")</f>
        <v>Pass</v>
      </c>
      <c r="H83" s="927" t="str">
        <f t="shared" ref="H83" si="79">IF(AND(H82&lt;=H81, H81&lt;=H80, H80&lt;=H79), "Pass", "Fail")</f>
        <v>Pass</v>
      </c>
      <c r="I83" s="927" t="str">
        <f t="shared" ref="I83" si="80">IF(AND(I82&lt;=I81, I81&lt;=I80, I80&lt;=I79), "Pass", "Fail")</f>
        <v>Pass</v>
      </c>
      <c r="J83" s="927" t="str">
        <f t="shared" ref="J83" si="81">IF(AND(J82&lt;=J81, J81&lt;=J80, J80&lt;=J79), "Pass", "Fail")</f>
        <v>Pass</v>
      </c>
      <c r="K83" s="927" t="str">
        <f t="shared" ref="K83" si="82">IF(AND(K82&lt;=K81, K81&lt;=K80, K80&lt;=K79), "Pass", "Fail")</f>
        <v>Pass</v>
      </c>
      <c r="L83" s="927" t="str">
        <f t="shared" ref="L83" si="83">IF(AND(L82&lt;=L81, L81&lt;=L80, L80&lt;=L79), "Pass", "Fail")</f>
        <v>Pass</v>
      </c>
      <c r="M83" s="927" t="str">
        <f t="shared" ref="M83" si="84">IF(AND(M82&lt;=M81, M81&lt;=M80, M80&lt;=M79), "Pass", "Fail")</f>
        <v>Pass</v>
      </c>
      <c r="N83" s="1075"/>
    </row>
    <row r="84" spans="1:14" ht="15" customHeight="1" x14ac:dyDescent="0.2">
      <c r="A84" s="1076"/>
      <c r="B84" s="1834"/>
      <c r="C84" s="1482" t="s">
        <v>1364</v>
      </c>
      <c r="D84" s="1172"/>
      <c r="E84" s="1172"/>
      <c r="F84" s="1172"/>
      <c r="G84" s="1172"/>
      <c r="H84" s="1172"/>
      <c r="I84" s="1172"/>
      <c r="J84" s="1172"/>
      <c r="K84" s="1172"/>
      <c r="L84" s="1172"/>
      <c r="M84" s="1065"/>
      <c r="N84" s="1075"/>
    </row>
    <row r="85" spans="1:14" ht="15" customHeight="1" x14ac:dyDescent="0.2">
      <c r="A85" s="1076"/>
      <c r="B85" s="1834"/>
      <c r="C85" s="1482" t="s">
        <v>1363</v>
      </c>
      <c r="D85" s="1172"/>
      <c r="E85" s="1172"/>
      <c r="F85" s="1172"/>
      <c r="G85" s="1172"/>
      <c r="H85" s="1172"/>
      <c r="I85" s="1172"/>
      <c r="J85" s="1172"/>
      <c r="K85" s="1172"/>
      <c r="L85" s="1172"/>
      <c r="M85" s="1065"/>
      <c r="N85" s="1075"/>
    </row>
    <row r="86" spans="1:14" ht="15" customHeight="1" x14ac:dyDescent="0.2">
      <c r="A86" s="1076"/>
      <c r="B86" s="1834"/>
      <c r="C86" s="1482" t="s">
        <v>1365</v>
      </c>
      <c r="D86" s="1172"/>
      <c r="E86" s="1172"/>
      <c r="F86" s="1172"/>
      <c r="G86" s="1172"/>
      <c r="H86" s="1172"/>
      <c r="I86" s="1172"/>
      <c r="J86" s="1172"/>
      <c r="K86" s="1172"/>
      <c r="L86" s="1172"/>
      <c r="M86" s="1065"/>
      <c r="N86" s="1075"/>
    </row>
    <row r="87" spans="1:14" ht="15" customHeight="1" x14ac:dyDescent="0.2">
      <c r="A87" s="1076"/>
      <c r="B87" s="1834"/>
      <c r="C87" s="1540" t="str">
        <f>CONCATENATE("Check: row ", ROW(C86), " ≥ row ", ROW(C85)," ≥ row ", ROW(C84))</f>
        <v>Check: row 86 ≥ row 85 ≥ row 84</v>
      </c>
      <c r="D87" s="927" t="str">
        <f>IF(AND(D86&gt;=D85, D85&gt;=D84), "Pass", "Fail")</f>
        <v>Pass</v>
      </c>
      <c r="E87" s="927" t="str">
        <f t="shared" ref="E87" si="85">IF(AND(E86&gt;=E85, E85&gt;=E84), "Pass", "Fail")</f>
        <v>Pass</v>
      </c>
      <c r="F87" s="927" t="str">
        <f t="shared" ref="F87" si="86">IF(AND(F86&gt;=F85, F85&gt;=F84), "Pass", "Fail")</f>
        <v>Pass</v>
      </c>
      <c r="G87" s="927" t="str">
        <f t="shared" ref="G87" si="87">IF(AND(G86&gt;=G85, G85&gt;=G84), "Pass", "Fail")</f>
        <v>Pass</v>
      </c>
      <c r="H87" s="927" t="str">
        <f t="shared" ref="H87" si="88">IF(AND(H86&gt;=H85, H85&gt;=H84), "Pass", "Fail")</f>
        <v>Pass</v>
      </c>
      <c r="I87" s="927" t="str">
        <f t="shared" ref="I87" si="89">IF(AND(I86&gt;=I85, I85&gt;=I84), "Pass", "Fail")</f>
        <v>Pass</v>
      </c>
      <c r="J87" s="927" t="str">
        <f t="shared" ref="J87" si="90">IF(AND(J86&gt;=J85, J85&gt;=J84), "Pass", "Fail")</f>
        <v>Pass</v>
      </c>
      <c r="K87" s="927" t="str">
        <f t="shared" ref="K87" si="91">IF(AND(K86&gt;=K85, K85&gt;=K84), "Pass", "Fail")</f>
        <v>Pass</v>
      </c>
      <c r="L87" s="927" t="str">
        <f t="shared" ref="L87" si="92">IF(AND(L86&gt;=L85, L85&gt;=L84), "Pass", "Fail")</f>
        <v>Pass</v>
      </c>
      <c r="M87" s="927" t="str">
        <f t="shared" ref="M87" si="93">IF(AND(M86&gt;=M85, M85&gt;=M84), "Pass", "Fail")</f>
        <v>Pass</v>
      </c>
      <c r="N87" s="1075"/>
    </row>
    <row r="88" spans="1:14" ht="15" customHeight="1" x14ac:dyDescent="0.2">
      <c r="A88" s="1076"/>
      <c r="B88" s="1835"/>
      <c r="C88" s="1486" t="s">
        <v>1366</v>
      </c>
      <c r="D88" s="1116"/>
      <c r="E88" s="1116"/>
      <c r="F88" s="1116"/>
      <c r="G88" s="1116"/>
      <c r="H88" s="1116"/>
      <c r="I88" s="1116"/>
      <c r="J88" s="1116"/>
      <c r="K88" s="1116"/>
      <c r="L88" s="1116"/>
      <c r="M88" s="1342"/>
      <c r="N88" s="1075"/>
    </row>
    <row r="89" spans="1:14" ht="15" customHeight="1" x14ac:dyDescent="0.2">
      <c r="A89" s="1076"/>
      <c r="B89" s="1833" t="s">
        <v>1371</v>
      </c>
      <c r="C89" s="1485" t="s">
        <v>1395</v>
      </c>
      <c r="D89" s="1172"/>
      <c r="E89" s="1172"/>
      <c r="F89" s="1172"/>
      <c r="G89" s="1172"/>
      <c r="H89" s="1172"/>
      <c r="I89" s="1172"/>
      <c r="J89" s="1172"/>
      <c r="K89" s="1172"/>
      <c r="L89" s="1172"/>
      <c r="M89" s="1065"/>
      <c r="N89" s="1075"/>
    </row>
    <row r="90" spans="1:14" ht="15" customHeight="1" x14ac:dyDescent="0.2">
      <c r="A90" s="1076"/>
      <c r="B90" s="1834"/>
      <c r="C90" s="1485" t="s">
        <v>1396</v>
      </c>
      <c r="D90" s="1172"/>
      <c r="E90" s="1172"/>
      <c r="F90" s="1172"/>
      <c r="G90" s="1172"/>
      <c r="H90" s="1172"/>
      <c r="I90" s="1172"/>
      <c r="J90" s="1172"/>
      <c r="K90" s="1172"/>
      <c r="L90" s="1172"/>
      <c r="M90" s="1065"/>
      <c r="N90" s="1075"/>
    </row>
    <row r="91" spans="1:14" ht="15" customHeight="1" x14ac:dyDescent="0.2">
      <c r="A91" s="1076"/>
      <c r="B91" s="1834"/>
      <c r="C91" s="1485" t="s">
        <v>1394</v>
      </c>
      <c r="D91" s="1172"/>
      <c r="E91" s="1172"/>
      <c r="F91" s="1172"/>
      <c r="G91" s="1172"/>
      <c r="H91" s="1172"/>
      <c r="I91" s="1172"/>
      <c r="J91" s="1172"/>
      <c r="K91" s="1172"/>
      <c r="L91" s="1172"/>
      <c r="M91" s="1065"/>
      <c r="N91" s="1075"/>
    </row>
    <row r="92" spans="1:14" ht="15" customHeight="1" x14ac:dyDescent="0.2">
      <c r="A92" s="1076"/>
      <c r="B92" s="1834"/>
      <c r="C92" s="1485" t="s">
        <v>1393</v>
      </c>
      <c r="D92" s="1172"/>
      <c r="E92" s="1172"/>
      <c r="F92" s="1172"/>
      <c r="G92" s="1172"/>
      <c r="H92" s="1172"/>
      <c r="I92" s="1172"/>
      <c r="J92" s="1172"/>
      <c r="K92" s="1172"/>
      <c r="L92" s="1172"/>
      <c r="M92" s="1065"/>
      <c r="N92" s="1075"/>
    </row>
    <row r="93" spans="1:14" ht="15" customHeight="1" x14ac:dyDescent="0.2">
      <c r="A93" s="1076"/>
      <c r="B93" s="1834"/>
      <c r="C93" s="1540" t="str">
        <f>CONCATENATE("Check: row ", ROW(C92), " ≤ row ", ROW(C91)," ≤ row ", ROW(C90)," ≤ row ", ROW(C89))</f>
        <v>Check: row 92 ≤ row 91 ≤ row 90 ≤ row 89</v>
      </c>
      <c r="D93" s="927" t="str">
        <f>IF(AND(D92&lt;=D91, D91&lt;=D90, D90&lt;=D89), "Pass", "Fail")</f>
        <v>Pass</v>
      </c>
      <c r="E93" s="927" t="str">
        <f t="shared" ref="E93" si="94">IF(AND(E92&lt;=E91, E91&lt;=E90, E90&lt;=E89), "Pass", "Fail")</f>
        <v>Pass</v>
      </c>
      <c r="F93" s="927" t="str">
        <f t="shared" ref="F93" si="95">IF(AND(F92&lt;=F91, F91&lt;=F90, F90&lt;=F89), "Pass", "Fail")</f>
        <v>Pass</v>
      </c>
      <c r="G93" s="927" t="str">
        <f t="shared" ref="G93" si="96">IF(AND(G92&lt;=G91, G91&lt;=G90, G90&lt;=G89), "Pass", "Fail")</f>
        <v>Pass</v>
      </c>
      <c r="H93" s="927" t="str">
        <f t="shared" ref="H93" si="97">IF(AND(H92&lt;=H91, H91&lt;=H90, H90&lt;=H89), "Pass", "Fail")</f>
        <v>Pass</v>
      </c>
      <c r="I93" s="927" t="str">
        <f t="shared" ref="I93" si="98">IF(AND(I92&lt;=I91, I91&lt;=I90, I90&lt;=I89), "Pass", "Fail")</f>
        <v>Pass</v>
      </c>
      <c r="J93" s="927" t="str">
        <f t="shared" ref="J93" si="99">IF(AND(J92&lt;=J91, J91&lt;=J90, J90&lt;=J89), "Pass", "Fail")</f>
        <v>Pass</v>
      </c>
      <c r="K93" s="927" t="str">
        <f t="shared" ref="K93" si="100">IF(AND(K92&lt;=K91, K91&lt;=K90, K90&lt;=K89), "Pass", "Fail")</f>
        <v>Pass</v>
      </c>
      <c r="L93" s="927" t="str">
        <f t="shared" ref="L93" si="101">IF(AND(L92&lt;=L91, L91&lt;=L90, L90&lt;=L89), "Pass", "Fail")</f>
        <v>Pass</v>
      </c>
      <c r="M93" s="927" t="str">
        <f t="shared" ref="M93" si="102">IF(AND(M92&lt;=M91, M91&lt;=M90, M90&lt;=M89), "Pass", "Fail")</f>
        <v>Pass</v>
      </c>
      <c r="N93" s="1075"/>
    </row>
    <row r="94" spans="1:14" ht="15" customHeight="1" x14ac:dyDescent="0.2">
      <c r="A94" s="1076"/>
      <c r="B94" s="1834"/>
      <c r="C94" s="1485" t="s">
        <v>1392</v>
      </c>
      <c r="D94" s="1172"/>
      <c r="E94" s="1172"/>
      <c r="F94" s="1172"/>
      <c r="G94" s="1172"/>
      <c r="H94" s="1172"/>
      <c r="I94" s="1172"/>
      <c r="J94" s="1172"/>
      <c r="K94" s="1172"/>
      <c r="L94" s="1172"/>
      <c r="M94" s="1065"/>
      <c r="N94" s="1075"/>
    </row>
    <row r="95" spans="1:14" ht="15" customHeight="1" x14ac:dyDescent="0.2">
      <c r="A95" s="1076"/>
      <c r="B95" s="1834"/>
      <c r="C95" s="1485" t="s">
        <v>1397</v>
      </c>
      <c r="D95" s="1172"/>
      <c r="E95" s="1172"/>
      <c r="F95" s="1172"/>
      <c r="G95" s="1172"/>
      <c r="H95" s="1172"/>
      <c r="I95" s="1172"/>
      <c r="J95" s="1172"/>
      <c r="K95" s="1172"/>
      <c r="L95" s="1172"/>
      <c r="M95" s="1065"/>
      <c r="N95" s="1075"/>
    </row>
    <row r="96" spans="1:14" ht="15" customHeight="1" x14ac:dyDescent="0.2">
      <c r="A96" s="1076"/>
      <c r="B96" s="1834"/>
      <c r="C96" s="1482" t="s">
        <v>1391</v>
      </c>
      <c r="D96" s="1172"/>
      <c r="E96" s="1172"/>
      <c r="F96" s="1172"/>
      <c r="G96" s="1172"/>
      <c r="H96" s="1172"/>
      <c r="I96" s="1172"/>
      <c r="J96" s="1172"/>
      <c r="K96" s="1172"/>
      <c r="L96" s="1172"/>
      <c r="M96" s="1065"/>
      <c r="N96" s="1075"/>
    </row>
    <row r="97" spans="1:14" ht="15" customHeight="1" x14ac:dyDescent="0.2">
      <c r="A97" s="1076"/>
      <c r="B97" s="1834"/>
      <c r="C97" s="1482" t="s">
        <v>1390</v>
      </c>
      <c r="D97" s="1172"/>
      <c r="E97" s="1172"/>
      <c r="F97" s="1172"/>
      <c r="G97" s="1172"/>
      <c r="H97" s="1172"/>
      <c r="I97" s="1172"/>
      <c r="J97" s="1172"/>
      <c r="K97" s="1172"/>
      <c r="L97" s="1172"/>
      <c r="M97" s="1065"/>
      <c r="N97" s="1075"/>
    </row>
    <row r="98" spans="1:14" ht="15" customHeight="1" x14ac:dyDescent="0.2">
      <c r="A98" s="1076"/>
      <c r="B98" s="1834"/>
      <c r="C98" s="1540" t="str">
        <f>CONCATENATE("Check: row ", ROW(C97), " ≤ row ", ROW(C96)," ≤ row ", ROW(C95)," ≤ row ", ROW(C94))</f>
        <v>Check: row 97 ≤ row 96 ≤ row 95 ≤ row 94</v>
      </c>
      <c r="D98" s="927" t="str">
        <f>IF(AND(D97&lt;=D96, D96&lt;=D95, D95&lt;=D94), "Pass", "Fail")</f>
        <v>Pass</v>
      </c>
      <c r="E98" s="927" t="str">
        <f t="shared" ref="E98" si="103">IF(AND(E97&lt;=E96, E96&lt;=E95, E95&lt;=E94), "Pass", "Fail")</f>
        <v>Pass</v>
      </c>
      <c r="F98" s="927" t="str">
        <f t="shared" ref="F98" si="104">IF(AND(F97&lt;=F96, F96&lt;=F95, F95&lt;=F94), "Pass", "Fail")</f>
        <v>Pass</v>
      </c>
      <c r="G98" s="927" t="str">
        <f t="shared" ref="G98" si="105">IF(AND(G97&lt;=G96, G96&lt;=G95, G95&lt;=G94), "Pass", "Fail")</f>
        <v>Pass</v>
      </c>
      <c r="H98" s="927" t="str">
        <f t="shared" ref="H98" si="106">IF(AND(H97&lt;=H96, H96&lt;=H95, H95&lt;=H94), "Pass", "Fail")</f>
        <v>Pass</v>
      </c>
      <c r="I98" s="927" t="str">
        <f t="shared" ref="I98" si="107">IF(AND(I97&lt;=I96, I96&lt;=I95, I95&lt;=I94), "Pass", "Fail")</f>
        <v>Pass</v>
      </c>
      <c r="J98" s="927" t="str">
        <f t="shared" ref="J98" si="108">IF(AND(J97&lt;=J96, J96&lt;=J95, J95&lt;=J94), "Pass", "Fail")</f>
        <v>Pass</v>
      </c>
      <c r="K98" s="927" t="str">
        <f t="shared" ref="K98" si="109">IF(AND(K97&lt;=K96, K96&lt;=K95, K95&lt;=K94), "Pass", "Fail")</f>
        <v>Pass</v>
      </c>
      <c r="L98" s="927" t="str">
        <f t="shared" ref="L98" si="110">IF(AND(L97&lt;=L96, L96&lt;=L95, L95&lt;=L94), "Pass", "Fail")</f>
        <v>Pass</v>
      </c>
      <c r="M98" s="927" t="str">
        <f t="shared" ref="M98" si="111">IF(AND(M97&lt;=M96, M96&lt;=M95, M95&lt;=M94), "Pass", "Fail")</f>
        <v>Pass</v>
      </c>
      <c r="N98" s="1075"/>
    </row>
    <row r="99" spans="1:14" ht="15" customHeight="1" x14ac:dyDescent="0.2">
      <c r="A99" s="1076"/>
      <c r="B99" s="1834"/>
      <c r="C99" s="1482" t="s">
        <v>1364</v>
      </c>
      <c r="D99" s="1172"/>
      <c r="E99" s="1172"/>
      <c r="F99" s="1172"/>
      <c r="G99" s="1172"/>
      <c r="H99" s="1172"/>
      <c r="I99" s="1172"/>
      <c r="J99" s="1172"/>
      <c r="K99" s="1172"/>
      <c r="L99" s="1172"/>
      <c r="M99" s="1065"/>
      <c r="N99" s="1075"/>
    </row>
    <row r="100" spans="1:14" ht="15" customHeight="1" x14ac:dyDescent="0.2">
      <c r="A100" s="1076"/>
      <c r="B100" s="1834"/>
      <c r="C100" s="1482" t="s">
        <v>1363</v>
      </c>
      <c r="D100" s="1172"/>
      <c r="E100" s="1172"/>
      <c r="F100" s="1172"/>
      <c r="G100" s="1172"/>
      <c r="H100" s="1172"/>
      <c r="I100" s="1172"/>
      <c r="J100" s="1172"/>
      <c r="K100" s="1172"/>
      <c r="L100" s="1172"/>
      <c r="M100" s="1065"/>
      <c r="N100" s="1075"/>
    </row>
    <row r="101" spans="1:14" ht="15" customHeight="1" x14ac:dyDescent="0.2">
      <c r="A101" s="1076"/>
      <c r="B101" s="1834"/>
      <c r="C101" s="1482" t="s">
        <v>1365</v>
      </c>
      <c r="D101" s="1172"/>
      <c r="E101" s="1172"/>
      <c r="F101" s="1172"/>
      <c r="G101" s="1172"/>
      <c r="H101" s="1172"/>
      <c r="I101" s="1172"/>
      <c r="J101" s="1172"/>
      <c r="K101" s="1172"/>
      <c r="L101" s="1172"/>
      <c r="M101" s="1065"/>
      <c r="N101" s="1075"/>
    </row>
    <row r="102" spans="1:14" ht="15" customHeight="1" x14ac:dyDescent="0.2">
      <c r="A102" s="1076"/>
      <c r="B102" s="1834"/>
      <c r="C102" s="1540" t="str">
        <f>CONCATENATE("Check: row ", ROW(C101), " ≥ row ", ROW(C100)," ≥ row ", ROW(C99))</f>
        <v>Check: row 101 ≥ row 100 ≥ row 99</v>
      </c>
      <c r="D102" s="927" t="str">
        <f>IF(AND(D101&gt;=D100, D100&gt;=D99), "Pass", "Fail")</f>
        <v>Pass</v>
      </c>
      <c r="E102" s="927" t="str">
        <f t="shared" ref="E102" si="112">IF(AND(E101&gt;=E100, E100&gt;=E99), "Pass", "Fail")</f>
        <v>Pass</v>
      </c>
      <c r="F102" s="927" t="str">
        <f t="shared" ref="F102" si="113">IF(AND(F101&gt;=F100, F100&gt;=F99), "Pass", "Fail")</f>
        <v>Pass</v>
      </c>
      <c r="G102" s="927" t="str">
        <f t="shared" ref="G102" si="114">IF(AND(G101&gt;=G100, G100&gt;=G99), "Pass", "Fail")</f>
        <v>Pass</v>
      </c>
      <c r="H102" s="927" t="str">
        <f t="shared" ref="H102" si="115">IF(AND(H101&gt;=H100, H100&gt;=H99), "Pass", "Fail")</f>
        <v>Pass</v>
      </c>
      <c r="I102" s="927" t="str">
        <f t="shared" ref="I102" si="116">IF(AND(I101&gt;=I100, I100&gt;=I99), "Pass", "Fail")</f>
        <v>Pass</v>
      </c>
      <c r="J102" s="927" t="str">
        <f t="shared" ref="J102" si="117">IF(AND(J101&gt;=J100, J100&gt;=J99), "Pass", "Fail")</f>
        <v>Pass</v>
      </c>
      <c r="K102" s="927" t="str">
        <f t="shared" ref="K102" si="118">IF(AND(K101&gt;=K100, K100&gt;=K99), "Pass", "Fail")</f>
        <v>Pass</v>
      </c>
      <c r="L102" s="927" t="str">
        <f t="shared" ref="L102" si="119">IF(AND(L101&gt;=L100, L100&gt;=L99), "Pass", "Fail")</f>
        <v>Pass</v>
      </c>
      <c r="M102" s="927" t="str">
        <f t="shared" ref="M102" si="120">IF(AND(M101&gt;=M100, M100&gt;=M99), "Pass", "Fail")</f>
        <v>Pass</v>
      </c>
      <c r="N102" s="1075"/>
    </row>
    <row r="103" spans="1:14" ht="15" customHeight="1" x14ac:dyDescent="0.2">
      <c r="A103" s="1076"/>
      <c r="B103" s="1835"/>
      <c r="C103" s="1486" t="s">
        <v>1366</v>
      </c>
      <c r="D103" s="1116"/>
      <c r="E103" s="1116"/>
      <c r="F103" s="1116"/>
      <c r="G103" s="1116"/>
      <c r="H103" s="1116"/>
      <c r="I103" s="1116"/>
      <c r="J103" s="1116"/>
      <c r="K103" s="1116"/>
      <c r="L103" s="1116"/>
      <c r="M103" s="1342"/>
      <c r="N103" s="1075"/>
    </row>
    <row r="104" spans="1:14" ht="15" customHeight="1" x14ac:dyDescent="0.2">
      <c r="A104" s="1076"/>
      <c r="B104" s="1833" t="s">
        <v>1372</v>
      </c>
      <c r="C104" s="1485" t="s">
        <v>1395</v>
      </c>
      <c r="D104" s="1172"/>
      <c r="E104" s="1172"/>
      <c r="F104" s="1172"/>
      <c r="G104" s="1172"/>
      <c r="H104" s="1172"/>
      <c r="I104" s="1172"/>
      <c r="J104" s="1172"/>
      <c r="K104" s="1172"/>
      <c r="L104" s="1172"/>
      <c r="M104" s="1065"/>
      <c r="N104" s="1075"/>
    </row>
    <row r="105" spans="1:14" ht="15" customHeight="1" x14ac:dyDescent="0.2">
      <c r="A105" s="1076"/>
      <c r="B105" s="1834"/>
      <c r="C105" s="1485" t="s">
        <v>1396</v>
      </c>
      <c r="D105" s="1172"/>
      <c r="E105" s="1172"/>
      <c r="F105" s="1172"/>
      <c r="G105" s="1172"/>
      <c r="H105" s="1172"/>
      <c r="I105" s="1172"/>
      <c r="J105" s="1172"/>
      <c r="K105" s="1172"/>
      <c r="L105" s="1172"/>
      <c r="M105" s="1065"/>
      <c r="N105" s="1075"/>
    </row>
    <row r="106" spans="1:14" ht="15" customHeight="1" x14ac:dyDescent="0.2">
      <c r="A106" s="1076"/>
      <c r="B106" s="1834"/>
      <c r="C106" s="1485" t="s">
        <v>1394</v>
      </c>
      <c r="D106" s="1172"/>
      <c r="E106" s="1172"/>
      <c r="F106" s="1172"/>
      <c r="G106" s="1172"/>
      <c r="H106" s="1172"/>
      <c r="I106" s="1172"/>
      <c r="J106" s="1172"/>
      <c r="K106" s="1172"/>
      <c r="L106" s="1172"/>
      <c r="M106" s="1065"/>
      <c r="N106" s="1075"/>
    </row>
    <row r="107" spans="1:14" ht="15" customHeight="1" x14ac:dyDescent="0.2">
      <c r="A107" s="1076"/>
      <c r="B107" s="1834"/>
      <c r="C107" s="1485" t="s">
        <v>1393</v>
      </c>
      <c r="D107" s="1172"/>
      <c r="E107" s="1172"/>
      <c r="F107" s="1172"/>
      <c r="G107" s="1172"/>
      <c r="H107" s="1172"/>
      <c r="I107" s="1172"/>
      <c r="J107" s="1172"/>
      <c r="K107" s="1172"/>
      <c r="L107" s="1172"/>
      <c r="M107" s="1065"/>
      <c r="N107" s="1075"/>
    </row>
    <row r="108" spans="1:14" ht="15" customHeight="1" x14ac:dyDescent="0.2">
      <c r="A108" s="1076"/>
      <c r="B108" s="1834"/>
      <c r="C108" s="1540" t="str">
        <f>CONCATENATE("Check: row ", ROW(C107), " ≤ row ", ROW(C106)," ≤ row ", ROW(C105)," ≤ row ", ROW(C104))</f>
        <v>Check: row 107 ≤ row 106 ≤ row 105 ≤ row 104</v>
      </c>
      <c r="D108" s="927" t="str">
        <f>IF(AND(D107&lt;=D106, D106&lt;=D105, D105&lt;=D104), "Pass", "Fail")</f>
        <v>Pass</v>
      </c>
      <c r="E108" s="927" t="str">
        <f t="shared" ref="E108" si="121">IF(AND(E107&lt;=E106, E106&lt;=E105, E105&lt;=E104), "Pass", "Fail")</f>
        <v>Pass</v>
      </c>
      <c r="F108" s="927" t="str">
        <f t="shared" ref="F108" si="122">IF(AND(F107&lt;=F106, F106&lt;=F105, F105&lt;=F104), "Pass", "Fail")</f>
        <v>Pass</v>
      </c>
      <c r="G108" s="927" t="str">
        <f t="shared" ref="G108" si="123">IF(AND(G107&lt;=G106, G106&lt;=G105, G105&lt;=G104), "Pass", "Fail")</f>
        <v>Pass</v>
      </c>
      <c r="H108" s="927" t="str">
        <f t="shared" ref="H108" si="124">IF(AND(H107&lt;=H106, H106&lt;=H105, H105&lt;=H104), "Pass", "Fail")</f>
        <v>Pass</v>
      </c>
      <c r="I108" s="927" t="str">
        <f t="shared" ref="I108" si="125">IF(AND(I107&lt;=I106, I106&lt;=I105, I105&lt;=I104), "Pass", "Fail")</f>
        <v>Pass</v>
      </c>
      <c r="J108" s="927" t="str">
        <f t="shared" ref="J108" si="126">IF(AND(J107&lt;=J106, J106&lt;=J105, J105&lt;=J104), "Pass", "Fail")</f>
        <v>Pass</v>
      </c>
      <c r="K108" s="927" t="str">
        <f t="shared" ref="K108" si="127">IF(AND(K107&lt;=K106, K106&lt;=K105, K105&lt;=K104), "Pass", "Fail")</f>
        <v>Pass</v>
      </c>
      <c r="L108" s="927" t="str">
        <f t="shared" ref="L108" si="128">IF(AND(L107&lt;=L106, L106&lt;=L105, L105&lt;=L104), "Pass", "Fail")</f>
        <v>Pass</v>
      </c>
      <c r="M108" s="927" t="str">
        <f t="shared" ref="M108" si="129">IF(AND(M107&lt;=M106, M106&lt;=M105, M105&lt;=M104), "Pass", "Fail")</f>
        <v>Pass</v>
      </c>
      <c r="N108" s="1075"/>
    </row>
    <row r="109" spans="1:14" ht="15" customHeight="1" x14ac:dyDescent="0.2">
      <c r="A109" s="1076"/>
      <c r="B109" s="1834"/>
      <c r="C109" s="1485" t="s">
        <v>1392</v>
      </c>
      <c r="D109" s="1172"/>
      <c r="E109" s="1172"/>
      <c r="F109" s="1172"/>
      <c r="G109" s="1172"/>
      <c r="H109" s="1172"/>
      <c r="I109" s="1172"/>
      <c r="J109" s="1172"/>
      <c r="K109" s="1172"/>
      <c r="L109" s="1172"/>
      <c r="M109" s="1065"/>
      <c r="N109" s="1075"/>
    </row>
    <row r="110" spans="1:14" ht="15" customHeight="1" x14ac:dyDescent="0.2">
      <c r="A110" s="1076"/>
      <c r="B110" s="1834"/>
      <c r="C110" s="1485" t="s">
        <v>1397</v>
      </c>
      <c r="D110" s="1172"/>
      <c r="E110" s="1172"/>
      <c r="F110" s="1172"/>
      <c r="G110" s="1172"/>
      <c r="H110" s="1172"/>
      <c r="I110" s="1172"/>
      <c r="J110" s="1172"/>
      <c r="K110" s="1172"/>
      <c r="L110" s="1172"/>
      <c r="M110" s="1065"/>
      <c r="N110" s="1075"/>
    </row>
    <row r="111" spans="1:14" ht="15" customHeight="1" x14ac:dyDescent="0.2">
      <c r="A111" s="1076"/>
      <c r="B111" s="1834"/>
      <c r="C111" s="1482" t="s">
        <v>1391</v>
      </c>
      <c r="D111" s="1172"/>
      <c r="E111" s="1172"/>
      <c r="F111" s="1172"/>
      <c r="G111" s="1172"/>
      <c r="H111" s="1172"/>
      <c r="I111" s="1172"/>
      <c r="J111" s="1172"/>
      <c r="K111" s="1172"/>
      <c r="L111" s="1172"/>
      <c r="M111" s="1065"/>
      <c r="N111" s="1075"/>
    </row>
    <row r="112" spans="1:14" ht="15" customHeight="1" x14ac:dyDescent="0.2">
      <c r="A112" s="1076"/>
      <c r="B112" s="1834"/>
      <c r="C112" s="1482" t="s">
        <v>1390</v>
      </c>
      <c r="D112" s="1172"/>
      <c r="E112" s="1172"/>
      <c r="F112" s="1172"/>
      <c r="G112" s="1172"/>
      <c r="H112" s="1172"/>
      <c r="I112" s="1172"/>
      <c r="J112" s="1172"/>
      <c r="K112" s="1172"/>
      <c r="L112" s="1172"/>
      <c r="M112" s="1065"/>
      <c r="N112" s="1075"/>
    </row>
    <row r="113" spans="1:14" ht="15" customHeight="1" x14ac:dyDescent="0.2">
      <c r="A113" s="1076"/>
      <c r="B113" s="1834"/>
      <c r="C113" s="1540" t="str">
        <f>CONCATENATE("Check: row ", ROW(C112), " ≤ row ", ROW(C111)," ≤ row ", ROW(C110)," ≤ row ", ROW(C109))</f>
        <v>Check: row 112 ≤ row 111 ≤ row 110 ≤ row 109</v>
      </c>
      <c r="D113" s="927" t="str">
        <f>IF(AND(D112&lt;=D111, D111&lt;=D110, D110&lt;=D109), "Pass", "Fail")</f>
        <v>Pass</v>
      </c>
      <c r="E113" s="927" t="str">
        <f t="shared" ref="E113" si="130">IF(AND(E112&lt;=E111, E111&lt;=E110, E110&lt;=E109), "Pass", "Fail")</f>
        <v>Pass</v>
      </c>
      <c r="F113" s="927" t="str">
        <f t="shared" ref="F113" si="131">IF(AND(F112&lt;=F111, F111&lt;=F110, F110&lt;=F109), "Pass", "Fail")</f>
        <v>Pass</v>
      </c>
      <c r="G113" s="927" t="str">
        <f t="shared" ref="G113" si="132">IF(AND(G112&lt;=G111, G111&lt;=G110, G110&lt;=G109), "Pass", "Fail")</f>
        <v>Pass</v>
      </c>
      <c r="H113" s="927" t="str">
        <f t="shared" ref="H113" si="133">IF(AND(H112&lt;=H111, H111&lt;=H110, H110&lt;=H109), "Pass", "Fail")</f>
        <v>Pass</v>
      </c>
      <c r="I113" s="927" t="str">
        <f t="shared" ref="I113" si="134">IF(AND(I112&lt;=I111, I111&lt;=I110, I110&lt;=I109), "Pass", "Fail")</f>
        <v>Pass</v>
      </c>
      <c r="J113" s="927" t="str">
        <f t="shared" ref="J113" si="135">IF(AND(J112&lt;=J111, J111&lt;=J110, J110&lt;=J109), "Pass", "Fail")</f>
        <v>Pass</v>
      </c>
      <c r="K113" s="927" t="str">
        <f t="shared" ref="K113" si="136">IF(AND(K112&lt;=K111, K111&lt;=K110, K110&lt;=K109), "Pass", "Fail")</f>
        <v>Pass</v>
      </c>
      <c r="L113" s="927" t="str">
        <f t="shared" ref="L113" si="137">IF(AND(L112&lt;=L111, L111&lt;=L110, L110&lt;=L109), "Pass", "Fail")</f>
        <v>Pass</v>
      </c>
      <c r="M113" s="927" t="str">
        <f t="shared" ref="M113" si="138">IF(AND(M112&lt;=M111, M111&lt;=M110, M110&lt;=M109), "Pass", "Fail")</f>
        <v>Pass</v>
      </c>
      <c r="N113" s="1075"/>
    </row>
    <row r="114" spans="1:14" ht="15" customHeight="1" x14ac:dyDescent="0.2">
      <c r="A114" s="1076"/>
      <c r="B114" s="1834"/>
      <c r="C114" s="1482" t="s">
        <v>1364</v>
      </c>
      <c r="D114" s="1172"/>
      <c r="E114" s="1172"/>
      <c r="F114" s="1172"/>
      <c r="G114" s="1172"/>
      <c r="H114" s="1172"/>
      <c r="I114" s="1172"/>
      <c r="J114" s="1172"/>
      <c r="K114" s="1172"/>
      <c r="L114" s="1172"/>
      <c r="M114" s="1065"/>
      <c r="N114" s="1075"/>
    </row>
    <row r="115" spans="1:14" ht="15" customHeight="1" x14ac:dyDescent="0.2">
      <c r="A115" s="1076"/>
      <c r="B115" s="1834"/>
      <c r="C115" s="1482" t="s">
        <v>1363</v>
      </c>
      <c r="D115" s="1172"/>
      <c r="E115" s="1172"/>
      <c r="F115" s="1172"/>
      <c r="G115" s="1172"/>
      <c r="H115" s="1172"/>
      <c r="I115" s="1172"/>
      <c r="J115" s="1172"/>
      <c r="K115" s="1172"/>
      <c r="L115" s="1172"/>
      <c r="M115" s="1065"/>
      <c r="N115" s="1075"/>
    </row>
    <row r="116" spans="1:14" ht="15" customHeight="1" x14ac:dyDescent="0.2">
      <c r="A116" s="1076"/>
      <c r="B116" s="1834"/>
      <c r="C116" s="1482" t="s">
        <v>1365</v>
      </c>
      <c r="D116" s="1172"/>
      <c r="E116" s="1172"/>
      <c r="F116" s="1172"/>
      <c r="G116" s="1172"/>
      <c r="H116" s="1172"/>
      <c r="I116" s="1172"/>
      <c r="J116" s="1172"/>
      <c r="K116" s="1172"/>
      <c r="L116" s="1172"/>
      <c r="M116" s="1065"/>
      <c r="N116" s="1075"/>
    </row>
    <row r="117" spans="1:14" ht="15" customHeight="1" x14ac:dyDescent="0.2">
      <c r="A117" s="1076"/>
      <c r="B117" s="1834"/>
      <c r="C117" s="1540" t="str">
        <f>CONCATENATE("Check: row ", ROW(C116), " ≥ row ", ROW(C115)," ≥ row ", ROW(C114))</f>
        <v>Check: row 116 ≥ row 115 ≥ row 114</v>
      </c>
      <c r="D117" s="927" t="str">
        <f>IF(AND(D116&gt;=D115, D115&gt;=D114), "Pass", "Fail")</f>
        <v>Pass</v>
      </c>
      <c r="E117" s="927" t="str">
        <f t="shared" ref="E117" si="139">IF(AND(E116&gt;=E115, E115&gt;=E114), "Pass", "Fail")</f>
        <v>Pass</v>
      </c>
      <c r="F117" s="927" t="str">
        <f t="shared" ref="F117" si="140">IF(AND(F116&gt;=F115, F115&gt;=F114), "Pass", "Fail")</f>
        <v>Pass</v>
      </c>
      <c r="G117" s="927" t="str">
        <f t="shared" ref="G117" si="141">IF(AND(G116&gt;=G115, G115&gt;=G114), "Pass", "Fail")</f>
        <v>Pass</v>
      </c>
      <c r="H117" s="927" t="str">
        <f t="shared" ref="H117" si="142">IF(AND(H116&gt;=H115, H115&gt;=H114), "Pass", "Fail")</f>
        <v>Pass</v>
      </c>
      <c r="I117" s="927" t="str">
        <f t="shared" ref="I117" si="143">IF(AND(I116&gt;=I115, I115&gt;=I114), "Pass", "Fail")</f>
        <v>Pass</v>
      </c>
      <c r="J117" s="927" t="str">
        <f t="shared" ref="J117" si="144">IF(AND(J116&gt;=J115, J115&gt;=J114), "Pass", "Fail")</f>
        <v>Pass</v>
      </c>
      <c r="K117" s="927" t="str">
        <f t="shared" ref="K117" si="145">IF(AND(K116&gt;=K115, K115&gt;=K114), "Pass", "Fail")</f>
        <v>Pass</v>
      </c>
      <c r="L117" s="927" t="str">
        <f t="shared" ref="L117" si="146">IF(AND(L116&gt;=L115, L115&gt;=L114), "Pass", "Fail")</f>
        <v>Pass</v>
      </c>
      <c r="M117" s="927" t="str">
        <f t="shared" ref="M117" si="147">IF(AND(M116&gt;=M115, M115&gt;=M114), "Pass", "Fail")</f>
        <v>Pass</v>
      </c>
      <c r="N117" s="1075"/>
    </row>
    <row r="118" spans="1:14" ht="15" customHeight="1" x14ac:dyDescent="0.2">
      <c r="A118" s="1076"/>
      <c r="B118" s="1835"/>
      <c r="C118" s="1486" t="s">
        <v>1366</v>
      </c>
      <c r="D118" s="1116"/>
      <c r="E118" s="1116"/>
      <c r="F118" s="1116"/>
      <c r="G118" s="1116"/>
      <c r="H118" s="1116"/>
      <c r="I118" s="1116"/>
      <c r="J118" s="1116"/>
      <c r="K118" s="1116"/>
      <c r="L118" s="1116"/>
      <c r="M118" s="1342"/>
      <c r="N118" s="1075"/>
    </row>
    <row r="119" spans="1:14" ht="15" customHeight="1" x14ac:dyDescent="0.2">
      <c r="A119" s="1076"/>
      <c r="B119" s="1833" t="s">
        <v>1373</v>
      </c>
      <c r="C119" s="1485" t="s">
        <v>1395</v>
      </c>
      <c r="D119" s="1172"/>
      <c r="E119" s="1172"/>
      <c r="F119" s="1172"/>
      <c r="G119" s="1172"/>
      <c r="H119" s="1172"/>
      <c r="I119" s="1172"/>
      <c r="J119" s="1172"/>
      <c r="K119" s="1172"/>
      <c r="L119" s="1172"/>
      <c r="M119" s="1065"/>
      <c r="N119" s="1075"/>
    </row>
    <row r="120" spans="1:14" ht="15" customHeight="1" x14ac:dyDescent="0.2">
      <c r="A120" s="1076"/>
      <c r="B120" s="1834"/>
      <c r="C120" s="1485" t="s">
        <v>1396</v>
      </c>
      <c r="D120" s="1172"/>
      <c r="E120" s="1172"/>
      <c r="F120" s="1172"/>
      <c r="G120" s="1172"/>
      <c r="H120" s="1172"/>
      <c r="I120" s="1172"/>
      <c r="J120" s="1172"/>
      <c r="K120" s="1172"/>
      <c r="L120" s="1172"/>
      <c r="M120" s="1065"/>
      <c r="N120" s="1075"/>
    </row>
    <row r="121" spans="1:14" ht="15" customHeight="1" x14ac:dyDescent="0.2">
      <c r="A121" s="1076"/>
      <c r="B121" s="1834"/>
      <c r="C121" s="1485" t="s">
        <v>1394</v>
      </c>
      <c r="D121" s="1172"/>
      <c r="E121" s="1172"/>
      <c r="F121" s="1172"/>
      <c r="G121" s="1172"/>
      <c r="H121" s="1172"/>
      <c r="I121" s="1172"/>
      <c r="J121" s="1172"/>
      <c r="K121" s="1172"/>
      <c r="L121" s="1172"/>
      <c r="M121" s="1065"/>
      <c r="N121" s="1075"/>
    </row>
    <row r="122" spans="1:14" ht="15" customHeight="1" x14ac:dyDescent="0.2">
      <c r="A122" s="1076"/>
      <c r="B122" s="1834"/>
      <c r="C122" s="1485" t="s">
        <v>1393</v>
      </c>
      <c r="D122" s="1172"/>
      <c r="E122" s="1172"/>
      <c r="F122" s="1172"/>
      <c r="G122" s="1172"/>
      <c r="H122" s="1172"/>
      <c r="I122" s="1172"/>
      <c r="J122" s="1172"/>
      <c r="K122" s="1172"/>
      <c r="L122" s="1172"/>
      <c r="M122" s="1065"/>
      <c r="N122" s="1075"/>
    </row>
    <row r="123" spans="1:14" ht="15" customHeight="1" x14ac:dyDescent="0.2">
      <c r="A123" s="1076"/>
      <c r="B123" s="1834"/>
      <c r="C123" s="1540" t="str">
        <f>CONCATENATE("Check: row ", ROW(C122), " ≤ row ", ROW(C121)," ≤ row ", ROW(C120)," ≤ row ", ROW(C119))</f>
        <v>Check: row 122 ≤ row 121 ≤ row 120 ≤ row 119</v>
      </c>
      <c r="D123" s="927" t="str">
        <f>IF(AND(D122&lt;=D121, D121&lt;=D120, D120&lt;=D119), "Pass", "Fail")</f>
        <v>Pass</v>
      </c>
      <c r="E123" s="927" t="str">
        <f t="shared" ref="E123" si="148">IF(AND(E122&lt;=E121, E121&lt;=E120, E120&lt;=E119), "Pass", "Fail")</f>
        <v>Pass</v>
      </c>
      <c r="F123" s="927" t="str">
        <f t="shared" ref="F123" si="149">IF(AND(F122&lt;=F121, F121&lt;=F120, F120&lt;=F119), "Pass", "Fail")</f>
        <v>Pass</v>
      </c>
      <c r="G123" s="927" t="str">
        <f t="shared" ref="G123" si="150">IF(AND(G122&lt;=G121, G121&lt;=G120, G120&lt;=G119), "Pass", "Fail")</f>
        <v>Pass</v>
      </c>
      <c r="H123" s="927" t="str">
        <f t="shared" ref="H123" si="151">IF(AND(H122&lt;=H121, H121&lt;=H120, H120&lt;=H119), "Pass", "Fail")</f>
        <v>Pass</v>
      </c>
      <c r="I123" s="927" t="str">
        <f t="shared" ref="I123" si="152">IF(AND(I122&lt;=I121, I121&lt;=I120, I120&lt;=I119), "Pass", "Fail")</f>
        <v>Pass</v>
      </c>
      <c r="J123" s="927" t="str">
        <f t="shared" ref="J123" si="153">IF(AND(J122&lt;=J121, J121&lt;=J120, J120&lt;=J119), "Pass", "Fail")</f>
        <v>Pass</v>
      </c>
      <c r="K123" s="927" t="str">
        <f t="shared" ref="K123" si="154">IF(AND(K122&lt;=K121, K121&lt;=K120, K120&lt;=K119), "Pass", "Fail")</f>
        <v>Pass</v>
      </c>
      <c r="L123" s="927" t="str">
        <f t="shared" ref="L123" si="155">IF(AND(L122&lt;=L121, L121&lt;=L120, L120&lt;=L119), "Pass", "Fail")</f>
        <v>Pass</v>
      </c>
      <c r="M123" s="927" t="str">
        <f t="shared" ref="M123" si="156">IF(AND(M122&lt;=M121, M121&lt;=M120, M120&lt;=M119), "Pass", "Fail")</f>
        <v>Pass</v>
      </c>
      <c r="N123" s="1075"/>
    </row>
    <row r="124" spans="1:14" ht="15" customHeight="1" x14ac:dyDescent="0.2">
      <c r="A124" s="1076"/>
      <c r="B124" s="1834"/>
      <c r="C124" s="1485" t="s">
        <v>1392</v>
      </c>
      <c r="D124" s="1172"/>
      <c r="E124" s="1172"/>
      <c r="F124" s="1172"/>
      <c r="G124" s="1172"/>
      <c r="H124" s="1172"/>
      <c r="I124" s="1172"/>
      <c r="J124" s="1172"/>
      <c r="K124" s="1172"/>
      <c r="L124" s="1172"/>
      <c r="M124" s="1065"/>
      <c r="N124" s="1075"/>
    </row>
    <row r="125" spans="1:14" ht="15" customHeight="1" x14ac:dyDescent="0.2">
      <c r="A125" s="1076"/>
      <c r="B125" s="1834"/>
      <c r="C125" s="1485" t="s">
        <v>1397</v>
      </c>
      <c r="D125" s="1172"/>
      <c r="E125" s="1172"/>
      <c r="F125" s="1172"/>
      <c r="G125" s="1172"/>
      <c r="H125" s="1172"/>
      <c r="I125" s="1172"/>
      <c r="J125" s="1172"/>
      <c r="K125" s="1172"/>
      <c r="L125" s="1172"/>
      <c r="M125" s="1065"/>
      <c r="N125" s="1075"/>
    </row>
    <row r="126" spans="1:14" ht="15" customHeight="1" x14ac:dyDescent="0.2">
      <c r="A126" s="1076"/>
      <c r="B126" s="1834"/>
      <c r="C126" s="1482" t="s">
        <v>1391</v>
      </c>
      <c r="D126" s="1172"/>
      <c r="E126" s="1172"/>
      <c r="F126" s="1172"/>
      <c r="G126" s="1172"/>
      <c r="H126" s="1172"/>
      <c r="I126" s="1172"/>
      <c r="J126" s="1172"/>
      <c r="K126" s="1172"/>
      <c r="L126" s="1172"/>
      <c r="M126" s="1065"/>
      <c r="N126" s="1075"/>
    </row>
    <row r="127" spans="1:14" ht="15" customHeight="1" x14ac:dyDescent="0.2">
      <c r="A127" s="1076"/>
      <c r="B127" s="1834"/>
      <c r="C127" s="1482" t="s">
        <v>1390</v>
      </c>
      <c r="D127" s="1172"/>
      <c r="E127" s="1172"/>
      <c r="F127" s="1172"/>
      <c r="G127" s="1172"/>
      <c r="H127" s="1172"/>
      <c r="I127" s="1172"/>
      <c r="J127" s="1172"/>
      <c r="K127" s="1172"/>
      <c r="L127" s="1172"/>
      <c r="M127" s="1065"/>
      <c r="N127" s="1075"/>
    </row>
    <row r="128" spans="1:14" ht="15" customHeight="1" x14ac:dyDescent="0.2">
      <c r="A128" s="1076"/>
      <c r="B128" s="1834"/>
      <c r="C128" s="1540" t="str">
        <f>CONCATENATE("Check: row ", ROW(C127), " ≤ row ", ROW(C126)," ≤ row ", ROW(C125)," ≤ row ", ROW(C124))</f>
        <v>Check: row 127 ≤ row 126 ≤ row 125 ≤ row 124</v>
      </c>
      <c r="D128" s="927" t="str">
        <f>IF(AND(D127&lt;=D126, D126&lt;=D125, D125&lt;=D124), "Pass", "Fail")</f>
        <v>Pass</v>
      </c>
      <c r="E128" s="927" t="str">
        <f t="shared" ref="E128" si="157">IF(AND(E127&lt;=E126, E126&lt;=E125, E125&lt;=E124), "Pass", "Fail")</f>
        <v>Pass</v>
      </c>
      <c r="F128" s="927" t="str">
        <f t="shared" ref="F128" si="158">IF(AND(F127&lt;=F126, F126&lt;=F125, F125&lt;=F124), "Pass", "Fail")</f>
        <v>Pass</v>
      </c>
      <c r="G128" s="927" t="str">
        <f t="shared" ref="G128" si="159">IF(AND(G127&lt;=G126, G126&lt;=G125, G125&lt;=G124), "Pass", "Fail")</f>
        <v>Pass</v>
      </c>
      <c r="H128" s="927" t="str">
        <f t="shared" ref="H128" si="160">IF(AND(H127&lt;=H126, H126&lt;=H125, H125&lt;=H124), "Pass", "Fail")</f>
        <v>Pass</v>
      </c>
      <c r="I128" s="927" t="str">
        <f t="shared" ref="I128" si="161">IF(AND(I127&lt;=I126, I126&lt;=I125, I125&lt;=I124), "Pass", "Fail")</f>
        <v>Pass</v>
      </c>
      <c r="J128" s="927" t="str">
        <f t="shared" ref="J128" si="162">IF(AND(J127&lt;=J126, J126&lt;=J125, J125&lt;=J124), "Pass", "Fail")</f>
        <v>Pass</v>
      </c>
      <c r="K128" s="927" t="str">
        <f t="shared" ref="K128" si="163">IF(AND(K127&lt;=K126, K126&lt;=K125, K125&lt;=K124), "Pass", "Fail")</f>
        <v>Pass</v>
      </c>
      <c r="L128" s="927" t="str">
        <f t="shared" ref="L128" si="164">IF(AND(L127&lt;=L126, L126&lt;=L125, L125&lt;=L124), "Pass", "Fail")</f>
        <v>Pass</v>
      </c>
      <c r="M128" s="927" t="str">
        <f t="shared" ref="M128" si="165">IF(AND(M127&lt;=M126, M126&lt;=M125, M125&lt;=M124), "Pass", "Fail")</f>
        <v>Pass</v>
      </c>
      <c r="N128" s="1075"/>
    </row>
    <row r="129" spans="1:14" ht="15" customHeight="1" x14ac:dyDescent="0.2">
      <c r="A129" s="1076"/>
      <c r="B129" s="1834"/>
      <c r="C129" s="1482" t="s">
        <v>1364</v>
      </c>
      <c r="D129" s="1172"/>
      <c r="E129" s="1172"/>
      <c r="F129" s="1172"/>
      <c r="G129" s="1172"/>
      <c r="H129" s="1172"/>
      <c r="I129" s="1172"/>
      <c r="J129" s="1172"/>
      <c r="K129" s="1172"/>
      <c r="L129" s="1172"/>
      <c r="M129" s="1065"/>
      <c r="N129" s="1075"/>
    </row>
    <row r="130" spans="1:14" ht="15" customHeight="1" x14ac:dyDescent="0.2">
      <c r="A130" s="1076"/>
      <c r="B130" s="1834"/>
      <c r="C130" s="1482" t="s">
        <v>1363</v>
      </c>
      <c r="D130" s="1172"/>
      <c r="E130" s="1172"/>
      <c r="F130" s="1172"/>
      <c r="G130" s="1172"/>
      <c r="H130" s="1172"/>
      <c r="I130" s="1172"/>
      <c r="J130" s="1172"/>
      <c r="K130" s="1172"/>
      <c r="L130" s="1172"/>
      <c r="M130" s="1065"/>
      <c r="N130" s="1075"/>
    </row>
    <row r="131" spans="1:14" ht="15" customHeight="1" x14ac:dyDescent="0.2">
      <c r="A131" s="1076"/>
      <c r="B131" s="1834"/>
      <c r="C131" s="1482" t="s">
        <v>1365</v>
      </c>
      <c r="D131" s="1172"/>
      <c r="E131" s="1172"/>
      <c r="F131" s="1172"/>
      <c r="G131" s="1172"/>
      <c r="H131" s="1172"/>
      <c r="I131" s="1172"/>
      <c r="J131" s="1172"/>
      <c r="K131" s="1172"/>
      <c r="L131" s="1172"/>
      <c r="M131" s="1065"/>
      <c r="N131" s="1075"/>
    </row>
    <row r="132" spans="1:14" ht="15" customHeight="1" x14ac:dyDescent="0.2">
      <c r="A132" s="1076"/>
      <c r="B132" s="1834"/>
      <c r="C132" s="1540" t="str">
        <f>CONCATENATE("Check: row ", ROW(C131), " ≥ row ", ROW(C130)," ≥ row ", ROW(C129))</f>
        <v>Check: row 131 ≥ row 130 ≥ row 129</v>
      </c>
      <c r="D132" s="927" t="str">
        <f>IF(AND(D131&gt;=D130, D130&gt;=D129), "Pass", "Fail")</f>
        <v>Pass</v>
      </c>
      <c r="E132" s="927" t="str">
        <f t="shared" ref="E132" si="166">IF(AND(E131&gt;=E130, E130&gt;=E129), "Pass", "Fail")</f>
        <v>Pass</v>
      </c>
      <c r="F132" s="927" t="str">
        <f t="shared" ref="F132" si="167">IF(AND(F131&gt;=F130, F130&gt;=F129), "Pass", "Fail")</f>
        <v>Pass</v>
      </c>
      <c r="G132" s="927" t="str">
        <f t="shared" ref="G132" si="168">IF(AND(G131&gt;=G130, G130&gt;=G129), "Pass", "Fail")</f>
        <v>Pass</v>
      </c>
      <c r="H132" s="927" t="str">
        <f t="shared" ref="H132" si="169">IF(AND(H131&gt;=H130, H130&gt;=H129), "Pass", "Fail")</f>
        <v>Pass</v>
      </c>
      <c r="I132" s="927" t="str">
        <f t="shared" ref="I132" si="170">IF(AND(I131&gt;=I130, I130&gt;=I129), "Pass", "Fail")</f>
        <v>Pass</v>
      </c>
      <c r="J132" s="927" t="str">
        <f t="shared" ref="J132" si="171">IF(AND(J131&gt;=J130, J130&gt;=J129), "Pass", "Fail")</f>
        <v>Pass</v>
      </c>
      <c r="K132" s="927" t="str">
        <f t="shared" ref="K132" si="172">IF(AND(K131&gt;=K130, K130&gt;=K129), "Pass", "Fail")</f>
        <v>Pass</v>
      </c>
      <c r="L132" s="927" t="str">
        <f t="shared" ref="L132" si="173">IF(AND(L131&gt;=L130, L130&gt;=L129), "Pass", "Fail")</f>
        <v>Pass</v>
      </c>
      <c r="M132" s="927" t="str">
        <f t="shared" ref="M132" si="174">IF(AND(M131&gt;=M130, M130&gt;=M129), "Pass", "Fail")</f>
        <v>Pass</v>
      </c>
      <c r="N132" s="1075"/>
    </row>
    <row r="133" spans="1:14" ht="15" customHeight="1" x14ac:dyDescent="0.2">
      <c r="A133" s="1076"/>
      <c r="B133" s="1835"/>
      <c r="C133" s="1486" t="s">
        <v>1366</v>
      </c>
      <c r="D133" s="1116"/>
      <c r="E133" s="1116"/>
      <c r="F133" s="1116"/>
      <c r="G133" s="1116"/>
      <c r="H133" s="1116"/>
      <c r="I133" s="1116"/>
      <c r="J133" s="1116"/>
      <c r="K133" s="1116"/>
      <c r="L133" s="1116"/>
      <c r="M133" s="1342"/>
      <c r="N133" s="1075"/>
    </row>
    <row r="134" spans="1:14" ht="15" customHeight="1" x14ac:dyDescent="0.2">
      <c r="A134" s="1076"/>
      <c r="B134" s="1833" t="s">
        <v>1374</v>
      </c>
      <c r="C134" s="1485" t="s">
        <v>1395</v>
      </c>
      <c r="D134" s="1172"/>
      <c r="E134" s="1172"/>
      <c r="F134" s="1172"/>
      <c r="G134" s="1172"/>
      <c r="H134" s="1172"/>
      <c r="I134" s="1172"/>
      <c r="J134" s="1172"/>
      <c r="K134" s="1172"/>
      <c r="L134" s="1172"/>
      <c r="M134" s="1065"/>
      <c r="N134" s="1075"/>
    </row>
    <row r="135" spans="1:14" ht="15" customHeight="1" x14ac:dyDescent="0.2">
      <c r="A135" s="1076"/>
      <c r="B135" s="1834"/>
      <c r="C135" s="1485" t="s">
        <v>1396</v>
      </c>
      <c r="D135" s="1172"/>
      <c r="E135" s="1172"/>
      <c r="F135" s="1172"/>
      <c r="G135" s="1172"/>
      <c r="H135" s="1172"/>
      <c r="I135" s="1172"/>
      <c r="J135" s="1172"/>
      <c r="K135" s="1172"/>
      <c r="L135" s="1172"/>
      <c r="M135" s="1065"/>
      <c r="N135" s="1075"/>
    </row>
    <row r="136" spans="1:14" ht="15" customHeight="1" x14ac:dyDescent="0.2">
      <c r="A136" s="1076"/>
      <c r="B136" s="1834"/>
      <c r="C136" s="1485" t="s">
        <v>1394</v>
      </c>
      <c r="D136" s="1172"/>
      <c r="E136" s="1172"/>
      <c r="F136" s="1172"/>
      <c r="G136" s="1172"/>
      <c r="H136" s="1172"/>
      <c r="I136" s="1172"/>
      <c r="J136" s="1172"/>
      <c r="K136" s="1172"/>
      <c r="L136" s="1172"/>
      <c r="M136" s="1065"/>
      <c r="N136" s="1075"/>
    </row>
    <row r="137" spans="1:14" ht="15" customHeight="1" x14ac:dyDescent="0.2">
      <c r="A137" s="1076"/>
      <c r="B137" s="1834"/>
      <c r="C137" s="1485" t="s">
        <v>1393</v>
      </c>
      <c r="D137" s="1172"/>
      <c r="E137" s="1172"/>
      <c r="F137" s="1172"/>
      <c r="G137" s="1172"/>
      <c r="H137" s="1172"/>
      <c r="I137" s="1172"/>
      <c r="J137" s="1172"/>
      <c r="K137" s="1172"/>
      <c r="L137" s="1172"/>
      <c r="M137" s="1065"/>
      <c r="N137" s="1075"/>
    </row>
    <row r="138" spans="1:14" ht="15" customHeight="1" x14ac:dyDescent="0.2">
      <c r="A138" s="1076"/>
      <c r="B138" s="1834"/>
      <c r="C138" s="1540" t="str">
        <f>CONCATENATE("Check: row ", ROW(C137), " ≤ row ", ROW(C136)," ≤ row ", ROW(C135)," ≤ row ", ROW(C134))</f>
        <v>Check: row 137 ≤ row 136 ≤ row 135 ≤ row 134</v>
      </c>
      <c r="D138" s="927" t="str">
        <f>IF(AND(D137&lt;=D136, D136&lt;=D135, D135&lt;=D134), "Pass", "Fail")</f>
        <v>Pass</v>
      </c>
      <c r="E138" s="927" t="str">
        <f t="shared" ref="E138" si="175">IF(AND(E137&lt;=E136, E136&lt;=E135, E135&lt;=E134), "Pass", "Fail")</f>
        <v>Pass</v>
      </c>
      <c r="F138" s="927" t="str">
        <f t="shared" ref="F138" si="176">IF(AND(F137&lt;=F136, F136&lt;=F135, F135&lt;=F134), "Pass", "Fail")</f>
        <v>Pass</v>
      </c>
      <c r="G138" s="927" t="str">
        <f t="shared" ref="G138" si="177">IF(AND(G137&lt;=G136, G136&lt;=G135, G135&lt;=G134), "Pass", "Fail")</f>
        <v>Pass</v>
      </c>
      <c r="H138" s="927" t="str">
        <f t="shared" ref="H138" si="178">IF(AND(H137&lt;=H136, H136&lt;=H135, H135&lt;=H134), "Pass", "Fail")</f>
        <v>Pass</v>
      </c>
      <c r="I138" s="927" t="str">
        <f t="shared" ref="I138" si="179">IF(AND(I137&lt;=I136, I136&lt;=I135, I135&lt;=I134), "Pass", "Fail")</f>
        <v>Pass</v>
      </c>
      <c r="J138" s="927" t="str">
        <f t="shared" ref="J138" si="180">IF(AND(J137&lt;=J136, J136&lt;=J135, J135&lt;=J134), "Pass", "Fail")</f>
        <v>Pass</v>
      </c>
      <c r="K138" s="927" t="str">
        <f t="shared" ref="K138" si="181">IF(AND(K137&lt;=K136, K136&lt;=K135, K135&lt;=K134), "Pass", "Fail")</f>
        <v>Pass</v>
      </c>
      <c r="L138" s="927" t="str">
        <f t="shared" ref="L138" si="182">IF(AND(L137&lt;=L136, L136&lt;=L135, L135&lt;=L134), "Pass", "Fail")</f>
        <v>Pass</v>
      </c>
      <c r="M138" s="927" t="str">
        <f t="shared" ref="M138" si="183">IF(AND(M137&lt;=M136, M136&lt;=M135, M135&lt;=M134), "Pass", "Fail")</f>
        <v>Pass</v>
      </c>
      <c r="N138" s="1075"/>
    </row>
    <row r="139" spans="1:14" ht="15" customHeight="1" x14ac:dyDescent="0.2">
      <c r="A139" s="1076"/>
      <c r="B139" s="1834"/>
      <c r="C139" s="1485" t="s">
        <v>1392</v>
      </c>
      <c r="D139" s="1172"/>
      <c r="E139" s="1172"/>
      <c r="F139" s="1172"/>
      <c r="G139" s="1172"/>
      <c r="H139" s="1172"/>
      <c r="I139" s="1172"/>
      <c r="J139" s="1172"/>
      <c r="K139" s="1172"/>
      <c r="L139" s="1172"/>
      <c r="M139" s="1065"/>
      <c r="N139" s="1075"/>
    </row>
    <row r="140" spans="1:14" ht="15" customHeight="1" x14ac:dyDescent="0.2">
      <c r="A140" s="1076"/>
      <c r="B140" s="1834"/>
      <c r="C140" s="1485" t="s">
        <v>1397</v>
      </c>
      <c r="D140" s="1172"/>
      <c r="E140" s="1172"/>
      <c r="F140" s="1172"/>
      <c r="G140" s="1172"/>
      <c r="H140" s="1172"/>
      <c r="I140" s="1172"/>
      <c r="J140" s="1172"/>
      <c r="K140" s="1172"/>
      <c r="L140" s="1172"/>
      <c r="M140" s="1065"/>
      <c r="N140" s="1075"/>
    </row>
    <row r="141" spans="1:14" ht="15" customHeight="1" x14ac:dyDescent="0.2">
      <c r="A141" s="1076"/>
      <c r="B141" s="1834"/>
      <c r="C141" s="1482" t="s">
        <v>1391</v>
      </c>
      <c r="D141" s="1172"/>
      <c r="E141" s="1172"/>
      <c r="F141" s="1172"/>
      <c r="G141" s="1172"/>
      <c r="H141" s="1172"/>
      <c r="I141" s="1172"/>
      <c r="J141" s="1172"/>
      <c r="K141" s="1172"/>
      <c r="L141" s="1172"/>
      <c r="M141" s="1065"/>
      <c r="N141" s="1075"/>
    </row>
    <row r="142" spans="1:14" ht="15" customHeight="1" x14ac:dyDescent="0.2">
      <c r="A142" s="1076"/>
      <c r="B142" s="1834"/>
      <c r="C142" s="1482" t="s">
        <v>1390</v>
      </c>
      <c r="D142" s="1172"/>
      <c r="E142" s="1172"/>
      <c r="F142" s="1172"/>
      <c r="G142" s="1172"/>
      <c r="H142" s="1172"/>
      <c r="I142" s="1172"/>
      <c r="J142" s="1172"/>
      <c r="K142" s="1172"/>
      <c r="L142" s="1172"/>
      <c r="M142" s="1065"/>
      <c r="N142" s="1075"/>
    </row>
    <row r="143" spans="1:14" ht="15" customHeight="1" x14ac:dyDescent="0.2">
      <c r="A143" s="1076"/>
      <c r="B143" s="1834"/>
      <c r="C143" s="1540" t="str">
        <f>CONCATENATE("Check: row ", ROW(C142), " ≤ row ", ROW(C141)," ≤ row ", ROW(C140)," ≤ row ", ROW(C139))</f>
        <v>Check: row 142 ≤ row 141 ≤ row 140 ≤ row 139</v>
      </c>
      <c r="D143" s="927" t="str">
        <f>IF(AND(D142&lt;=D141, D141&lt;=D140, D140&lt;=D139), "Pass", "Fail")</f>
        <v>Pass</v>
      </c>
      <c r="E143" s="927" t="str">
        <f t="shared" ref="E143" si="184">IF(AND(E142&lt;=E141, E141&lt;=E140, E140&lt;=E139), "Pass", "Fail")</f>
        <v>Pass</v>
      </c>
      <c r="F143" s="927" t="str">
        <f t="shared" ref="F143" si="185">IF(AND(F142&lt;=F141, F141&lt;=F140, F140&lt;=F139), "Pass", "Fail")</f>
        <v>Pass</v>
      </c>
      <c r="G143" s="927" t="str">
        <f t="shared" ref="G143" si="186">IF(AND(G142&lt;=G141, G141&lt;=G140, G140&lt;=G139), "Pass", "Fail")</f>
        <v>Pass</v>
      </c>
      <c r="H143" s="927" t="str">
        <f t="shared" ref="H143" si="187">IF(AND(H142&lt;=H141, H141&lt;=H140, H140&lt;=H139), "Pass", "Fail")</f>
        <v>Pass</v>
      </c>
      <c r="I143" s="927" t="str">
        <f t="shared" ref="I143" si="188">IF(AND(I142&lt;=I141, I141&lt;=I140, I140&lt;=I139), "Pass", "Fail")</f>
        <v>Pass</v>
      </c>
      <c r="J143" s="927" t="str">
        <f t="shared" ref="J143" si="189">IF(AND(J142&lt;=J141, J141&lt;=J140, J140&lt;=J139), "Pass", "Fail")</f>
        <v>Pass</v>
      </c>
      <c r="K143" s="927" t="str">
        <f t="shared" ref="K143" si="190">IF(AND(K142&lt;=K141, K141&lt;=K140, K140&lt;=K139), "Pass", "Fail")</f>
        <v>Pass</v>
      </c>
      <c r="L143" s="927" t="str">
        <f t="shared" ref="L143" si="191">IF(AND(L142&lt;=L141, L141&lt;=L140, L140&lt;=L139), "Pass", "Fail")</f>
        <v>Pass</v>
      </c>
      <c r="M143" s="927" t="str">
        <f t="shared" ref="M143" si="192">IF(AND(M142&lt;=M141, M141&lt;=M140, M140&lt;=M139), "Pass", "Fail")</f>
        <v>Pass</v>
      </c>
      <c r="N143" s="1075"/>
    </row>
    <row r="144" spans="1:14" ht="15" customHeight="1" x14ac:dyDescent="0.2">
      <c r="A144" s="1076"/>
      <c r="B144" s="1834"/>
      <c r="C144" s="1482" t="s">
        <v>1364</v>
      </c>
      <c r="D144" s="1172"/>
      <c r="E144" s="1172"/>
      <c r="F144" s="1172"/>
      <c r="G144" s="1172"/>
      <c r="H144" s="1172"/>
      <c r="I144" s="1172"/>
      <c r="J144" s="1172"/>
      <c r="K144" s="1172"/>
      <c r="L144" s="1172"/>
      <c r="M144" s="1065"/>
      <c r="N144" s="1075"/>
    </row>
    <row r="145" spans="1:14" ht="15" customHeight="1" x14ac:dyDescent="0.2">
      <c r="A145" s="1076"/>
      <c r="B145" s="1834"/>
      <c r="C145" s="1482" t="s">
        <v>1363</v>
      </c>
      <c r="D145" s="1172"/>
      <c r="E145" s="1172"/>
      <c r="F145" s="1172"/>
      <c r="G145" s="1172"/>
      <c r="H145" s="1172"/>
      <c r="I145" s="1172"/>
      <c r="J145" s="1172"/>
      <c r="K145" s="1172"/>
      <c r="L145" s="1172"/>
      <c r="M145" s="1065"/>
      <c r="N145" s="1075"/>
    </row>
    <row r="146" spans="1:14" ht="15" customHeight="1" x14ac:dyDescent="0.2">
      <c r="A146" s="1076"/>
      <c r="B146" s="1834"/>
      <c r="C146" s="1486" t="s">
        <v>1365</v>
      </c>
      <c r="D146" s="1116"/>
      <c r="E146" s="1116"/>
      <c r="F146" s="1116"/>
      <c r="G146" s="1116"/>
      <c r="H146" s="1116"/>
      <c r="I146" s="1116"/>
      <c r="J146" s="1116"/>
      <c r="K146" s="1116"/>
      <c r="L146" s="1116"/>
      <c r="M146" s="1342"/>
      <c r="N146" s="1075"/>
    </row>
    <row r="147" spans="1:14" ht="15" customHeight="1" x14ac:dyDescent="0.2">
      <c r="A147" s="1076"/>
      <c r="B147" s="1834"/>
      <c r="C147" s="1540" t="str">
        <f>CONCATENATE("Check: row ", ROW(C146), " ≥ row ", ROW(C145)," ≥ row ", ROW(C144))</f>
        <v>Check: row 146 ≥ row 145 ≥ row 144</v>
      </c>
      <c r="D147" s="927" t="str">
        <f>IF(AND(D146&gt;=D145, D145&gt;=D144), "Pass", "Fail")</f>
        <v>Pass</v>
      </c>
      <c r="E147" s="927" t="str">
        <f t="shared" ref="E147" si="193">IF(AND(E146&gt;=E145, E145&gt;=E144), "Pass", "Fail")</f>
        <v>Pass</v>
      </c>
      <c r="F147" s="927" t="str">
        <f t="shared" ref="F147" si="194">IF(AND(F146&gt;=F145, F145&gt;=F144), "Pass", "Fail")</f>
        <v>Pass</v>
      </c>
      <c r="G147" s="927" t="str">
        <f t="shared" ref="G147" si="195">IF(AND(G146&gt;=G145, G145&gt;=G144), "Pass", "Fail")</f>
        <v>Pass</v>
      </c>
      <c r="H147" s="927" t="str">
        <f t="shared" ref="H147" si="196">IF(AND(H146&gt;=H145, H145&gt;=H144), "Pass", "Fail")</f>
        <v>Pass</v>
      </c>
      <c r="I147" s="927" t="str">
        <f t="shared" ref="I147" si="197">IF(AND(I146&gt;=I145, I145&gt;=I144), "Pass", "Fail")</f>
        <v>Pass</v>
      </c>
      <c r="J147" s="927" t="str">
        <f t="shared" ref="J147" si="198">IF(AND(J146&gt;=J145, J145&gt;=J144), "Pass", "Fail")</f>
        <v>Pass</v>
      </c>
      <c r="K147" s="927" t="str">
        <f t="shared" ref="K147" si="199">IF(AND(K146&gt;=K145, K145&gt;=K144), "Pass", "Fail")</f>
        <v>Pass</v>
      </c>
      <c r="L147" s="927" t="str">
        <f t="shared" ref="L147" si="200">IF(AND(L146&gt;=L145, L145&gt;=L144), "Pass", "Fail")</f>
        <v>Pass</v>
      </c>
      <c r="M147" s="927" t="str">
        <f t="shared" ref="M147" si="201">IF(AND(M146&gt;=M145, M145&gt;=M144), "Pass", "Fail")</f>
        <v>Pass</v>
      </c>
      <c r="N147" s="1075"/>
    </row>
    <row r="148" spans="1:14" ht="15" customHeight="1" x14ac:dyDescent="0.2">
      <c r="A148" s="1076"/>
      <c r="B148" s="1836"/>
      <c r="C148" s="1487" t="s">
        <v>1366</v>
      </c>
      <c r="D148" s="1146"/>
      <c r="E148" s="1146"/>
      <c r="F148" s="1146"/>
      <c r="G148" s="1146"/>
      <c r="H148" s="1146"/>
      <c r="I148" s="1146"/>
      <c r="J148" s="1146"/>
      <c r="K148" s="1146"/>
      <c r="L148" s="1146"/>
      <c r="M148" s="1067"/>
      <c r="N148" s="1075"/>
    </row>
    <row r="149" spans="1:14" ht="15" customHeight="1" x14ac:dyDescent="0.2">
      <c r="A149" s="1076"/>
      <c r="B149" s="1074"/>
      <c r="D149" s="1074"/>
      <c r="E149" s="1074"/>
      <c r="F149" s="1074"/>
      <c r="G149" s="1074"/>
      <c r="H149" s="1074"/>
      <c r="I149" s="1074"/>
      <c r="J149" s="1074"/>
      <c r="K149" s="1074"/>
      <c r="L149" s="1074"/>
      <c r="M149" s="1074"/>
      <c r="N149" s="1075"/>
    </row>
    <row r="150" spans="1:14" s="207" customFormat="1" ht="30" customHeight="1" x14ac:dyDescent="0.25">
      <c r="A150" s="1377" t="s">
        <v>1375</v>
      </c>
      <c r="B150" s="18"/>
      <c r="C150" s="16"/>
      <c r="D150" s="203"/>
      <c r="E150" s="203"/>
      <c r="F150" s="203"/>
      <c r="G150" s="203"/>
      <c r="H150" s="180"/>
      <c r="I150" s="180"/>
      <c r="J150" s="180"/>
      <c r="K150" s="180"/>
      <c r="L150" s="180"/>
      <c r="M150" s="180"/>
      <c r="N150" s="181"/>
    </row>
    <row r="151" spans="1:14" ht="15" customHeight="1" x14ac:dyDescent="0.2">
      <c r="A151" s="1076"/>
      <c r="B151" s="1495"/>
      <c r="C151" s="1495"/>
      <c r="D151" s="1495"/>
      <c r="E151" s="1495"/>
      <c r="F151" s="1495"/>
      <c r="G151" s="1495"/>
      <c r="H151" s="1495"/>
      <c r="I151" s="1495"/>
      <c r="J151" s="1495"/>
      <c r="K151" s="1495"/>
      <c r="L151" s="1495"/>
      <c r="M151" s="1512"/>
      <c r="N151" s="1075"/>
    </row>
    <row r="152" spans="1:14" ht="15" customHeight="1" x14ac:dyDescent="0.2">
      <c r="A152" s="1076"/>
      <c r="B152" s="1837" t="s">
        <v>1400</v>
      </c>
      <c r="C152" s="1497" t="s">
        <v>1402</v>
      </c>
      <c r="D152" s="908"/>
      <c r="E152" s="908"/>
      <c r="F152" s="908"/>
      <c r="G152" s="908"/>
      <c r="H152" s="908"/>
      <c r="I152" s="908"/>
      <c r="J152" s="908"/>
      <c r="K152" s="908"/>
      <c r="L152" s="908"/>
      <c r="M152" s="1063"/>
      <c r="N152" s="1075"/>
    </row>
    <row r="153" spans="1:14" ht="15" customHeight="1" x14ac:dyDescent="0.2">
      <c r="A153" s="1076"/>
      <c r="B153" s="1832"/>
      <c r="C153" s="1488" t="s">
        <v>1401</v>
      </c>
      <c r="D153" s="908"/>
      <c r="E153" s="908"/>
      <c r="F153" s="908"/>
      <c r="G153" s="908"/>
      <c r="H153" s="908"/>
      <c r="I153" s="908"/>
      <c r="J153" s="908"/>
      <c r="K153" s="908"/>
      <c r="L153" s="908"/>
      <c r="M153" s="1063"/>
      <c r="N153" s="1075"/>
    </row>
    <row r="154" spans="1:14" ht="15" customHeight="1" x14ac:dyDescent="0.2">
      <c r="A154" s="1076"/>
      <c r="B154" s="1832" t="s">
        <v>1395</v>
      </c>
      <c r="C154" s="1488" t="s">
        <v>1376</v>
      </c>
      <c r="D154" s="1172"/>
      <c r="E154" s="1172"/>
      <c r="F154" s="1172"/>
      <c r="G154" s="1172"/>
      <c r="H154" s="1172"/>
      <c r="I154" s="1172"/>
      <c r="J154" s="1172"/>
      <c r="K154" s="1172"/>
      <c r="L154" s="1172"/>
      <c r="M154" s="1065"/>
      <c r="N154" s="1075"/>
    </row>
    <row r="155" spans="1:14" ht="15" customHeight="1" x14ac:dyDescent="0.2">
      <c r="A155" s="1076"/>
      <c r="B155" s="1832"/>
      <c r="C155" s="1489" t="s">
        <v>1377</v>
      </c>
      <c r="D155" s="1172"/>
      <c r="E155" s="1172"/>
      <c r="F155" s="1172"/>
      <c r="G155" s="1172"/>
      <c r="H155" s="1172"/>
      <c r="I155" s="1172"/>
      <c r="J155" s="1172"/>
      <c r="K155" s="1172"/>
      <c r="L155" s="1172"/>
      <c r="M155" s="1065"/>
      <c r="N155" s="1075"/>
    </row>
    <row r="156" spans="1:14" ht="15" customHeight="1" x14ac:dyDescent="0.2">
      <c r="A156" s="1076"/>
      <c r="B156" s="1832"/>
      <c r="C156" s="1489" t="s">
        <v>1378</v>
      </c>
      <c r="D156" s="1172"/>
      <c r="E156" s="1172"/>
      <c r="F156" s="1172"/>
      <c r="G156" s="1172"/>
      <c r="H156" s="1172"/>
      <c r="I156" s="1172"/>
      <c r="J156" s="1172"/>
      <c r="K156" s="1172"/>
      <c r="L156" s="1172"/>
      <c r="M156" s="1065"/>
      <c r="N156" s="1075"/>
    </row>
    <row r="157" spans="1:14" ht="15" customHeight="1" x14ac:dyDescent="0.2">
      <c r="A157" s="1076"/>
      <c r="B157" s="1832"/>
      <c r="C157" s="1498" t="str">
        <f>CONCATENATE("Check: sum of rows ", ROW(C155), " and ", ROW(C156), " ≤ row ", ROW(C154))</f>
        <v>Check: sum of rows 155 and 156 ≤ row 154</v>
      </c>
      <c r="D157" s="927" t="str">
        <f>IF(D155+D156&lt;=D154, "Pass", "Fail")</f>
        <v>Pass</v>
      </c>
      <c r="E157" s="927" t="str">
        <f t="shared" ref="E157:M157" si="202">IF(E155+E156&lt;=E154, "Pass", "Fail")</f>
        <v>Pass</v>
      </c>
      <c r="F157" s="927" t="str">
        <f t="shared" si="202"/>
        <v>Pass</v>
      </c>
      <c r="G157" s="927" t="str">
        <f t="shared" si="202"/>
        <v>Pass</v>
      </c>
      <c r="H157" s="927" t="str">
        <f t="shared" si="202"/>
        <v>Pass</v>
      </c>
      <c r="I157" s="927" t="str">
        <f t="shared" si="202"/>
        <v>Pass</v>
      </c>
      <c r="J157" s="927" t="str">
        <f t="shared" si="202"/>
        <v>Pass</v>
      </c>
      <c r="K157" s="927" t="str">
        <f t="shared" si="202"/>
        <v>Pass</v>
      </c>
      <c r="L157" s="927" t="str">
        <f t="shared" si="202"/>
        <v>Pass</v>
      </c>
      <c r="M157" s="927" t="str">
        <f t="shared" si="202"/>
        <v>Pass</v>
      </c>
      <c r="N157" s="1075"/>
    </row>
    <row r="158" spans="1:14" ht="15" customHeight="1" x14ac:dyDescent="0.2">
      <c r="A158" s="1076"/>
      <c r="B158" s="1832" t="s">
        <v>1394</v>
      </c>
      <c r="C158" s="1488" t="s">
        <v>1376</v>
      </c>
      <c r="D158" s="1172"/>
      <c r="E158" s="1172"/>
      <c r="F158" s="1172"/>
      <c r="G158" s="1172"/>
      <c r="H158" s="1172"/>
      <c r="I158" s="1172"/>
      <c r="J158" s="1172"/>
      <c r="K158" s="1172"/>
      <c r="L158" s="1172"/>
      <c r="M158" s="1065"/>
      <c r="N158" s="1075"/>
    </row>
    <row r="159" spans="1:14" ht="15" customHeight="1" x14ac:dyDescent="0.2">
      <c r="A159" s="1076"/>
      <c r="B159" s="1832"/>
      <c r="C159" s="1489" t="s">
        <v>1377</v>
      </c>
      <c r="D159" s="1172"/>
      <c r="E159" s="1172"/>
      <c r="F159" s="1172"/>
      <c r="G159" s="1172"/>
      <c r="H159" s="1172"/>
      <c r="I159" s="1172"/>
      <c r="J159" s="1172"/>
      <c r="K159" s="1172"/>
      <c r="L159" s="1172"/>
      <c r="M159" s="1065"/>
      <c r="N159" s="1075"/>
    </row>
    <row r="160" spans="1:14" ht="15" customHeight="1" x14ac:dyDescent="0.2">
      <c r="A160" s="1076"/>
      <c r="B160" s="1832"/>
      <c r="C160" s="1489" t="s">
        <v>1378</v>
      </c>
      <c r="D160" s="1172"/>
      <c r="E160" s="1172"/>
      <c r="F160" s="1172"/>
      <c r="G160" s="1172"/>
      <c r="H160" s="1172"/>
      <c r="I160" s="1172"/>
      <c r="J160" s="1172"/>
      <c r="K160" s="1172"/>
      <c r="L160" s="1172"/>
      <c r="M160" s="1065"/>
      <c r="N160" s="1075"/>
    </row>
    <row r="161" spans="1:14" ht="15" customHeight="1" x14ac:dyDescent="0.2">
      <c r="A161" s="1076"/>
      <c r="B161" s="1832"/>
      <c r="C161" s="1498" t="str">
        <f>CONCATENATE("Check: sum of rows ", ROW(C159), " and ", ROW(C160), " ≤ row ", ROW(C158))</f>
        <v>Check: sum of rows 159 and 160 ≤ row 158</v>
      </c>
      <c r="D161" s="927" t="str">
        <f>IF(D159+D160&lt;=D158, "Pass", "Fail")</f>
        <v>Pass</v>
      </c>
      <c r="E161" s="927" t="str">
        <f t="shared" ref="E161" si="203">IF(E159+E160&lt;=E158, "Pass", "Fail")</f>
        <v>Pass</v>
      </c>
      <c r="F161" s="927" t="str">
        <f t="shared" ref="F161" si="204">IF(F159+F160&lt;=F158, "Pass", "Fail")</f>
        <v>Pass</v>
      </c>
      <c r="G161" s="927" t="str">
        <f t="shared" ref="G161" si="205">IF(G159+G160&lt;=G158, "Pass", "Fail")</f>
        <v>Pass</v>
      </c>
      <c r="H161" s="927" t="str">
        <f t="shared" ref="H161" si="206">IF(H159+H160&lt;=H158, "Pass", "Fail")</f>
        <v>Pass</v>
      </c>
      <c r="I161" s="927" t="str">
        <f t="shared" ref="I161" si="207">IF(I159+I160&lt;=I158, "Pass", "Fail")</f>
        <v>Pass</v>
      </c>
      <c r="J161" s="927" t="str">
        <f t="shared" ref="J161" si="208">IF(J159+J160&lt;=J158, "Pass", "Fail")</f>
        <v>Pass</v>
      </c>
      <c r="K161" s="927" t="str">
        <f t="shared" ref="K161" si="209">IF(K159+K160&lt;=K158, "Pass", "Fail")</f>
        <v>Pass</v>
      </c>
      <c r="L161" s="927" t="str">
        <f t="shared" ref="L161" si="210">IF(L159+L160&lt;=L158, "Pass", "Fail")</f>
        <v>Pass</v>
      </c>
      <c r="M161" s="927" t="str">
        <f t="shared" ref="M161" si="211">IF(M159+M160&lt;=M158, "Pass", "Fail")</f>
        <v>Pass</v>
      </c>
      <c r="N161" s="1075"/>
    </row>
    <row r="162" spans="1:14" ht="15" customHeight="1" x14ac:dyDescent="0.2">
      <c r="A162" s="1076"/>
      <c r="B162" s="1832" t="s">
        <v>1393</v>
      </c>
      <c r="C162" s="1488" t="s">
        <v>1376</v>
      </c>
      <c r="D162" s="1172"/>
      <c r="E162" s="1172"/>
      <c r="F162" s="1172"/>
      <c r="G162" s="1172"/>
      <c r="H162" s="1172"/>
      <c r="I162" s="1172"/>
      <c r="J162" s="1172"/>
      <c r="K162" s="1172"/>
      <c r="L162" s="1172"/>
      <c r="M162" s="1065"/>
      <c r="N162" s="1075"/>
    </row>
    <row r="163" spans="1:14" ht="15" customHeight="1" x14ac:dyDescent="0.2">
      <c r="A163" s="1076"/>
      <c r="B163" s="1832"/>
      <c r="C163" s="1489" t="s">
        <v>1377</v>
      </c>
      <c r="D163" s="1172"/>
      <c r="E163" s="1172"/>
      <c r="F163" s="1172"/>
      <c r="G163" s="1172"/>
      <c r="H163" s="1172"/>
      <c r="I163" s="1172"/>
      <c r="J163" s="1172"/>
      <c r="K163" s="1172"/>
      <c r="L163" s="1172"/>
      <c r="M163" s="1065"/>
      <c r="N163" s="1075"/>
    </row>
    <row r="164" spans="1:14" ht="15" customHeight="1" x14ac:dyDescent="0.2">
      <c r="A164" s="1076"/>
      <c r="B164" s="1832"/>
      <c r="C164" s="1489" t="s">
        <v>1378</v>
      </c>
      <c r="D164" s="1172"/>
      <c r="E164" s="1172"/>
      <c r="F164" s="1172"/>
      <c r="G164" s="1172"/>
      <c r="H164" s="1172"/>
      <c r="I164" s="1172"/>
      <c r="J164" s="1172"/>
      <c r="K164" s="1172"/>
      <c r="L164" s="1172"/>
      <c r="M164" s="1065"/>
      <c r="N164" s="1075"/>
    </row>
    <row r="165" spans="1:14" ht="15" customHeight="1" x14ac:dyDescent="0.2">
      <c r="A165" s="1076"/>
      <c r="B165" s="1832"/>
      <c r="C165" s="1498" t="str">
        <f>CONCATENATE("Check: sum of rows ", ROW(C163), " and ", ROW(C164), " ≤ row ", ROW(C162))</f>
        <v>Check: sum of rows 163 and 164 ≤ row 162</v>
      </c>
      <c r="D165" s="927" t="str">
        <f>IF(D163+D164&lt;=D162, "Pass", "Fail")</f>
        <v>Pass</v>
      </c>
      <c r="E165" s="927" t="str">
        <f t="shared" ref="E165" si="212">IF(E163+E164&lt;=E162, "Pass", "Fail")</f>
        <v>Pass</v>
      </c>
      <c r="F165" s="927" t="str">
        <f t="shared" ref="F165" si="213">IF(F163+F164&lt;=F162, "Pass", "Fail")</f>
        <v>Pass</v>
      </c>
      <c r="G165" s="927" t="str">
        <f t="shared" ref="G165" si="214">IF(G163+G164&lt;=G162, "Pass", "Fail")</f>
        <v>Pass</v>
      </c>
      <c r="H165" s="927" t="str">
        <f t="shared" ref="H165" si="215">IF(H163+H164&lt;=H162, "Pass", "Fail")</f>
        <v>Pass</v>
      </c>
      <c r="I165" s="927" t="str">
        <f t="shared" ref="I165" si="216">IF(I163+I164&lt;=I162, "Pass", "Fail")</f>
        <v>Pass</v>
      </c>
      <c r="J165" s="927" t="str">
        <f t="shared" ref="J165" si="217">IF(J163+J164&lt;=J162, "Pass", "Fail")</f>
        <v>Pass</v>
      </c>
      <c r="K165" s="927" t="str">
        <f t="shared" ref="K165" si="218">IF(K163+K164&lt;=K162, "Pass", "Fail")</f>
        <v>Pass</v>
      </c>
      <c r="L165" s="927" t="str">
        <f t="shared" ref="L165" si="219">IF(L163+L164&lt;=L162, "Pass", "Fail")</f>
        <v>Pass</v>
      </c>
      <c r="M165" s="927" t="str">
        <f t="shared" ref="M165" si="220">IF(M163+M164&lt;=M162, "Pass", "Fail")</f>
        <v>Pass</v>
      </c>
      <c r="N165" s="1075"/>
    </row>
    <row r="166" spans="1:14" ht="15" customHeight="1" x14ac:dyDescent="0.2">
      <c r="A166" s="1076"/>
      <c r="B166" s="1816" t="str">
        <f>CONCATENATE("Check: row ", ROW(C162), " ≤ row ", ROW(C158)," ≤ row ", ROW(C154))</f>
        <v>Check: row 162 ≤ row 158 ≤ row 154</v>
      </c>
      <c r="C166" s="1817"/>
      <c r="D166" s="927" t="str">
        <f>IF(AND(D154&gt;=D158, D158&gt;=D162), "Pass", "Fail")</f>
        <v>Pass</v>
      </c>
      <c r="E166" s="927" t="str">
        <f t="shared" ref="E166:M166" si="221">IF(AND(E154&gt;=E158, E158&gt;=E162), "Pass", "Fail")</f>
        <v>Pass</v>
      </c>
      <c r="F166" s="927" t="str">
        <f t="shared" si="221"/>
        <v>Pass</v>
      </c>
      <c r="G166" s="927" t="str">
        <f t="shared" si="221"/>
        <v>Pass</v>
      </c>
      <c r="H166" s="927" t="str">
        <f t="shared" si="221"/>
        <v>Pass</v>
      </c>
      <c r="I166" s="927" t="str">
        <f t="shared" si="221"/>
        <v>Pass</v>
      </c>
      <c r="J166" s="927" t="str">
        <f t="shared" si="221"/>
        <v>Pass</v>
      </c>
      <c r="K166" s="927" t="str">
        <f t="shared" si="221"/>
        <v>Pass</v>
      </c>
      <c r="L166" s="927" t="str">
        <f t="shared" si="221"/>
        <v>Pass</v>
      </c>
      <c r="M166" s="927" t="str">
        <f t="shared" si="221"/>
        <v>Pass</v>
      </c>
      <c r="N166" s="1075"/>
    </row>
    <row r="167" spans="1:14" ht="15" customHeight="1" x14ac:dyDescent="0.2">
      <c r="A167" s="1076"/>
      <c r="B167" s="1832" t="s">
        <v>1392</v>
      </c>
      <c r="C167" s="1488" t="s">
        <v>1403</v>
      </c>
      <c r="D167" s="1172"/>
      <c r="E167" s="1172"/>
      <c r="F167" s="1172"/>
      <c r="G167" s="1172"/>
      <c r="H167" s="1172"/>
      <c r="I167" s="1172"/>
      <c r="J167" s="1172"/>
      <c r="K167" s="1172"/>
      <c r="L167" s="1172"/>
      <c r="M167" s="1065"/>
      <c r="N167" s="1075"/>
    </row>
    <row r="168" spans="1:14" ht="15" customHeight="1" x14ac:dyDescent="0.2">
      <c r="A168" s="1076"/>
      <c r="B168" s="1832"/>
      <c r="C168" s="1489" t="s">
        <v>1377</v>
      </c>
      <c r="D168" s="1172"/>
      <c r="E168" s="1172"/>
      <c r="F168" s="1172"/>
      <c r="G168" s="1172"/>
      <c r="H168" s="1172"/>
      <c r="I168" s="1172"/>
      <c r="J168" s="1172"/>
      <c r="K168" s="1172"/>
      <c r="L168" s="1172"/>
      <c r="M168" s="1065"/>
      <c r="N168" s="1075"/>
    </row>
    <row r="169" spans="1:14" ht="15" customHeight="1" x14ac:dyDescent="0.2">
      <c r="A169" s="1076"/>
      <c r="B169" s="1832"/>
      <c r="C169" s="1489" t="s">
        <v>1378</v>
      </c>
      <c r="D169" s="1172"/>
      <c r="E169" s="1172"/>
      <c r="F169" s="1172"/>
      <c r="G169" s="1172"/>
      <c r="H169" s="1172"/>
      <c r="I169" s="1172"/>
      <c r="J169" s="1172"/>
      <c r="K169" s="1172"/>
      <c r="L169" s="1172"/>
      <c r="M169" s="1065"/>
      <c r="N169" s="1075"/>
    </row>
    <row r="170" spans="1:14" ht="15" customHeight="1" x14ac:dyDescent="0.2">
      <c r="A170" s="1076"/>
      <c r="B170" s="1832"/>
      <c r="C170" s="1498" t="str">
        <f>CONCATENATE("Check: sum of rows ", ROW(C168), " and ", ROW(C169), " ≤ row ", ROW(C167))</f>
        <v>Check: sum of rows 168 and 169 ≤ row 167</v>
      </c>
      <c r="D170" s="927" t="str">
        <f>IF(D168+D169&lt;=D167, "Pass", "Fail")</f>
        <v>Pass</v>
      </c>
      <c r="E170" s="927" t="str">
        <f t="shared" ref="E170" si="222">IF(E168+E169&lt;=E167, "Pass", "Fail")</f>
        <v>Pass</v>
      </c>
      <c r="F170" s="927" t="str">
        <f t="shared" ref="F170" si="223">IF(F168+F169&lt;=F167, "Pass", "Fail")</f>
        <v>Pass</v>
      </c>
      <c r="G170" s="927" t="str">
        <f t="shared" ref="G170" si="224">IF(G168+G169&lt;=G167, "Pass", "Fail")</f>
        <v>Pass</v>
      </c>
      <c r="H170" s="927" t="str">
        <f t="shared" ref="H170" si="225">IF(H168+H169&lt;=H167, "Pass", "Fail")</f>
        <v>Pass</v>
      </c>
      <c r="I170" s="927" t="str">
        <f t="shared" ref="I170" si="226">IF(I168+I169&lt;=I167, "Pass", "Fail")</f>
        <v>Pass</v>
      </c>
      <c r="J170" s="927" t="str">
        <f t="shared" ref="J170" si="227">IF(J168+J169&lt;=J167, "Pass", "Fail")</f>
        <v>Pass</v>
      </c>
      <c r="K170" s="927" t="str">
        <f t="shared" ref="K170" si="228">IF(K168+K169&lt;=K167, "Pass", "Fail")</f>
        <v>Pass</v>
      </c>
      <c r="L170" s="927" t="str">
        <f t="shared" ref="L170" si="229">IF(L168+L169&lt;=L167, "Pass", "Fail")</f>
        <v>Pass</v>
      </c>
      <c r="M170" s="927" t="str">
        <f t="shared" ref="M170" si="230">IF(M168+M169&lt;=M167, "Pass", "Fail")</f>
        <v>Pass</v>
      </c>
      <c r="N170" s="1075"/>
    </row>
    <row r="171" spans="1:14" ht="15" customHeight="1" x14ac:dyDescent="0.2">
      <c r="A171" s="1076"/>
      <c r="B171" s="1832" t="s">
        <v>1391</v>
      </c>
      <c r="C171" s="1488" t="s">
        <v>1403</v>
      </c>
      <c r="D171" s="1172"/>
      <c r="E171" s="1172"/>
      <c r="F171" s="1172"/>
      <c r="G171" s="1172"/>
      <c r="H171" s="1172"/>
      <c r="I171" s="1172"/>
      <c r="J171" s="1172"/>
      <c r="K171" s="1172"/>
      <c r="L171" s="1172"/>
      <c r="M171" s="1065"/>
      <c r="N171" s="1075"/>
    </row>
    <row r="172" spans="1:14" ht="15" customHeight="1" x14ac:dyDescent="0.2">
      <c r="A172" s="1076"/>
      <c r="B172" s="1832"/>
      <c r="C172" s="1489" t="s">
        <v>1377</v>
      </c>
      <c r="D172" s="1172"/>
      <c r="E172" s="1172"/>
      <c r="F172" s="1172"/>
      <c r="G172" s="1172"/>
      <c r="H172" s="1172"/>
      <c r="I172" s="1172"/>
      <c r="J172" s="1172"/>
      <c r="K172" s="1172"/>
      <c r="L172" s="1172"/>
      <c r="M172" s="1065"/>
      <c r="N172" s="1075"/>
    </row>
    <row r="173" spans="1:14" ht="15" customHeight="1" x14ac:dyDescent="0.2">
      <c r="A173" s="1076"/>
      <c r="B173" s="1832"/>
      <c r="C173" s="1489" t="s">
        <v>1378</v>
      </c>
      <c r="D173" s="1172"/>
      <c r="E173" s="1172"/>
      <c r="F173" s="1172"/>
      <c r="G173" s="1172"/>
      <c r="H173" s="1172"/>
      <c r="I173" s="1172"/>
      <c r="J173" s="1172"/>
      <c r="K173" s="1172"/>
      <c r="L173" s="1172"/>
      <c r="M173" s="1065"/>
      <c r="N173" s="1075"/>
    </row>
    <row r="174" spans="1:14" ht="15" customHeight="1" x14ac:dyDescent="0.2">
      <c r="A174" s="1076"/>
      <c r="B174" s="1832"/>
      <c r="C174" s="1498" t="str">
        <f>CONCATENATE("Check: sum of rows ", ROW(C172), " and ", ROW(C173), " ≤ row ", ROW(C171))</f>
        <v>Check: sum of rows 172 and 173 ≤ row 171</v>
      </c>
      <c r="D174" s="927" t="str">
        <f>IF(D172+D173&lt;=D171, "Pass", "Fail")</f>
        <v>Pass</v>
      </c>
      <c r="E174" s="927" t="str">
        <f t="shared" ref="E174" si="231">IF(E172+E173&lt;=E171, "Pass", "Fail")</f>
        <v>Pass</v>
      </c>
      <c r="F174" s="927" t="str">
        <f t="shared" ref="F174" si="232">IF(F172+F173&lt;=F171, "Pass", "Fail")</f>
        <v>Pass</v>
      </c>
      <c r="G174" s="927" t="str">
        <f t="shared" ref="G174" si="233">IF(G172+G173&lt;=G171, "Pass", "Fail")</f>
        <v>Pass</v>
      </c>
      <c r="H174" s="927" t="str">
        <f t="shared" ref="H174" si="234">IF(H172+H173&lt;=H171, "Pass", "Fail")</f>
        <v>Pass</v>
      </c>
      <c r="I174" s="927" t="str">
        <f t="shared" ref="I174" si="235">IF(I172+I173&lt;=I171, "Pass", "Fail")</f>
        <v>Pass</v>
      </c>
      <c r="J174" s="927" t="str">
        <f t="shared" ref="J174" si="236">IF(J172+J173&lt;=J171, "Pass", "Fail")</f>
        <v>Pass</v>
      </c>
      <c r="K174" s="927" t="str">
        <f t="shared" ref="K174" si="237">IF(K172+K173&lt;=K171, "Pass", "Fail")</f>
        <v>Pass</v>
      </c>
      <c r="L174" s="927" t="str">
        <f t="shared" ref="L174" si="238">IF(L172+L173&lt;=L171, "Pass", "Fail")</f>
        <v>Pass</v>
      </c>
      <c r="M174" s="927" t="str">
        <f t="shared" ref="M174" si="239">IF(M172+M173&lt;=M171, "Pass", "Fail")</f>
        <v>Pass</v>
      </c>
      <c r="N174" s="1075"/>
    </row>
    <row r="175" spans="1:14" ht="15" customHeight="1" x14ac:dyDescent="0.2">
      <c r="A175" s="1076"/>
      <c r="B175" s="1832" t="s">
        <v>1390</v>
      </c>
      <c r="C175" s="1488" t="s">
        <v>1403</v>
      </c>
      <c r="D175" s="1172"/>
      <c r="E175" s="1172"/>
      <c r="F175" s="1172"/>
      <c r="G175" s="1172"/>
      <c r="H175" s="1172"/>
      <c r="I175" s="1172"/>
      <c r="J175" s="1172"/>
      <c r="K175" s="1172"/>
      <c r="L175" s="1172"/>
      <c r="M175" s="1065"/>
      <c r="N175" s="1075"/>
    </row>
    <row r="176" spans="1:14" ht="15" customHeight="1" x14ac:dyDescent="0.2">
      <c r="A176" s="1076"/>
      <c r="B176" s="1832"/>
      <c r="C176" s="1489" t="s">
        <v>1377</v>
      </c>
      <c r="D176" s="1172"/>
      <c r="E176" s="1172"/>
      <c r="F176" s="1172"/>
      <c r="G176" s="1172"/>
      <c r="H176" s="1172"/>
      <c r="I176" s="1172"/>
      <c r="J176" s="1172"/>
      <c r="K176" s="1172"/>
      <c r="L176" s="1172"/>
      <c r="M176" s="1065"/>
      <c r="N176" s="1075"/>
    </row>
    <row r="177" spans="1:14" ht="15" customHeight="1" x14ac:dyDescent="0.2">
      <c r="A177" s="1076"/>
      <c r="B177" s="1832"/>
      <c r="C177" s="1489" t="s">
        <v>1378</v>
      </c>
      <c r="D177" s="1172"/>
      <c r="E177" s="1172"/>
      <c r="F177" s="1172"/>
      <c r="G177" s="1172"/>
      <c r="H177" s="1172"/>
      <c r="I177" s="1172"/>
      <c r="J177" s="1172"/>
      <c r="K177" s="1172"/>
      <c r="L177" s="1172"/>
      <c r="M177" s="1065"/>
      <c r="N177" s="1075"/>
    </row>
    <row r="178" spans="1:14" ht="15" customHeight="1" x14ac:dyDescent="0.2">
      <c r="A178" s="1076"/>
      <c r="B178" s="1832"/>
      <c r="C178" s="1498" t="str">
        <f>CONCATENATE("Check: sum of rows ", ROW(C176), " and ", ROW(C177), " ≤ row ", ROW(C175))</f>
        <v>Check: sum of rows 176 and 177 ≤ row 175</v>
      </c>
      <c r="D178" s="927" t="str">
        <f>IF(D176+D177&lt;=D175, "Pass", "Fail")</f>
        <v>Pass</v>
      </c>
      <c r="E178" s="927" t="str">
        <f t="shared" ref="E178" si="240">IF(E176+E177&lt;=E175, "Pass", "Fail")</f>
        <v>Pass</v>
      </c>
      <c r="F178" s="927" t="str">
        <f t="shared" ref="F178" si="241">IF(F176+F177&lt;=F175, "Pass", "Fail")</f>
        <v>Pass</v>
      </c>
      <c r="G178" s="927" t="str">
        <f t="shared" ref="G178" si="242">IF(G176+G177&lt;=G175, "Pass", "Fail")</f>
        <v>Pass</v>
      </c>
      <c r="H178" s="927" t="str">
        <f t="shared" ref="H178" si="243">IF(H176+H177&lt;=H175, "Pass", "Fail")</f>
        <v>Pass</v>
      </c>
      <c r="I178" s="927" t="str">
        <f t="shared" ref="I178" si="244">IF(I176+I177&lt;=I175, "Pass", "Fail")</f>
        <v>Pass</v>
      </c>
      <c r="J178" s="927" t="str">
        <f t="shared" ref="J178" si="245">IF(J176+J177&lt;=J175, "Pass", "Fail")</f>
        <v>Pass</v>
      </c>
      <c r="K178" s="927" t="str">
        <f t="shared" ref="K178" si="246">IF(K176+K177&lt;=K175, "Pass", "Fail")</f>
        <v>Pass</v>
      </c>
      <c r="L178" s="927" t="str">
        <f t="shared" ref="L178" si="247">IF(L176+L177&lt;=L175, "Pass", "Fail")</f>
        <v>Pass</v>
      </c>
      <c r="M178" s="927" t="str">
        <f t="shared" ref="M178" si="248">IF(M176+M177&lt;=M175, "Pass", "Fail")</f>
        <v>Pass</v>
      </c>
      <c r="N178" s="1075"/>
    </row>
    <row r="179" spans="1:14" ht="15" customHeight="1" x14ac:dyDescent="0.2">
      <c r="A179" s="1076"/>
      <c r="B179" s="1816" t="str">
        <f>CONCATENATE("Check: row ", ROW(C175), " ≤ row ", ROW(C171)," ≤ row ", ROW(C167))</f>
        <v>Check: row 175 ≤ row 171 ≤ row 167</v>
      </c>
      <c r="C179" s="1817"/>
      <c r="D179" s="927" t="str">
        <f>IF(AND(D167&gt;=D171, D171&gt;=D175), "Pass", "Fail")</f>
        <v>Pass</v>
      </c>
      <c r="E179" s="927" t="str">
        <f t="shared" ref="E179:M179" si="249">IF(AND(E167&gt;=E171, E171&gt;=E175), "Pass", "Fail")</f>
        <v>Pass</v>
      </c>
      <c r="F179" s="927" t="str">
        <f t="shared" si="249"/>
        <v>Pass</v>
      </c>
      <c r="G179" s="927" t="str">
        <f t="shared" si="249"/>
        <v>Pass</v>
      </c>
      <c r="H179" s="927" t="str">
        <f t="shared" si="249"/>
        <v>Pass</v>
      </c>
      <c r="I179" s="927" t="str">
        <f t="shared" si="249"/>
        <v>Pass</v>
      </c>
      <c r="J179" s="927" t="str">
        <f t="shared" si="249"/>
        <v>Pass</v>
      </c>
      <c r="K179" s="927" t="str">
        <f t="shared" si="249"/>
        <v>Pass</v>
      </c>
      <c r="L179" s="927" t="str">
        <f t="shared" si="249"/>
        <v>Pass</v>
      </c>
      <c r="M179" s="927" t="str">
        <f t="shared" si="249"/>
        <v>Pass</v>
      </c>
      <c r="N179" s="1075"/>
    </row>
    <row r="180" spans="1:14" ht="15" customHeight="1" x14ac:dyDescent="0.2">
      <c r="A180" s="1076"/>
      <c r="B180" s="1849" t="s">
        <v>1364</v>
      </c>
      <c r="C180" s="1488" t="s">
        <v>1471</v>
      </c>
      <c r="D180" s="1172"/>
      <c r="E180" s="1172"/>
      <c r="F180" s="1172"/>
      <c r="G180" s="1172"/>
      <c r="H180" s="1172"/>
      <c r="I180" s="1172"/>
      <c r="J180" s="1172"/>
      <c r="K180" s="1172"/>
      <c r="L180" s="1172"/>
      <c r="M180" s="1065"/>
      <c r="N180" s="1075"/>
    </row>
    <row r="181" spans="1:14" ht="15" customHeight="1" x14ac:dyDescent="0.2">
      <c r="A181" s="1076"/>
      <c r="B181" s="1850"/>
      <c r="C181" s="1489" t="s">
        <v>1377</v>
      </c>
      <c r="D181" s="1172"/>
      <c r="E181" s="1172"/>
      <c r="F181" s="1172"/>
      <c r="G181" s="1172"/>
      <c r="H181" s="1172"/>
      <c r="I181" s="1172"/>
      <c r="J181" s="1172"/>
      <c r="K181" s="1172"/>
      <c r="L181" s="1172"/>
      <c r="M181" s="1065"/>
      <c r="N181" s="1075"/>
    </row>
    <row r="182" spans="1:14" ht="15" customHeight="1" x14ac:dyDescent="0.2">
      <c r="A182" s="1076"/>
      <c r="B182" s="1850"/>
      <c r="C182" s="1489" t="s">
        <v>1378</v>
      </c>
      <c r="D182" s="1172"/>
      <c r="E182" s="1172"/>
      <c r="F182" s="1172"/>
      <c r="G182" s="1172"/>
      <c r="H182" s="1172"/>
      <c r="I182" s="1172"/>
      <c r="J182" s="1172"/>
      <c r="K182" s="1172"/>
      <c r="L182" s="1172"/>
      <c r="M182" s="1065"/>
      <c r="N182" s="1075"/>
    </row>
    <row r="183" spans="1:14" ht="15" customHeight="1" x14ac:dyDescent="0.2">
      <c r="A183" s="1076"/>
      <c r="B183" s="1851"/>
      <c r="C183" s="1498" t="str">
        <f>CONCATENATE("Check: rows ", ROW(C181), " and ", ROW(C182), " ≤ row ", ROW(C180))</f>
        <v>Check: rows 181 and 182 ≤ row 180</v>
      </c>
      <c r="D183" s="927" t="str">
        <f>IF(AND(D181&lt;=D180, D182&lt;=D180), "Pass", "Fail")</f>
        <v>Pass</v>
      </c>
      <c r="E183" s="927" t="str">
        <f t="shared" ref="E183:M183" si="250">IF(AND(E181&lt;=E180, E182&lt;=E180), "Pass", "Fail")</f>
        <v>Pass</v>
      </c>
      <c r="F183" s="927" t="str">
        <f t="shared" si="250"/>
        <v>Pass</v>
      </c>
      <c r="G183" s="927" t="str">
        <f t="shared" si="250"/>
        <v>Pass</v>
      </c>
      <c r="H183" s="927" t="str">
        <f t="shared" si="250"/>
        <v>Pass</v>
      </c>
      <c r="I183" s="927" t="str">
        <f t="shared" si="250"/>
        <v>Pass</v>
      </c>
      <c r="J183" s="927" t="str">
        <f t="shared" si="250"/>
        <v>Pass</v>
      </c>
      <c r="K183" s="927" t="str">
        <f t="shared" si="250"/>
        <v>Pass</v>
      </c>
      <c r="L183" s="927" t="str">
        <f t="shared" si="250"/>
        <v>Pass</v>
      </c>
      <c r="M183" s="927" t="str">
        <f t="shared" si="250"/>
        <v>Pass</v>
      </c>
      <c r="N183" s="1075"/>
    </row>
    <row r="184" spans="1:14" ht="15" customHeight="1" x14ac:dyDescent="0.2">
      <c r="A184" s="1076"/>
      <c r="B184" s="1847" t="s">
        <v>1366</v>
      </c>
      <c r="C184" s="1488" t="s">
        <v>1377</v>
      </c>
      <c r="D184" s="1172"/>
      <c r="E184" s="1172"/>
      <c r="F184" s="1172"/>
      <c r="G184" s="1172"/>
      <c r="H184" s="1172"/>
      <c r="I184" s="1172"/>
      <c r="J184" s="1172"/>
      <c r="K184" s="1172"/>
      <c r="L184" s="1172"/>
      <c r="M184" s="1065"/>
      <c r="N184" s="1075"/>
    </row>
    <row r="185" spans="1:14" ht="15" customHeight="1" x14ac:dyDescent="0.2">
      <c r="A185" s="1076"/>
      <c r="B185" s="1848"/>
      <c r="C185" s="1487" t="s">
        <v>1378</v>
      </c>
      <c r="D185" s="1146"/>
      <c r="E185" s="1146"/>
      <c r="F185" s="1146"/>
      <c r="G185" s="1146"/>
      <c r="H185" s="1146"/>
      <c r="I185" s="1146"/>
      <c r="J185" s="1146"/>
      <c r="K185" s="1146"/>
      <c r="L185" s="1146"/>
      <c r="M185" s="1067"/>
      <c r="N185" s="1075"/>
    </row>
    <row r="186" spans="1:14" ht="15" customHeight="1" x14ac:dyDescent="0.2">
      <c r="A186" s="1076"/>
      <c r="B186" s="1074"/>
      <c r="D186" s="1074"/>
      <c r="E186" s="1074"/>
      <c r="F186" s="1074"/>
      <c r="G186" s="1074"/>
      <c r="H186" s="1074"/>
      <c r="I186" s="1074"/>
      <c r="J186" s="1074"/>
      <c r="K186" s="1074"/>
      <c r="L186" s="1074"/>
      <c r="M186" s="1074"/>
      <c r="N186" s="1075"/>
    </row>
    <row r="187" spans="1:14" s="207" customFormat="1" ht="30" customHeight="1" x14ac:dyDescent="0.25">
      <c r="A187" s="1377" t="s">
        <v>1477</v>
      </c>
      <c r="B187" s="18"/>
      <c r="C187" s="16"/>
      <c r="D187" s="203"/>
      <c r="E187" s="203"/>
      <c r="F187" s="203"/>
      <c r="G187" s="203"/>
      <c r="H187" s="180"/>
      <c r="I187" s="180"/>
      <c r="J187" s="180"/>
      <c r="K187" s="180"/>
      <c r="L187" s="180"/>
      <c r="M187" s="180"/>
      <c r="N187" s="181"/>
    </row>
    <row r="188" spans="1:14" ht="15" customHeight="1" x14ac:dyDescent="0.2">
      <c r="A188" s="1076"/>
      <c r="B188" s="1074"/>
      <c r="D188" s="1074"/>
      <c r="E188" s="1074"/>
      <c r="F188" s="1074"/>
      <c r="G188" s="1074"/>
      <c r="H188" s="1074"/>
      <c r="I188" s="1074"/>
      <c r="J188" s="1074"/>
      <c r="K188" s="1074"/>
      <c r="L188" s="1074"/>
      <c r="M188" s="1074"/>
      <c r="N188" s="1075"/>
    </row>
    <row r="189" spans="1:14" ht="15" customHeight="1" x14ac:dyDescent="0.2">
      <c r="A189" s="1076"/>
      <c r="B189" s="1493" t="s">
        <v>1478</v>
      </c>
      <c r="C189" s="1483"/>
      <c r="D189" s="1510">
        <v>2004</v>
      </c>
      <c r="E189" s="1510">
        <f>+D189+1</f>
        <v>2005</v>
      </c>
      <c r="F189" s="1510">
        <f t="shared" ref="F189" si="251">+E189+1</f>
        <v>2006</v>
      </c>
      <c r="G189" s="1510">
        <f t="shared" ref="G189" si="252">+F189+1</f>
        <v>2007</v>
      </c>
      <c r="H189" s="1510">
        <f t="shared" ref="H189" si="253">+G189+1</f>
        <v>2008</v>
      </c>
      <c r="I189" s="1510">
        <f t="shared" ref="I189" si="254">+H189+1</f>
        <v>2009</v>
      </c>
      <c r="J189" s="1510">
        <f t="shared" ref="J189" si="255">+I189+1</f>
        <v>2010</v>
      </c>
      <c r="K189" s="1510">
        <f t="shared" ref="K189" si="256">+J189+1</f>
        <v>2011</v>
      </c>
      <c r="L189" s="1510">
        <f t="shared" ref="L189" si="257">+K189+1</f>
        <v>2012</v>
      </c>
      <c r="M189" s="1509">
        <f t="shared" ref="M189" si="258">+L189+1</f>
        <v>2013</v>
      </c>
      <c r="N189" s="1075"/>
    </row>
    <row r="190" spans="1:14" ht="15" customHeight="1" x14ac:dyDescent="0.2">
      <c r="A190" s="1076"/>
      <c r="B190" s="1854" t="s">
        <v>1479</v>
      </c>
      <c r="C190" s="1484" t="s">
        <v>1480</v>
      </c>
      <c r="D190" s="906"/>
      <c r="E190" s="906"/>
      <c r="F190" s="906"/>
      <c r="G190" s="906"/>
      <c r="H190" s="906"/>
      <c r="I190" s="1410"/>
      <c r="J190" s="1410"/>
      <c r="K190" s="1410"/>
      <c r="L190" s="1410"/>
      <c r="M190" s="1411"/>
      <c r="N190" s="1075"/>
    </row>
    <row r="191" spans="1:14" ht="15" customHeight="1" x14ac:dyDescent="0.2">
      <c r="A191" s="1076"/>
      <c r="B191" s="1855"/>
      <c r="C191" s="1485" t="s">
        <v>1395</v>
      </c>
      <c r="D191" s="1131"/>
      <c r="E191" s="1131"/>
      <c r="F191" s="1131"/>
      <c r="G191" s="1131"/>
      <c r="H191" s="1131"/>
      <c r="I191" s="1154"/>
      <c r="J191" s="1154"/>
      <c r="K191" s="1154"/>
      <c r="L191" s="1154"/>
      <c r="M191" s="554"/>
      <c r="N191" s="1075"/>
    </row>
    <row r="192" spans="1:14" ht="15" customHeight="1" x14ac:dyDescent="0.2">
      <c r="A192" s="1076"/>
      <c r="B192" s="1855"/>
      <c r="C192" s="1485" t="s">
        <v>1394</v>
      </c>
      <c r="D192" s="1131"/>
      <c r="E192" s="1131"/>
      <c r="F192" s="1131"/>
      <c r="G192" s="1131"/>
      <c r="H192" s="1131"/>
      <c r="I192" s="1154"/>
      <c r="J192" s="1154"/>
      <c r="K192" s="1154"/>
      <c r="L192" s="1154"/>
      <c r="M192" s="554"/>
      <c r="N192" s="1075"/>
    </row>
    <row r="193" spans="1:14" ht="15" customHeight="1" x14ac:dyDescent="0.2">
      <c r="A193" s="1076"/>
      <c r="B193" s="1855"/>
      <c r="C193" s="1534" t="str">
        <f>CONCATENATE("Check: row ", ROW(C192), " ≤ row ", ROW(C191))</f>
        <v>Check: row 192 ≤ row 191</v>
      </c>
      <c r="D193" s="1131"/>
      <c r="E193" s="1131"/>
      <c r="F193" s="1131"/>
      <c r="G193" s="1131"/>
      <c r="H193" s="1131"/>
      <c r="I193" s="927" t="str">
        <f t="shared" ref="I193:M193" si="259">IF(I192&lt;=I191, "Pass", "Fail")</f>
        <v>Pass</v>
      </c>
      <c r="J193" s="927" t="str">
        <f t="shared" si="259"/>
        <v>Pass</v>
      </c>
      <c r="K193" s="927" t="str">
        <f t="shared" si="259"/>
        <v>Pass</v>
      </c>
      <c r="L193" s="927" t="str">
        <f t="shared" si="259"/>
        <v>Pass</v>
      </c>
      <c r="M193" s="927" t="str">
        <f t="shared" si="259"/>
        <v>Pass</v>
      </c>
      <c r="N193" s="1075"/>
    </row>
    <row r="194" spans="1:14" ht="15" customHeight="1" x14ac:dyDescent="0.2">
      <c r="A194" s="1076"/>
      <c r="B194" s="1855"/>
      <c r="C194" s="1485" t="s">
        <v>1392</v>
      </c>
      <c r="D194" s="1131"/>
      <c r="E194" s="1131"/>
      <c r="F194" s="1131"/>
      <c r="G194" s="1131"/>
      <c r="H194" s="1131"/>
      <c r="I194" s="1154"/>
      <c r="J194" s="1154"/>
      <c r="K194" s="1154"/>
      <c r="L194" s="1154"/>
      <c r="M194" s="554"/>
      <c r="N194" s="1075"/>
    </row>
    <row r="195" spans="1:14" ht="15" customHeight="1" x14ac:dyDescent="0.2">
      <c r="A195" s="1076"/>
      <c r="B195" s="1855"/>
      <c r="C195" s="1485" t="s">
        <v>1391</v>
      </c>
      <c r="D195" s="1131"/>
      <c r="E195" s="1131"/>
      <c r="F195" s="1131"/>
      <c r="G195" s="1131"/>
      <c r="H195" s="1131"/>
      <c r="I195" s="1154"/>
      <c r="J195" s="1154"/>
      <c r="K195" s="1154"/>
      <c r="L195" s="1154"/>
      <c r="M195" s="554"/>
      <c r="N195" s="1075"/>
    </row>
    <row r="196" spans="1:14" ht="15" customHeight="1" x14ac:dyDescent="0.2">
      <c r="A196" s="1076"/>
      <c r="B196" s="1855"/>
      <c r="C196" s="1534" t="str">
        <f>CONCATENATE("Check: row ", ROW(C195), " ≤ row ", ROW(C194))</f>
        <v>Check: row 195 ≤ row 194</v>
      </c>
      <c r="D196" s="1131"/>
      <c r="E196" s="1131"/>
      <c r="F196" s="1131"/>
      <c r="G196" s="1131"/>
      <c r="H196" s="1131"/>
      <c r="I196" s="927" t="str">
        <f t="shared" ref="I196:M196" si="260">IF(I195&lt;=I194, "Pass", "Fail")</f>
        <v>Pass</v>
      </c>
      <c r="J196" s="927" t="str">
        <f t="shared" si="260"/>
        <v>Pass</v>
      </c>
      <c r="K196" s="927" t="str">
        <f t="shared" si="260"/>
        <v>Pass</v>
      </c>
      <c r="L196" s="927" t="str">
        <f t="shared" si="260"/>
        <v>Pass</v>
      </c>
      <c r="M196" s="927" t="str">
        <f t="shared" si="260"/>
        <v>Pass</v>
      </c>
      <c r="N196" s="1075"/>
    </row>
    <row r="197" spans="1:14" ht="15" customHeight="1" x14ac:dyDescent="0.2">
      <c r="A197" s="1076"/>
      <c r="B197" s="1855"/>
      <c r="C197" s="1486" t="s">
        <v>1364</v>
      </c>
      <c r="D197" s="1407"/>
      <c r="E197" s="1407"/>
      <c r="F197" s="1407"/>
      <c r="G197" s="1407"/>
      <c r="H197" s="1407"/>
      <c r="I197" s="1539"/>
      <c r="J197" s="1539"/>
      <c r="K197" s="1539"/>
      <c r="L197" s="1539"/>
      <c r="M197" s="570"/>
      <c r="N197" s="1075"/>
    </row>
    <row r="198" spans="1:14" ht="15" customHeight="1" x14ac:dyDescent="0.2">
      <c r="A198" s="1076"/>
      <c r="B198" s="1856" t="s">
        <v>1481</v>
      </c>
      <c r="C198" s="1485" t="s">
        <v>1480</v>
      </c>
      <c r="D198" s="1131"/>
      <c r="E198" s="1131"/>
      <c r="F198" s="1131"/>
      <c r="G198" s="1131"/>
      <c r="H198" s="1131"/>
      <c r="I198" s="1154"/>
      <c r="J198" s="1154"/>
      <c r="K198" s="1154"/>
      <c r="L198" s="1154"/>
      <c r="M198" s="554"/>
      <c r="N198" s="1075"/>
    </row>
    <row r="199" spans="1:14" ht="15" customHeight="1" x14ac:dyDescent="0.2">
      <c r="A199" s="1076"/>
      <c r="B199" s="1855"/>
      <c r="C199" s="1485" t="s">
        <v>1395</v>
      </c>
      <c r="D199" s="1131"/>
      <c r="E199" s="1131"/>
      <c r="F199" s="1131"/>
      <c r="G199" s="1131"/>
      <c r="H199" s="1131"/>
      <c r="I199" s="1154"/>
      <c r="J199" s="1154"/>
      <c r="K199" s="1154"/>
      <c r="L199" s="1154"/>
      <c r="M199" s="554"/>
      <c r="N199" s="1075"/>
    </row>
    <row r="200" spans="1:14" ht="15" customHeight="1" x14ac:dyDescent="0.2">
      <c r="A200" s="1076"/>
      <c r="B200" s="1855"/>
      <c r="C200" s="1485" t="s">
        <v>1394</v>
      </c>
      <c r="D200" s="1131"/>
      <c r="E200" s="1131"/>
      <c r="F200" s="1131"/>
      <c r="G200" s="1131"/>
      <c r="H200" s="1131"/>
      <c r="I200" s="1154"/>
      <c r="J200" s="1154"/>
      <c r="K200" s="1154"/>
      <c r="L200" s="1154"/>
      <c r="M200" s="554"/>
      <c r="N200" s="1075"/>
    </row>
    <row r="201" spans="1:14" ht="15" customHeight="1" x14ac:dyDescent="0.2">
      <c r="A201" s="1076"/>
      <c r="B201" s="1855"/>
      <c r="C201" s="1534" t="str">
        <f>CONCATENATE("Check: row ", ROW(C200), " ≤ row ", ROW(C199))</f>
        <v>Check: row 200 ≤ row 199</v>
      </c>
      <c r="D201" s="1131"/>
      <c r="E201" s="1131"/>
      <c r="F201" s="1131"/>
      <c r="G201" s="1131"/>
      <c r="H201" s="1131"/>
      <c r="I201" s="927" t="str">
        <f t="shared" ref="I201" si="261">IF(I200&lt;=I199, "Pass", "Fail")</f>
        <v>Pass</v>
      </c>
      <c r="J201" s="927" t="str">
        <f t="shared" ref="J201" si="262">IF(J200&lt;=J199, "Pass", "Fail")</f>
        <v>Pass</v>
      </c>
      <c r="K201" s="927" t="str">
        <f t="shared" ref="K201" si="263">IF(K200&lt;=K199, "Pass", "Fail")</f>
        <v>Pass</v>
      </c>
      <c r="L201" s="927" t="str">
        <f t="shared" ref="L201" si="264">IF(L200&lt;=L199, "Pass", "Fail")</f>
        <v>Pass</v>
      </c>
      <c r="M201" s="927" t="str">
        <f t="shared" ref="M201" si="265">IF(M200&lt;=M199, "Pass", "Fail")</f>
        <v>Pass</v>
      </c>
      <c r="N201" s="1075"/>
    </row>
    <row r="202" spans="1:14" ht="15" customHeight="1" x14ac:dyDescent="0.2">
      <c r="A202" s="1076"/>
      <c r="B202" s="1855"/>
      <c r="C202" s="1485" t="s">
        <v>1392</v>
      </c>
      <c r="D202" s="1131"/>
      <c r="E202" s="1131"/>
      <c r="F202" s="1131"/>
      <c r="G202" s="1131"/>
      <c r="H202" s="1131"/>
      <c r="I202" s="1154"/>
      <c r="J202" s="1154"/>
      <c r="K202" s="1154"/>
      <c r="L202" s="1154"/>
      <c r="M202" s="554"/>
      <c r="N202" s="1075"/>
    </row>
    <row r="203" spans="1:14" ht="15" customHeight="1" x14ac:dyDescent="0.2">
      <c r="A203" s="1076"/>
      <c r="B203" s="1855"/>
      <c r="C203" s="1485" t="s">
        <v>1391</v>
      </c>
      <c r="D203" s="1131"/>
      <c r="E203" s="1131"/>
      <c r="F203" s="1131"/>
      <c r="G203" s="1131"/>
      <c r="H203" s="1131"/>
      <c r="I203" s="1154"/>
      <c r="J203" s="1154"/>
      <c r="K203" s="1154"/>
      <c r="L203" s="1154"/>
      <c r="M203" s="554"/>
      <c r="N203" s="1075"/>
    </row>
    <row r="204" spans="1:14" ht="15" customHeight="1" x14ac:dyDescent="0.2">
      <c r="A204" s="1076"/>
      <c r="B204" s="1855"/>
      <c r="C204" s="1534" t="str">
        <f>CONCATENATE("Check: row ", ROW(C203), " ≤ row ", ROW(C202))</f>
        <v>Check: row 203 ≤ row 202</v>
      </c>
      <c r="D204" s="1131"/>
      <c r="E204" s="1131"/>
      <c r="F204" s="1131"/>
      <c r="G204" s="1131"/>
      <c r="H204" s="1131"/>
      <c r="I204" s="927" t="str">
        <f t="shared" ref="I204" si="266">IF(I203&lt;=I202, "Pass", "Fail")</f>
        <v>Pass</v>
      </c>
      <c r="J204" s="927" t="str">
        <f t="shared" ref="J204" si="267">IF(J203&lt;=J202, "Pass", "Fail")</f>
        <v>Pass</v>
      </c>
      <c r="K204" s="927" t="str">
        <f t="shared" ref="K204" si="268">IF(K203&lt;=K202, "Pass", "Fail")</f>
        <v>Pass</v>
      </c>
      <c r="L204" s="927" t="str">
        <f t="shared" ref="L204" si="269">IF(L203&lt;=L202, "Pass", "Fail")</f>
        <v>Pass</v>
      </c>
      <c r="M204" s="927" t="str">
        <f t="shared" ref="M204" si="270">IF(M203&lt;=M202, "Pass", "Fail")</f>
        <v>Pass</v>
      </c>
      <c r="N204" s="1075"/>
    </row>
    <row r="205" spans="1:14" ht="15" customHeight="1" x14ac:dyDescent="0.2">
      <c r="A205" s="1076"/>
      <c r="B205" s="1857"/>
      <c r="C205" s="1482" t="s">
        <v>1364</v>
      </c>
      <c r="D205" s="1131"/>
      <c r="E205" s="1131"/>
      <c r="F205" s="1131"/>
      <c r="G205" s="1131"/>
      <c r="H205" s="1131"/>
      <c r="I205" s="1154"/>
      <c r="J205" s="1154"/>
      <c r="K205" s="1154"/>
      <c r="L205" s="1154"/>
      <c r="M205" s="554"/>
      <c r="N205" s="1075"/>
    </row>
    <row r="206" spans="1:14" ht="15" customHeight="1" x14ac:dyDescent="0.2">
      <c r="A206" s="1076"/>
      <c r="B206" s="1856" t="s">
        <v>1482</v>
      </c>
      <c r="C206" s="1485" t="s">
        <v>1480</v>
      </c>
      <c r="D206" s="1131"/>
      <c r="E206" s="1131"/>
      <c r="F206" s="1131"/>
      <c r="G206" s="1131"/>
      <c r="H206" s="1131"/>
      <c r="I206" s="1154"/>
      <c r="J206" s="1154"/>
      <c r="K206" s="1154"/>
      <c r="L206" s="1154"/>
      <c r="M206" s="554"/>
      <c r="N206" s="1075"/>
    </row>
    <row r="207" spans="1:14" ht="15" customHeight="1" x14ac:dyDescent="0.2">
      <c r="A207" s="1076"/>
      <c r="B207" s="1855"/>
      <c r="C207" s="1485" t="s">
        <v>1395</v>
      </c>
      <c r="D207" s="1131"/>
      <c r="E207" s="1131"/>
      <c r="F207" s="1131"/>
      <c r="G207" s="1131"/>
      <c r="H207" s="1131"/>
      <c r="I207" s="1154"/>
      <c r="J207" s="1154"/>
      <c r="K207" s="1154"/>
      <c r="L207" s="1154"/>
      <c r="M207" s="554"/>
      <c r="N207" s="1075"/>
    </row>
    <row r="208" spans="1:14" ht="15" customHeight="1" x14ac:dyDescent="0.2">
      <c r="A208" s="1076"/>
      <c r="B208" s="1855"/>
      <c r="C208" s="1485" t="s">
        <v>1394</v>
      </c>
      <c r="D208" s="1131"/>
      <c r="E208" s="1131"/>
      <c r="F208" s="1131"/>
      <c r="G208" s="1131"/>
      <c r="H208" s="1131"/>
      <c r="I208" s="1154"/>
      <c r="J208" s="1154"/>
      <c r="K208" s="1154"/>
      <c r="L208" s="1154"/>
      <c r="M208" s="554"/>
      <c r="N208" s="1075"/>
    </row>
    <row r="209" spans="1:14" ht="15" customHeight="1" x14ac:dyDescent="0.2">
      <c r="A209" s="1076"/>
      <c r="B209" s="1855"/>
      <c r="C209" s="1534" t="str">
        <f>CONCATENATE("Check: row ", ROW(C208), " ≤ row ", ROW(C207))</f>
        <v>Check: row 208 ≤ row 207</v>
      </c>
      <c r="D209" s="1131"/>
      <c r="E209" s="1131"/>
      <c r="F209" s="1131"/>
      <c r="G209" s="1131"/>
      <c r="H209" s="1131"/>
      <c r="I209" s="927" t="str">
        <f t="shared" ref="I209" si="271">IF(I208&lt;=I207, "Pass", "Fail")</f>
        <v>Pass</v>
      </c>
      <c r="J209" s="927" t="str">
        <f t="shared" ref="J209" si="272">IF(J208&lt;=J207, "Pass", "Fail")</f>
        <v>Pass</v>
      </c>
      <c r="K209" s="927" t="str">
        <f t="shared" ref="K209" si="273">IF(K208&lt;=K207, "Pass", "Fail")</f>
        <v>Pass</v>
      </c>
      <c r="L209" s="927" t="str">
        <f t="shared" ref="L209" si="274">IF(L208&lt;=L207, "Pass", "Fail")</f>
        <v>Pass</v>
      </c>
      <c r="M209" s="927" t="str">
        <f t="shared" ref="M209" si="275">IF(M208&lt;=M207, "Pass", "Fail")</f>
        <v>Pass</v>
      </c>
      <c r="N209" s="1075"/>
    </row>
    <row r="210" spans="1:14" ht="15" customHeight="1" x14ac:dyDescent="0.2">
      <c r="A210" s="1076"/>
      <c r="B210" s="1855"/>
      <c r="C210" s="1485" t="s">
        <v>1392</v>
      </c>
      <c r="D210" s="1131"/>
      <c r="E210" s="1131"/>
      <c r="F210" s="1131"/>
      <c r="G210" s="1131"/>
      <c r="H210" s="1131"/>
      <c r="I210" s="1154"/>
      <c r="J210" s="1154"/>
      <c r="K210" s="1154"/>
      <c r="L210" s="1154"/>
      <c r="M210" s="554"/>
      <c r="N210" s="1075"/>
    </row>
    <row r="211" spans="1:14" ht="15" customHeight="1" x14ac:dyDescent="0.2">
      <c r="A211" s="1076"/>
      <c r="B211" s="1855"/>
      <c r="C211" s="1485" t="s">
        <v>1391</v>
      </c>
      <c r="D211" s="1131"/>
      <c r="E211" s="1131"/>
      <c r="F211" s="1131"/>
      <c r="G211" s="1131"/>
      <c r="H211" s="1131"/>
      <c r="I211" s="1154"/>
      <c r="J211" s="1154"/>
      <c r="K211" s="1154"/>
      <c r="L211" s="1154"/>
      <c r="M211" s="554"/>
      <c r="N211" s="1075"/>
    </row>
    <row r="212" spans="1:14" ht="15" customHeight="1" x14ac:dyDescent="0.2">
      <c r="A212" s="1076"/>
      <c r="B212" s="1855"/>
      <c r="C212" s="1534" t="str">
        <f>CONCATENATE("Check: row ", ROW(C211), " ≤ row ", ROW(C210))</f>
        <v>Check: row 211 ≤ row 210</v>
      </c>
      <c r="D212" s="1131"/>
      <c r="E212" s="1131"/>
      <c r="F212" s="1131"/>
      <c r="G212" s="1131"/>
      <c r="H212" s="1131"/>
      <c r="I212" s="927" t="str">
        <f t="shared" ref="I212" si="276">IF(I211&lt;=I210, "Pass", "Fail")</f>
        <v>Pass</v>
      </c>
      <c r="J212" s="927" t="str">
        <f t="shared" ref="J212" si="277">IF(J211&lt;=J210, "Pass", "Fail")</f>
        <v>Pass</v>
      </c>
      <c r="K212" s="927" t="str">
        <f t="shared" ref="K212" si="278">IF(K211&lt;=K210, "Pass", "Fail")</f>
        <v>Pass</v>
      </c>
      <c r="L212" s="927" t="str">
        <f t="shared" ref="L212" si="279">IF(L211&lt;=L210, "Pass", "Fail")</f>
        <v>Pass</v>
      </c>
      <c r="M212" s="927" t="str">
        <f t="shared" ref="M212" si="280">IF(M211&lt;=M210, "Pass", "Fail")</f>
        <v>Pass</v>
      </c>
      <c r="N212" s="1075"/>
    </row>
    <row r="213" spans="1:14" ht="15" customHeight="1" x14ac:dyDescent="0.2">
      <c r="A213" s="1076"/>
      <c r="B213" s="1857"/>
      <c r="C213" s="1482" t="s">
        <v>1364</v>
      </c>
      <c r="D213" s="1131"/>
      <c r="E213" s="1131"/>
      <c r="F213" s="1131"/>
      <c r="G213" s="1131"/>
      <c r="H213" s="1131"/>
      <c r="I213" s="1154"/>
      <c r="J213" s="1154"/>
      <c r="K213" s="1154"/>
      <c r="L213" s="1154"/>
      <c r="M213" s="554"/>
      <c r="N213" s="1075"/>
    </row>
    <row r="214" spans="1:14" ht="15" customHeight="1" x14ac:dyDescent="0.2">
      <c r="A214" s="1076"/>
      <c r="B214" s="1856" t="s">
        <v>1483</v>
      </c>
      <c r="C214" s="1485" t="s">
        <v>1480</v>
      </c>
      <c r="D214" s="1131"/>
      <c r="E214" s="1131"/>
      <c r="F214" s="1131"/>
      <c r="G214" s="1131"/>
      <c r="H214" s="1131"/>
      <c r="I214" s="1154"/>
      <c r="J214" s="1154"/>
      <c r="K214" s="1154"/>
      <c r="L214" s="1154"/>
      <c r="M214" s="554"/>
      <c r="N214" s="1075"/>
    </row>
    <row r="215" spans="1:14" ht="15" customHeight="1" x14ac:dyDescent="0.2">
      <c r="A215" s="1076"/>
      <c r="B215" s="1855"/>
      <c r="C215" s="1485" t="s">
        <v>1395</v>
      </c>
      <c r="D215" s="1131"/>
      <c r="E215" s="1131"/>
      <c r="F215" s="1131"/>
      <c r="G215" s="1131"/>
      <c r="H215" s="1131"/>
      <c r="I215" s="1154"/>
      <c r="J215" s="1154"/>
      <c r="K215" s="1154"/>
      <c r="L215" s="1154"/>
      <c r="M215" s="554"/>
      <c r="N215" s="1075"/>
    </row>
    <row r="216" spans="1:14" ht="15" customHeight="1" x14ac:dyDescent="0.2">
      <c r="A216" s="1076"/>
      <c r="B216" s="1855"/>
      <c r="C216" s="1485" t="s">
        <v>1394</v>
      </c>
      <c r="D216" s="1131"/>
      <c r="E216" s="1131"/>
      <c r="F216" s="1131"/>
      <c r="G216" s="1131"/>
      <c r="H216" s="1131"/>
      <c r="I216" s="1154"/>
      <c r="J216" s="1154"/>
      <c r="K216" s="1154"/>
      <c r="L216" s="1154"/>
      <c r="M216" s="554"/>
      <c r="N216" s="1075"/>
    </row>
    <row r="217" spans="1:14" ht="15" customHeight="1" x14ac:dyDescent="0.2">
      <c r="A217" s="1076"/>
      <c r="B217" s="1855"/>
      <c r="C217" s="1534" t="str">
        <f>CONCATENATE("Check: row ", ROW(C216), " ≤ row ", ROW(C215))</f>
        <v>Check: row 216 ≤ row 215</v>
      </c>
      <c r="D217" s="1131"/>
      <c r="E217" s="1131"/>
      <c r="F217" s="1131"/>
      <c r="G217" s="1131"/>
      <c r="H217" s="1131"/>
      <c r="I217" s="927" t="str">
        <f t="shared" ref="I217" si="281">IF(I216&lt;=I215, "Pass", "Fail")</f>
        <v>Pass</v>
      </c>
      <c r="J217" s="927" t="str">
        <f t="shared" ref="J217" si="282">IF(J216&lt;=J215, "Pass", "Fail")</f>
        <v>Pass</v>
      </c>
      <c r="K217" s="927" t="str">
        <f t="shared" ref="K217" si="283">IF(K216&lt;=K215, "Pass", "Fail")</f>
        <v>Pass</v>
      </c>
      <c r="L217" s="927" t="str">
        <f t="shared" ref="L217" si="284">IF(L216&lt;=L215, "Pass", "Fail")</f>
        <v>Pass</v>
      </c>
      <c r="M217" s="927" t="str">
        <f t="shared" ref="M217" si="285">IF(M216&lt;=M215, "Pass", "Fail")</f>
        <v>Pass</v>
      </c>
      <c r="N217" s="1075"/>
    </row>
    <row r="218" spans="1:14" ht="15" customHeight="1" x14ac:dyDescent="0.2">
      <c r="A218" s="1076"/>
      <c r="B218" s="1855"/>
      <c r="C218" s="1485" t="s">
        <v>1392</v>
      </c>
      <c r="D218" s="1131"/>
      <c r="E218" s="1131"/>
      <c r="F218" s="1131"/>
      <c r="G218" s="1131"/>
      <c r="H218" s="1131"/>
      <c r="I218" s="1154"/>
      <c r="J218" s="1154"/>
      <c r="K218" s="1154"/>
      <c r="L218" s="1154"/>
      <c r="M218" s="554"/>
      <c r="N218" s="1075"/>
    </row>
    <row r="219" spans="1:14" ht="15" customHeight="1" x14ac:dyDescent="0.2">
      <c r="A219" s="1076"/>
      <c r="B219" s="1855"/>
      <c r="C219" s="1485" t="s">
        <v>1391</v>
      </c>
      <c r="D219" s="1131"/>
      <c r="E219" s="1131"/>
      <c r="F219" s="1131"/>
      <c r="G219" s="1131"/>
      <c r="H219" s="1131"/>
      <c r="I219" s="1154"/>
      <c r="J219" s="1154"/>
      <c r="K219" s="1154"/>
      <c r="L219" s="1154"/>
      <c r="M219" s="554"/>
      <c r="N219" s="1075"/>
    </row>
    <row r="220" spans="1:14" ht="15" customHeight="1" x14ac:dyDescent="0.2">
      <c r="A220" s="1076"/>
      <c r="B220" s="1855"/>
      <c r="C220" s="1534" t="str">
        <f>CONCATENATE("Check: row ", ROW(C219), " ≤ row ", ROW(C218))</f>
        <v>Check: row 219 ≤ row 218</v>
      </c>
      <c r="D220" s="1131"/>
      <c r="E220" s="1131"/>
      <c r="F220" s="1131"/>
      <c r="G220" s="1131"/>
      <c r="H220" s="1131"/>
      <c r="I220" s="927" t="str">
        <f t="shared" ref="I220" si="286">IF(I219&lt;=I218, "Pass", "Fail")</f>
        <v>Pass</v>
      </c>
      <c r="J220" s="927" t="str">
        <f t="shared" ref="J220" si="287">IF(J219&lt;=J218, "Pass", "Fail")</f>
        <v>Pass</v>
      </c>
      <c r="K220" s="927" t="str">
        <f t="shared" ref="K220" si="288">IF(K219&lt;=K218, "Pass", "Fail")</f>
        <v>Pass</v>
      </c>
      <c r="L220" s="927" t="str">
        <f t="shared" ref="L220" si="289">IF(L219&lt;=L218, "Pass", "Fail")</f>
        <v>Pass</v>
      </c>
      <c r="M220" s="927" t="str">
        <f t="shared" ref="M220" si="290">IF(M219&lt;=M218, "Pass", "Fail")</f>
        <v>Pass</v>
      </c>
      <c r="N220" s="1075"/>
    </row>
    <row r="221" spans="1:14" ht="15" customHeight="1" x14ac:dyDescent="0.2">
      <c r="A221" s="1076"/>
      <c r="B221" s="1857"/>
      <c r="C221" s="1482" t="s">
        <v>1364</v>
      </c>
      <c r="D221" s="1131"/>
      <c r="E221" s="1131"/>
      <c r="F221" s="1131"/>
      <c r="G221" s="1131"/>
      <c r="H221" s="1131"/>
      <c r="I221" s="1154"/>
      <c r="J221" s="1154"/>
      <c r="K221" s="1154"/>
      <c r="L221" s="1154"/>
      <c r="M221" s="554"/>
      <c r="N221" s="1075"/>
    </row>
    <row r="222" spans="1:14" ht="15" customHeight="1" x14ac:dyDescent="0.2">
      <c r="A222" s="1076"/>
      <c r="B222" s="1856" t="s">
        <v>1484</v>
      </c>
      <c r="C222" s="1485" t="s">
        <v>1480</v>
      </c>
      <c r="D222" s="1131"/>
      <c r="E222" s="1131"/>
      <c r="F222" s="1131"/>
      <c r="G222" s="1131"/>
      <c r="H222" s="1131"/>
      <c r="I222" s="1154"/>
      <c r="J222" s="1154"/>
      <c r="K222" s="1154"/>
      <c r="L222" s="1154"/>
      <c r="M222" s="554"/>
      <c r="N222" s="1075"/>
    </row>
    <row r="223" spans="1:14" ht="15" customHeight="1" x14ac:dyDescent="0.2">
      <c r="A223" s="1076"/>
      <c r="B223" s="1855"/>
      <c r="C223" s="1485" t="s">
        <v>1395</v>
      </c>
      <c r="D223" s="1131"/>
      <c r="E223" s="1131"/>
      <c r="F223" s="1131"/>
      <c r="G223" s="1131"/>
      <c r="H223" s="1131"/>
      <c r="I223" s="1154"/>
      <c r="J223" s="1154"/>
      <c r="K223" s="1154"/>
      <c r="L223" s="1154"/>
      <c r="M223" s="554"/>
      <c r="N223" s="1075"/>
    </row>
    <row r="224" spans="1:14" ht="15" customHeight="1" x14ac:dyDescent="0.2">
      <c r="A224" s="1076"/>
      <c r="B224" s="1855"/>
      <c r="C224" s="1485" t="s">
        <v>1394</v>
      </c>
      <c r="D224" s="1131"/>
      <c r="E224" s="1131"/>
      <c r="F224" s="1131"/>
      <c r="G224" s="1131"/>
      <c r="H224" s="1131"/>
      <c r="I224" s="1154"/>
      <c r="J224" s="1154"/>
      <c r="K224" s="1154"/>
      <c r="L224" s="1154"/>
      <c r="M224" s="554"/>
      <c r="N224" s="1075"/>
    </row>
    <row r="225" spans="1:14" ht="15" customHeight="1" x14ac:dyDescent="0.2">
      <c r="A225" s="1076"/>
      <c r="B225" s="1855"/>
      <c r="C225" s="1534" t="str">
        <f>CONCATENATE("Check: row ", ROW(C224), " ≤ row ", ROW(C223))</f>
        <v>Check: row 224 ≤ row 223</v>
      </c>
      <c r="D225" s="1131"/>
      <c r="E225" s="1131"/>
      <c r="F225" s="1131"/>
      <c r="G225" s="1131"/>
      <c r="H225" s="1131"/>
      <c r="I225" s="927" t="str">
        <f t="shared" ref="I225" si="291">IF(I224&lt;=I223, "Pass", "Fail")</f>
        <v>Pass</v>
      </c>
      <c r="J225" s="927" t="str">
        <f t="shared" ref="J225" si="292">IF(J224&lt;=J223, "Pass", "Fail")</f>
        <v>Pass</v>
      </c>
      <c r="K225" s="927" t="str">
        <f t="shared" ref="K225" si="293">IF(K224&lt;=K223, "Pass", "Fail")</f>
        <v>Pass</v>
      </c>
      <c r="L225" s="927" t="str">
        <f t="shared" ref="L225" si="294">IF(L224&lt;=L223, "Pass", "Fail")</f>
        <v>Pass</v>
      </c>
      <c r="M225" s="927" t="str">
        <f t="shared" ref="M225" si="295">IF(M224&lt;=M223, "Pass", "Fail")</f>
        <v>Pass</v>
      </c>
      <c r="N225" s="1075"/>
    </row>
    <row r="226" spans="1:14" ht="15" customHeight="1" x14ac:dyDescent="0.2">
      <c r="A226" s="1076"/>
      <c r="B226" s="1855"/>
      <c r="C226" s="1485" t="s">
        <v>1392</v>
      </c>
      <c r="D226" s="1131"/>
      <c r="E226" s="1131"/>
      <c r="F226" s="1131"/>
      <c r="G226" s="1131"/>
      <c r="H226" s="1131"/>
      <c r="I226" s="1154"/>
      <c r="J226" s="1154"/>
      <c r="K226" s="1154"/>
      <c r="L226" s="1154"/>
      <c r="M226" s="554"/>
      <c r="N226" s="1075"/>
    </row>
    <row r="227" spans="1:14" ht="15" customHeight="1" x14ac:dyDescent="0.2">
      <c r="A227" s="1076"/>
      <c r="B227" s="1855"/>
      <c r="C227" s="1485" t="s">
        <v>1391</v>
      </c>
      <c r="D227" s="1131"/>
      <c r="E227" s="1131"/>
      <c r="F227" s="1131"/>
      <c r="G227" s="1131"/>
      <c r="H227" s="1131"/>
      <c r="I227" s="1154"/>
      <c r="J227" s="1154"/>
      <c r="K227" s="1154"/>
      <c r="L227" s="1154"/>
      <c r="M227" s="554"/>
      <c r="N227" s="1075"/>
    </row>
    <row r="228" spans="1:14" ht="15" customHeight="1" x14ac:dyDescent="0.2">
      <c r="A228" s="1076"/>
      <c r="B228" s="1855"/>
      <c r="C228" s="1534" t="str">
        <f>CONCATENATE("Check: row ", ROW(C227), " ≤ row ", ROW(C226))</f>
        <v>Check: row 227 ≤ row 226</v>
      </c>
      <c r="D228" s="1131"/>
      <c r="E228" s="1131"/>
      <c r="F228" s="1131"/>
      <c r="G228" s="1131"/>
      <c r="H228" s="1131"/>
      <c r="I228" s="927" t="str">
        <f t="shared" ref="I228" si="296">IF(I227&lt;=I226, "Pass", "Fail")</f>
        <v>Pass</v>
      </c>
      <c r="J228" s="927" t="str">
        <f t="shared" ref="J228" si="297">IF(J227&lt;=J226, "Pass", "Fail")</f>
        <v>Pass</v>
      </c>
      <c r="K228" s="927" t="str">
        <f t="shared" ref="K228" si="298">IF(K227&lt;=K226, "Pass", "Fail")</f>
        <v>Pass</v>
      </c>
      <c r="L228" s="927" t="str">
        <f t="shared" ref="L228" si="299">IF(L227&lt;=L226, "Pass", "Fail")</f>
        <v>Pass</v>
      </c>
      <c r="M228" s="927" t="str">
        <f t="shared" ref="M228" si="300">IF(M227&lt;=M226, "Pass", "Fail")</f>
        <v>Pass</v>
      </c>
      <c r="N228" s="1075"/>
    </row>
    <row r="229" spans="1:14" ht="15" customHeight="1" x14ac:dyDescent="0.2">
      <c r="A229" s="1076"/>
      <c r="B229" s="1857"/>
      <c r="C229" s="1482" t="s">
        <v>1364</v>
      </c>
      <c r="D229" s="1131"/>
      <c r="E229" s="1131"/>
      <c r="F229" s="1131"/>
      <c r="G229" s="1131"/>
      <c r="H229" s="1131"/>
      <c r="I229" s="1154"/>
      <c r="J229" s="1154"/>
      <c r="K229" s="1154"/>
      <c r="L229" s="1154"/>
      <c r="M229" s="554"/>
      <c r="N229" s="1075"/>
    </row>
    <row r="230" spans="1:14" ht="15" customHeight="1" x14ac:dyDescent="0.2">
      <c r="A230" s="1076"/>
      <c r="B230" s="1856" t="s">
        <v>1485</v>
      </c>
      <c r="C230" s="1485" t="s">
        <v>1480</v>
      </c>
      <c r="D230" s="1131"/>
      <c r="E230" s="1131"/>
      <c r="F230" s="1131"/>
      <c r="G230" s="1131"/>
      <c r="H230" s="1131"/>
      <c r="I230" s="1154"/>
      <c r="J230" s="1154"/>
      <c r="K230" s="1154"/>
      <c r="L230" s="1154"/>
      <c r="M230" s="554"/>
      <c r="N230" s="1075"/>
    </row>
    <row r="231" spans="1:14" ht="15" customHeight="1" x14ac:dyDescent="0.2">
      <c r="A231" s="1076"/>
      <c r="B231" s="1855"/>
      <c r="C231" s="1485" t="s">
        <v>1395</v>
      </c>
      <c r="D231" s="1131"/>
      <c r="E231" s="1131"/>
      <c r="F231" s="1131"/>
      <c r="G231" s="1131"/>
      <c r="H231" s="1131"/>
      <c r="I231" s="1154"/>
      <c r="J231" s="1154"/>
      <c r="K231" s="1154"/>
      <c r="L231" s="1154"/>
      <c r="M231" s="554"/>
      <c r="N231" s="1075"/>
    </row>
    <row r="232" spans="1:14" ht="15" customHeight="1" x14ac:dyDescent="0.2">
      <c r="A232" s="1076"/>
      <c r="B232" s="1855"/>
      <c r="C232" s="1485" t="s">
        <v>1394</v>
      </c>
      <c r="D232" s="1131"/>
      <c r="E232" s="1131"/>
      <c r="F232" s="1131"/>
      <c r="G232" s="1131"/>
      <c r="H232" s="1131"/>
      <c r="I232" s="1154"/>
      <c r="J232" s="1154"/>
      <c r="K232" s="1154"/>
      <c r="L232" s="1154"/>
      <c r="M232" s="554"/>
      <c r="N232" s="1075"/>
    </row>
    <row r="233" spans="1:14" ht="15" customHeight="1" x14ac:dyDescent="0.2">
      <c r="A233" s="1076"/>
      <c r="B233" s="1855"/>
      <c r="C233" s="1534" t="str">
        <f>CONCATENATE("Check: row ", ROW(C232), " ≤ row ", ROW(C231))</f>
        <v>Check: row 232 ≤ row 231</v>
      </c>
      <c r="D233" s="1131"/>
      <c r="E233" s="1131"/>
      <c r="F233" s="1131"/>
      <c r="G233" s="1131"/>
      <c r="H233" s="1131"/>
      <c r="I233" s="927" t="str">
        <f t="shared" ref="I233" si="301">IF(I232&lt;=I231, "Pass", "Fail")</f>
        <v>Pass</v>
      </c>
      <c r="J233" s="927" t="str">
        <f t="shared" ref="J233" si="302">IF(J232&lt;=J231, "Pass", "Fail")</f>
        <v>Pass</v>
      </c>
      <c r="K233" s="927" t="str">
        <f t="shared" ref="K233" si="303">IF(K232&lt;=K231, "Pass", "Fail")</f>
        <v>Pass</v>
      </c>
      <c r="L233" s="927" t="str">
        <f t="shared" ref="L233" si="304">IF(L232&lt;=L231, "Pass", "Fail")</f>
        <v>Pass</v>
      </c>
      <c r="M233" s="927" t="str">
        <f t="shared" ref="M233" si="305">IF(M232&lt;=M231, "Pass", "Fail")</f>
        <v>Pass</v>
      </c>
      <c r="N233" s="1075"/>
    </row>
    <row r="234" spans="1:14" ht="15" customHeight="1" x14ac:dyDescent="0.2">
      <c r="A234" s="1076"/>
      <c r="B234" s="1855"/>
      <c r="C234" s="1485" t="s">
        <v>1392</v>
      </c>
      <c r="D234" s="1131"/>
      <c r="E234" s="1131"/>
      <c r="F234" s="1131"/>
      <c r="G234" s="1131"/>
      <c r="H234" s="1131"/>
      <c r="I234" s="1154"/>
      <c r="J234" s="1154"/>
      <c r="K234" s="1154"/>
      <c r="L234" s="1154"/>
      <c r="M234" s="554"/>
      <c r="N234" s="1075"/>
    </row>
    <row r="235" spans="1:14" ht="15" customHeight="1" x14ac:dyDescent="0.2">
      <c r="A235" s="1076"/>
      <c r="B235" s="1855"/>
      <c r="C235" s="1485" t="s">
        <v>1391</v>
      </c>
      <c r="D235" s="1131"/>
      <c r="E235" s="1131"/>
      <c r="F235" s="1131"/>
      <c r="G235" s="1131"/>
      <c r="H235" s="1131"/>
      <c r="I235" s="1154"/>
      <c r="J235" s="1154"/>
      <c r="K235" s="1154"/>
      <c r="L235" s="1154"/>
      <c r="M235" s="554"/>
      <c r="N235" s="1075"/>
    </row>
    <row r="236" spans="1:14" ht="15" customHeight="1" x14ac:dyDescent="0.2">
      <c r="A236" s="1076"/>
      <c r="B236" s="1855"/>
      <c r="C236" s="1534" t="str">
        <f>CONCATENATE("Check: row ", ROW(C235), " ≤ row ", ROW(C234))</f>
        <v>Check: row 235 ≤ row 234</v>
      </c>
      <c r="D236" s="1131"/>
      <c r="E236" s="1131"/>
      <c r="F236" s="1131"/>
      <c r="G236" s="1131"/>
      <c r="H236" s="1131"/>
      <c r="I236" s="927" t="str">
        <f t="shared" ref="I236" si="306">IF(I235&lt;=I234, "Pass", "Fail")</f>
        <v>Pass</v>
      </c>
      <c r="J236" s="927" t="str">
        <f t="shared" ref="J236" si="307">IF(J235&lt;=J234, "Pass", "Fail")</f>
        <v>Pass</v>
      </c>
      <c r="K236" s="927" t="str">
        <f t="shared" ref="K236" si="308">IF(K235&lt;=K234, "Pass", "Fail")</f>
        <v>Pass</v>
      </c>
      <c r="L236" s="927" t="str">
        <f t="shared" ref="L236" si="309">IF(L235&lt;=L234, "Pass", "Fail")</f>
        <v>Pass</v>
      </c>
      <c r="M236" s="927" t="str">
        <f t="shared" ref="M236" si="310">IF(M235&lt;=M234, "Pass", "Fail")</f>
        <v>Pass</v>
      </c>
      <c r="N236" s="1075"/>
    </row>
    <row r="237" spans="1:14" ht="15" customHeight="1" x14ac:dyDescent="0.2">
      <c r="A237" s="1076"/>
      <c r="B237" s="1857"/>
      <c r="C237" s="1482" t="s">
        <v>1364</v>
      </c>
      <c r="D237" s="1131"/>
      <c r="E237" s="1131"/>
      <c r="F237" s="1131"/>
      <c r="G237" s="1131"/>
      <c r="H237" s="1131"/>
      <c r="I237" s="1154"/>
      <c r="J237" s="1154"/>
      <c r="K237" s="1154"/>
      <c r="L237" s="1154"/>
      <c r="M237" s="554"/>
      <c r="N237" s="1075"/>
    </row>
    <row r="238" spans="1:14" ht="15" customHeight="1" x14ac:dyDescent="0.2">
      <c r="A238" s="1076"/>
      <c r="B238" s="1856" t="s">
        <v>1486</v>
      </c>
      <c r="C238" s="1485" t="s">
        <v>1480</v>
      </c>
      <c r="D238" s="1131"/>
      <c r="E238" s="1131"/>
      <c r="F238" s="1131"/>
      <c r="G238" s="1131"/>
      <c r="H238" s="1131"/>
      <c r="I238" s="1154"/>
      <c r="J238" s="1154"/>
      <c r="K238" s="1154"/>
      <c r="L238" s="1154"/>
      <c r="M238" s="554"/>
      <c r="N238" s="1075"/>
    </row>
    <row r="239" spans="1:14" ht="15" customHeight="1" x14ac:dyDescent="0.2">
      <c r="A239" s="1076"/>
      <c r="B239" s="1855"/>
      <c r="C239" s="1485" t="s">
        <v>1395</v>
      </c>
      <c r="D239" s="1131"/>
      <c r="E239" s="1131"/>
      <c r="F239" s="1131"/>
      <c r="G239" s="1131"/>
      <c r="H239" s="1131"/>
      <c r="I239" s="1154"/>
      <c r="J239" s="1154"/>
      <c r="K239" s="1154"/>
      <c r="L239" s="1154"/>
      <c r="M239" s="554"/>
      <c r="N239" s="1075"/>
    </row>
    <row r="240" spans="1:14" ht="15" customHeight="1" x14ac:dyDescent="0.2">
      <c r="A240" s="1076"/>
      <c r="B240" s="1855"/>
      <c r="C240" s="1485" t="s">
        <v>1394</v>
      </c>
      <c r="D240" s="1131"/>
      <c r="E240" s="1131"/>
      <c r="F240" s="1131"/>
      <c r="G240" s="1131"/>
      <c r="H240" s="1131"/>
      <c r="I240" s="1154"/>
      <c r="J240" s="1154"/>
      <c r="K240" s="1154"/>
      <c r="L240" s="1154"/>
      <c r="M240" s="554"/>
      <c r="N240" s="1075"/>
    </row>
    <row r="241" spans="1:14" ht="15" customHeight="1" x14ac:dyDescent="0.2">
      <c r="A241" s="1076"/>
      <c r="B241" s="1855"/>
      <c r="C241" s="1534" t="str">
        <f>CONCATENATE("Check: row ", ROW(C240), " ≤ row ", ROW(C239))</f>
        <v>Check: row 240 ≤ row 239</v>
      </c>
      <c r="D241" s="1131"/>
      <c r="E241" s="1131"/>
      <c r="F241" s="1131"/>
      <c r="G241" s="1131"/>
      <c r="H241" s="1131"/>
      <c r="I241" s="927" t="str">
        <f t="shared" ref="I241" si="311">IF(I240&lt;=I239, "Pass", "Fail")</f>
        <v>Pass</v>
      </c>
      <c r="J241" s="927" t="str">
        <f t="shared" ref="J241" si="312">IF(J240&lt;=J239, "Pass", "Fail")</f>
        <v>Pass</v>
      </c>
      <c r="K241" s="927" t="str">
        <f t="shared" ref="K241" si="313">IF(K240&lt;=K239, "Pass", "Fail")</f>
        <v>Pass</v>
      </c>
      <c r="L241" s="927" t="str">
        <f t="shared" ref="L241" si="314">IF(L240&lt;=L239, "Pass", "Fail")</f>
        <v>Pass</v>
      </c>
      <c r="M241" s="927" t="str">
        <f t="shared" ref="M241" si="315">IF(M240&lt;=M239, "Pass", "Fail")</f>
        <v>Pass</v>
      </c>
      <c r="N241" s="1075"/>
    </row>
    <row r="242" spans="1:14" ht="15" customHeight="1" x14ac:dyDescent="0.2">
      <c r="A242" s="1076"/>
      <c r="B242" s="1855"/>
      <c r="C242" s="1485" t="s">
        <v>1392</v>
      </c>
      <c r="D242" s="1131"/>
      <c r="E242" s="1131"/>
      <c r="F242" s="1131"/>
      <c r="G242" s="1131"/>
      <c r="H242" s="1131"/>
      <c r="I242" s="1154"/>
      <c r="J242" s="1154"/>
      <c r="K242" s="1154"/>
      <c r="L242" s="1154"/>
      <c r="M242" s="554"/>
      <c r="N242" s="1075"/>
    </row>
    <row r="243" spans="1:14" ht="15" customHeight="1" x14ac:dyDescent="0.2">
      <c r="A243" s="1076"/>
      <c r="B243" s="1855"/>
      <c r="C243" s="1485" t="s">
        <v>1391</v>
      </c>
      <c r="D243" s="1131"/>
      <c r="E243" s="1131"/>
      <c r="F243" s="1131"/>
      <c r="G243" s="1131"/>
      <c r="H243" s="1131"/>
      <c r="I243" s="1154"/>
      <c r="J243" s="1154"/>
      <c r="K243" s="1154"/>
      <c r="L243" s="1154"/>
      <c r="M243" s="554"/>
      <c r="N243" s="1075"/>
    </row>
    <row r="244" spans="1:14" ht="15" customHeight="1" x14ac:dyDescent="0.2">
      <c r="A244" s="1076"/>
      <c r="B244" s="1855"/>
      <c r="C244" s="1534" t="str">
        <f>CONCATENATE("Check: row ", ROW(C243), " ≤ row ", ROW(C242))</f>
        <v>Check: row 243 ≤ row 242</v>
      </c>
      <c r="D244" s="1131"/>
      <c r="E244" s="1131"/>
      <c r="F244" s="1131"/>
      <c r="G244" s="1131"/>
      <c r="H244" s="1131"/>
      <c r="I244" s="927" t="str">
        <f t="shared" ref="I244" si="316">IF(I243&lt;=I242, "Pass", "Fail")</f>
        <v>Pass</v>
      </c>
      <c r="J244" s="927" t="str">
        <f t="shared" ref="J244" si="317">IF(J243&lt;=J242, "Pass", "Fail")</f>
        <v>Pass</v>
      </c>
      <c r="K244" s="927" t="str">
        <f t="shared" ref="K244" si="318">IF(K243&lt;=K242, "Pass", "Fail")</f>
        <v>Pass</v>
      </c>
      <c r="L244" s="927" t="str">
        <f t="shared" ref="L244" si="319">IF(L243&lt;=L242, "Pass", "Fail")</f>
        <v>Pass</v>
      </c>
      <c r="M244" s="927" t="str">
        <f t="shared" ref="M244" si="320">IF(M243&lt;=M242, "Pass", "Fail")</f>
        <v>Pass</v>
      </c>
      <c r="N244" s="1075"/>
    </row>
    <row r="245" spans="1:14" ht="15" customHeight="1" x14ac:dyDescent="0.2">
      <c r="A245" s="1076"/>
      <c r="B245" s="1857"/>
      <c r="C245" s="1482" t="s">
        <v>1364</v>
      </c>
      <c r="D245" s="1131"/>
      <c r="E245" s="1131"/>
      <c r="F245" s="1131"/>
      <c r="G245" s="1131"/>
      <c r="H245" s="1131"/>
      <c r="I245" s="1154"/>
      <c r="J245" s="1154"/>
      <c r="K245" s="1154"/>
      <c r="L245" s="1154"/>
      <c r="M245" s="554"/>
      <c r="N245" s="1075"/>
    </row>
    <row r="246" spans="1:14" ht="15" customHeight="1" x14ac:dyDescent="0.2">
      <c r="A246" s="1076"/>
      <c r="B246" s="1856" t="s">
        <v>1487</v>
      </c>
      <c r="C246" s="1485" t="s">
        <v>1480</v>
      </c>
      <c r="D246" s="1131"/>
      <c r="E246" s="1131"/>
      <c r="F246" s="1131"/>
      <c r="G246" s="1131"/>
      <c r="H246" s="1131"/>
      <c r="I246" s="1154"/>
      <c r="J246" s="1154"/>
      <c r="K246" s="1154"/>
      <c r="L246" s="1154"/>
      <c r="M246" s="554"/>
      <c r="N246" s="1075"/>
    </row>
    <row r="247" spans="1:14" ht="15" customHeight="1" x14ac:dyDescent="0.2">
      <c r="A247" s="1076"/>
      <c r="B247" s="1855"/>
      <c r="C247" s="1485" t="s">
        <v>1395</v>
      </c>
      <c r="D247" s="1131"/>
      <c r="E247" s="1131"/>
      <c r="F247" s="1131"/>
      <c r="G247" s="1131"/>
      <c r="H247" s="1131"/>
      <c r="I247" s="1154"/>
      <c r="J247" s="1154"/>
      <c r="K247" s="1154"/>
      <c r="L247" s="1154"/>
      <c r="M247" s="554"/>
      <c r="N247" s="1075"/>
    </row>
    <row r="248" spans="1:14" ht="15" customHeight="1" x14ac:dyDescent="0.2">
      <c r="A248" s="1076"/>
      <c r="B248" s="1855"/>
      <c r="C248" s="1485" t="s">
        <v>1394</v>
      </c>
      <c r="D248" s="1131"/>
      <c r="E248" s="1131"/>
      <c r="F248" s="1131"/>
      <c r="G248" s="1131"/>
      <c r="H248" s="1131"/>
      <c r="I248" s="1154"/>
      <c r="J248" s="1154"/>
      <c r="K248" s="1154"/>
      <c r="L248" s="1154"/>
      <c r="M248" s="554"/>
      <c r="N248" s="1075"/>
    </row>
    <row r="249" spans="1:14" ht="15" customHeight="1" x14ac:dyDescent="0.2">
      <c r="A249" s="1076"/>
      <c r="B249" s="1855"/>
      <c r="C249" s="1534" t="str">
        <f>CONCATENATE("Check: row ", ROW(C248), " ≤ row ", ROW(C247))</f>
        <v>Check: row 248 ≤ row 247</v>
      </c>
      <c r="D249" s="1131"/>
      <c r="E249" s="1131"/>
      <c r="F249" s="1131"/>
      <c r="G249" s="1131"/>
      <c r="H249" s="1131"/>
      <c r="I249" s="927" t="str">
        <f t="shared" ref="I249" si="321">IF(I248&lt;=I247, "Pass", "Fail")</f>
        <v>Pass</v>
      </c>
      <c r="J249" s="927" t="str">
        <f t="shared" ref="J249" si="322">IF(J248&lt;=J247, "Pass", "Fail")</f>
        <v>Pass</v>
      </c>
      <c r="K249" s="927" t="str">
        <f t="shared" ref="K249" si="323">IF(K248&lt;=K247, "Pass", "Fail")</f>
        <v>Pass</v>
      </c>
      <c r="L249" s="927" t="str">
        <f t="shared" ref="L249" si="324">IF(L248&lt;=L247, "Pass", "Fail")</f>
        <v>Pass</v>
      </c>
      <c r="M249" s="927" t="str">
        <f t="shared" ref="M249" si="325">IF(M248&lt;=M247, "Pass", "Fail")</f>
        <v>Pass</v>
      </c>
      <c r="N249" s="1075"/>
    </row>
    <row r="250" spans="1:14" ht="15" customHeight="1" x14ac:dyDescent="0.2">
      <c r="A250" s="1076"/>
      <c r="B250" s="1855"/>
      <c r="C250" s="1485" t="s">
        <v>1392</v>
      </c>
      <c r="D250" s="1131"/>
      <c r="E250" s="1131"/>
      <c r="F250" s="1131"/>
      <c r="G250" s="1131"/>
      <c r="H250" s="1131"/>
      <c r="I250" s="1154"/>
      <c r="J250" s="1154"/>
      <c r="K250" s="1154"/>
      <c r="L250" s="1154"/>
      <c r="M250" s="554"/>
      <c r="N250" s="1075"/>
    </row>
    <row r="251" spans="1:14" ht="15" customHeight="1" x14ac:dyDescent="0.2">
      <c r="A251" s="1076"/>
      <c r="B251" s="1855"/>
      <c r="C251" s="1485" t="s">
        <v>1391</v>
      </c>
      <c r="D251" s="1131"/>
      <c r="E251" s="1131"/>
      <c r="F251" s="1131"/>
      <c r="G251" s="1131"/>
      <c r="H251" s="1131"/>
      <c r="I251" s="1154"/>
      <c r="J251" s="1154"/>
      <c r="K251" s="1154"/>
      <c r="L251" s="1154"/>
      <c r="M251" s="554"/>
      <c r="N251" s="1075"/>
    </row>
    <row r="252" spans="1:14" ht="15" customHeight="1" x14ac:dyDescent="0.2">
      <c r="A252" s="1076"/>
      <c r="B252" s="1855"/>
      <c r="C252" s="1534" t="str">
        <f>CONCATENATE("Check: row ", ROW(C251), " ≤ row ", ROW(C250))</f>
        <v>Check: row 251 ≤ row 250</v>
      </c>
      <c r="D252" s="1131"/>
      <c r="E252" s="1131"/>
      <c r="F252" s="1131"/>
      <c r="G252" s="1131"/>
      <c r="H252" s="1131"/>
      <c r="I252" s="927" t="str">
        <f t="shared" ref="I252" si="326">IF(I251&lt;=I250, "Pass", "Fail")</f>
        <v>Pass</v>
      </c>
      <c r="J252" s="927" t="str">
        <f t="shared" ref="J252" si="327">IF(J251&lt;=J250, "Pass", "Fail")</f>
        <v>Pass</v>
      </c>
      <c r="K252" s="927" t="str">
        <f t="shared" ref="K252" si="328">IF(K251&lt;=K250, "Pass", "Fail")</f>
        <v>Pass</v>
      </c>
      <c r="L252" s="927" t="str">
        <f t="shared" ref="L252" si="329">IF(L251&lt;=L250, "Pass", "Fail")</f>
        <v>Pass</v>
      </c>
      <c r="M252" s="927" t="str">
        <f t="shared" ref="M252" si="330">IF(M251&lt;=M250, "Pass", "Fail")</f>
        <v>Pass</v>
      </c>
      <c r="N252" s="1075"/>
    </row>
    <row r="253" spans="1:14" ht="15" customHeight="1" x14ac:dyDescent="0.2">
      <c r="A253" s="1076"/>
      <c r="B253" s="1858"/>
      <c r="C253" s="1487" t="s">
        <v>1364</v>
      </c>
      <c r="D253" s="1152"/>
      <c r="E253" s="1152"/>
      <c r="F253" s="1152"/>
      <c r="G253" s="1152"/>
      <c r="H253" s="1152"/>
      <c r="I253" s="1156"/>
      <c r="J253" s="1156"/>
      <c r="K253" s="1156"/>
      <c r="L253" s="1156"/>
      <c r="M253" s="531"/>
      <c r="N253" s="1075"/>
    </row>
    <row r="254" spans="1:14" ht="15" customHeight="1" x14ac:dyDescent="0.2">
      <c r="A254" s="1076"/>
      <c r="B254" s="1074"/>
      <c r="D254" s="1074"/>
      <c r="E254" s="1074"/>
      <c r="F254" s="1074"/>
      <c r="G254" s="1074"/>
      <c r="H254" s="1074"/>
      <c r="I254" s="1074"/>
      <c r="J254" s="1074"/>
      <c r="K254" s="1074"/>
      <c r="L254" s="1074"/>
      <c r="M254" s="1074"/>
      <c r="N254" s="1075"/>
    </row>
    <row r="255" spans="1:14" s="207" customFormat="1" ht="30" customHeight="1" x14ac:dyDescent="0.25">
      <c r="A255" s="1377" t="s">
        <v>1474</v>
      </c>
      <c r="B255" s="18"/>
      <c r="C255" s="16"/>
      <c r="D255" s="203"/>
      <c r="E255" s="203"/>
      <c r="F255" s="203"/>
      <c r="G255" s="203"/>
      <c r="H255" s="180"/>
      <c r="I255" s="180"/>
      <c r="J255" s="180"/>
      <c r="K255" s="180"/>
      <c r="L255" s="180"/>
      <c r="M255" s="180"/>
      <c r="N255" s="181"/>
    </row>
    <row r="256" spans="1:14" ht="15" customHeight="1" x14ac:dyDescent="0.2">
      <c r="A256" s="1076"/>
      <c r="B256" s="1495"/>
      <c r="C256" s="1495"/>
      <c r="D256" s="1495"/>
      <c r="E256" s="1495"/>
      <c r="F256" s="1495"/>
      <c r="G256" s="1495"/>
      <c r="H256" s="1495"/>
      <c r="I256" s="1495"/>
      <c r="J256" s="1495"/>
      <c r="K256" s="1495"/>
      <c r="L256" s="1495"/>
      <c r="M256" s="1512"/>
      <c r="N256" s="1075"/>
    </row>
    <row r="257" spans="1:15" ht="15" customHeight="1" x14ac:dyDescent="0.2">
      <c r="A257" s="1076"/>
      <c r="B257" s="1859" t="s">
        <v>1379</v>
      </c>
      <c r="C257" s="1838"/>
      <c r="D257" s="1131"/>
      <c r="E257" s="1131"/>
      <c r="F257" s="1131"/>
      <c r="G257" s="1172"/>
      <c r="H257" s="1172"/>
      <c r="I257" s="1172"/>
      <c r="J257" s="1172"/>
      <c r="K257" s="1172"/>
      <c r="L257" s="1172"/>
      <c r="M257" s="1065"/>
      <c r="N257" s="1075"/>
    </row>
    <row r="258" spans="1:15" ht="30" customHeight="1" x14ac:dyDescent="0.2">
      <c r="A258" s="1076"/>
      <c r="B258" s="1860" t="s">
        <v>1514</v>
      </c>
      <c r="C258" s="1861"/>
      <c r="D258" s="1131"/>
      <c r="E258" s="1131"/>
      <c r="F258" s="1131"/>
      <c r="G258" s="1131"/>
      <c r="H258" s="1131"/>
      <c r="I258" s="1131"/>
      <c r="J258" s="1131"/>
      <c r="K258" s="1131"/>
      <c r="L258" s="1131"/>
      <c r="M258" s="316"/>
      <c r="N258" s="1075"/>
    </row>
    <row r="259" spans="1:15" ht="15" customHeight="1" x14ac:dyDescent="0.2">
      <c r="A259" s="1076"/>
      <c r="B259" s="1818" t="s">
        <v>1380</v>
      </c>
      <c r="C259" s="1819"/>
      <c r="D259" s="1131"/>
      <c r="E259" s="1131"/>
      <c r="F259" s="1131"/>
      <c r="G259" s="1172"/>
      <c r="H259" s="1172"/>
      <c r="I259" s="1172"/>
      <c r="J259" s="1172"/>
      <c r="K259" s="1172"/>
      <c r="L259" s="1172"/>
      <c r="M259" s="1065"/>
      <c r="N259" s="1075"/>
    </row>
    <row r="260" spans="1:15" ht="15" customHeight="1" x14ac:dyDescent="0.2">
      <c r="A260" s="1076"/>
      <c r="B260" s="1818" t="s">
        <v>1381</v>
      </c>
      <c r="C260" s="1819"/>
      <c r="D260" s="1131"/>
      <c r="E260" s="1131"/>
      <c r="F260" s="1131"/>
      <c r="G260" s="1172"/>
      <c r="H260" s="1172"/>
      <c r="I260" s="1172"/>
      <c r="J260" s="1172"/>
      <c r="K260" s="1172"/>
      <c r="L260" s="1172"/>
      <c r="M260" s="1065"/>
      <c r="N260" s="1075"/>
    </row>
    <row r="261" spans="1:15" ht="15" customHeight="1" x14ac:dyDescent="0.2">
      <c r="A261" s="1076"/>
      <c r="B261" s="1818" t="s">
        <v>1382</v>
      </c>
      <c r="C261" s="1819"/>
      <c r="D261" s="1131"/>
      <c r="E261" s="1131"/>
      <c r="F261" s="1131"/>
      <c r="G261" s="1172"/>
      <c r="H261" s="1172"/>
      <c r="I261" s="1172"/>
      <c r="J261" s="1172"/>
      <c r="K261" s="1172"/>
      <c r="L261" s="1172"/>
      <c r="M261" s="1065"/>
      <c r="N261" s="1075"/>
    </row>
    <row r="262" spans="1:15" ht="15" customHeight="1" x14ac:dyDescent="0.2">
      <c r="A262" s="1076"/>
      <c r="B262" s="1818" t="s">
        <v>1472</v>
      </c>
      <c r="C262" s="1819"/>
      <c r="D262" s="1131"/>
      <c r="E262" s="1131"/>
      <c r="F262" s="1131"/>
      <c r="G262" s="1172"/>
      <c r="H262" s="1172"/>
      <c r="I262" s="1172"/>
      <c r="J262" s="1172"/>
      <c r="K262" s="1172"/>
      <c r="L262" s="1172"/>
      <c r="M262" s="1065"/>
      <c r="N262" s="1075"/>
    </row>
    <row r="263" spans="1:15" ht="15" customHeight="1" x14ac:dyDescent="0.2">
      <c r="A263" s="1076"/>
      <c r="B263" s="1536" t="s">
        <v>1515</v>
      </c>
      <c r="C263" s="1535"/>
      <c r="D263" s="1407"/>
      <c r="E263" s="1407"/>
      <c r="F263" s="1407"/>
      <c r="G263" s="1116"/>
      <c r="H263" s="1116"/>
      <c r="I263" s="1116"/>
      <c r="J263" s="1116"/>
      <c r="K263" s="1116"/>
      <c r="L263" s="1116"/>
      <c r="M263" s="1342"/>
      <c r="N263" s="1075"/>
    </row>
    <row r="264" spans="1:15" ht="15" customHeight="1" x14ac:dyDescent="0.2">
      <c r="A264" s="1076"/>
      <c r="B264" s="1820" t="str">
        <f>CONCATENATE("Check: row ", ROW(B263), " ≤ row ", ROW(B262))</f>
        <v>Check: row 263 ≤ row 262</v>
      </c>
      <c r="C264" s="1821"/>
      <c r="D264" s="1407"/>
      <c r="E264" s="1407"/>
      <c r="F264" s="1407"/>
      <c r="G264" s="927" t="str">
        <f>IF(G263&lt;=G262, "Pass", "Fail")</f>
        <v>Pass</v>
      </c>
      <c r="H264" s="927" t="str">
        <f t="shared" ref="H264:M264" si="331">IF(H263&lt;=H262, "Pass", "Fail")</f>
        <v>Pass</v>
      </c>
      <c r="I264" s="927" t="str">
        <f t="shared" si="331"/>
        <v>Pass</v>
      </c>
      <c r="J264" s="927" t="str">
        <f t="shared" si="331"/>
        <v>Pass</v>
      </c>
      <c r="K264" s="927" t="str">
        <f t="shared" si="331"/>
        <v>Pass</v>
      </c>
      <c r="L264" s="927" t="str">
        <f t="shared" si="331"/>
        <v>Pass</v>
      </c>
      <c r="M264" s="927" t="str">
        <f t="shared" si="331"/>
        <v>Pass</v>
      </c>
      <c r="N264" s="1075"/>
      <c r="O264" s="1538" t="s">
        <v>1473</v>
      </c>
    </row>
    <row r="265" spans="1:15" ht="30" customHeight="1" x14ac:dyDescent="0.2">
      <c r="A265" s="1076"/>
      <c r="B265" s="1860" t="s">
        <v>1516</v>
      </c>
      <c r="C265" s="1861"/>
      <c r="D265" s="1407"/>
      <c r="E265" s="1407"/>
      <c r="F265" s="1407"/>
      <c r="G265" s="1116"/>
      <c r="H265" s="1116"/>
      <c r="I265" s="1116"/>
      <c r="J265" s="1116"/>
      <c r="K265" s="1116"/>
      <c r="L265" s="1116"/>
      <c r="M265" s="1342"/>
      <c r="N265" s="1075"/>
    </row>
    <row r="266" spans="1:15" ht="15" customHeight="1" x14ac:dyDescent="0.2">
      <c r="A266" s="1076"/>
      <c r="B266" s="1852" t="str">
        <f>CONCATENATE("Check: sum of rows ", ROW(B259), " to ", ROW(B262), " ≤ row ", ROW(B265))</f>
        <v>Check: sum of rows 259 to 262 ≤ row 265</v>
      </c>
      <c r="C266" s="1853"/>
      <c r="D266" s="1537"/>
      <c r="E266" s="1537"/>
      <c r="F266" s="1537"/>
      <c r="G266" s="686" t="str">
        <f>IF(SUM(G259:G262)&lt;=G265, "Pass", "Fail")</f>
        <v>Pass</v>
      </c>
      <c r="H266" s="686" t="str">
        <f t="shared" ref="H266:M266" si="332">IF(SUM(H259:H262)&lt;=H265, "Pass", "Fail")</f>
        <v>Pass</v>
      </c>
      <c r="I266" s="686" t="str">
        <f t="shared" si="332"/>
        <v>Pass</v>
      </c>
      <c r="J266" s="686" t="str">
        <f t="shared" si="332"/>
        <v>Pass</v>
      </c>
      <c r="K266" s="686" t="str">
        <f t="shared" si="332"/>
        <v>Pass</v>
      </c>
      <c r="L266" s="686" t="str">
        <f t="shared" si="332"/>
        <v>Pass</v>
      </c>
      <c r="M266" s="962" t="str">
        <f t="shared" si="332"/>
        <v>Pass</v>
      </c>
      <c r="N266" s="1075"/>
      <c r="O266" s="1538" t="s">
        <v>1473</v>
      </c>
    </row>
    <row r="267" spans="1:15" ht="15" customHeight="1" x14ac:dyDescent="0.2">
      <c r="A267" s="1076"/>
      <c r="B267" s="1074"/>
      <c r="D267" s="1074"/>
      <c r="E267" s="1074"/>
      <c r="F267" s="1074"/>
      <c r="G267" s="1074"/>
      <c r="H267" s="1074"/>
      <c r="I267" s="1074"/>
      <c r="J267" s="1074"/>
      <c r="K267" s="1074"/>
      <c r="L267" s="1074"/>
      <c r="M267" s="1074"/>
      <c r="N267" s="1075"/>
    </row>
    <row r="268" spans="1:15" s="207" customFormat="1" ht="30" customHeight="1" x14ac:dyDescent="0.25">
      <c r="A268" s="1377" t="s">
        <v>1475</v>
      </c>
      <c r="B268" s="18"/>
      <c r="C268" s="16"/>
      <c r="D268" s="203"/>
      <c r="E268" s="203"/>
      <c r="F268" s="203"/>
      <c r="G268" s="203"/>
      <c r="H268" s="180"/>
      <c r="I268" s="180"/>
      <c r="J268" s="180"/>
      <c r="K268" s="180"/>
      <c r="L268" s="180"/>
      <c r="M268" s="180"/>
      <c r="N268" s="181"/>
    </row>
    <row r="269" spans="1:15" ht="15" customHeight="1" x14ac:dyDescent="0.2">
      <c r="A269" s="1076"/>
      <c r="B269" s="1495"/>
      <c r="C269" s="1495"/>
      <c r="D269" s="1495"/>
      <c r="E269" s="1495"/>
      <c r="F269" s="1495"/>
      <c r="G269" s="1495"/>
      <c r="H269" s="1495"/>
      <c r="I269" s="1495"/>
      <c r="J269" s="1495"/>
      <c r="K269" s="1495"/>
      <c r="L269" s="1495"/>
      <c r="M269" s="1495"/>
      <c r="N269" s="1075"/>
    </row>
    <row r="270" spans="1:15" s="1481" customFormat="1" ht="30" customHeight="1" x14ac:dyDescent="0.2">
      <c r="A270" s="1491"/>
      <c r="B270" s="1824" t="s">
        <v>1517</v>
      </c>
      <c r="C270" s="1825"/>
      <c r="D270" s="906"/>
      <c r="E270" s="906"/>
      <c r="F270" s="906"/>
      <c r="G270" s="906"/>
      <c r="H270" s="906"/>
      <c r="I270" s="906"/>
      <c r="J270" s="906"/>
      <c r="K270" s="906"/>
      <c r="L270" s="906"/>
      <c r="M270" s="1473"/>
      <c r="N270" s="1492"/>
    </row>
    <row r="271" spans="1:15" ht="15" customHeight="1" x14ac:dyDescent="0.2">
      <c r="A271" s="1076"/>
      <c r="B271" s="1828" t="s">
        <v>1383</v>
      </c>
      <c r="C271" s="1829"/>
      <c r="D271" s="1131"/>
      <c r="E271" s="1131"/>
      <c r="F271" s="1131"/>
      <c r="G271" s="1131"/>
      <c r="H271" s="1131"/>
      <c r="I271" s="1131"/>
      <c r="J271" s="1131"/>
      <c r="K271" s="1131"/>
      <c r="L271" s="1065"/>
      <c r="M271" s="1065"/>
      <c r="N271" s="1075"/>
    </row>
    <row r="272" spans="1:15" ht="15" customHeight="1" x14ac:dyDescent="0.2">
      <c r="A272" s="1076"/>
      <c r="B272" s="1828" t="s">
        <v>1384</v>
      </c>
      <c r="C272" s="1829"/>
      <c r="D272" s="1131"/>
      <c r="E272" s="1131"/>
      <c r="F272" s="1131"/>
      <c r="G272" s="1131"/>
      <c r="H272" s="1131"/>
      <c r="I272" s="1131"/>
      <c r="J272" s="1131"/>
      <c r="K272" s="1131"/>
      <c r="L272" s="1065"/>
      <c r="M272" s="1065"/>
      <c r="N272" s="1075"/>
    </row>
    <row r="273" spans="1:14" ht="15" customHeight="1" x14ac:dyDescent="0.2">
      <c r="A273" s="1076"/>
      <c r="B273" s="1828" t="s">
        <v>1385</v>
      </c>
      <c r="C273" s="1829"/>
      <c r="D273" s="1131"/>
      <c r="E273" s="1131"/>
      <c r="F273" s="1131"/>
      <c r="G273" s="1131"/>
      <c r="H273" s="1131"/>
      <c r="I273" s="1131"/>
      <c r="J273" s="1131"/>
      <c r="K273" s="1131"/>
      <c r="L273" s="1065"/>
      <c r="M273" s="1065"/>
      <c r="N273" s="1075"/>
    </row>
    <row r="274" spans="1:14" ht="15" customHeight="1" x14ac:dyDescent="0.2">
      <c r="A274" s="1076"/>
      <c r="B274" s="1828" t="s">
        <v>1386</v>
      </c>
      <c r="C274" s="1829"/>
      <c r="D274" s="1131"/>
      <c r="E274" s="1131"/>
      <c r="F274" s="1131"/>
      <c r="G274" s="1131"/>
      <c r="H274" s="1131"/>
      <c r="I274" s="1131"/>
      <c r="J274" s="1131"/>
      <c r="K274" s="1131"/>
      <c r="L274" s="1065"/>
      <c r="M274" s="1065"/>
      <c r="N274" s="1075"/>
    </row>
    <row r="275" spans="1:14" ht="15" customHeight="1" x14ac:dyDescent="0.2">
      <c r="A275" s="1076"/>
      <c r="B275" s="1830" t="str">
        <f>CONCATENATE("Check: row ", ROW(B274), " ≤ row ", ROW(B273)," ≤ row ", ROW(B272)," ≤ row ", ROW(B271))</f>
        <v>Check: row 274 ≤ row 273 ≤ row 272 ≤ row 271</v>
      </c>
      <c r="C275" s="1831"/>
      <c r="D275" s="1131"/>
      <c r="E275" s="1131"/>
      <c r="F275" s="1131"/>
      <c r="G275" s="1131"/>
      <c r="H275" s="1131"/>
      <c r="I275" s="1131"/>
      <c r="J275" s="1131"/>
      <c r="K275" s="1131"/>
      <c r="L275" s="927" t="str">
        <f>IF(AND(L274&lt;=L273, L273&lt;=L272, L272&lt;=L271), "Pass", "Fail")</f>
        <v>Pass</v>
      </c>
      <c r="M275" s="927" t="str">
        <f>IF(AND(M274&lt;=M273, M273&lt;=M272, M272&lt;=M271), "Pass", "Fail")</f>
        <v>Pass</v>
      </c>
      <c r="N275" s="1075"/>
    </row>
    <row r="276" spans="1:14" ht="15" customHeight="1" x14ac:dyDescent="0.2">
      <c r="A276" s="1076"/>
      <c r="B276" s="1826" t="s">
        <v>1476</v>
      </c>
      <c r="C276" s="1827"/>
      <c r="D276" s="1131"/>
      <c r="E276" s="1131"/>
      <c r="F276" s="1131"/>
      <c r="G276" s="1131"/>
      <c r="H276" s="1131"/>
      <c r="I276" s="1131"/>
      <c r="J276" s="1131"/>
      <c r="K276" s="1131"/>
      <c r="L276" s="316"/>
      <c r="M276" s="316"/>
      <c r="N276" s="1075"/>
    </row>
    <row r="277" spans="1:14" ht="15" customHeight="1" x14ac:dyDescent="0.2">
      <c r="A277" s="1076"/>
      <c r="B277" s="1828" t="s">
        <v>1389</v>
      </c>
      <c r="C277" s="1829"/>
      <c r="D277" s="1131"/>
      <c r="E277" s="1131"/>
      <c r="F277" s="1131"/>
      <c r="G277" s="1131"/>
      <c r="H277" s="1131"/>
      <c r="I277" s="1131"/>
      <c r="J277" s="1131"/>
      <c r="K277" s="1131"/>
      <c r="L277" s="1065"/>
      <c r="M277" s="1065"/>
      <c r="N277" s="1075"/>
    </row>
    <row r="278" spans="1:14" ht="15" customHeight="1" x14ac:dyDescent="0.2">
      <c r="A278" s="1076"/>
      <c r="B278" s="1828" t="s">
        <v>1387</v>
      </c>
      <c r="C278" s="1829"/>
      <c r="D278" s="1131"/>
      <c r="E278" s="1131"/>
      <c r="F278" s="1131"/>
      <c r="G278" s="1131"/>
      <c r="H278" s="1131"/>
      <c r="I278" s="1131"/>
      <c r="J278" s="1131"/>
      <c r="K278" s="1131"/>
      <c r="L278" s="1065"/>
      <c r="M278" s="1065"/>
      <c r="N278" s="1075"/>
    </row>
    <row r="279" spans="1:14" ht="15" customHeight="1" x14ac:dyDescent="0.2">
      <c r="A279" s="1076"/>
      <c r="B279" s="1822" t="s">
        <v>1388</v>
      </c>
      <c r="C279" s="1823"/>
      <c r="D279" s="1152"/>
      <c r="E279" s="1152"/>
      <c r="F279" s="1152"/>
      <c r="G279" s="1152"/>
      <c r="H279" s="1152"/>
      <c r="I279" s="1152"/>
      <c r="J279" s="1152"/>
      <c r="K279" s="1152"/>
      <c r="L279" s="1067"/>
      <c r="M279" s="1067"/>
      <c r="N279" s="1075"/>
    </row>
    <row r="280" spans="1:14" ht="15" customHeight="1" x14ac:dyDescent="0.2">
      <c r="A280" s="214"/>
      <c r="B280" s="1070"/>
      <c r="C280" s="1070"/>
      <c r="D280" s="1070"/>
      <c r="E280" s="1070"/>
      <c r="F280" s="1070"/>
      <c r="G280" s="1070"/>
      <c r="H280" s="1070"/>
      <c r="I280" s="1070"/>
      <c r="J280" s="1070"/>
      <c r="K280" s="1070"/>
      <c r="L280" s="1070"/>
      <c r="M280" s="1070"/>
      <c r="N280" s="1071"/>
    </row>
  </sheetData>
  <mergeCells count="62">
    <mergeCell ref="B59:B73"/>
    <mergeCell ref="B184:B185"/>
    <mergeCell ref="B261:C261"/>
    <mergeCell ref="B180:B183"/>
    <mergeCell ref="B266:C266"/>
    <mergeCell ref="B190:B197"/>
    <mergeCell ref="B198:B205"/>
    <mergeCell ref="B206:B213"/>
    <mergeCell ref="B214:B221"/>
    <mergeCell ref="B222:B229"/>
    <mergeCell ref="B230:B237"/>
    <mergeCell ref="B238:B245"/>
    <mergeCell ref="B246:B253"/>
    <mergeCell ref="B257:C257"/>
    <mergeCell ref="B265:C265"/>
    <mergeCell ref="B258:C258"/>
    <mergeCell ref="B22:C22"/>
    <mergeCell ref="B24:C24"/>
    <mergeCell ref="B29:B43"/>
    <mergeCell ref="B23:C23"/>
    <mergeCell ref="B44:B58"/>
    <mergeCell ref="B19:C19"/>
    <mergeCell ref="B20:C20"/>
    <mergeCell ref="B21:C21"/>
    <mergeCell ref="B14:C14"/>
    <mergeCell ref="B15:C15"/>
    <mergeCell ref="B16:C16"/>
    <mergeCell ref="B17:C17"/>
    <mergeCell ref="B18:C18"/>
    <mergeCell ref="B3:C3"/>
    <mergeCell ref="B7:C7"/>
    <mergeCell ref="B8:C8"/>
    <mergeCell ref="B9:C9"/>
    <mergeCell ref="B10:C10"/>
    <mergeCell ref="B171:B174"/>
    <mergeCell ref="B175:B178"/>
    <mergeCell ref="B74:B88"/>
    <mergeCell ref="B89:B103"/>
    <mergeCell ref="B104:B118"/>
    <mergeCell ref="B119:B133"/>
    <mergeCell ref="B134:B148"/>
    <mergeCell ref="B166:C166"/>
    <mergeCell ref="B152:B153"/>
    <mergeCell ref="B154:B157"/>
    <mergeCell ref="B158:B161"/>
    <mergeCell ref="B162:B165"/>
    <mergeCell ref="B167:B170"/>
    <mergeCell ref="B179:C179"/>
    <mergeCell ref="B262:C262"/>
    <mergeCell ref="B264:C264"/>
    <mergeCell ref="B279:C279"/>
    <mergeCell ref="B270:C270"/>
    <mergeCell ref="B276:C276"/>
    <mergeCell ref="B271:C271"/>
    <mergeCell ref="B272:C272"/>
    <mergeCell ref="B273:C273"/>
    <mergeCell ref="B274:C274"/>
    <mergeCell ref="B277:C277"/>
    <mergeCell ref="B278:C278"/>
    <mergeCell ref="B260:C260"/>
    <mergeCell ref="B275:C275"/>
    <mergeCell ref="B259:C259"/>
  </mergeCells>
  <conditionalFormatting sqref="D33:M33">
    <cfRule type="cellIs" dxfId="207" priority="177" stopIfTrue="1" operator="equal">
      <formula>"Fail"</formula>
    </cfRule>
    <cfRule type="cellIs" dxfId="206" priority="178" stopIfTrue="1" operator="equal">
      <formula>"Pass"</formula>
    </cfRule>
  </conditionalFormatting>
  <conditionalFormatting sqref="D42:M42">
    <cfRule type="cellIs" dxfId="205" priority="171" stopIfTrue="1" operator="equal">
      <formula>"Fail"</formula>
    </cfRule>
    <cfRule type="cellIs" dxfId="204" priority="172" stopIfTrue="1" operator="equal">
      <formula>"Pass"</formula>
    </cfRule>
  </conditionalFormatting>
  <conditionalFormatting sqref="D38:M38">
    <cfRule type="cellIs" dxfId="203" priority="173" stopIfTrue="1" operator="equal">
      <formula>"Fail"</formula>
    </cfRule>
    <cfRule type="cellIs" dxfId="202" priority="174" stopIfTrue="1" operator="equal">
      <formula>"Pass"</formula>
    </cfRule>
  </conditionalFormatting>
  <conditionalFormatting sqref="D57:M57">
    <cfRule type="cellIs" dxfId="201" priority="169" stopIfTrue="1" operator="equal">
      <formula>"Fail"</formula>
    </cfRule>
    <cfRule type="cellIs" dxfId="200" priority="170" stopIfTrue="1" operator="equal">
      <formula>"Pass"</formula>
    </cfRule>
  </conditionalFormatting>
  <conditionalFormatting sqref="D48:M48">
    <cfRule type="cellIs" dxfId="199" priority="167" stopIfTrue="1" operator="equal">
      <formula>"Fail"</formula>
    </cfRule>
    <cfRule type="cellIs" dxfId="198" priority="168" stopIfTrue="1" operator="equal">
      <formula>"Pass"</formula>
    </cfRule>
  </conditionalFormatting>
  <conditionalFormatting sqref="D53:M53">
    <cfRule type="cellIs" dxfId="197" priority="165" stopIfTrue="1" operator="equal">
      <formula>"Fail"</formula>
    </cfRule>
    <cfRule type="cellIs" dxfId="196" priority="166" stopIfTrue="1" operator="equal">
      <formula>"Pass"</formula>
    </cfRule>
  </conditionalFormatting>
  <conditionalFormatting sqref="D63:M63">
    <cfRule type="cellIs" dxfId="195" priority="163" stopIfTrue="1" operator="equal">
      <formula>"Fail"</formula>
    </cfRule>
    <cfRule type="cellIs" dxfId="194" priority="164" stopIfTrue="1" operator="equal">
      <formula>"Pass"</formula>
    </cfRule>
  </conditionalFormatting>
  <conditionalFormatting sqref="D68:M68">
    <cfRule type="cellIs" dxfId="193" priority="161" stopIfTrue="1" operator="equal">
      <formula>"Fail"</formula>
    </cfRule>
    <cfRule type="cellIs" dxfId="192" priority="162" stopIfTrue="1" operator="equal">
      <formula>"Pass"</formula>
    </cfRule>
  </conditionalFormatting>
  <conditionalFormatting sqref="D72:M72">
    <cfRule type="cellIs" dxfId="191" priority="159" stopIfTrue="1" operator="equal">
      <formula>"Fail"</formula>
    </cfRule>
    <cfRule type="cellIs" dxfId="190" priority="160" stopIfTrue="1" operator="equal">
      <formula>"Pass"</formula>
    </cfRule>
  </conditionalFormatting>
  <conditionalFormatting sqref="D87:M87">
    <cfRule type="cellIs" dxfId="189" priority="157" stopIfTrue="1" operator="equal">
      <formula>"Fail"</formula>
    </cfRule>
    <cfRule type="cellIs" dxfId="188" priority="158" stopIfTrue="1" operator="equal">
      <formula>"Pass"</formula>
    </cfRule>
  </conditionalFormatting>
  <conditionalFormatting sqref="D78:M78">
    <cfRule type="cellIs" dxfId="187" priority="155" stopIfTrue="1" operator="equal">
      <formula>"Fail"</formula>
    </cfRule>
    <cfRule type="cellIs" dxfId="186" priority="156" stopIfTrue="1" operator="equal">
      <formula>"Pass"</formula>
    </cfRule>
  </conditionalFormatting>
  <conditionalFormatting sqref="D83:M83">
    <cfRule type="cellIs" dxfId="185" priority="153" stopIfTrue="1" operator="equal">
      <formula>"Fail"</formula>
    </cfRule>
    <cfRule type="cellIs" dxfId="184" priority="154" stopIfTrue="1" operator="equal">
      <formula>"Pass"</formula>
    </cfRule>
  </conditionalFormatting>
  <conditionalFormatting sqref="D102:M102">
    <cfRule type="cellIs" dxfId="183" priority="151" stopIfTrue="1" operator="equal">
      <formula>"Fail"</formula>
    </cfRule>
    <cfRule type="cellIs" dxfId="182" priority="152" stopIfTrue="1" operator="equal">
      <formula>"Pass"</formula>
    </cfRule>
  </conditionalFormatting>
  <conditionalFormatting sqref="D93:M93">
    <cfRule type="cellIs" dxfId="181" priority="149" stopIfTrue="1" operator="equal">
      <formula>"Fail"</formula>
    </cfRule>
    <cfRule type="cellIs" dxfId="180" priority="150" stopIfTrue="1" operator="equal">
      <formula>"Pass"</formula>
    </cfRule>
  </conditionalFormatting>
  <conditionalFormatting sqref="D98:M98">
    <cfRule type="cellIs" dxfId="179" priority="147" stopIfTrue="1" operator="equal">
      <formula>"Fail"</formula>
    </cfRule>
    <cfRule type="cellIs" dxfId="178" priority="148" stopIfTrue="1" operator="equal">
      <formula>"Pass"</formula>
    </cfRule>
  </conditionalFormatting>
  <conditionalFormatting sqref="D117:M117">
    <cfRule type="cellIs" dxfId="177" priority="145" stopIfTrue="1" operator="equal">
      <formula>"Fail"</formula>
    </cfRule>
    <cfRule type="cellIs" dxfId="176" priority="146" stopIfTrue="1" operator="equal">
      <formula>"Pass"</formula>
    </cfRule>
  </conditionalFormatting>
  <conditionalFormatting sqref="D108:M108">
    <cfRule type="cellIs" dxfId="175" priority="143" stopIfTrue="1" operator="equal">
      <formula>"Fail"</formula>
    </cfRule>
    <cfRule type="cellIs" dxfId="174" priority="144" stopIfTrue="1" operator="equal">
      <formula>"Pass"</formula>
    </cfRule>
  </conditionalFormatting>
  <conditionalFormatting sqref="D113:M113">
    <cfRule type="cellIs" dxfId="173" priority="141" stopIfTrue="1" operator="equal">
      <formula>"Fail"</formula>
    </cfRule>
    <cfRule type="cellIs" dxfId="172" priority="142" stopIfTrue="1" operator="equal">
      <formula>"Pass"</formula>
    </cfRule>
  </conditionalFormatting>
  <conditionalFormatting sqref="D132:M132">
    <cfRule type="cellIs" dxfId="171" priority="139" stopIfTrue="1" operator="equal">
      <formula>"Fail"</formula>
    </cfRule>
    <cfRule type="cellIs" dxfId="170" priority="140" stopIfTrue="1" operator="equal">
      <formula>"Pass"</formula>
    </cfRule>
  </conditionalFormatting>
  <conditionalFormatting sqref="D123:M123">
    <cfRule type="cellIs" dxfId="169" priority="137" stopIfTrue="1" operator="equal">
      <formula>"Fail"</formula>
    </cfRule>
    <cfRule type="cellIs" dxfId="168" priority="138" stopIfTrue="1" operator="equal">
      <formula>"Pass"</formula>
    </cfRule>
  </conditionalFormatting>
  <conditionalFormatting sqref="D128:M128">
    <cfRule type="cellIs" dxfId="167" priority="135" stopIfTrue="1" operator="equal">
      <formula>"Fail"</formula>
    </cfRule>
    <cfRule type="cellIs" dxfId="166" priority="136" stopIfTrue="1" operator="equal">
      <formula>"Pass"</formula>
    </cfRule>
  </conditionalFormatting>
  <conditionalFormatting sqref="D143:M143">
    <cfRule type="cellIs" dxfId="165" priority="127" stopIfTrue="1" operator="equal">
      <formula>"Fail"</formula>
    </cfRule>
    <cfRule type="cellIs" dxfId="164" priority="128" stopIfTrue="1" operator="equal">
      <formula>"Pass"</formula>
    </cfRule>
  </conditionalFormatting>
  <conditionalFormatting sqref="D147:M147">
    <cfRule type="cellIs" dxfId="163" priority="131" stopIfTrue="1" operator="equal">
      <formula>"Fail"</formula>
    </cfRule>
    <cfRule type="cellIs" dxfId="162" priority="132" stopIfTrue="1" operator="equal">
      <formula>"Pass"</formula>
    </cfRule>
  </conditionalFormatting>
  <conditionalFormatting sqref="D138:M138">
    <cfRule type="cellIs" dxfId="161" priority="129" stopIfTrue="1" operator="equal">
      <formula>"Fail"</formula>
    </cfRule>
    <cfRule type="cellIs" dxfId="160" priority="130" stopIfTrue="1" operator="equal">
      <formula>"Pass"</formula>
    </cfRule>
  </conditionalFormatting>
  <conditionalFormatting sqref="D178:M178">
    <cfRule type="cellIs" dxfId="159" priority="113" stopIfTrue="1" operator="equal">
      <formula>"Fail"</formula>
    </cfRule>
    <cfRule type="cellIs" dxfId="158" priority="114" stopIfTrue="1" operator="equal">
      <formula>"Pass"</formula>
    </cfRule>
  </conditionalFormatting>
  <conditionalFormatting sqref="D166:M166">
    <cfRule type="cellIs" dxfId="157" priority="125" stopIfTrue="1" operator="equal">
      <formula>"Fail"</formula>
    </cfRule>
    <cfRule type="cellIs" dxfId="156" priority="126" stopIfTrue="1" operator="equal">
      <formula>"Pass"</formula>
    </cfRule>
  </conditionalFormatting>
  <conditionalFormatting sqref="D157:M157">
    <cfRule type="cellIs" dxfId="155" priority="123" stopIfTrue="1" operator="equal">
      <formula>"Fail"</formula>
    </cfRule>
    <cfRule type="cellIs" dxfId="154" priority="124" stopIfTrue="1" operator="equal">
      <formula>"Pass"</formula>
    </cfRule>
  </conditionalFormatting>
  <conditionalFormatting sqref="D161:M161">
    <cfRule type="cellIs" dxfId="153" priority="121" stopIfTrue="1" operator="equal">
      <formula>"Fail"</formula>
    </cfRule>
    <cfRule type="cellIs" dxfId="152" priority="122" stopIfTrue="1" operator="equal">
      <formula>"Pass"</formula>
    </cfRule>
  </conditionalFormatting>
  <conditionalFormatting sqref="D165:M165">
    <cfRule type="cellIs" dxfId="151" priority="119" stopIfTrue="1" operator="equal">
      <formula>"Fail"</formula>
    </cfRule>
    <cfRule type="cellIs" dxfId="150" priority="120" stopIfTrue="1" operator="equal">
      <formula>"Pass"</formula>
    </cfRule>
  </conditionalFormatting>
  <conditionalFormatting sqref="D170:M170">
    <cfRule type="cellIs" dxfId="149" priority="117" stopIfTrue="1" operator="equal">
      <formula>"Fail"</formula>
    </cfRule>
    <cfRule type="cellIs" dxfId="148" priority="118" stopIfTrue="1" operator="equal">
      <formula>"Pass"</formula>
    </cfRule>
  </conditionalFormatting>
  <conditionalFormatting sqref="D174:M174">
    <cfRule type="cellIs" dxfId="147" priority="115" stopIfTrue="1" operator="equal">
      <formula>"Fail"</formula>
    </cfRule>
    <cfRule type="cellIs" dxfId="146" priority="116" stopIfTrue="1" operator="equal">
      <formula>"Pass"</formula>
    </cfRule>
  </conditionalFormatting>
  <conditionalFormatting sqref="D179:M179">
    <cfRule type="cellIs" dxfId="145" priority="111" stopIfTrue="1" operator="equal">
      <formula>"Fail"</formula>
    </cfRule>
    <cfRule type="cellIs" dxfId="144" priority="112" stopIfTrue="1" operator="equal">
      <formula>"Pass"</formula>
    </cfRule>
  </conditionalFormatting>
  <conditionalFormatting sqref="D183:M183">
    <cfRule type="cellIs" dxfId="143" priority="109" stopIfTrue="1" operator="equal">
      <formula>"Fail"</formula>
    </cfRule>
    <cfRule type="cellIs" dxfId="142" priority="110" stopIfTrue="1" operator="equal">
      <formula>"Pass"</formula>
    </cfRule>
  </conditionalFormatting>
  <conditionalFormatting sqref="G264:M264">
    <cfRule type="cellIs" dxfId="141" priority="107" stopIfTrue="1" operator="equal">
      <formula>"Fail"</formula>
    </cfRule>
    <cfRule type="cellIs" dxfId="140" priority="108" stopIfTrue="1" operator="equal">
      <formula>"Pass"</formula>
    </cfRule>
  </conditionalFormatting>
  <conditionalFormatting sqref="G266:M266">
    <cfRule type="cellIs" dxfId="139" priority="105" stopIfTrue="1" operator="equal">
      <formula>"Fail"</formula>
    </cfRule>
    <cfRule type="cellIs" dxfId="138" priority="106" stopIfTrue="1" operator="equal">
      <formula>"Pass"</formula>
    </cfRule>
  </conditionalFormatting>
  <conditionalFormatting sqref="L275">
    <cfRule type="cellIs" dxfId="137" priority="103" stopIfTrue="1" operator="equal">
      <formula>"Fail"</formula>
    </cfRule>
    <cfRule type="cellIs" dxfId="136" priority="104" stopIfTrue="1" operator="equal">
      <formula>"Pass"</formula>
    </cfRule>
  </conditionalFormatting>
  <conditionalFormatting sqref="M275">
    <cfRule type="cellIs" dxfId="135" priority="101" stopIfTrue="1" operator="equal">
      <formula>"Fail"</formula>
    </cfRule>
    <cfRule type="cellIs" dxfId="134" priority="102" stopIfTrue="1" operator="equal">
      <formula>"Pass"</formula>
    </cfRule>
  </conditionalFormatting>
  <conditionalFormatting sqref="I249:M249">
    <cfRule type="cellIs" dxfId="133" priority="11" stopIfTrue="1" operator="equal">
      <formula>"Fail"</formula>
    </cfRule>
    <cfRule type="cellIs" dxfId="132" priority="12" stopIfTrue="1" operator="equal">
      <formula>"Pass"</formula>
    </cfRule>
  </conditionalFormatting>
  <conditionalFormatting sqref="M196">
    <cfRule type="cellIs" dxfId="131" priority="85" stopIfTrue="1" operator="equal">
      <formula>"Fail"</formula>
    </cfRule>
    <cfRule type="cellIs" dxfId="130" priority="86" stopIfTrue="1" operator="equal">
      <formula>"Pass"</formula>
    </cfRule>
  </conditionalFormatting>
  <conditionalFormatting sqref="M252">
    <cfRule type="cellIs" dxfId="129" priority="1" stopIfTrue="1" operator="equal">
      <formula>"Fail"</formula>
    </cfRule>
    <cfRule type="cellIs" dxfId="128" priority="2" stopIfTrue="1" operator="equal">
      <formula>"Pass"</formula>
    </cfRule>
  </conditionalFormatting>
  <conditionalFormatting sqref="I193:M193">
    <cfRule type="cellIs" dxfId="127" priority="99" stopIfTrue="1" operator="equal">
      <formula>"Fail"</formula>
    </cfRule>
    <cfRule type="cellIs" dxfId="126" priority="100" stopIfTrue="1" operator="equal">
      <formula>"Pass"</formula>
    </cfRule>
  </conditionalFormatting>
  <conditionalFormatting sqref="M244">
    <cfRule type="cellIs" dxfId="125" priority="13" stopIfTrue="1" operator="equal">
      <formula>"Fail"</formula>
    </cfRule>
    <cfRule type="cellIs" dxfId="124" priority="14" stopIfTrue="1" operator="equal">
      <formula>"Pass"</formula>
    </cfRule>
  </conditionalFormatting>
  <conditionalFormatting sqref="I196">
    <cfRule type="cellIs" dxfId="123" priority="93" stopIfTrue="1" operator="equal">
      <formula>"Fail"</formula>
    </cfRule>
    <cfRule type="cellIs" dxfId="122" priority="94" stopIfTrue="1" operator="equal">
      <formula>"Pass"</formula>
    </cfRule>
  </conditionalFormatting>
  <conditionalFormatting sqref="J196">
    <cfRule type="cellIs" dxfId="121" priority="91" stopIfTrue="1" operator="equal">
      <formula>"Fail"</formula>
    </cfRule>
    <cfRule type="cellIs" dxfId="120" priority="92" stopIfTrue="1" operator="equal">
      <formula>"Pass"</formula>
    </cfRule>
  </conditionalFormatting>
  <conditionalFormatting sqref="K196">
    <cfRule type="cellIs" dxfId="119" priority="89" stopIfTrue="1" operator="equal">
      <formula>"Fail"</formula>
    </cfRule>
    <cfRule type="cellIs" dxfId="118" priority="90" stopIfTrue="1" operator="equal">
      <formula>"Pass"</formula>
    </cfRule>
  </conditionalFormatting>
  <conditionalFormatting sqref="L196">
    <cfRule type="cellIs" dxfId="117" priority="87" stopIfTrue="1" operator="equal">
      <formula>"Fail"</formula>
    </cfRule>
    <cfRule type="cellIs" dxfId="116" priority="88" stopIfTrue="1" operator="equal">
      <formula>"Pass"</formula>
    </cfRule>
  </conditionalFormatting>
  <conditionalFormatting sqref="M204">
    <cfRule type="cellIs" dxfId="115" priority="73" stopIfTrue="1" operator="equal">
      <formula>"Fail"</formula>
    </cfRule>
    <cfRule type="cellIs" dxfId="114" priority="74" stopIfTrue="1" operator="equal">
      <formula>"Pass"</formula>
    </cfRule>
  </conditionalFormatting>
  <conditionalFormatting sqref="I201:M201">
    <cfRule type="cellIs" dxfId="113" priority="83" stopIfTrue="1" operator="equal">
      <formula>"Fail"</formula>
    </cfRule>
    <cfRule type="cellIs" dxfId="112" priority="84" stopIfTrue="1" operator="equal">
      <formula>"Pass"</formula>
    </cfRule>
  </conditionalFormatting>
  <conditionalFormatting sqref="I204">
    <cfRule type="cellIs" dxfId="111" priority="81" stopIfTrue="1" operator="equal">
      <formula>"Fail"</formula>
    </cfRule>
    <cfRule type="cellIs" dxfId="110" priority="82" stopIfTrue="1" operator="equal">
      <formula>"Pass"</formula>
    </cfRule>
  </conditionalFormatting>
  <conditionalFormatting sqref="J204">
    <cfRule type="cellIs" dxfId="109" priority="79" stopIfTrue="1" operator="equal">
      <formula>"Fail"</formula>
    </cfRule>
    <cfRule type="cellIs" dxfId="108" priority="80" stopIfTrue="1" operator="equal">
      <formula>"Pass"</formula>
    </cfRule>
  </conditionalFormatting>
  <conditionalFormatting sqref="K204">
    <cfRule type="cellIs" dxfId="107" priority="77" stopIfTrue="1" operator="equal">
      <formula>"Fail"</formula>
    </cfRule>
    <cfRule type="cellIs" dxfId="106" priority="78" stopIfTrue="1" operator="equal">
      <formula>"Pass"</formula>
    </cfRule>
  </conditionalFormatting>
  <conditionalFormatting sqref="L204">
    <cfRule type="cellIs" dxfId="105" priority="75" stopIfTrue="1" operator="equal">
      <formula>"Fail"</formula>
    </cfRule>
    <cfRule type="cellIs" dxfId="104" priority="76" stopIfTrue="1" operator="equal">
      <formula>"Pass"</formula>
    </cfRule>
  </conditionalFormatting>
  <conditionalFormatting sqref="M212">
    <cfRule type="cellIs" dxfId="103" priority="61" stopIfTrue="1" operator="equal">
      <formula>"Fail"</formula>
    </cfRule>
    <cfRule type="cellIs" dxfId="102" priority="62" stopIfTrue="1" operator="equal">
      <formula>"Pass"</formula>
    </cfRule>
  </conditionalFormatting>
  <conditionalFormatting sqref="I209:M209">
    <cfRule type="cellIs" dxfId="101" priority="71" stopIfTrue="1" operator="equal">
      <formula>"Fail"</formula>
    </cfRule>
    <cfRule type="cellIs" dxfId="100" priority="72" stopIfTrue="1" operator="equal">
      <formula>"Pass"</formula>
    </cfRule>
  </conditionalFormatting>
  <conditionalFormatting sqref="I212">
    <cfRule type="cellIs" dxfId="99" priority="69" stopIfTrue="1" operator="equal">
      <formula>"Fail"</formula>
    </cfRule>
    <cfRule type="cellIs" dxfId="98" priority="70" stopIfTrue="1" operator="equal">
      <formula>"Pass"</formula>
    </cfRule>
  </conditionalFormatting>
  <conditionalFormatting sqref="J212">
    <cfRule type="cellIs" dxfId="97" priority="67" stopIfTrue="1" operator="equal">
      <formula>"Fail"</formula>
    </cfRule>
    <cfRule type="cellIs" dxfId="96" priority="68" stopIfTrue="1" operator="equal">
      <formula>"Pass"</formula>
    </cfRule>
  </conditionalFormatting>
  <conditionalFormatting sqref="K212">
    <cfRule type="cellIs" dxfId="95" priority="65" stopIfTrue="1" operator="equal">
      <formula>"Fail"</formula>
    </cfRule>
    <cfRule type="cellIs" dxfId="94" priority="66" stopIfTrue="1" operator="equal">
      <formula>"Pass"</formula>
    </cfRule>
  </conditionalFormatting>
  <conditionalFormatting sqref="L212">
    <cfRule type="cellIs" dxfId="93" priority="63" stopIfTrue="1" operator="equal">
      <formula>"Fail"</formula>
    </cfRule>
    <cfRule type="cellIs" dxfId="92" priority="64" stopIfTrue="1" operator="equal">
      <formula>"Pass"</formula>
    </cfRule>
  </conditionalFormatting>
  <conditionalFormatting sqref="M220">
    <cfRule type="cellIs" dxfId="91" priority="49" stopIfTrue="1" operator="equal">
      <formula>"Fail"</formula>
    </cfRule>
    <cfRule type="cellIs" dxfId="90" priority="50" stopIfTrue="1" operator="equal">
      <formula>"Pass"</formula>
    </cfRule>
  </conditionalFormatting>
  <conditionalFormatting sqref="I217:M217">
    <cfRule type="cellIs" dxfId="89" priority="59" stopIfTrue="1" operator="equal">
      <formula>"Fail"</formula>
    </cfRule>
    <cfRule type="cellIs" dxfId="88" priority="60" stopIfTrue="1" operator="equal">
      <formula>"Pass"</formula>
    </cfRule>
  </conditionalFormatting>
  <conditionalFormatting sqref="I220">
    <cfRule type="cellIs" dxfId="87" priority="57" stopIfTrue="1" operator="equal">
      <formula>"Fail"</formula>
    </cfRule>
    <cfRule type="cellIs" dxfId="86" priority="58" stopIfTrue="1" operator="equal">
      <formula>"Pass"</formula>
    </cfRule>
  </conditionalFormatting>
  <conditionalFormatting sqref="J220">
    <cfRule type="cellIs" dxfId="85" priority="55" stopIfTrue="1" operator="equal">
      <formula>"Fail"</formula>
    </cfRule>
    <cfRule type="cellIs" dxfId="84" priority="56" stopIfTrue="1" operator="equal">
      <formula>"Pass"</formula>
    </cfRule>
  </conditionalFormatting>
  <conditionalFormatting sqref="K220">
    <cfRule type="cellIs" dxfId="83" priority="53" stopIfTrue="1" operator="equal">
      <formula>"Fail"</formula>
    </cfRule>
    <cfRule type="cellIs" dxfId="82" priority="54" stopIfTrue="1" operator="equal">
      <formula>"Pass"</formula>
    </cfRule>
  </conditionalFormatting>
  <conditionalFormatting sqref="L220">
    <cfRule type="cellIs" dxfId="81" priority="51" stopIfTrue="1" operator="equal">
      <formula>"Fail"</formula>
    </cfRule>
    <cfRule type="cellIs" dxfId="80" priority="52" stopIfTrue="1" operator="equal">
      <formula>"Pass"</formula>
    </cfRule>
  </conditionalFormatting>
  <conditionalFormatting sqref="M228">
    <cfRule type="cellIs" dxfId="79" priority="37" stopIfTrue="1" operator="equal">
      <formula>"Fail"</formula>
    </cfRule>
    <cfRule type="cellIs" dxfId="78" priority="38" stopIfTrue="1" operator="equal">
      <formula>"Pass"</formula>
    </cfRule>
  </conditionalFormatting>
  <conditionalFormatting sqref="I225:M225">
    <cfRule type="cellIs" dxfId="77" priority="47" stopIfTrue="1" operator="equal">
      <formula>"Fail"</formula>
    </cfRule>
    <cfRule type="cellIs" dxfId="76" priority="48" stopIfTrue="1" operator="equal">
      <formula>"Pass"</formula>
    </cfRule>
  </conditionalFormatting>
  <conditionalFormatting sqref="I228">
    <cfRule type="cellIs" dxfId="75" priority="45" stopIfTrue="1" operator="equal">
      <formula>"Fail"</formula>
    </cfRule>
    <cfRule type="cellIs" dxfId="74" priority="46" stopIfTrue="1" operator="equal">
      <formula>"Pass"</formula>
    </cfRule>
  </conditionalFormatting>
  <conditionalFormatting sqref="J228">
    <cfRule type="cellIs" dxfId="73" priority="43" stopIfTrue="1" operator="equal">
      <formula>"Fail"</formula>
    </cfRule>
    <cfRule type="cellIs" dxfId="72" priority="44" stopIfTrue="1" operator="equal">
      <formula>"Pass"</formula>
    </cfRule>
  </conditionalFormatting>
  <conditionalFormatting sqref="K228">
    <cfRule type="cellIs" dxfId="71" priority="41" stopIfTrue="1" operator="equal">
      <formula>"Fail"</formula>
    </cfRule>
    <cfRule type="cellIs" dxfId="70" priority="42" stopIfTrue="1" operator="equal">
      <formula>"Pass"</formula>
    </cfRule>
  </conditionalFormatting>
  <conditionalFormatting sqref="L228">
    <cfRule type="cellIs" dxfId="69" priority="39" stopIfTrue="1" operator="equal">
      <formula>"Fail"</formula>
    </cfRule>
    <cfRule type="cellIs" dxfId="68" priority="40" stopIfTrue="1" operator="equal">
      <formula>"Pass"</formula>
    </cfRule>
  </conditionalFormatting>
  <conditionalFormatting sqref="M236">
    <cfRule type="cellIs" dxfId="67" priority="25" stopIfTrue="1" operator="equal">
      <formula>"Fail"</formula>
    </cfRule>
    <cfRule type="cellIs" dxfId="66" priority="26" stopIfTrue="1" operator="equal">
      <formula>"Pass"</formula>
    </cfRule>
  </conditionalFormatting>
  <conditionalFormatting sqref="I233:M233">
    <cfRule type="cellIs" dxfId="65" priority="35" stopIfTrue="1" operator="equal">
      <formula>"Fail"</formula>
    </cfRule>
    <cfRule type="cellIs" dxfId="64" priority="36" stopIfTrue="1" operator="equal">
      <formula>"Pass"</formula>
    </cfRule>
  </conditionalFormatting>
  <conditionalFormatting sqref="I236">
    <cfRule type="cellIs" dxfId="63" priority="33" stopIfTrue="1" operator="equal">
      <formula>"Fail"</formula>
    </cfRule>
    <cfRule type="cellIs" dxfId="62" priority="34" stopIfTrue="1" operator="equal">
      <formula>"Pass"</formula>
    </cfRule>
  </conditionalFormatting>
  <conditionalFormatting sqref="J236">
    <cfRule type="cellIs" dxfId="61" priority="31" stopIfTrue="1" operator="equal">
      <formula>"Fail"</formula>
    </cfRule>
    <cfRule type="cellIs" dxfId="60" priority="32" stopIfTrue="1" operator="equal">
      <formula>"Pass"</formula>
    </cfRule>
  </conditionalFormatting>
  <conditionalFormatting sqref="K236">
    <cfRule type="cellIs" dxfId="59" priority="29" stopIfTrue="1" operator="equal">
      <formula>"Fail"</formula>
    </cfRule>
    <cfRule type="cellIs" dxfId="58" priority="30" stopIfTrue="1" operator="equal">
      <formula>"Pass"</formula>
    </cfRule>
  </conditionalFormatting>
  <conditionalFormatting sqref="L236">
    <cfRule type="cellIs" dxfId="57" priority="27" stopIfTrue="1" operator="equal">
      <formula>"Fail"</formula>
    </cfRule>
    <cfRule type="cellIs" dxfId="56" priority="28" stopIfTrue="1" operator="equal">
      <formula>"Pass"</formula>
    </cfRule>
  </conditionalFormatting>
  <conditionalFormatting sqref="I241:M241">
    <cfRule type="cellIs" dxfId="55" priority="23" stopIfTrue="1" operator="equal">
      <formula>"Fail"</formula>
    </cfRule>
    <cfRule type="cellIs" dxfId="54" priority="24" stopIfTrue="1" operator="equal">
      <formula>"Pass"</formula>
    </cfRule>
  </conditionalFormatting>
  <conditionalFormatting sqref="I244">
    <cfRule type="cellIs" dxfId="53" priority="21" stopIfTrue="1" operator="equal">
      <formula>"Fail"</formula>
    </cfRule>
    <cfRule type="cellIs" dxfId="52" priority="22" stopIfTrue="1" operator="equal">
      <formula>"Pass"</formula>
    </cfRule>
  </conditionalFormatting>
  <conditionalFormatting sqref="J244">
    <cfRule type="cellIs" dxfId="51" priority="19" stopIfTrue="1" operator="equal">
      <formula>"Fail"</formula>
    </cfRule>
    <cfRule type="cellIs" dxfId="50" priority="20" stopIfTrue="1" operator="equal">
      <formula>"Pass"</formula>
    </cfRule>
  </conditionalFormatting>
  <conditionalFormatting sqref="K244">
    <cfRule type="cellIs" dxfId="49" priority="17" stopIfTrue="1" operator="equal">
      <formula>"Fail"</formula>
    </cfRule>
    <cfRule type="cellIs" dxfId="48" priority="18" stopIfTrue="1" operator="equal">
      <formula>"Pass"</formula>
    </cfRule>
  </conditionalFormatting>
  <conditionalFormatting sqref="L244">
    <cfRule type="cellIs" dxfId="47" priority="15" stopIfTrue="1" operator="equal">
      <formula>"Fail"</formula>
    </cfRule>
    <cfRule type="cellIs" dxfId="46" priority="16" stopIfTrue="1" operator="equal">
      <formula>"Pass"</formula>
    </cfRule>
  </conditionalFormatting>
  <conditionalFormatting sqref="I252">
    <cfRule type="cellIs" dxfId="45" priority="9" stopIfTrue="1" operator="equal">
      <formula>"Fail"</formula>
    </cfRule>
    <cfRule type="cellIs" dxfId="44" priority="10" stopIfTrue="1" operator="equal">
      <formula>"Pass"</formula>
    </cfRule>
  </conditionalFormatting>
  <conditionalFormatting sqref="J252">
    <cfRule type="cellIs" dxfId="43" priority="7" stopIfTrue="1" operator="equal">
      <formula>"Fail"</formula>
    </cfRule>
    <cfRule type="cellIs" dxfId="42" priority="8" stopIfTrue="1" operator="equal">
      <formula>"Pass"</formula>
    </cfRule>
  </conditionalFormatting>
  <conditionalFormatting sqref="K252">
    <cfRule type="cellIs" dxfId="41" priority="5" stopIfTrue="1" operator="equal">
      <formula>"Fail"</formula>
    </cfRule>
    <cfRule type="cellIs" dxfId="40" priority="6" stopIfTrue="1" operator="equal">
      <formula>"Pass"</formula>
    </cfRule>
  </conditionalFormatting>
  <conditionalFormatting sqref="L252">
    <cfRule type="cellIs" dxfId="39" priority="3" stopIfTrue="1" operator="equal">
      <formula>"Fail"</formula>
    </cfRule>
    <cfRule type="cellIs" dxfId="38" priority="4" stopIfTrue="1" operator="equal">
      <formula>"Pass"</formula>
    </cfRule>
  </conditionalFormatting>
  <dataValidations disablePrompts="1" count="1">
    <dataValidation type="list" showInputMessage="1" showErrorMessage="1" sqref="D152:M153">
      <formula1>YesNo</formula1>
    </dataValidation>
  </dataValidations>
  <printOptions headings="1"/>
  <pageMargins left="0.70866141732283472" right="0.70866141732283472" top="0.74803149606299213" bottom="0.74803149606299213" header="0.31496062992125984" footer="0.31496062992125984"/>
  <pageSetup paperSize="9" scale="50" pageOrder="overThenDown" orientation="landscape" r:id="rId1"/>
  <headerFooter>
    <oddHeader>&amp;L&amp;"Arial,Bold"&amp;14Basel Committee on Banking Supervision
Basel III monitoring template&amp;C&amp;14&amp;F
&amp;A&amp;R&amp;"Arial,Bold"&amp;14Confidential when completed</oddHeader>
    <oddFooter>&amp;L&amp;14&amp;D  &amp;T&amp;R&amp;14Page &amp;P of &amp;N</oddFooter>
  </headerFooter>
  <rowBreaks count="5" manualBreakCount="5">
    <brk id="25" max="14" man="1"/>
    <brk id="88" max="14" man="1"/>
    <brk id="149" max="14" man="1"/>
    <brk id="205" max="13" man="1"/>
    <brk id="254" max="13" man="1"/>
  </rowBreaks>
  <ignoredErrors>
    <ignoredError sqref="D33:M275" emptyCellReferenc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theme="5" tint="0.39997558519241921"/>
  </sheetPr>
  <dimension ref="A1:N187"/>
  <sheetViews>
    <sheetView zoomScale="70" zoomScaleNormal="70" workbookViewId="0"/>
  </sheetViews>
  <sheetFormatPr defaultColWidth="11.42578125" defaultRowHeight="15" customHeight="1" x14ac:dyDescent="0.2"/>
  <cols>
    <col min="1" max="1" width="1.7109375" style="8" customWidth="1"/>
    <col min="2" max="2" width="14.7109375" style="8" customWidth="1"/>
    <col min="3" max="3" width="107.42578125" style="48" customWidth="1"/>
    <col min="4" max="13" width="12.7109375" style="8" customWidth="1"/>
    <col min="14" max="14" width="1.7109375" style="8" customWidth="1"/>
    <col min="15" max="16384" width="11.42578125" style="8"/>
  </cols>
  <sheetData>
    <row r="1" spans="1:14" s="37" customFormat="1" ht="30" customHeight="1" x14ac:dyDescent="0.4">
      <c r="A1" s="34" t="s">
        <v>253</v>
      </c>
      <c r="B1" s="35"/>
      <c r="C1" s="44"/>
      <c r="D1" s="35"/>
      <c r="E1" s="35"/>
      <c r="F1" s="35"/>
      <c r="G1" s="35"/>
      <c r="H1" s="35"/>
      <c r="I1" s="35"/>
      <c r="J1" s="35"/>
      <c r="K1" s="35"/>
      <c r="L1" s="35"/>
      <c r="M1" s="35"/>
      <c r="N1" s="36"/>
    </row>
    <row r="2" spans="1:14" s="15" customFormat="1" ht="30" customHeight="1" x14ac:dyDescent="0.25">
      <c r="A2" s="1478" t="s">
        <v>228</v>
      </c>
      <c r="B2" s="25"/>
      <c r="C2" s="45"/>
      <c r="D2" s="25"/>
      <c r="E2" s="25"/>
      <c r="F2" s="25"/>
      <c r="G2" s="25"/>
      <c r="H2" s="25"/>
      <c r="I2" s="25"/>
      <c r="J2" s="25"/>
      <c r="K2" s="25"/>
      <c r="L2" s="25"/>
      <c r="M2" s="25"/>
      <c r="N2" s="32"/>
    </row>
    <row r="3" spans="1:14" ht="15" customHeight="1" x14ac:dyDescent="0.2">
      <c r="A3" s="31"/>
      <c r="B3" s="26"/>
      <c r="C3" s="46"/>
      <c r="D3" s="26"/>
      <c r="E3" s="26"/>
      <c r="F3" s="26"/>
      <c r="G3" s="26"/>
      <c r="H3" s="26"/>
      <c r="I3" s="26"/>
      <c r="J3" s="26"/>
      <c r="K3" s="26"/>
      <c r="L3" s="26"/>
      <c r="M3" s="26"/>
      <c r="N3" s="28"/>
    </row>
    <row r="4" spans="1:14" ht="15" customHeight="1" x14ac:dyDescent="0.2">
      <c r="A4" s="31"/>
      <c r="B4" s="1021" t="s">
        <v>78</v>
      </c>
      <c r="C4" s="444" t="s">
        <v>79</v>
      </c>
      <c r="D4" s="1562" t="str">
        <f>CONCATENATE("Column ", LEFT(ADDRESS(ROW('General Info'!C69),COLUMN('General Info'!C69),4), 1))</f>
        <v>Column C</v>
      </c>
      <c r="E4" s="204"/>
      <c r="G4" s="26"/>
      <c r="H4" s="26"/>
      <c r="I4" s="26"/>
      <c r="J4" s="26"/>
      <c r="K4" s="26"/>
      <c r="L4" s="26"/>
      <c r="M4" s="26"/>
      <c r="N4" s="28"/>
    </row>
    <row r="5" spans="1:14" ht="15" customHeight="1" x14ac:dyDescent="0.2">
      <c r="A5" s="31"/>
      <c r="B5" s="524" t="s">
        <v>498</v>
      </c>
      <c r="C5" s="1017" t="str">
        <f>'General Info'!B69</f>
        <v>Check: Tier 1 adjustments should be ≤ additional Tier 1 prior to adjustments</v>
      </c>
      <c r="D5" s="1291" t="str">
        <f>'General Info'!C69</f>
        <v>Yes</v>
      </c>
      <c r="E5" s="204"/>
      <c r="G5" s="26"/>
      <c r="H5" s="26"/>
      <c r="I5" s="26"/>
      <c r="J5" s="26"/>
      <c r="K5" s="26"/>
      <c r="L5" s="26"/>
      <c r="M5" s="26"/>
      <c r="N5" s="28"/>
    </row>
    <row r="6" spans="1:14" ht="15" customHeight="1" x14ac:dyDescent="0.2">
      <c r="A6" s="31"/>
      <c r="B6" s="1019" t="s">
        <v>498</v>
      </c>
      <c r="C6" s="1020" t="str">
        <f>'General Info'!B74</f>
        <v>Check: Tier 2 adjustments should be ≤ additional Tier 2 prior to adjustments</v>
      </c>
      <c r="D6" s="1185" t="str">
        <f>'General Info'!C74</f>
        <v>Yes</v>
      </c>
      <c r="E6" s="204"/>
      <c r="G6" s="26"/>
      <c r="H6" s="26"/>
      <c r="I6" s="26"/>
      <c r="J6" s="26"/>
      <c r="K6" s="26"/>
      <c r="L6" s="26"/>
      <c r="M6" s="26"/>
      <c r="N6" s="28"/>
    </row>
    <row r="7" spans="1:14" ht="15" customHeight="1" x14ac:dyDescent="0.2">
      <c r="A7" s="31"/>
      <c r="B7" s="26"/>
      <c r="C7" s="46"/>
      <c r="D7" s="26"/>
      <c r="E7" s="26"/>
      <c r="F7" s="26"/>
      <c r="G7" s="26"/>
      <c r="H7" s="26"/>
      <c r="I7" s="26"/>
      <c r="J7" s="26"/>
      <c r="K7" s="26"/>
      <c r="L7" s="26"/>
      <c r="M7" s="26"/>
      <c r="N7" s="28"/>
    </row>
    <row r="8" spans="1:14" s="15" customFormat="1" ht="30" customHeight="1" x14ac:dyDescent="0.25">
      <c r="A8" s="1478" t="s">
        <v>1499</v>
      </c>
      <c r="B8" s="203"/>
      <c r="C8" s="45"/>
      <c r="D8" s="203"/>
      <c r="E8" s="203"/>
      <c r="F8" s="203"/>
      <c r="G8" s="203"/>
      <c r="H8" s="203"/>
      <c r="I8" s="203"/>
      <c r="J8" s="203"/>
      <c r="K8" s="203"/>
      <c r="L8" s="203"/>
      <c r="M8" s="203"/>
      <c r="N8" s="32"/>
    </row>
    <row r="9" spans="1:14" s="1293" customFormat="1" ht="15" customHeight="1" x14ac:dyDescent="0.2">
      <c r="A9" s="211"/>
      <c r="B9" s="204"/>
      <c r="C9" s="46"/>
      <c r="D9" s="204"/>
      <c r="E9" s="204"/>
      <c r="F9" s="204"/>
      <c r="G9" s="204"/>
      <c r="H9" s="204"/>
      <c r="I9" s="204"/>
      <c r="J9" s="204"/>
      <c r="K9" s="204"/>
      <c r="L9" s="204"/>
      <c r="M9" s="204"/>
      <c r="N9" s="1171"/>
    </row>
    <row r="10" spans="1:14" s="1293" customFormat="1" ht="15" customHeight="1" x14ac:dyDescent="0.2">
      <c r="A10" s="211"/>
      <c r="B10" s="1563" t="s">
        <v>78</v>
      </c>
      <c r="C10" s="444" t="s">
        <v>79</v>
      </c>
      <c r="D10" s="1022" t="str">
        <f>CONCATENATE("Column ", LEFT(ADDRESS(ROW('General Info'!C87),COLUMN('General Info'!C87),4), 1))</f>
        <v>Column C</v>
      </c>
      <c r="E10" s="1562" t="str">
        <f>CONCATENATE("Column ", LEFT(ADDRESS(ROW('General Info'!D87),COLUMN('General Info'!D87),4), 1))</f>
        <v>Column D</v>
      </c>
      <c r="F10" s="1593" t="str">
        <f>CONCATENATE("Column ", LEFT(ADDRESS(ROW('General Info'!E87),COLUMN('General Info'!E87),4), 1))</f>
        <v>Column E</v>
      </c>
      <c r="G10" s="1593" t="str">
        <f>CONCATENATE("Column ", LEFT(ADDRESS(ROW('General Info'!F87),COLUMN('General Info'!F87),4), 1))</f>
        <v>Column F</v>
      </c>
      <c r="H10" s="1593" t="str">
        <f>CONCATENATE("Column ", LEFT(ADDRESS(ROW('General Info'!G87),COLUMN('General Info'!G87),4), 1))</f>
        <v>Column G</v>
      </c>
      <c r="I10" s="204"/>
      <c r="J10" s="204"/>
      <c r="K10" s="204"/>
      <c r="L10" s="204"/>
      <c r="M10" s="204"/>
      <c r="N10" s="1171"/>
    </row>
    <row r="11" spans="1:14" s="1293" customFormat="1" ht="15" customHeight="1" x14ac:dyDescent="0.2">
      <c r="A11" s="211"/>
      <c r="B11" s="1181" t="s">
        <v>1500</v>
      </c>
      <c r="C11" s="1017" t="str">
        <f>Requirements!B58</f>
        <v>Check: sum from rated and unrated exposures should not be higher than total</v>
      </c>
      <c r="D11" s="1586"/>
      <c r="E11" s="1564" t="str">
        <f>Requirements!D58</f>
        <v>Yes</v>
      </c>
      <c r="F11" s="1589"/>
      <c r="G11" s="1589"/>
      <c r="H11" s="1564" t="str">
        <f>Requirements!G58</f>
        <v>Yes</v>
      </c>
      <c r="I11" s="204"/>
      <c r="J11" s="204"/>
      <c r="K11" s="204"/>
      <c r="L11" s="204"/>
      <c r="M11" s="204"/>
      <c r="N11" s="1171"/>
    </row>
    <row r="12" spans="1:14" s="1293" customFormat="1" ht="15" customHeight="1" x14ac:dyDescent="0.2">
      <c r="A12" s="211"/>
      <c r="B12" s="1176" t="s">
        <v>1500</v>
      </c>
      <c r="C12" s="1018" t="str">
        <f>Requirements!B65</f>
        <v>Check: positive VaR at reporting date requires positive Basel 2.5 VaR</v>
      </c>
      <c r="D12" s="1587"/>
      <c r="E12" s="1581" t="str">
        <f>Requirements!D65</f>
        <v>Yes</v>
      </c>
      <c r="F12" s="1590"/>
      <c r="G12" s="1590"/>
      <c r="H12" s="1590"/>
      <c r="I12" s="204"/>
      <c r="J12" s="204"/>
      <c r="K12" s="204"/>
      <c r="L12" s="204"/>
      <c r="M12" s="204"/>
      <c r="N12" s="1171"/>
    </row>
    <row r="13" spans="1:14" s="1293" customFormat="1" ht="15" customHeight="1" x14ac:dyDescent="0.2">
      <c r="A13" s="211"/>
      <c r="B13" s="1176" t="s">
        <v>1500</v>
      </c>
      <c r="C13" s="1018" t="str">
        <f>Requirements!B66</f>
        <v>Check: positive VaR capital charge requires VaR which is positive but smaller than the capital charge</v>
      </c>
      <c r="D13" s="1583" t="str">
        <f>Requirements!C66</f>
        <v>Yes</v>
      </c>
      <c r="E13" s="1581" t="str">
        <f>Requirements!D66</f>
        <v>Yes</v>
      </c>
      <c r="F13" s="1590"/>
      <c r="G13" s="1590"/>
      <c r="H13" s="1590"/>
      <c r="I13" s="204"/>
      <c r="J13" s="204"/>
      <c r="K13" s="204"/>
      <c r="L13" s="204"/>
      <c r="M13" s="204"/>
      <c r="N13" s="1171"/>
    </row>
    <row r="14" spans="1:14" s="1293" customFormat="1" ht="15" customHeight="1" x14ac:dyDescent="0.2">
      <c r="A14" s="211"/>
      <c r="B14" s="1176" t="s">
        <v>1500</v>
      </c>
      <c r="C14" s="1018" t="str">
        <f>Requirements!B68</f>
        <v>Check: positive stressed VaR at reporting date requires positive Basel 2.5 stressed VaR</v>
      </c>
      <c r="D14" s="1587"/>
      <c r="E14" s="1581" t="str">
        <f>Requirements!D68</f>
        <v>Yes</v>
      </c>
      <c r="F14" s="1590"/>
      <c r="G14" s="1590"/>
      <c r="H14" s="1590"/>
      <c r="I14" s="204"/>
      <c r="J14" s="204"/>
      <c r="K14" s="204"/>
      <c r="L14" s="204"/>
      <c r="M14" s="204"/>
      <c r="N14" s="1171"/>
    </row>
    <row r="15" spans="1:14" s="1293" customFormat="1" ht="15" customHeight="1" x14ac:dyDescent="0.2">
      <c r="A15" s="211"/>
      <c r="B15" s="1176" t="s">
        <v>1500</v>
      </c>
      <c r="C15" s="1018" t="str">
        <f>Requirements!B69</f>
        <v>Check: positive Basel 2.5 VaR requires positive Basel 2.5 stressed VaR and vice versa</v>
      </c>
      <c r="D15" s="1587"/>
      <c r="E15" s="1581" t="str">
        <f>Requirements!D69</f>
        <v>Yes</v>
      </c>
      <c r="F15" s="1590"/>
      <c r="G15" s="1590"/>
      <c r="H15" s="1590"/>
      <c r="I15" s="204"/>
      <c r="J15" s="204"/>
      <c r="K15" s="204"/>
      <c r="L15" s="204"/>
      <c r="M15" s="204"/>
      <c r="N15" s="1171"/>
    </row>
    <row r="16" spans="1:14" s="1293" customFormat="1" ht="15" customHeight="1" x14ac:dyDescent="0.2">
      <c r="A16" s="211"/>
      <c r="B16" s="1176" t="s">
        <v>1500</v>
      </c>
      <c r="C16" s="1018" t="str">
        <f>Requirements!B75</f>
        <v>Check: sum from rated and unrated exposures should not be higher than total</v>
      </c>
      <c r="D16" s="1587"/>
      <c r="E16" s="1581" t="str">
        <f>Requirements!D75</f>
        <v>Yes</v>
      </c>
      <c r="F16" s="1590"/>
      <c r="G16" s="1590"/>
      <c r="H16" s="1581" t="str">
        <f>Requirements!G75</f>
        <v>Yes</v>
      </c>
      <c r="I16" s="204"/>
      <c r="J16" s="204"/>
      <c r="K16" s="204"/>
      <c r="L16" s="204"/>
      <c r="M16" s="204"/>
      <c r="N16" s="1171"/>
    </row>
    <row r="17" spans="1:14" s="1293" customFormat="1" ht="15" customHeight="1" x14ac:dyDescent="0.2">
      <c r="A17" s="211"/>
      <c r="B17" s="1176" t="s">
        <v>1500</v>
      </c>
      <c r="C17" s="1018" t="str">
        <f>Requirements!B79</f>
        <v>Check: sum from rated and unrated exposures should not be higher than total</v>
      </c>
      <c r="D17" s="1587"/>
      <c r="E17" s="1581" t="str">
        <f>Requirements!D79</f>
        <v>Yes</v>
      </c>
      <c r="F17" s="1590"/>
      <c r="G17" s="1590"/>
      <c r="H17" s="1581" t="str">
        <f>Requirements!G79</f>
        <v>Yes</v>
      </c>
      <c r="I17" s="204"/>
      <c r="J17" s="204"/>
      <c r="K17" s="204"/>
      <c r="L17" s="204"/>
      <c r="M17" s="204"/>
      <c r="N17" s="1171"/>
    </row>
    <row r="18" spans="1:14" s="1293" customFormat="1" ht="15" customHeight="1" x14ac:dyDescent="0.2">
      <c r="A18" s="211"/>
      <c r="B18" s="1176" t="s">
        <v>1500</v>
      </c>
      <c r="C18" s="1018" t="str">
        <f>Requirements!B83</f>
        <v>Check: sum from rated and unrated exposures should not be higher than total</v>
      </c>
      <c r="D18" s="1587"/>
      <c r="E18" s="1581" t="str">
        <f>Requirements!D83</f>
        <v>Yes</v>
      </c>
      <c r="F18" s="1590"/>
      <c r="G18" s="1590"/>
      <c r="H18" s="1581" t="str">
        <f>Requirements!G83</f>
        <v>Yes</v>
      </c>
      <c r="I18" s="204"/>
      <c r="J18" s="204"/>
      <c r="K18" s="204"/>
      <c r="L18" s="204"/>
      <c r="M18" s="204"/>
      <c r="N18" s="1171"/>
    </row>
    <row r="19" spans="1:14" s="1293" customFormat="1" ht="15" customHeight="1" x14ac:dyDescent="0.2">
      <c r="A19" s="211"/>
      <c r="B19" s="970" t="s">
        <v>1501</v>
      </c>
      <c r="C19" s="1018" t="str">
        <f>Requirements!B126</f>
        <v>Check: EAD in row 122 should equal total EAD in row 48</v>
      </c>
      <c r="D19" s="1583" t="str">
        <f>Requirements!C126</f>
        <v>Yes</v>
      </c>
      <c r="E19" s="1590"/>
      <c r="F19" s="1590"/>
      <c r="G19" s="1590"/>
      <c r="H19" s="1590"/>
      <c r="I19" s="204"/>
      <c r="J19" s="204"/>
      <c r="K19" s="204"/>
      <c r="L19" s="204"/>
      <c r="M19" s="204"/>
      <c r="N19" s="1171"/>
    </row>
    <row r="20" spans="1:14" s="1293" customFormat="1" ht="15" customHeight="1" x14ac:dyDescent="0.2">
      <c r="A20" s="211"/>
      <c r="B20" s="970" t="s">
        <v>1501</v>
      </c>
      <c r="C20" s="1018" t="str">
        <f>Requirements!B127</f>
        <v>Check: EAD in rows 123 to 125 should add up to EAD in row 122</v>
      </c>
      <c r="D20" s="1583" t="str">
        <f>Requirements!C127</f>
        <v>Yes</v>
      </c>
      <c r="E20" s="1590"/>
      <c r="F20" s="1590"/>
      <c r="G20" s="1590"/>
      <c r="H20" s="1590"/>
      <c r="I20" s="204"/>
      <c r="J20" s="204"/>
      <c r="K20" s="204"/>
      <c r="L20" s="204"/>
      <c r="M20" s="204"/>
      <c r="N20" s="1171"/>
    </row>
    <row r="21" spans="1:14" s="1293" customFormat="1" ht="15" customHeight="1" x14ac:dyDescent="0.2">
      <c r="A21" s="211"/>
      <c r="B21" s="970" t="s">
        <v>1501</v>
      </c>
      <c r="C21" s="1018" t="str">
        <f>Requirements!B143</f>
        <v>Check: total EAD in row 142 should equal total EAD in row 128</v>
      </c>
      <c r="D21" s="1583" t="str">
        <f>Requirements!C143</f>
        <v>Yes</v>
      </c>
      <c r="E21" s="1590"/>
      <c r="F21" s="1590"/>
      <c r="G21" s="1590"/>
      <c r="H21" s="1590"/>
      <c r="I21" s="204"/>
      <c r="J21" s="204"/>
      <c r="K21" s="204"/>
      <c r="L21" s="204"/>
      <c r="M21" s="204"/>
      <c r="N21" s="1171"/>
    </row>
    <row r="22" spans="1:14" s="1293" customFormat="1" ht="15" customHeight="1" x14ac:dyDescent="0.2">
      <c r="A22" s="211"/>
      <c r="B22" s="1019" t="s">
        <v>1502</v>
      </c>
      <c r="C22" s="1020" t="str">
        <f>Requirements!B169</f>
        <v>Check: total RWA for QCCPs should equal total RWA in row 38</v>
      </c>
      <c r="D22" s="1588"/>
      <c r="E22" s="1585" t="str">
        <f>Requirements!D169</f>
        <v>Yes</v>
      </c>
      <c r="F22" s="1594"/>
      <c r="G22" s="1594"/>
      <c r="H22" s="1594"/>
      <c r="I22" s="204"/>
      <c r="J22" s="204"/>
      <c r="K22" s="204"/>
      <c r="L22" s="204"/>
      <c r="M22" s="204"/>
      <c r="N22" s="1171"/>
    </row>
    <row r="23" spans="1:14" s="1293" customFormat="1" ht="15" customHeight="1" x14ac:dyDescent="0.2">
      <c r="A23" s="211"/>
      <c r="B23" s="204"/>
      <c r="C23" s="46"/>
      <c r="D23" s="204"/>
      <c r="E23" s="204"/>
      <c r="F23" s="204"/>
      <c r="G23" s="204"/>
      <c r="H23" s="204"/>
      <c r="I23" s="204"/>
      <c r="J23" s="204"/>
      <c r="K23" s="204"/>
      <c r="L23" s="204"/>
      <c r="M23" s="204"/>
      <c r="N23" s="1171"/>
    </row>
    <row r="24" spans="1:14" s="15" customFormat="1" ht="30" customHeight="1" x14ac:dyDescent="0.25">
      <c r="A24" s="1478" t="s">
        <v>1503</v>
      </c>
      <c r="B24" s="25"/>
      <c r="C24" s="45"/>
      <c r="D24" s="25"/>
      <c r="E24" s="25"/>
      <c r="F24" s="25"/>
      <c r="G24" s="25"/>
      <c r="H24" s="25"/>
      <c r="I24" s="25"/>
      <c r="J24" s="25"/>
      <c r="K24" s="25"/>
      <c r="L24" s="25"/>
      <c r="M24" s="25"/>
      <c r="N24" s="32"/>
    </row>
    <row r="25" spans="1:14" ht="15" customHeight="1" x14ac:dyDescent="0.2">
      <c r="A25" s="31"/>
      <c r="B25" s="26"/>
      <c r="C25" s="46"/>
      <c r="D25" s="26"/>
      <c r="E25" s="26"/>
      <c r="F25" s="26"/>
      <c r="G25" s="26"/>
      <c r="H25" s="26"/>
      <c r="I25" s="26"/>
      <c r="J25" s="26"/>
      <c r="K25" s="26"/>
      <c r="L25" s="26"/>
      <c r="M25" s="184"/>
      <c r="N25" s="28"/>
    </row>
    <row r="26" spans="1:14" ht="15" customHeight="1" x14ac:dyDescent="0.2">
      <c r="A26" s="31"/>
      <c r="B26" s="1021" t="s">
        <v>78</v>
      </c>
      <c r="C26" s="444" t="s">
        <v>79</v>
      </c>
      <c r="D26" s="1022" t="str">
        <f>CONCATENATE("Column ", LEFT(ADDRESS(ROW('Leverage Ratio'!D1),COLUMN('Leverage Ratio'!D1),4), 1))</f>
        <v>Column D</v>
      </c>
      <c r="E26" s="1022" t="str">
        <f>CONCATENATE("Column ", LEFT(ADDRESS(ROW('Leverage Ratio'!E1),COLUMN('Leverage Ratio'!E1),4), 1))</f>
        <v>Column E</v>
      </c>
      <c r="F26" s="1022" t="str">
        <f>CONCATENATE("Column ", LEFT(ADDRESS(ROW('Leverage Ratio'!F1),COLUMN('Leverage Ratio'!F1),4), 1))</f>
        <v>Column F</v>
      </c>
      <c r="G26" s="1022" t="str">
        <f>CONCATENATE("Column ", LEFT(ADDRESS(ROW('Leverage Ratio'!G1),COLUMN('Leverage Ratio'!G1),4), 1))</f>
        <v>Column G</v>
      </c>
      <c r="H26" s="1022" t="str">
        <f>CONCATENATE("Column ", LEFT(ADDRESS(ROW('Leverage Ratio'!H1),COLUMN('Leverage Ratio'!H1),4), 1))</f>
        <v>Column H</v>
      </c>
      <c r="I26" s="1022" t="str">
        <f>CONCATENATE("Column ", LEFT(ADDRESS(ROW('Leverage Ratio'!J1),COLUMN('Leverage Ratio'!J1),4), 1))</f>
        <v>Column J</v>
      </c>
      <c r="J26" s="1022" t="str">
        <f>CONCATENATE("Column ", LEFT(ADDRESS(ROW('Leverage Ratio'!K1),COLUMN('Leverage Ratio'!K1),4), 1))</f>
        <v>Column K</v>
      </c>
      <c r="K26" s="1022" t="str">
        <f>CONCATENATE("Column ", LEFT(ADDRESS(ROW('Leverage Ratio'!L1),COLUMN('Leverage Ratio'!L1),4), 1))</f>
        <v>Column L</v>
      </c>
      <c r="L26" s="1022" t="str">
        <f>CONCATENATE("Column ", LEFT(ADDRESS(ROW('Leverage Ratio'!M1),COLUMN('Leverage Ratio'!M1),4), 1))</f>
        <v>Column M</v>
      </c>
      <c r="M26" s="1031" t="str">
        <f>CONCATENATE("Column ", LEFT(ADDRESS(ROW('Leverage Ratio'!N1),COLUMN('Leverage Ratio'!N1),4), 1))</f>
        <v>Column N</v>
      </c>
      <c r="N26" s="28"/>
    </row>
    <row r="27" spans="1:14" ht="15" customHeight="1" x14ac:dyDescent="0.2">
      <c r="A27" s="31"/>
      <c r="B27" s="411" t="s">
        <v>497</v>
      </c>
      <c r="C27" s="1027" t="str">
        <f>CONCATENATE('Leverage Ratio'!$H$7, ": ", 'Leverage Ratio'!C10)</f>
        <v>Check: accounting ≤ gross value:    Credit derivatives (protection sold)</v>
      </c>
      <c r="D27" s="1028"/>
      <c r="E27" s="1028"/>
      <c r="F27" s="1028"/>
      <c r="G27" s="1028"/>
      <c r="H27" s="1029" t="str">
        <f>'Leverage Ratio'!H10</f>
        <v>Yes</v>
      </c>
      <c r="I27" s="1028"/>
      <c r="J27" s="1028"/>
      <c r="K27" s="1028"/>
      <c r="L27" s="1028"/>
      <c r="M27" s="1030" t="str">
        <f>'Leverage Ratio'!N10</f>
        <v>Yes</v>
      </c>
      <c r="N27" s="28"/>
    </row>
    <row r="28" spans="1:14" ht="15" customHeight="1" x14ac:dyDescent="0.2">
      <c r="A28" s="31"/>
      <c r="B28" s="403" t="s">
        <v>497</v>
      </c>
      <c r="C28" s="1018" t="str">
        <f>CONCATENATE('Leverage Ratio'!$H$7, ": ", 'Leverage Ratio'!C11)</f>
        <v>Check: accounting ≤ gross value:    Credit derivatives (protection bought)</v>
      </c>
      <c r="D28" s="844"/>
      <c r="E28" s="844"/>
      <c r="F28" s="844"/>
      <c r="G28" s="844"/>
      <c r="H28" s="532" t="str">
        <f>'Leverage Ratio'!H11</f>
        <v>Yes</v>
      </c>
      <c r="I28" s="844"/>
      <c r="J28" s="844"/>
      <c r="K28" s="844"/>
      <c r="L28" s="844"/>
      <c r="M28" s="1024" t="str">
        <f>'Leverage Ratio'!N11</f>
        <v>Yes</v>
      </c>
      <c r="N28" s="28"/>
    </row>
    <row r="29" spans="1:14" ht="15" customHeight="1" x14ac:dyDescent="0.2">
      <c r="A29" s="31"/>
      <c r="B29" s="403" t="s">
        <v>497</v>
      </c>
      <c r="C29" s="1018" t="str">
        <f>CONCATENATE('Leverage Ratio'!$H$7, ": ", 'Leverage Ratio'!C12)</f>
        <v>Check: accounting ≤ gross value:    Financial derivatives</v>
      </c>
      <c r="D29" s="844"/>
      <c r="E29" s="844"/>
      <c r="F29" s="844"/>
      <c r="G29" s="844"/>
      <c r="H29" s="532" t="str">
        <f>'Leverage Ratio'!H12</f>
        <v>Yes</v>
      </c>
      <c r="I29" s="844"/>
      <c r="J29" s="844"/>
      <c r="K29" s="844"/>
      <c r="L29" s="844"/>
      <c r="M29" s="1024" t="str">
        <f>'Leverage Ratio'!N12</f>
        <v>Yes</v>
      </c>
      <c r="N29" s="28"/>
    </row>
    <row r="30" spans="1:14" s="1039" customFormat="1" ht="15" customHeight="1" x14ac:dyDescent="0.2">
      <c r="A30" s="211"/>
      <c r="B30" s="1176" t="s">
        <v>497</v>
      </c>
      <c r="C30" s="1018" t="str">
        <f>CONCATENATE('Leverage Ratio'!$H$7, ": ", 'Leverage Ratio'!C16)</f>
        <v>Check: accounting ≤ gross value: SFT agent transactions eligible for the exceptional treatment</v>
      </c>
      <c r="D30" s="844"/>
      <c r="E30" s="844"/>
      <c r="F30" s="844"/>
      <c r="G30" s="844"/>
      <c r="H30" s="532" t="str">
        <f>'Leverage Ratio'!H16</f>
        <v>Yes</v>
      </c>
      <c r="I30" s="844"/>
      <c r="J30" s="844"/>
      <c r="K30" s="844"/>
      <c r="L30" s="844"/>
      <c r="M30" s="1024" t="str">
        <f>'Leverage Ratio'!N16</f>
        <v>Yes</v>
      </c>
      <c r="N30" s="1171"/>
    </row>
    <row r="31" spans="1:14" s="1039" customFormat="1" ht="15" customHeight="1" x14ac:dyDescent="0.2">
      <c r="A31" s="211"/>
      <c r="B31" s="1176" t="s">
        <v>497</v>
      </c>
      <c r="C31" s="1018" t="str">
        <f>CONCATENATE('Leverage Ratio'!$H$7, ": ", 'Leverage Ratio'!C17)</f>
        <v>Check: accounting ≤ gross value: Other SFTs</v>
      </c>
      <c r="D31" s="844"/>
      <c r="E31" s="844"/>
      <c r="F31" s="844"/>
      <c r="G31" s="844"/>
      <c r="H31" s="532" t="str">
        <f>'Leverage Ratio'!H17</f>
        <v>Yes</v>
      </c>
      <c r="I31" s="844"/>
      <c r="J31" s="844"/>
      <c r="K31" s="844"/>
      <c r="L31" s="844"/>
      <c r="M31" s="1024" t="str">
        <f>'Leverage Ratio'!N17</f>
        <v>Yes</v>
      </c>
      <c r="N31" s="1171"/>
    </row>
    <row r="32" spans="1:14" ht="15" customHeight="1" x14ac:dyDescent="0.2">
      <c r="A32" s="31"/>
      <c r="B32" s="403" t="s">
        <v>497</v>
      </c>
      <c r="C32" s="1018" t="str">
        <f>CONCATENATE('Leverage Ratio'!$H$7, ": ", 'Leverage Ratio'!C19)</f>
        <v>Check: accounting ≤ gross value: Accounting other assets</v>
      </c>
      <c r="D32" s="844"/>
      <c r="E32" s="844"/>
      <c r="F32" s="844"/>
      <c r="G32" s="844"/>
      <c r="H32" s="532" t="str">
        <f>'Leverage Ratio'!H19</f>
        <v>Yes</v>
      </c>
      <c r="I32" s="844"/>
      <c r="J32" s="844"/>
      <c r="K32" s="844"/>
      <c r="L32" s="844"/>
      <c r="M32" s="1024" t="str">
        <f>'Leverage Ratio'!N19</f>
        <v>Yes</v>
      </c>
      <c r="N32" s="28"/>
    </row>
    <row r="33" spans="1:14" ht="15" customHeight="1" x14ac:dyDescent="0.2">
      <c r="A33" s="31"/>
      <c r="B33" s="403" t="s">
        <v>497</v>
      </c>
      <c r="C33" s="528" t="str">
        <f>'Leverage Ratio'!C31:E31</f>
        <v>Check: sum of other assets of which items ≤ other assets</v>
      </c>
      <c r="D33" s="844"/>
      <c r="E33" s="532" t="str">
        <f>'Leverage Ratio'!E31</f>
        <v>Yes</v>
      </c>
      <c r="F33" s="844"/>
      <c r="G33" s="844"/>
      <c r="H33" s="844"/>
      <c r="I33" s="844"/>
      <c r="J33" s="532" t="str">
        <f>'Leverage Ratio'!K31</f>
        <v>Yes</v>
      </c>
      <c r="K33" s="844"/>
      <c r="L33" s="844"/>
      <c r="M33" s="989"/>
      <c r="N33" s="28"/>
    </row>
    <row r="34" spans="1:14" ht="15" customHeight="1" x14ac:dyDescent="0.2">
      <c r="A34" s="31"/>
      <c r="B34" s="403" t="s">
        <v>498</v>
      </c>
      <c r="C34" s="1018" t="str">
        <f>CONCATENATE('Leverage Ratio'!$G$36, ": ", 'Leverage Ratio'!C40)</f>
        <v>Check: notional ≥ accounting value: Credit derivatives (protection sold)</v>
      </c>
      <c r="D34" s="844"/>
      <c r="E34" s="844"/>
      <c r="F34" s="844"/>
      <c r="G34" s="532" t="str">
        <f>'Leverage Ratio'!G40</f>
        <v>Yes</v>
      </c>
      <c r="H34" s="844"/>
      <c r="I34" s="844"/>
      <c r="J34" s="844"/>
      <c r="K34" s="844"/>
      <c r="L34" s="532" t="str">
        <f>'Leverage Ratio'!M40</f>
        <v>Yes</v>
      </c>
      <c r="M34" s="989"/>
      <c r="N34" s="28"/>
    </row>
    <row r="35" spans="1:14" ht="15" customHeight="1" x14ac:dyDescent="0.2">
      <c r="A35" s="31"/>
      <c r="B35" s="403" t="s">
        <v>498</v>
      </c>
      <c r="C35" s="1018" t="str">
        <f>CONCATENATE('Leverage Ratio'!$G$36, ": ", 'Leverage Ratio'!C41)</f>
        <v>Check: notional ≥ accounting value: Credit derivatives (protection bought)</v>
      </c>
      <c r="D35" s="844"/>
      <c r="E35" s="844"/>
      <c r="F35" s="844"/>
      <c r="G35" s="532" t="str">
        <f>'Leverage Ratio'!G41</f>
        <v>Yes</v>
      </c>
      <c r="H35" s="844"/>
      <c r="I35" s="844"/>
      <c r="J35" s="844"/>
      <c r="K35" s="844"/>
      <c r="L35" s="532" t="str">
        <f>'Leverage Ratio'!M41</f>
        <v>Yes</v>
      </c>
      <c r="M35" s="989"/>
      <c r="N35" s="28"/>
    </row>
    <row r="36" spans="1:14" ht="15" customHeight="1" x14ac:dyDescent="0.2">
      <c r="A36" s="31"/>
      <c r="B36" s="403" t="s">
        <v>498</v>
      </c>
      <c r="C36" s="1018" t="str">
        <f>CONCATENATE('Leverage Ratio'!$G$36, ": ", 'Leverage Ratio'!C42)</f>
        <v>Check: notional ≥ accounting value: Financial derivatives</v>
      </c>
      <c r="D36" s="844"/>
      <c r="E36" s="844"/>
      <c r="F36" s="844"/>
      <c r="G36" s="532" t="str">
        <f>'Leverage Ratio'!G42</f>
        <v>Yes</v>
      </c>
      <c r="H36" s="844"/>
      <c r="I36" s="844"/>
      <c r="J36" s="844"/>
      <c r="K36" s="844"/>
      <c r="L36" s="532" t="str">
        <f>'Leverage Ratio'!M42</f>
        <v>Yes</v>
      </c>
      <c r="M36" s="989"/>
      <c r="N36" s="28"/>
    </row>
    <row r="37" spans="1:14" ht="15" customHeight="1" x14ac:dyDescent="0.2">
      <c r="A37" s="31"/>
      <c r="B37" s="403" t="s">
        <v>498</v>
      </c>
      <c r="C37" s="1018" t="str">
        <f>'Leverage Ratio'!C53</f>
        <v>Check: unconditionally cancellable commitments should not exceed off-balance items with a 0% CCF</v>
      </c>
      <c r="D37" s="844"/>
      <c r="E37" s="844"/>
      <c r="F37" s="532" t="str">
        <f>'Leverage Ratio'!F53</f>
        <v>Yes</v>
      </c>
      <c r="G37" s="844"/>
      <c r="H37" s="844"/>
      <c r="I37" s="844"/>
      <c r="J37" s="844"/>
      <c r="K37" s="532" t="str">
        <f>'Leverage Ratio'!L53</f>
        <v>Yes</v>
      </c>
      <c r="L37" s="844"/>
      <c r="M37" s="989"/>
      <c r="N37" s="28"/>
    </row>
    <row r="38" spans="1:14" ht="15" customHeight="1" x14ac:dyDescent="0.2">
      <c r="A38" s="31"/>
      <c r="B38" s="403" t="s">
        <v>478</v>
      </c>
      <c r="C38" s="1018" t="str">
        <f>'Leverage Ratio'!C75</f>
        <v>Check: total equals total accounting values in panel A</v>
      </c>
      <c r="D38" s="532" t="str">
        <f>'Leverage Ratio'!D75</f>
        <v>Yes</v>
      </c>
      <c r="E38" s="844"/>
      <c r="F38" s="844"/>
      <c r="G38" s="844"/>
      <c r="H38" s="844"/>
      <c r="I38" s="532" t="str">
        <f>'Leverage Ratio'!J75</f>
        <v>Yes</v>
      </c>
      <c r="J38" s="844"/>
      <c r="K38" s="844"/>
      <c r="L38" s="844"/>
      <c r="M38" s="989"/>
      <c r="N38" s="28"/>
    </row>
    <row r="39" spans="1:14" ht="15" customHeight="1" x14ac:dyDescent="0.2">
      <c r="A39" s="31"/>
      <c r="B39" s="403" t="s">
        <v>478</v>
      </c>
      <c r="C39" s="1018" t="str">
        <f>'Leverage Ratio'!C81</f>
        <v>Check: total equals total gross values in panel A</v>
      </c>
      <c r="D39" s="532" t="str">
        <f>'Leverage Ratio'!D81</f>
        <v>Yes</v>
      </c>
      <c r="E39" s="844"/>
      <c r="F39" s="844"/>
      <c r="G39" s="844"/>
      <c r="H39" s="844"/>
      <c r="I39" s="532" t="str">
        <f>'Leverage Ratio'!J81</f>
        <v>Yes</v>
      </c>
      <c r="J39" s="844"/>
      <c r="K39" s="844"/>
      <c r="L39" s="844"/>
      <c r="M39" s="989"/>
      <c r="N39" s="28"/>
    </row>
    <row r="40" spans="1:14" ht="15" customHeight="1" x14ac:dyDescent="0.2">
      <c r="A40" s="31"/>
      <c r="B40" s="403" t="s">
        <v>479</v>
      </c>
      <c r="C40" s="1018" t="str">
        <f>'Leverage Ratio'!C92</f>
        <v>Check: credit derivatives (protection sold) should be the same as or less than that in panel B</v>
      </c>
      <c r="D40" s="532" t="str">
        <f>'Leverage Ratio'!D92</f>
        <v>Yes</v>
      </c>
      <c r="E40" s="844"/>
      <c r="F40" s="844"/>
      <c r="G40" s="844"/>
      <c r="H40" s="844"/>
      <c r="I40" s="532" t="str">
        <f>'Leverage Ratio'!J92</f>
        <v>Yes</v>
      </c>
      <c r="J40" s="844"/>
      <c r="K40" s="844"/>
      <c r="L40" s="844"/>
      <c r="M40" s="989"/>
      <c r="N40" s="28"/>
    </row>
    <row r="41" spans="1:14" ht="15" customHeight="1" x14ac:dyDescent="0.2">
      <c r="A41" s="31"/>
      <c r="B41" s="403" t="s">
        <v>479</v>
      </c>
      <c r="C41" s="1018" t="str">
        <f>'Leverage Ratio'!C93</f>
        <v>Check: credit derivatives (protection bought) should be the same as or less than that in panel B</v>
      </c>
      <c r="D41" s="532" t="str">
        <f>'Leverage Ratio'!D93</f>
        <v>Yes</v>
      </c>
      <c r="E41" s="844"/>
      <c r="F41" s="844"/>
      <c r="G41" s="844"/>
      <c r="H41" s="844"/>
      <c r="I41" s="532" t="str">
        <f>'Leverage Ratio'!J93</f>
        <v>Yes</v>
      </c>
      <c r="J41" s="844"/>
      <c r="K41" s="844"/>
      <c r="L41" s="844"/>
      <c r="M41" s="989"/>
      <c r="N41" s="28"/>
    </row>
    <row r="42" spans="1:14" ht="15" customHeight="1" x14ac:dyDescent="0.2">
      <c r="A42" s="31"/>
      <c r="B42" s="403" t="s">
        <v>479</v>
      </c>
      <c r="C42" s="1018" t="str">
        <f>'Leverage Ratio'!C94</f>
        <v>Check: credit derivatives purchased are consistently filled-in (see reporting instructions for more details)</v>
      </c>
      <c r="D42" s="532" t="str">
        <f>'Leverage Ratio'!D94</f>
        <v>Yes</v>
      </c>
      <c r="E42" s="532" t="str">
        <f>'Leverage Ratio'!E94</f>
        <v>Yes</v>
      </c>
      <c r="F42" s="532" t="str">
        <f>'Leverage Ratio'!F94</f>
        <v>Yes</v>
      </c>
      <c r="G42" s="844"/>
      <c r="H42" s="844"/>
      <c r="I42" s="532" t="str">
        <f>'Leverage Ratio'!J94</f>
        <v>Yes</v>
      </c>
      <c r="J42" s="532" t="str">
        <f>'Leverage Ratio'!K94</f>
        <v>Yes</v>
      </c>
      <c r="K42" s="532" t="str">
        <f>'Leverage Ratio'!L94</f>
        <v>Yes</v>
      </c>
      <c r="L42" s="844"/>
      <c r="M42" s="989"/>
      <c r="N42" s="28"/>
    </row>
    <row r="43" spans="1:14" s="209" customFormat="1" ht="15" customHeight="1" x14ac:dyDescent="0.2">
      <c r="A43" s="211"/>
      <c r="B43" s="403" t="s">
        <v>879</v>
      </c>
      <c r="C43" s="1025" t="s">
        <v>878</v>
      </c>
      <c r="D43" s="844"/>
      <c r="E43" s="532" t="str">
        <f>'Leverage Ratio'!E101</f>
        <v>No</v>
      </c>
      <c r="F43" s="844"/>
      <c r="G43" s="844"/>
      <c r="H43" s="844"/>
      <c r="I43" s="844"/>
      <c r="J43" s="532" t="str">
        <f>'Leverage Ratio'!K101</f>
        <v>No</v>
      </c>
      <c r="K43" s="844"/>
      <c r="L43" s="844"/>
      <c r="M43" s="989"/>
      <c r="N43" s="210"/>
    </row>
    <row r="44" spans="1:14" ht="15" customHeight="1" x14ac:dyDescent="0.2">
      <c r="A44" s="31"/>
      <c r="B44" s="403" t="s">
        <v>268</v>
      </c>
      <c r="C44" s="1018" t="str">
        <f>'Leverage Ratio'!C122</f>
        <v>Check: PSEs in rows 120 and 121 should be less than or equal to overall PSEs in row 119</v>
      </c>
      <c r="D44" s="844"/>
      <c r="E44" s="844"/>
      <c r="F44" s="844"/>
      <c r="G44" s="844"/>
      <c r="H44" s="844"/>
      <c r="I44" s="532" t="str">
        <f>'Leverage Ratio'!J122</f>
        <v>Yes</v>
      </c>
      <c r="J44" s="844"/>
      <c r="K44" s="844"/>
      <c r="L44" s="844"/>
      <c r="M44" s="989"/>
      <c r="N44" s="28"/>
    </row>
    <row r="45" spans="1:14" ht="15" customHeight="1" x14ac:dyDescent="0.2">
      <c r="A45" s="31"/>
      <c r="B45" s="403" t="s">
        <v>268</v>
      </c>
      <c r="C45" s="1018" t="str">
        <f>'Leverage Ratio'!C139</f>
        <v>Check: securitisation exposures should be lower than total other exposures</v>
      </c>
      <c r="D45" s="844"/>
      <c r="E45" s="844"/>
      <c r="F45" s="844"/>
      <c r="G45" s="844"/>
      <c r="H45" s="844"/>
      <c r="I45" s="532" t="str">
        <f>'Leverage Ratio'!J139</f>
        <v>Yes</v>
      </c>
      <c r="J45" s="844"/>
      <c r="K45" s="844"/>
      <c r="L45" s="844"/>
      <c r="M45" s="989"/>
      <c r="N45" s="28"/>
    </row>
    <row r="46" spans="1:14" ht="15" customHeight="1" x14ac:dyDescent="0.2">
      <c r="A46" s="31"/>
      <c r="B46" s="1176" t="s">
        <v>268</v>
      </c>
      <c r="C46" s="1018" t="str">
        <f>'Leverage Ratio'!C141</f>
        <v>Check: total value in cell J110 should equal total exposures in panels A, B and E</v>
      </c>
      <c r="D46" s="1587"/>
      <c r="E46" s="1587"/>
      <c r="F46" s="1587"/>
      <c r="G46" s="1587"/>
      <c r="H46" s="1587"/>
      <c r="I46" s="1583" t="str">
        <f>'Leverage Ratio'!J141</f>
        <v>Yes</v>
      </c>
      <c r="J46" s="1587"/>
      <c r="K46" s="1587"/>
      <c r="L46" s="1587"/>
      <c r="M46" s="1590"/>
      <c r="N46" s="28"/>
    </row>
    <row r="47" spans="1:14" s="1573" customFormat="1" ht="15" customHeight="1" x14ac:dyDescent="0.2">
      <c r="A47" s="1577"/>
      <c r="B47" s="1019" t="s">
        <v>1521</v>
      </c>
      <c r="C47" s="1020" t="str">
        <f>'Leverage Ratio'!C150</f>
        <v>Check: notional ≥ OEM value</v>
      </c>
      <c r="D47" s="1588"/>
      <c r="E47" s="1588"/>
      <c r="F47" s="1588"/>
      <c r="G47" s="1588"/>
      <c r="H47" s="1588"/>
      <c r="I47" s="1584" t="str">
        <f>'Leverage Ratio'!J150</f>
        <v>Yes</v>
      </c>
      <c r="J47" s="1588"/>
      <c r="K47" s="1588"/>
      <c r="L47" s="1588"/>
      <c r="M47" s="1612"/>
      <c r="N47" s="1576"/>
    </row>
    <row r="48" spans="1:14" ht="15" customHeight="1" x14ac:dyDescent="0.2">
      <c r="A48" s="31"/>
      <c r="B48" s="26"/>
      <c r="C48" s="46"/>
      <c r="D48" s="26"/>
      <c r="E48" s="26"/>
      <c r="F48" s="26"/>
      <c r="G48" s="26"/>
      <c r="H48" s="26"/>
      <c r="I48" s="26"/>
      <c r="J48" s="26"/>
      <c r="K48" s="26"/>
      <c r="L48" s="26"/>
      <c r="M48" s="184"/>
      <c r="N48" s="28"/>
    </row>
    <row r="49" spans="1:14" s="15" customFormat="1" ht="30" customHeight="1" x14ac:dyDescent="0.25">
      <c r="A49" s="1478" t="s">
        <v>1504</v>
      </c>
      <c r="B49" s="25"/>
      <c r="C49" s="45"/>
      <c r="D49" s="25"/>
      <c r="E49" s="25"/>
      <c r="F49" s="25"/>
      <c r="G49" s="25"/>
      <c r="H49" s="25"/>
      <c r="I49" s="25"/>
      <c r="J49" s="25"/>
      <c r="K49" s="25"/>
      <c r="L49" s="25"/>
      <c r="M49" s="25"/>
      <c r="N49" s="32"/>
    </row>
    <row r="50" spans="1:14" ht="15" customHeight="1" x14ac:dyDescent="0.2">
      <c r="A50" s="31"/>
      <c r="B50" s="26"/>
      <c r="C50" s="46"/>
      <c r="D50" s="26"/>
      <c r="E50" s="26"/>
      <c r="F50" s="26"/>
      <c r="G50" s="26"/>
      <c r="H50" s="26"/>
      <c r="I50" s="26"/>
      <c r="J50" s="26"/>
      <c r="K50" s="26"/>
      <c r="L50" s="26"/>
      <c r="M50" s="26"/>
      <c r="N50" s="28"/>
    </row>
    <row r="51" spans="1:14" ht="15" customHeight="1" x14ac:dyDescent="0.2">
      <c r="A51" s="31"/>
      <c r="B51" s="1021" t="s">
        <v>78</v>
      </c>
      <c r="C51" s="444" t="s">
        <v>79</v>
      </c>
      <c r="D51" s="1022" t="str">
        <f>CONCATENATE("Column ", LEFT(ADDRESS(ROW(LCR!D1),COLUMN(LCR!D1),4), 1))</f>
        <v>Column D</v>
      </c>
      <c r="E51" s="1022" t="str">
        <f>CONCATENATE("Column ", LEFT(ADDRESS(ROW(LCR!E1),COLUMN(LCR!E1),4), 1))</f>
        <v>Column E</v>
      </c>
      <c r="F51" s="1022" t="str">
        <f>CONCATENATE("Column ", LEFT(ADDRESS(ROW(LCR!F1),COLUMN(LCR!F1),4), 1))</f>
        <v>Column F</v>
      </c>
      <c r="G51" s="1023" t="str">
        <f>CONCATENATE("Column ", LEFT(ADDRESS(ROW(LCR!G1),COLUMN(LCR!G1),4), 1))</f>
        <v>Column G</v>
      </c>
      <c r="H51" s="26"/>
      <c r="I51" s="26"/>
      <c r="J51" s="26"/>
      <c r="K51" s="26"/>
      <c r="L51" s="26"/>
      <c r="M51" s="26"/>
      <c r="N51" s="28"/>
    </row>
    <row r="52" spans="1:14" ht="15" customHeight="1" x14ac:dyDescent="0.2">
      <c r="A52" s="31"/>
      <c r="B52" s="411" t="s">
        <v>269</v>
      </c>
      <c r="C52" s="1027" t="str">
        <f>LCR!B9</f>
        <v>Check: row 8 ≤ row 7</v>
      </c>
      <c r="D52" s="1032" t="str">
        <f>LCR!D9</f>
        <v>Pass</v>
      </c>
      <c r="E52" s="1028"/>
      <c r="F52" s="1028"/>
      <c r="G52" s="1033"/>
      <c r="H52" s="26"/>
      <c r="I52" s="26"/>
      <c r="J52" s="26"/>
      <c r="K52" s="26"/>
      <c r="L52" s="26"/>
      <c r="M52" s="26"/>
      <c r="N52" s="28"/>
    </row>
    <row r="53" spans="1:14" ht="15" customHeight="1" x14ac:dyDescent="0.2">
      <c r="A53" s="31"/>
      <c r="B53" s="403" t="s">
        <v>270</v>
      </c>
      <c r="C53" s="1018" t="str">
        <f>LCR!B59</f>
        <v>Check: row 58 ≤ row 57</v>
      </c>
      <c r="D53" s="619" t="str">
        <f>LCR!D59</f>
        <v>Pass</v>
      </c>
      <c r="E53" s="619" t="str">
        <f>LCR!E59</f>
        <v>Pass</v>
      </c>
      <c r="F53" s="619" t="str">
        <f>LCR!F59</f>
        <v>Pass</v>
      </c>
      <c r="G53" s="927" t="str">
        <f>LCR!G59</f>
        <v>Pass</v>
      </c>
      <c r="H53" s="26"/>
      <c r="I53" s="26"/>
      <c r="J53" s="26"/>
      <c r="K53" s="26"/>
      <c r="L53" s="26"/>
      <c r="M53" s="26"/>
      <c r="N53" s="28"/>
    </row>
    <row r="54" spans="1:14" ht="15" customHeight="1" x14ac:dyDescent="0.2">
      <c r="A54" s="31"/>
      <c r="B54" s="403" t="s">
        <v>270</v>
      </c>
      <c r="C54" s="1018" t="str">
        <f>LCR!B62</f>
        <v>Check: row 61 ≤ row 60</v>
      </c>
      <c r="D54" s="619" t="str">
        <f>LCR!D62</f>
        <v>Pass</v>
      </c>
      <c r="E54" s="619" t="str">
        <f>LCR!E62</f>
        <v>Pass</v>
      </c>
      <c r="F54" s="619" t="str">
        <f>LCR!F62</f>
        <v>Pass</v>
      </c>
      <c r="G54" s="927" t="str">
        <f>LCR!G62</f>
        <v>Pass</v>
      </c>
      <c r="H54" s="26"/>
      <c r="I54" s="26"/>
      <c r="J54" s="26"/>
      <c r="K54" s="26"/>
      <c r="L54" s="26"/>
      <c r="M54" s="26"/>
      <c r="N54" s="28"/>
    </row>
    <row r="55" spans="1:14" ht="15" customHeight="1" x14ac:dyDescent="0.2">
      <c r="A55" s="31"/>
      <c r="B55" s="403" t="s">
        <v>271</v>
      </c>
      <c r="C55" s="1018" t="str">
        <f>LCR!B171</f>
        <v>Check: row 170 ≤ sum of rows 163 and 164</v>
      </c>
      <c r="D55" s="619" t="str">
        <f>LCR!D171</f>
        <v>Pass</v>
      </c>
      <c r="E55" s="844"/>
      <c r="F55" s="844"/>
      <c r="G55" s="989"/>
      <c r="H55" s="26"/>
      <c r="I55" s="26"/>
      <c r="J55" s="26"/>
      <c r="K55" s="26"/>
      <c r="L55" s="26"/>
      <c r="M55" s="26"/>
      <c r="N55" s="28"/>
    </row>
    <row r="56" spans="1:14" ht="15" customHeight="1" x14ac:dyDescent="0.2">
      <c r="A56" s="31"/>
      <c r="B56" s="403" t="s">
        <v>271</v>
      </c>
      <c r="C56" s="1018" t="str">
        <f>LCR!B173</f>
        <v>Check: row 172 ≤ sum of rows 163 and 164</v>
      </c>
      <c r="D56" s="619" t="str">
        <f>LCR!D173</f>
        <v>Pass</v>
      </c>
      <c r="E56" s="844"/>
      <c r="F56" s="844"/>
      <c r="G56" s="989"/>
      <c r="H56" s="26"/>
      <c r="I56" s="26"/>
      <c r="J56" s="26"/>
      <c r="K56" s="26"/>
      <c r="L56" s="26"/>
      <c r="M56" s="26"/>
      <c r="N56" s="28"/>
    </row>
    <row r="57" spans="1:14" ht="15" customHeight="1" x14ac:dyDescent="0.2">
      <c r="A57" s="31"/>
      <c r="B57" s="403" t="s">
        <v>271</v>
      </c>
      <c r="C57" s="1018" t="str">
        <f>LCR!B175</f>
        <v>Check: row 174 ≤ sum of rows 156 to 164</v>
      </c>
      <c r="D57" s="619" t="str">
        <f>LCR!D175</f>
        <v>Pass</v>
      </c>
      <c r="E57" s="844"/>
      <c r="F57" s="844"/>
      <c r="G57" s="989"/>
      <c r="H57" s="26"/>
      <c r="I57" s="26"/>
      <c r="J57" s="26"/>
      <c r="K57" s="26"/>
      <c r="L57" s="26"/>
      <c r="M57" s="26"/>
      <c r="N57" s="28"/>
    </row>
    <row r="58" spans="1:14" ht="15" customHeight="1" x14ac:dyDescent="0.2">
      <c r="A58" s="31"/>
      <c r="B58" s="970" t="s">
        <v>146</v>
      </c>
      <c r="C58" s="1018" t="str">
        <f>LCR!B181</f>
        <v>Check: row 180 ≤ row 179</v>
      </c>
      <c r="D58" s="619" t="str">
        <f>LCR!D181</f>
        <v>Pass</v>
      </c>
      <c r="E58" s="619" t="str">
        <f>LCR!E181</f>
        <v>Pass</v>
      </c>
      <c r="F58" s="844"/>
      <c r="G58" s="989"/>
      <c r="H58" s="26"/>
      <c r="I58" s="26"/>
      <c r="J58" s="26"/>
      <c r="K58" s="26"/>
      <c r="L58" s="26"/>
      <c r="M58" s="26"/>
      <c r="N58" s="28"/>
    </row>
    <row r="59" spans="1:14" ht="15" customHeight="1" x14ac:dyDescent="0.2">
      <c r="A59" s="31"/>
      <c r="B59" s="970" t="s">
        <v>146</v>
      </c>
      <c r="C59" s="1018" t="str">
        <f>LCR!B184</f>
        <v>Check: row 183 ≤ row 182</v>
      </c>
      <c r="D59" s="619" t="str">
        <f>LCR!D184</f>
        <v>Pass</v>
      </c>
      <c r="E59" s="619" t="str">
        <f>LCR!E184</f>
        <v>Pass</v>
      </c>
      <c r="F59" s="844"/>
      <c r="G59" s="989"/>
      <c r="H59" s="26"/>
      <c r="I59" s="26"/>
      <c r="J59" s="26"/>
      <c r="K59" s="26"/>
      <c r="L59" s="26"/>
      <c r="M59" s="26"/>
      <c r="N59" s="28"/>
    </row>
    <row r="60" spans="1:14" ht="15" customHeight="1" x14ac:dyDescent="0.2">
      <c r="A60" s="31"/>
      <c r="B60" s="970" t="s">
        <v>146</v>
      </c>
      <c r="C60" s="1018" t="str">
        <f>LCR!B187</f>
        <v>Check: row 186 ≤ row 185</v>
      </c>
      <c r="D60" s="619" t="str">
        <f>LCR!D187</f>
        <v>Pass</v>
      </c>
      <c r="E60" s="619" t="str">
        <f>LCR!E187</f>
        <v>Pass</v>
      </c>
      <c r="F60" s="844"/>
      <c r="G60" s="989"/>
      <c r="H60" s="26"/>
      <c r="I60" s="26"/>
      <c r="J60" s="26"/>
      <c r="K60" s="26"/>
      <c r="L60" s="26"/>
      <c r="M60" s="26"/>
      <c r="N60" s="28"/>
    </row>
    <row r="61" spans="1:14" ht="15" customHeight="1" x14ac:dyDescent="0.2">
      <c r="A61" s="31"/>
      <c r="B61" s="970" t="s">
        <v>146</v>
      </c>
      <c r="C61" s="1018" t="str">
        <f>LCR!B190</f>
        <v>Check: row 189 ≤ row 188</v>
      </c>
      <c r="D61" s="619" t="str">
        <f>LCR!D190</f>
        <v>Pass</v>
      </c>
      <c r="E61" s="619" t="str">
        <f>LCR!E190</f>
        <v>Pass</v>
      </c>
      <c r="F61" s="844"/>
      <c r="G61" s="989"/>
      <c r="H61" s="26"/>
      <c r="I61" s="26"/>
      <c r="J61" s="26"/>
      <c r="K61" s="26"/>
      <c r="L61" s="26"/>
      <c r="M61" s="26"/>
      <c r="N61" s="28"/>
    </row>
    <row r="62" spans="1:14" ht="15" customHeight="1" x14ac:dyDescent="0.2">
      <c r="A62" s="127"/>
      <c r="B62" s="970" t="s">
        <v>146</v>
      </c>
      <c r="C62" s="1018" t="str">
        <f>LCR!B194</f>
        <v>Check: row 193 ≤ row 192</v>
      </c>
      <c r="D62" s="619" t="str">
        <f>LCR!D194</f>
        <v>Pass</v>
      </c>
      <c r="E62" s="619" t="str">
        <f>LCR!E194</f>
        <v>Pass</v>
      </c>
      <c r="F62" s="844"/>
      <c r="G62" s="989"/>
      <c r="H62" s="9"/>
      <c r="I62" s="9"/>
      <c r="J62" s="9"/>
      <c r="K62" s="9"/>
      <c r="L62" s="9"/>
      <c r="M62" s="9"/>
      <c r="N62" s="10"/>
    </row>
    <row r="63" spans="1:14" ht="15" customHeight="1" x14ac:dyDescent="0.2">
      <c r="A63" s="127"/>
      <c r="B63" s="970" t="s">
        <v>146</v>
      </c>
      <c r="C63" s="1018" t="str">
        <f>LCR!B197</f>
        <v>Check: row 196 ≤ row 195</v>
      </c>
      <c r="D63" s="619" t="str">
        <f>LCR!D197</f>
        <v>Pass</v>
      </c>
      <c r="E63" s="619" t="str">
        <f>LCR!E197</f>
        <v>Pass</v>
      </c>
      <c r="F63" s="844"/>
      <c r="G63" s="989"/>
      <c r="H63" s="9"/>
      <c r="I63" s="9"/>
      <c r="J63" s="9"/>
      <c r="K63" s="9"/>
      <c r="L63" s="9"/>
      <c r="M63" s="9"/>
      <c r="N63" s="10"/>
    </row>
    <row r="64" spans="1:14" ht="15" customHeight="1" x14ac:dyDescent="0.2">
      <c r="A64" s="127"/>
      <c r="B64" s="970" t="s">
        <v>146</v>
      </c>
      <c r="C64" s="1018" t="str">
        <f>LCR!B200</f>
        <v>Check: row 199 ≤ row 198</v>
      </c>
      <c r="D64" s="619" t="str">
        <f>LCR!D200</f>
        <v>Pass</v>
      </c>
      <c r="E64" s="619" t="str">
        <f>LCR!E200</f>
        <v>Pass</v>
      </c>
      <c r="F64" s="844"/>
      <c r="G64" s="989"/>
      <c r="H64" s="9"/>
      <c r="I64" s="9"/>
      <c r="J64" s="9"/>
      <c r="K64" s="9"/>
      <c r="L64" s="9"/>
      <c r="M64" s="9"/>
      <c r="N64" s="10"/>
    </row>
    <row r="65" spans="1:14" ht="15" customHeight="1" x14ac:dyDescent="0.2">
      <c r="A65" s="127"/>
      <c r="B65" s="970" t="s">
        <v>146</v>
      </c>
      <c r="C65" s="1018" t="str">
        <f>LCR!B204</f>
        <v>Check: row 203 ≤ row 202</v>
      </c>
      <c r="D65" s="619" t="str">
        <f>LCR!D204</f>
        <v>Pass</v>
      </c>
      <c r="E65" s="619" t="str">
        <f>LCR!E204</f>
        <v>Pass</v>
      </c>
      <c r="F65" s="844"/>
      <c r="G65" s="989"/>
      <c r="H65" s="9"/>
      <c r="I65" s="9"/>
      <c r="J65" s="9"/>
      <c r="K65" s="9"/>
      <c r="L65" s="9"/>
      <c r="M65" s="9"/>
      <c r="N65" s="10"/>
    </row>
    <row r="66" spans="1:14" ht="15" customHeight="1" x14ac:dyDescent="0.2">
      <c r="A66" s="127"/>
      <c r="B66" s="970" t="s">
        <v>146</v>
      </c>
      <c r="C66" s="1018" t="str">
        <f>LCR!B207</f>
        <v>Check: row 206 ≤ row 205</v>
      </c>
      <c r="D66" s="619" t="str">
        <f>LCR!D207</f>
        <v>Pass</v>
      </c>
      <c r="E66" s="619" t="str">
        <f>LCR!E207</f>
        <v>Pass</v>
      </c>
      <c r="F66" s="844"/>
      <c r="G66" s="989"/>
      <c r="H66" s="9"/>
      <c r="I66" s="9"/>
      <c r="J66" s="9"/>
      <c r="K66" s="9"/>
      <c r="L66" s="9"/>
      <c r="M66" s="9"/>
      <c r="N66" s="10"/>
    </row>
    <row r="67" spans="1:14" ht="15" customHeight="1" x14ac:dyDescent="0.2">
      <c r="A67" s="127"/>
      <c r="B67" s="970" t="s">
        <v>147</v>
      </c>
      <c r="C67" s="1018" t="str">
        <f>LCR!B278</f>
        <v>Check: row 277 ≤ row 276</v>
      </c>
      <c r="D67" s="619" t="str">
        <f>LCR!D278</f>
        <v>Pass</v>
      </c>
      <c r="E67" s="619" t="str">
        <f>LCR!E278</f>
        <v>Pass</v>
      </c>
      <c r="F67" s="844"/>
      <c r="G67" s="989"/>
      <c r="H67" s="9"/>
      <c r="I67" s="9"/>
      <c r="J67" s="9"/>
      <c r="K67" s="9"/>
      <c r="L67" s="9"/>
      <c r="M67" s="9"/>
      <c r="N67" s="10"/>
    </row>
    <row r="68" spans="1:14" ht="15" customHeight="1" x14ac:dyDescent="0.2">
      <c r="A68" s="127"/>
      <c r="B68" s="970" t="s">
        <v>147</v>
      </c>
      <c r="C68" s="1018" t="str">
        <f>LCR!B281</f>
        <v>Check: row 280 ≤ row 279</v>
      </c>
      <c r="D68" s="619" t="str">
        <f>LCR!D281</f>
        <v>Pass</v>
      </c>
      <c r="E68" s="619" t="str">
        <f>LCR!E281</f>
        <v>Pass</v>
      </c>
      <c r="F68" s="844"/>
      <c r="G68" s="989"/>
      <c r="H68" s="9"/>
      <c r="I68" s="9"/>
      <c r="J68" s="9"/>
      <c r="K68" s="9"/>
      <c r="L68" s="9"/>
      <c r="M68" s="9"/>
      <c r="N68" s="10"/>
    </row>
    <row r="69" spans="1:14" ht="15" customHeight="1" x14ac:dyDescent="0.2">
      <c r="A69" s="127"/>
      <c r="B69" s="970" t="s">
        <v>147</v>
      </c>
      <c r="C69" s="1018" t="str">
        <f>LCR!B284</f>
        <v>Check: row 283 ≤ row 282</v>
      </c>
      <c r="D69" s="619" t="str">
        <f>LCR!D284</f>
        <v>Pass</v>
      </c>
      <c r="E69" s="619" t="str">
        <f>LCR!E284</f>
        <v>Pass</v>
      </c>
      <c r="F69" s="844"/>
      <c r="G69" s="989"/>
      <c r="H69" s="9"/>
      <c r="I69" s="9"/>
      <c r="J69" s="9"/>
      <c r="K69" s="9"/>
      <c r="L69" s="9"/>
      <c r="M69" s="9"/>
      <c r="N69" s="10"/>
    </row>
    <row r="70" spans="1:14" ht="15" customHeight="1" x14ac:dyDescent="0.2">
      <c r="A70" s="127"/>
      <c r="B70" s="970" t="s">
        <v>147</v>
      </c>
      <c r="C70" s="1018" t="str">
        <f>LCR!B287</f>
        <v>Check: row 286 ≤ row 285</v>
      </c>
      <c r="D70" s="619" t="str">
        <f>LCR!D287</f>
        <v>Pass</v>
      </c>
      <c r="E70" s="619" t="str">
        <f>LCR!E287</f>
        <v>Pass</v>
      </c>
      <c r="F70" s="844"/>
      <c r="G70" s="989"/>
      <c r="H70" s="9"/>
      <c r="I70" s="9"/>
      <c r="J70" s="9"/>
      <c r="K70" s="9"/>
      <c r="L70" s="9"/>
      <c r="M70" s="9"/>
      <c r="N70" s="10"/>
    </row>
    <row r="71" spans="1:14" ht="15" customHeight="1" x14ac:dyDescent="0.2">
      <c r="A71" s="127"/>
      <c r="B71" s="970" t="s">
        <v>148</v>
      </c>
      <c r="C71" s="1018" t="str">
        <f>LCR!B334</f>
        <v>Check: row 333 ≤ row 332</v>
      </c>
      <c r="D71" s="619" t="str">
        <f>LCR!D334</f>
        <v>Pass</v>
      </c>
      <c r="E71" s="619" t="str">
        <f>LCR!E334</f>
        <v>Pass</v>
      </c>
      <c r="F71" s="844"/>
      <c r="G71" s="989"/>
      <c r="H71" s="9"/>
      <c r="I71" s="9"/>
      <c r="J71" s="9"/>
      <c r="K71" s="9"/>
      <c r="L71" s="9"/>
      <c r="M71" s="9"/>
      <c r="N71" s="10"/>
    </row>
    <row r="72" spans="1:14" ht="15" customHeight="1" x14ac:dyDescent="0.2">
      <c r="A72" s="127"/>
      <c r="B72" s="970" t="s">
        <v>148</v>
      </c>
      <c r="C72" s="1018" t="str">
        <f>LCR!B337</f>
        <v>Check: row 336 ≤ row 335</v>
      </c>
      <c r="D72" s="619" t="str">
        <f>LCR!D337</f>
        <v>Pass</v>
      </c>
      <c r="E72" s="619" t="str">
        <f>LCR!E337</f>
        <v>Pass</v>
      </c>
      <c r="F72" s="844"/>
      <c r="G72" s="989"/>
      <c r="H72" s="9"/>
      <c r="I72" s="9"/>
      <c r="J72" s="9"/>
      <c r="K72" s="9"/>
      <c r="L72" s="9"/>
      <c r="M72" s="9"/>
      <c r="N72" s="10"/>
    </row>
    <row r="73" spans="1:14" ht="15" customHeight="1" x14ac:dyDescent="0.2">
      <c r="A73" s="127"/>
      <c r="B73" s="970" t="s">
        <v>148</v>
      </c>
      <c r="C73" s="1018" t="str">
        <f>LCR!B340</f>
        <v>Check: row 339 ≤ row 338</v>
      </c>
      <c r="D73" s="619" t="str">
        <f>LCR!D340</f>
        <v>Pass</v>
      </c>
      <c r="E73" s="619" t="str">
        <f>LCR!E340</f>
        <v>Pass</v>
      </c>
      <c r="F73" s="844"/>
      <c r="G73" s="989"/>
      <c r="H73" s="9"/>
      <c r="I73" s="9"/>
      <c r="J73" s="9"/>
      <c r="K73" s="9"/>
      <c r="L73" s="9"/>
      <c r="M73" s="9"/>
      <c r="N73" s="10"/>
    </row>
    <row r="74" spans="1:14" ht="15" customHeight="1" x14ac:dyDescent="0.2">
      <c r="A74" s="127"/>
      <c r="B74" s="970" t="s">
        <v>148</v>
      </c>
      <c r="C74" s="1018" t="str">
        <f>LCR!B343</f>
        <v>Check: row 342 ≤ row 341</v>
      </c>
      <c r="D74" s="619" t="str">
        <f>LCR!D343</f>
        <v>Pass</v>
      </c>
      <c r="E74" s="619" t="str">
        <f>LCR!E343</f>
        <v>Pass</v>
      </c>
      <c r="F74" s="844"/>
      <c r="G74" s="989"/>
      <c r="H74" s="9"/>
      <c r="I74" s="9"/>
      <c r="J74" s="9"/>
      <c r="K74" s="9"/>
      <c r="L74" s="9"/>
      <c r="M74" s="9"/>
      <c r="N74" s="10"/>
    </row>
    <row r="75" spans="1:14" ht="15" customHeight="1" x14ac:dyDescent="0.2">
      <c r="A75" s="127"/>
      <c r="B75" s="970" t="s">
        <v>148</v>
      </c>
      <c r="C75" s="1018" t="str">
        <f>LCR!B346</f>
        <v>Check: row 345 ≤ row 344</v>
      </c>
      <c r="D75" s="619" t="str">
        <f>LCR!D346</f>
        <v>Pass</v>
      </c>
      <c r="E75" s="619" t="str">
        <f>LCR!E346</f>
        <v>Pass</v>
      </c>
      <c r="F75" s="844"/>
      <c r="G75" s="989"/>
      <c r="H75" s="9"/>
      <c r="I75" s="9"/>
      <c r="J75" s="9"/>
      <c r="K75" s="9"/>
      <c r="L75" s="9"/>
      <c r="M75" s="9"/>
      <c r="N75" s="10"/>
    </row>
    <row r="76" spans="1:14" ht="15" customHeight="1" x14ac:dyDescent="0.2">
      <c r="A76" s="127"/>
      <c r="B76" s="970" t="s">
        <v>148</v>
      </c>
      <c r="C76" s="1018" t="str">
        <f>LCR!B349</f>
        <v>Check: row 348 ≤ row 347</v>
      </c>
      <c r="D76" s="619" t="str">
        <f>LCR!D349</f>
        <v>Pass</v>
      </c>
      <c r="E76" s="619" t="str">
        <f>LCR!E349</f>
        <v>Pass</v>
      </c>
      <c r="F76" s="844"/>
      <c r="G76" s="989"/>
      <c r="H76" s="9"/>
      <c r="I76" s="9"/>
      <c r="J76" s="9"/>
      <c r="K76" s="9"/>
      <c r="L76" s="9"/>
      <c r="M76" s="9"/>
      <c r="N76" s="10"/>
    </row>
    <row r="77" spans="1:14" ht="15" customHeight="1" x14ac:dyDescent="0.2">
      <c r="A77" s="127"/>
      <c r="B77" s="970" t="s">
        <v>148</v>
      </c>
      <c r="C77" s="1018" t="str">
        <f>LCR!B352</f>
        <v>Check: row 351 ≤ row 350</v>
      </c>
      <c r="D77" s="619" t="str">
        <f>LCR!D352</f>
        <v>Pass</v>
      </c>
      <c r="E77" s="619" t="str">
        <f>LCR!E352</f>
        <v>Pass</v>
      </c>
      <c r="F77" s="844"/>
      <c r="G77" s="989"/>
      <c r="H77" s="9"/>
      <c r="I77" s="9"/>
      <c r="J77" s="9"/>
      <c r="K77" s="9"/>
      <c r="L77" s="9"/>
      <c r="M77" s="9"/>
      <c r="N77" s="10"/>
    </row>
    <row r="78" spans="1:14" ht="15" customHeight="1" x14ac:dyDescent="0.2">
      <c r="A78" s="127"/>
      <c r="B78" s="970" t="s">
        <v>148</v>
      </c>
      <c r="C78" s="1018" t="str">
        <f>LCR!B355</f>
        <v>Check: row 354 ≤ row 353</v>
      </c>
      <c r="D78" s="619" t="str">
        <f>LCR!D355</f>
        <v>Pass</v>
      </c>
      <c r="E78" s="619" t="str">
        <f>LCR!E355</f>
        <v>Pass</v>
      </c>
      <c r="F78" s="844"/>
      <c r="G78" s="989"/>
      <c r="H78" s="9"/>
      <c r="I78" s="9"/>
      <c r="J78" s="9"/>
      <c r="K78" s="9"/>
      <c r="L78" s="9"/>
      <c r="M78" s="9"/>
      <c r="N78" s="10"/>
    </row>
    <row r="79" spans="1:14" ht="15" customHeight="1" x14ac:dyDescent="0.2">
      <c r="A79" s="127"/>
      <c r="B79" s="970" t="s">
        <v>148</v>
      </c>
      <c r="C79" s="1018" t="str">
        <f>LCR!B358</f>
        <v>Check: row 357 ≤ row 356</v>
      </c>
      <c r="D79" s="619" t="str">
        <f>LCR!D358</f>
        <v>Pass</v>
      </c>
      <c r="E79" s="619" t="str">
        <f>LCR!E358</f>
        <v>Pass</v>
      </c>
      <c r="F79" s="844"/>
      <c r="G79" s="989"/>
      <c r="H79" s="9"/>
      <c r="I79" s="9"/>
      <c r="J79" s="9"/>
      <c r="K79" s="9"/>
      <c r="L79" s="9"/>
      <c r="M79" s="9"/>
      <c r="N79" s="10"/>
    </row>
    <row r="80" spans="1:14" ht="15" customHeight="1" x14ac:dyDescent="0.2">
      <c r="A80" s="127"/>
      <c r="B80" s="970" t="s">
        <v>148</v>
      </c>
      <c r="C80" s="1018" t="str">
        <f>LCR!B361</f>
        <v>Check: row 360 ≤ row 359</v>
      </c>
      <c r="D80" s="619" t="str">
        <f>LCR!D361</f>
        <v>Pass</v>
      </c>
      <c r="E80" s="619" t="str">
        <f>LCR!E361</f>
        <v>Pass</v>
      </c>
      <c r="F80" s="844"/>
      <c r="G80" s="989"/>
      <c r="H80" s="9"/>
      <c r="I80" s="9"/>
      <c r="J80" s="9"/>
      <c r="K80" s="9"/>
      <c r="L80" s="9"/>
      <c r="M80" s="9"/>
      <c r="N80" s="10"/>
    </row>
    <row r="81" spans="1:14" ht="15" customHeight="1" x14ac:dyDescent="0.2">
      <c r="A81" s="127"/>
      <c r="B81" s="970" t="s">
        <v>148</v>
      </c>
      <c r="C81" s="1018" t="str">
        <f>LCR!B364</f>
        <v>Check: row 363 ≤ row 362</v>
      </c>
      <c r="D81" s="619" t="str">
        <f>LCR!D364</f>
        <v>Pass</v>
      </c>
      <c r="E81" s="619" t="str">
        <f>LCR!E364</f>
        <v>Pass</v>
      </c>
      <c r="F81" s="844"/>
      <c r="G81" s="989"/>
      <c r="H81" s="9"/>
      <c r="I81" s="9"/>
      <c r="J81" s="9"/>
      <c r="K81" s="9"/>
      <c r="L81" s="9"/>
      <c r="M81" s="9"/>
      <c r="N81" s="10"/>
    </row>
    <row r="82" spans="1:14" ht="15" customHeight="1" x14ac:dyDescent="0.2">
      <c r="A82" s="127"/>
      <c r="B82" s="970" t="s">
        <v>148</v>
      </c>
      <c r="C82" s="1018" t="str">
        <f>LCR!B367</f>
        <v>Check: row 366 ≤ row 365</v>
      </c>
      <c r="D82" s="619" t="str">
        <f>LCR!D367</f>
        <v>Pass</v>
      </c>
      <c r="E82" s="619" t="str">
        <f>LCR!E367</f>
        <v>Pass</v>
      </c>
      <c r="F82" s="844"/>
      <c r="G82" s="989"/>
      <c r="H82" s="9"/>
      <c r="I82" s="9"/>
      <c r="J82" s="9"/>
      <c r="K82" s="9"/>
      <c r="L82" s="9"/>
      <c r="M82" s="9"/>
      <c r="N82" s="10"/>
    </row>
    <row r="83" spans="1:14" ht="15" customHeight="1" x14ac:dyDescent="0.2">
      <c r="A83" s="127"/>
      <c r="B83" s="970" t="s">
        <v>148</v>
      </c>
      <c r="C83" s="1018" t="str">
        <f>LCR!B370</f>
        <v>Check: row 369 ≤ row 368</v>
      </c>
      <c r="D83" s="619" t="str">
        <f>LCR!D370</f>
        <v>Pass</v>
      </c>
      <c r="E83" s="619" t="str">
        <f>LCR!E370</f>
        <v>Pass</v>
      </c>
      <c r="F83" s="844"/>
      <c r="G83" s="989"/>
      <c r="H83" s="9"/>
      <c r="I83" s="9"/>
      <c r="J83" s="9"/>
      <c r="K83" s="9"/>
      <c r="L83" s="9"/>
      <c r="M83" s="9"/>
      <c r="N83" s="10"/>
    </row>
    <row r="84" spans="1:14" ht="15" customHeight="1" x14ac:dyDescent="0.2">
      <c r="A84" s="127"/>
      <c r="B84" s="970" t="s">
        <v>148</v>
      </c>
      <c r="C84" s="1018" t="str">
        <f>LCR!B373</f>
        <v>Check: row 372 ≤ row 371</v>
      </c>
      <c r="D84" s="619" t="str">
        <f>LCR!D373</f>
        <v>Pass</v>
      </c>
      <c r="E84" s="619" t="str">
        <f>LCR!E373</f>
        <v>Pass</v>
      </c>
      <c r="F84" s="844"/>
      <c r="G84" s="989"/>
      <c r="H84" s="9"/>
      <c r="I84" s="9"/>
      <c r="J84" s="9"/>
      <c r="K84" s="9"/>
      <c r="L84" s="9"/>
      <c r="M84" s="9"/>
      <c r="N84" s="10"/>
    </row>
    <row r="85" spans="1:14" ht="15" customHeight="1" x14ac:dyDescent="0.2">
      <c r="A85" s="127"/>
      <c r="B85" s="970" t="s">
        <v>148</v>
      </c>
      <c r="C85" s="1018" t="str">
        <f>LCR!B376</f>
        <v>Check: row 375 ≤ row 374</v>
      </c>
      <c r="D85" s="619" t="str">
        <f>LCR!D376</f>
        <v>Pass</v>
      </c>
      <c r="E85" s="619" t="str">
        <f>LCR!E376</f>
        <v>Pass</v>
      </c>
      <c r="F85" s="844"/>
      <c r="G85" s="989"/>
      <c r="H85" s="9"/>
      <c r="I85" s="9"/>
      <c r="J85" s="9"/>
      <c r="K85" s="9"/>
      <c r="L85" s="9"/>
      <c r="M85" s="9"/>
      <c r="N85" s="10"/>
    </row>
    <row r="86" spans="1:14" ht="15" customHeight="1" x14ac:dyDescent="0.2">
      <c r="A86" s="127"/>
      <c r="B86" s="970" t="s">
        <v>148</v>
      </c>
      <c r="C86" s="1018" t="str">
        <f>LCR!B379</f>
        <v>Check: row 378 ≤ row 377</v>
      </c>
      <c r="D86" s="619" t="str">
        <f>LCR!D379</f>
        <v>Pass</v>
      </c>
      <c r="E86" s="619" t="str">
        <f>LCR!E379</f>
        <v>Pass</v>
      </c>
      <c r="F86" s="844"/>
      <c r="G86" s="989"/>
      <c r="H86" s="9"/>
      <c r="I86" s="9"/>
      <c r="J86" s="9"/>
      <c r="K86" s="9"/>
      <c r="L86" s="9"/>
      <c r="M86" s="9"/>
      <c r="N86" s="10"/>
    </row>
    <row r="87" spans="1:14" ht="15" customHeight="1" x14ac:dyDescent="0.2">
      <c r="A87" s="127"/>
      <c r="B87" s="970" t="s">
        <v>148</v>
      </c>
      <c r="C87" s="1018" t="str">
        <f>LCR!B382</f>
        <v>Check: row 381 ≤ row 380</v>
      </c>
      <c r="D87" s="619" t="str">
        <f>LCR!D382</f>
        <v>Pass</v>
      </c>
      <c r="E87" s="619" t="str">
        <f>LCR!E382</f>
        <v>Pass</v>
      </c>
      <c r="F87" s="844"/>
      <c r="G87" s="989"/>
      <c r="H87" s="9"/>
      <c r="I87" s="9"/>
      <c r="J87" s="9"/>
      <c r="K87" s="9"/>
      <c r="L87" s="9"/>
      <c r="M87" s="9"/>
      <c r="N87" s="10"/>
    </row>
    <row r="88" spans="1:14" ht="15" customHeight="1" x14ac:dyDescent="0.2">
      <c r="A88" s="127"/>
      <c r="B88" s="970" t="s">
        <v>148</v>
      </c>
      <c r="C88" s="1018" t="str">
        <f>LCR!B385</f>
        <v>Check: row 384 ≤ row 383</v>
      </c>
      <c r="D88" s="619" t="str">
        <f>LCR!D385</f>
        <v>Pass</v>
      </c>
      <c r="E88" s="619" t="str">
        <f>LCR!E385</f>
        <v>Pass</v>
      </c>
      <c r="F88" s="844"/>
      <c r="G88" s="989"/>
      <c r="H88" s="9"/>
      <c r="I88" s="9"/>
      <c r="J88" s="9"/>
      <c r="K88" s="9"/>
      <c r="L88" s="9"/>
      <c r="M88" s="9"/>
      <c r="N88" s="10"/>
    </row>
    <row r="89" spans="1:14" ht="15" customHeight="1" x14ac:dyDescent="0.2">
      <c r="A89" s="127"/>
      <c r="B89" s="970" t="s">
        <v>148</v>
      </c>
      <c r="C89" s="1018" t="str">
        <f>LCR!B388</f>
        <v>Check: row 387 ≤ row 386</v>
      </c>
      <c r="D89" s="619" t="str">
        <f>LCR!D388</f>
        <v>Pass</v>
      </c>
      <c r="E89" s="619" t="str">
        <f>LCR!E388</f>
        <v>Pass</v>
      </c>
      <c r="F89" s="844"/>
      <c r="G89" s="989"/>
      <c r="H89" s="9"/>
      <c r="I89" s="9"/>
      <c r="J89" s="9"/>
      <c r="K89" s="9"/>
      <c r="L89" s="9"/>
      <c r="M89" s="9"/>
      <c r="N89" s="10"/>
    </row>
    <row r="90" spans="1:14" ht="15" customHeight="1" x14ac:dyDescent="0.2">
      <c r="A90" s="127"/>
      <c r="B90" s="970" t="s">
        <v>148</v>
      </c>
      <c r="C90" s="1018" t="str">
        <f>LCR!B391</f>
        <v>Check: row 390 ≤ row 389</v>
      </c>
      <c r="D90" s="619" t="str">
        <f>LCR!D391</f>
        <v>Pass</v>
      </c>
      <c r="E90" s="619" t="str">
        <f>LCR!E391</f>
        <v>Pass</v>
      </c>
      <c r="F90" s="844"/>
      <c r="G90" s="989"/>
      <c r="H90" s="9"/>
      <c r="I90" s="9"/>
      <c r="J90" s="9"/>
      <c r="K90" s="9"/>
      <c r="L90" s="9"/>
      <c r="M90" s="9"/>
      <c r="N90" s="10"/>
    </row>
    <row r="91" spans="1:14" ht="15" customHeight="1" x14ac:dyDescent="0.2">
      <c r="A91" s="127"/>
      <c r="B91" s="970" t="s">
        <v>148</v>
      </c>
      <c r="C91" s="1018" t="str">
        <f>LCR!B394</f>
        <v>Check: row 393 ≤ row 392</v>
      </c>
      <c r="D91" s="619" t="str">
        <f>LCR!D394</f>
        <v>Pass</v>
      </c>
      <c r="E91" s="619" t="str">
        <f>LCR!E394</f>
        <v>Pass</v>
      </c>
      <c r="F91" s="844"/>
      <c r="G91" s="989"/>
      <c r="H91" s="9"/>
      <c r="I91" s="9"/>
      <c r="J91" s="9"/>
      <c r="K91" s="9"/>
      <c r="L91" s="9"/>
      <c r="M91" s="9"/>
      <c r="N91" s="10"/>
    </row>
    <row r="92" spans="1:14" ht="15" customHeight="1" x14ac:dyDescent="0.2">
      <c r="A92" s="127"/>
      <c r="B92" s="970" t="s">
        <v>148</v>
      </c>
      <c r="C92" s="1018" t="str">
        <f>LCR!B397</f>
        <v>Check: row 396 ≤ row 395</v>
      </c>
      <c r="D92" s="619" t="str">
        <f>LCR!D397</f>
        <v>Pass</v>
      </c>
      <c r="E92" s="619" t="str">
        <f>LCR!E397</f>
        <v>Pass</v>
      </c>
      <c r="F92" s="844"/>
      <c r="G92" s="989"/>
      <c r="H92" s="9"/>
      <c r="I92" s="9"/>
      <c r="J92" s="9"/>
      <c r="K92" s="9"/>
      <c r="L92" s="9"/>
      <c r="M92" s="9"/>
      <c r="N92" s="10"/>
    </row>
    <row r="93" spans="1:14" ht="15" customHeight="1" x14ac:dyDescent="0.2">
      <c r="A93" s="127"/>
      <c r="B93" s="970" t="s">
        <v>148</v>
      </c>
      <c r="C93" s="1018" t="str">
        <f>LCR!B400</f>
        <v>Check: row 399 ≤ row 398</v>
      </c>
      <c r="D93" s="619" t="str">
        <f>LCR!D400</f>
        <v>Pass</v>
      </c>
      <c r="E93" s="619" t="str">
        <f>LCR!E400</f>
        <v>Pass</v>
      </c>
      <c r="F93" s="844"/>
      <c r="G93" s="989"/>
      <c r="H93" s="9"/>
      <c r="I93" s="9"/>
      <c r="J93" s="9"/>
      <c r="K93" s="9"/>
      <c r="L93" s="9"/>
      <c r="M93" s="9"/>
      <c r="N93" s="10"/>
    </row>
    <row r="94" spans="1:14" ht="15" customHeight="1" x14ac:dyDescent="0.2">
      <c r="A94" s="127"/>
      <c r="B94" s="971" t="s">
        <v>148</v>
      </c>
      <c r="C94" s="1020" t="str">
        <f>LCR!B403</f>
        <v>Check: row 402 ≤ row 401</v>
      </c>
      <c r="D94" s="686" t="str">
        <f>LCR!D403</f>
        <v>Pass</v>
      </c>
      <c r="E94" s="686" t="str">
        <f>LCR!E403</f>
        <v>Pass</v>
      </c>
      <c r="F94" s="845"/>
      <c r="G94" s="1026"/>
      <c r="H94" s="9"/>
      <c r="I94" s="9"/>
      <c r="J94" s="9"/>
      <c r="K94" s="9"/>
      <c r="L94" s="9"/>
      <c r="M94" s="9"/>
      <c r="N94" s="10"/>
    </row>
    <row r="95" spans="1:14" ht="15" customHeight="1" x14ac:dyDescent="0.2">
      <c r="A95" s="31"/>
      <c r="B95" s="26"/>
      <c r="C95" s="46"/>
      <c r="D95" s="26"/>
      <c r="E95" s="26"/>
      <c r="F95" s="26"/>
      <c r="G95" s="26"/>
      <c r="H95" s="26"/>
      <c r="I95" s="26"/>
      <c r="J95" s="26"/>
      <c r="K95" s="26"/>
      <c r="L95" s="29"/>
      <c r="M95" s="29"/>
      <c r="N95" s="30"/>
    </row>
    <row r="96" spans="1:14" s="15" customFormat="1" ht="30" customHeight="1" x14ac:dyDescent="0.25">
      <c r="A96" s="1478" t="s">
        <v>1505</v>
      </c>
      <c r="B96" s="25"/>
      <c r="C96" s="45"/>
      <c r="D96" s="25"/>
      <c r="E96" s="25"/>
      <c r="F96" s="25"/>
      <c r="G96" s="25"/>
      <c r="H96" s="25"/>
      <c r="I96" s="25"/>
      <c r="J96" s="25"/>
      <c r="K96" s="25"/>
      <c r="L96" s="25"/>
      <c r="M96" s="25"/>
      <c r="N96" s="32"/>
    </row>
    <row r="97" spans="1:14" ht="15" customHeight="1" x14ac:dyDescent="0.2">
      <c r="A97" s="31"/>
      <c r="B97" s="26"/>
      <c r="C97" s="46"/>
      <c r="D97" s="26"/>
      <c r="E97" s="26"/>
      <c r="F97" s="26"/>
      <c r="G97" s="26"/>
      <c r="H97" s="26"/>
      <c r="I97" s="26"/>
      <c r="J97" s="26"/>
      <c r="K97" s="26"/>
      <c r="L97" s="26"/>
      <c r="M97" s="26"/>
      <c r="N97" s="28"/>
    </row>
    <row r="98" spans="1:14" ht="45" customHeight="1" x14ac:dyDescent="0.2">
      <c r="A98" s="31"/>
      <c r="B98" s="1021" t="s">
        <v>78</v>
      </c>
      <c r="C98" s="444" t="s">
        <v>79</v>
      </c>
      <c r="D98" s="1036" t="s">
        <v>138</v>
      </c>
      <c r="E98" s="1036" t="s">
        <v>609</v>
      </c>
      <c r="F98" s="1036" t="s">
        <v>610</v>
      </c>
      <c r="G98" s="1036" t="s">
        <v>611</v>
      </c>
      <c r="H98" s="1037" t="s">
        <v>612</v>
      </c>
      <c r="J98" s="26"/>
      <c r="K98" s="26"/>
      <c r="L98" s="26"/>
      <c r="M98" s="26"/>
      <c r="N98" s="28"/>
    </row>
    <row r="99" spans="1:14" ht="15" customHeight="1" x14ac:dyDescent="0.2">
      <c r="A99" s="31"/>
      <c r="B99" s="411" t="s">
        <v>497</v>
      </c>
      <c r="C99" s="557" t="str">
        <f>NSFR!B7</f>
        <v>Check: row 6 ≤ D64 + D67 + D72 in the General Info worksheet</v>
      </c>
      <c r="D99" s="1028"/>
      <c r="E99" s="1028"/>
      <c r="F99" s="1028"/>
      <c r="G99" s="1028"/>
      <c r="H99" s="1035" t="str">
        <f>NSFR!G7</f>
        <v>Pass</v>
      </c>
      <c r="J99" s="26"/>
      <c r="K99" s="26"/>
      <c r="L99" s="26"/>
      <c r="M99" s="26"/>
      <c r="N99" s="28"/>
    </row>
    <row r="100" spans="1:14" ht="15" customHeight="1" x14ac:dyDescent="0.2">
      <c r="A100" s="31"/>
      <c r="B100" s="403" t="s">
        <v>497</v>
      </c>
      <c r="C100" s="1034" t="str">
        <f>NSFR!B10</f>
        <v>Check: row 9 ≥ LCR stable retail and small business customer deposits</v>
      </c>
      <c r="D100" s="619" t="str">
        <f>NSFR!C10</f>
        <v>Pass</v>
      </c>
      <c r="E100" s="844"/>
      <c r="F100" s="844"/>
      <c r="G100" s="844"/>
      <c r="H100" s="989"/>
      <c r="J100" s="26"/>
      <c r="K100" s="26"/>
      <c r="L100" s="26"/>
      <c r="M100" s="26"/>
      <c r="N100" s="28"/>
    </row>
    <row r="101" spans="1:14" ht="15" customHeight="1" x14ac:dyDescent="0.2">
      <c r="A101" s="31"/>
      <c r="B101" s="403" t="s">
        <v>497</v>
      </c>
      <c r="C101" s="1034" t="str">
        <f>NSFR!B12</f>
        <v>Check: row 11 ≥ LCR less stable retail and small business customer deposits</v>
      </c>
      <c r="D101" s="619" t="str">
        <f>NSFR!C12</f>
        <v>Pass</v>
      </c>
      <c r="E101" s="844"/>
      <c r="F101" s="844"/>
      <c r="G101" s="844"/>
      <c r="H101" s="989"/>
      <c r="J101" s="26"/>
      <c r="K101" s="26"/>
      <c r="L101" s="26"/>
      <c r="M101" s="26"/>
      <c r="N101" s="28"/>
    </row>
    <row r="102" spans="1:14" ht="15" customHeight="1" x14ac:dyDescent="0.2">
      <c r="A102" s="31"/>
      <c r="B102" s="403" t="s">
        <v>497</v>
      </c>
      <c r="C102" s="1034" t="str">
        <f>NSFR!B17</f>
        <v>Check: row 13 ≥ LCR unsecured funding from non-financial corporates</v>
      </c>
      <c r="D102" s="619" t="str">
        <f>NSFR!C17</f>
        <v>Pass</v>
      </c>
      <c r="E102" s="844"/>
      <c r="F102" s="844"/>
      <c r="G102" s="844"/>
      <c r="H102" s="989"/>
      <c r="J102" s="26"/>
      <c r="K102" s="26"/>
      <c r="L102" s="26"/>
      <c r="M102" s="26"/>
      <c r="N102" s="28"/>
    </row>
    <row r="103" spans="1:14" ht="15" customHeight="1" x14ac:dyDescent="0.2">
      <c r="A103" s="31"/>
      <c r="B103" s="403" t="s">
        <v>497</v>
      </c>
      <c r="C103" s="1034" t="str">
        <f>NSFR!B18</f>
        <v>Check: row 14 ≥ LCR operational deposits from non-financial corporates</v>
      </c>
      <c r="D103" s="619" t="str">
        <f>NSFR!C18</f>
        <v>Pass</v>
      </c>
      <c r="E103" s="844"/>
      <c r="F103" s="844"/>
      <c r="G103" s="844"/>
      <c r="H103" s="989"/>
      <c r="J103" s="26"/>
      <c r="K103" s="26"/>
      <c r="L103" s="26"/>
      <c r="M103" s="26"/>
      <c r="N103" s="28"/>
    </row>
    <row r="104" spans="1:14" ht="15" customHeight="1" x14ac:dyDescent="0.2">
      <c r="A104" s="31"/>
      <c r="B104" s="403" t="s">
        <v>497</v>
      </c>
      <c r="C104" s="1034" t="str">
        <f>NSFR!B19</f>
        <v>Check: sum of rows 14 to row 16 = row 13 for each column</v>
      </c>
      <c r="D104" s="619" t="str">
        <f>NSFR!C19</f>
        <v>Pass</v>
      </c>
      <c r="E104" s="619" t="str">
        <f>NSFR!D19</f>
        <v>Pass</v>
      </c>
      <c r="F104" s="619" t="str">
        <f>NSFR!E19</f>
        <v>Pass</v>
      </c>
      <c r="G104" s="619" t="str">
        <f>NSFR!F19</f>
        <v>Pass</v>
      </c>
      <c r="H104" s="927" t="str">
        <f>NSFR!G19</f>
        <v>Pass</v>
      </c>
      <c r="J104" s="26"/>
      <c r="K104" s="26"/>
      <c r="L104" s="26"/>
      <c r="M104" s="26"/>
      <c r="N104" s="28"/>
    </row>
    <row r="105" spans="1:14" ht="15" customHeight="1" x14ac:dyDescent="0.2">
      <c r="A105" s="31"/>
      <c r="B105" s="403" t="s">
        <v>497</v>
      </c>
      <c r="C105" s="1034" t="str">
        <f>NSFR!B24</f>
        <v>Check: sum of row 21 to row 23 = row 20 for each column</v>
      </c>
      <c r="D105" s="619" t="str">
        <f>NSFR!C24</f>
        <v>Pass</v>
      </c>
      <c r="E105" s="619" t="str">
        <f>NSFR!D24</f>
        <v>Pass</v>
      </c>
      <c r="F105" s="619" t="str">
        <f>NSFR!E24</f>
        <v>Pass</v>
      </c>
      <c r="G105" s="619" t="str">
        <f>NSFR!F24</f>
        <v>Pass</v>
      </c>
      <c r="H105" s="927" t="str">
        <f>NSFR!G24</f>
        <v>Pass</v>
      </c>
      <c r="J105" s="26"/>
      <c r="K105" s="26"/>
      <c r="L105" s="26"/>
      <c r="M105" s="26"/>
      <c r="N105" s="28"/>
    </row>
    <row r="106" spans="1:14" ht="15" customHeight="1" x14ac:dyDescent="0.2">
      <c r="A106" s="31"/>
      <c r="B106" s="403" t="s">
        <v>497</v>
      </c>
      <c r="C106" s="1034" t="str">
        <f>NSFR!B29</f>
        <v>Check: sum of row 26 to row 28 = row 25 for each column</v>
      </c>
      <c r="D106" s="619" t="str">
        <f>NSFR!C29</f>
        <v>Pass</v>
      </c>
      <c r="E106" s="619" t="str">
        <f>NSFR!D29</f>
        <v>Pass</v>
      </c>
      <c r="F106" s="619" t="str">
        <f>NSFR!E29</f>
        <v>Pass</v>
      </c>
      <c r="G106" s="619" t="str">
        <f>NSFR!F29</f>
        <v>Pass</v>
      </c>
      <c r="H106" s="927" t="str">
        <f>NSFR!G29</f>
        <v>Pass</v>
      </c>
      <c r="J106" s="26"/>
      <c r="K106" s="26"/>
      <c r="L106" s="26"/>
      <c r="M106" s="26"/>
      <c r="N106" s="28"/>
    </row>
    <row r="107" spans="1:14" ht="15" customHeight="1" x14ac:dyDescent="0.2">
      <c r="A107" s="31"/>
      <c r="B107" s="403" t="s">
        <v>497</v>
      </c>
      <c r="C107" s="1034" t="str">
        <f>NSFR!B30</f>
        <v>Check: sum of row 20 and row 25 ≥ LCR unsecured funding from sovereigns/central banks/PSEs/MDBs</v>
      </c>
      <c r="D107" s="619" t="str">
        <f>NSFR!C30</f>
        <v>Pass</v>
      </c>
      <c r="E107" s="844"/>
      <c r="F107" s="844"/>
      <c r="G107" s="844"/>
      <c r="H107" s="989"/>
      <c r="J107" s="26"/>
      <c r="K107" s="26"/>
      <c r="L107" s="26"/>
      <c r="M107" s="26"/>
      <c r="N107" s="28"/>
    </row>
    <row r="108" spans="1:14" ht="15" customHeight="1" x14ac:dyDescent="0.2">
      <c r="A108" s="31"/>
      <c r="B108" s="403" t="s">
        <v>497</v>
      </c>
      <c r="C108" s="1034" t="str">
        <f>NSFR!B31</f>
        <v>Check: sum of row 21 and row 26 ≥ LCR operational deposits from sovereigns/central banks/PSEs/MDBs</v>
      </c>
      <c r="D108" s="619" t="str">
        <f>NSFR!C31</f>
        <v>Pass</v>
      </c>
      <c r="E108" s="844"/>
      <c r="F108" s="844"/>
      <c r="G108" s="844"/>
      <c r="H108" s="989"/>
      <c r="J108" s="26"/>
      <c r="K108" s="26"/>
      <c r="L108" s="26"/>
      <c r="M108" s="26"/>
      <c r="N108" s="28"/>
    </row>
    <row r="109" spans="1:14" ht="15" customHeight="1" x14ac:dyDescent="0.2">
      <c r="A109" s="31"/>
      <c r="B109" s="403" t="s">
        <v>497</v>
      </c>
      <c r="C109" s="1034" t="str">
        <f>NSFR!B36</f>
        <v>Check: row 32 ≥ LCR unsecured funding from other legal entities</v>
      </c>
      <c r="D109" s="619" t="str">
        <f>NSFR!C36</f>
        <v>Pass</v>
      </c>
      <c r="E109" s="844"/>
      <c r="F109" s="844"/>
      <c r="G109" s="844"/>
      <c r="H109" s="989"/>
      <c r="J109" s="26"/>
      <c r="K109" s="26"/>
      <c r="L109" s="26"/>
      <c r="M109" s="26"/>
      <c r="N109" s="28"/>
    </row>
    <row r="110" spans="1:14" ht="15" customHeight="1" x14ac:dyDescent="0.2">
      <c r="A110" s="31"/>
      <c r="B110" s="403" t="s">
        <v>497</v>
      </c>
      <c r="C110" s="1034" t="str">
        <f>NSFR!B37</f>
        <v>Check: row 33 ≥ LCR operational deposits from other legal entities</v>
      </c>
      <c r="D110" s="619" t="str">
        <f>NSFR!C37</f>
        <v>Pass</v>
      </c>
      <c r="E110" s="844"/>
      <c r="F110" s="844"/>
      <c r="G110" s="844"/>
      <c r="H110" s="989"/>
      <c r="J110" s="26"/>
      <c r="K110" s="26"/>
      <c r="L110" s="26"/>
      <c r="M110" s="26"/>
      <c r="N110" s="28"/>
    </row>
    <row r="111" spans="1:14" ht="15" customHeight="1" x14ac:dyDescent="0.2">
      <c r="A111" s="31"/>
      <c r="B111" s="403" t="s">
        <v>497</v>
      </c>
      <c r="C111" s="1034" t="str">
        <f>NSFR!B38</f>
        <v>Check: sum of row 33 to row 35 = row 32 for each column</v>
      </c>
      <c r="D111" s="619" t="str">
        <f>NSFR!C38</f>
        <v>Pass</v>
      </c>
      <c r="E111" s="619" t="str">
        <f>NSFR!D38</f>
        <v>Pass</v>
      </c>
      <c r="F111" s="619" t="str">
        <f>NSFR!E38</f>
        <v>Pass</v>
      </c>
      <c r="G111" s="619" t="str">
        <f>NSFR!F38</f>
        <v>Pass</v>
      </c>
      <c r="H111" s="927" t="str">
        <f>NSFR!G38</f>
        <v>Pass</v>
      </c>
      <c r="J111" s="26"/>
      <c r="K111" s="26"/>
      <c r="L111" s="26"/>
      <c r="M111" s="26"/>
      <c r="N111" s="28"/>
    </row>
    <row r="112" spans="1:14" ht="15" customHeight="1" x14ac:dyDescent="0.2">
      <c r="A112" s="31"/>
      <c r="B112" s="403" t="s">
        <v>497</v>
      </c>
      <c r="C112" s="1018" t="str">
        <f>NSFR!B40</f>
        <v>Check: row 39 ≥ LCR unsecured funding from members of the institutional networks of cooperative banks</v>
      </c>
      <c r="D112" s="619" t="str">
        <f>NSFR!C40</f>
        <v>Pass</v>
      </c>
      <c r="E112" s="844"/>
      <c r="F112" s="844"/>
      <c r="G112" s="844"/>
      <c r="H112" s="989"/>
      <c r="J112" s="26"/>
      <c r="K112" s="26"/>
      <c r="L112" s="26"/>
      <c r="M112" s="26"/>
      <c r="N112" s="28"/>
    </row>
    <row r="113" spans="1:14" s="1039" customFormat="1" ht="15" customHeight="1" x14ac:dyDescent="0.2">
      <c r="A113" s="211"/>
      <c r="B113" s="1176" t="s">
        <v>497</v>
      </c>
      <c r="C113" s="1018" t="str">
        <f>NSFR!B53</f>
        <v>Check: balances of all other liabilties and equity categories in row 52 with maturities less than one year are greater than zero</v>
      </c>
      <c r="D113" s="1266" t="str">
        <f>NSFR!C53</f>
        <v>Fail</v>
      </c>
      <c r="E113" s="844"/>
      <c r="F113" s="844"/>
      <c r="G113" s="844"/>
      <c r="H113" s="989"/>
      <c r="J113" s="204"/>
      <c r="K113" s="204"/>
      <c r="L113" s="204"/>
      <c r="M113" s="204"/>
      <c r="N113" s="1171"/>
    </row>
    <row r="114" spans="1:14" ht="15" customHeight="1" x14ac:dyDescent="0.2">
      <c r="A114" s="31"/>
      <c r="B114" s="403" t="s">
        <v>482</v>
      </c>
      <c r="C114" s="1018" t="str">
        <f>NSFR!B64</f>
        <v>Check: row 62 ≥ LCR total central bank reserves</v>
      </c>
      <c r="D114" s="619" t="str">
        <f>NSFR!C64</f>
        <v>Pass</v>
      </c>
      <c r="E114" s="844"/>
      <c r="F114" s="844"/>
      <c r="G114" s="844"/>
      <c r="H114" s="989"/>
      <c r="J114" s="26"/>
      <c r="K114" s="26"/>
      <c r="L114" s="26"/>
      <c r="M114" s="26"/>
      <c r="N114" s="28"/>
    </row>
    <row r="115" spans="1:14" ht="15" customHeight="1" x14ac:dyDescent="0.2">
      <c r="A115" s="31"/>
      <c r="B115" s="403" t="s">
        <v>482</v>
      </c>
      <c r="C115" s="1018" t="str">
        <f>NSFR!B65</f>
        <v>Check: row 63 ≥ LCR central bank reserves that can be drawn down in times of stress</v>
      </c>
      <c r="D115" s="619" t="str">
        <f>NSFR!C65</f>
        <v>Pass</v>
      </c>
      <c r="E115" s="844"/>
      <c r="F115" s="844"/>
      <c r="G115" s="844"/>
      <c r="H115" s="989"/>
      <c r="J115" s="26"/>
      <c r="K115" s="26"/>
      <c r="L115" s="26"/>
      <c r="M115" s="26"/>
      <c r="N115" s="28"/>
    </row>
    <row r="116" spans="1:14" ht="15" customHeight="1" x14ac:dyDescent="0.2">
      <c r="A116" s="31"/>
      <c r="B116" s="403" t="s">
        <v>482</v>
      </c>
      <c r="C116" s="1018" t="str">
        <f>NSFR!B66</f>
        <v>Check: row 63 ≤ row 62 for each column</v>
      </c>
      <c r="D116" s="619" t="str">
        <f>NSFR!C66</f>
        <v>Pass</v>
      </c>
      <c r="E116" s="619" t="str">
        <f>NSFR!D66</f>
        <v>Pass</v>
      </c>
      <c r="F116" s="619" t="str">
        <f>NSFR!E66</f>
        <v>Pass</v>
      </c>
      <c r="G116" s="619" t="str">
        <f>NSFR!F66</f>
        <v>Pass</v>
      </c>
      <c r="H116" s="927" t="str">
        <f>NSFR!G66</f>
        <v>Pass</v>
      </c>
      <c r="J116" s="26"/>
      <c r="K116" s="26"/>
      <c r="L116" s="26"/>
      <c r="M116" s="26"/>
      <c r="N116" s="28"/>
    </row>
    <row r="117" spans="1:14" ht="15" customHeight="1" x14ac:dyDescent="0.2">
      <c r="A117" s="31"/>
      <c r="B117" s="403" t="s">
        <v>482</v>
      </c>
      <c r="C117" s="1018" t="str">
        <f>NSFR!B262</f>
        <v>Check: balances of all other assets in row 261 with maturities less than one year are greater than zero</v>
      </c>
      <c r="D117" s="1266" t="str">
        <f>NSFR!C262</f>
        <v>Fail</v>
      </c>
      <c r="E117" s="844"/>
      <c r="F117" s="844"/>
      <c r="G117" s="844"/>
      <c r="H117" s="989"/>
      <c r="J117" s="26"/>
      <c r="K117" s="26"/>
      <c r="L117" s="26"/>
      <c r="M117" s="26"/>
      <c r="N117" s="28"/>
    </row>
    <row r="118" spans="1:14" ht="15" customHeight="1" x14ac:dyDescent="0.2">
      <c r="A118" s="31"/>
      <c r="B118" s="1019" t="s">
        <v>478</v>
      </c>
      <c r="C118" s="1020" t="str">
        <f>NSFR!B306</f>
        <v>Check: the sum of each of the columns for rows 288 to 305 should equal the corresponding column in row 39</v>
      </c>
      <c r="D118" s="686" t="str">
        <f>NSFR!C306</f>
        <v>Pass</v>
      </c>
      <c r="E118" s="686" t="str">
        <f>NSFR!D306</f>
        <v>Pass</v>
      </c>
      <c r="F118" s="686" t="str">
        <f>NSFR!E306</f>
        <v>Pass</v>
      </c>
      <c r="G118" s="686" t="str">
        <f>NSFR!F306</f>
        <v>Pass</v>
      </c>
      <c r="H118" s="962" t="str">
        <f>NSFR!G306</f>
        <v>Pass</v>
      </c>
      <c r="J118" s="26"/>
      <c r="K118" s="26"/>
      <c r="L118" s="26"/>
      <c r="M118" s="26"/>
      <c r="N118" s="28"/>
    </row>
    <row r="119" spans="1:14" s="1039" customFormat="1" ht="15" customHeight="1" x14ac:dyDescent="0.2">
      <c r="A119" s="211"/>
      <c r="B119" s="1274"/>
      <c r="C119" s="1275"/>
      <c r="D119" s="1276"/>
      <c r="E119" s="1276"/>
      <c r="F119" s="1276"/>
      <c r="G119" s="1276"/>
      <c r="H119" s="1276"/>
      <c r="J119" s="204"/>
      <c r="K119" s="204"/>
      <c r="L119" s="204"/>
      <c r="M119" s="204"/>
      <c r="N119" s="1171"/>
    </row>
    <row r="120" spans="1:14" s="15" customFormat="1" ht="30" customHeight="1" x14ac:dyDescent="0.25">
      <c r="A120" s="1478" t="s">
        <v>1506</v>
      </c>
      <c r="B120" s="203"/>
      <c r="C120" s="45"/>
      <c r="D120" s="203"/>
      <c r="E120" s="203"/>
      <c r="F120" s="203"/>
      <c r="G120" s="203"/>
      <c r="H120" s="203"/>
      <c r="I120" s="203"/>
      <c r="J120" s="203"/>
      <c r="K120" s="203"/>
      <c r="L120" s="203"/>
      <c r="M120" s="203"/>
      <c r="N120" s="32"/>
    </row>
    <row r="121" spans="1:14" s="15" customFormat="1" ht="30" customHeight="1" x14ac:dyDescent="0.25">
      <c r="A121" s="1569" t="s">
        <v>1508</v>
      </c>
      <c r="B121" s="33"/>
      <c r="C121" s="1442"/>
      <c r="D121" s="33"/>
      <c r="E121" s="33"/>
      <c r="F121" s="33"/>
      <c r="G121" s="33"/>
      <c r="H121" s="33"/>
      <c r="I121" s="33"/>
      <c r="J121" s="33"/>
      <c r="K121" s="33"/>
      <c r="L121" s="33"/>
      <c r="M121" s="33"/>
      <c r="N121" s="41"/>
    </row>
    <row r="122" spans="1:14" s="1039" customFormat="1" ht="15" customHeight="1" x14ac:dyDescent="0.2">
      <c r="A122" s="211"/>
      <c r="B122" s="204"/>
      <c r="C122" s="46"/>
      <c r="D122" s="204"/>
      <c r="E122" s="204"/>
      <c r="F122" s="204"/>
      <c r="G122" s="204"/>
      <c r="H122" s="204"/>
      <c r="I122" s="204"/>
      <c r="J122" s="204"/>
      <c r="K122" s="204"/>
      <c r="L122" s="204"/>
      <c r="M122" s="204"/>
      <c r="N122" s="1171"/>
    </row>
    <row r="123" spans="1:14" s="1039" customFormat="1" ht="15" customHeight="1" x14ac:dyDescent="0.2">
      <c r="A123" s="211"/>
      <c r="B123" s="1563" t="s">
        <v>78</v>
      </c>
      <c r="C123" s="444" t="s">
        <v>79</v>
      </c>
      <c r="D123" s="1022" t="str">
        <f>CONCATENATE("Column ", LEFT(ADDRESS(ROW('TB boundary TP'!C11),COLUMN('TB boundary TP'!C11),4), 1))</f>
        <v>Column C</v>
      </c>
      <c r="E123" s="1022" t="str">
        <f>CONCATENATE("Column ", LEFT(ADDRESS(ROW('TB boundary TP'!D11),COLUMN('TB boundary TP'!D11),4), 1))</f>
        <v>Column D</v>
      </c>
      <c r="F123" s="1022" t="str">
        <f>CONCATENATE("Column ", LEFT(ADDRESS(ROW('TB boundary TP'!E11),COLUMN('TB boundary TP'!E11),4), 1))</f>
        <v>Column E</v>
      </c>
      <c r="G123" s="1022" t="str">
        <f>CONCATENATE("Column ", LEFT(ADDRESS(ROW('TB boundary TP'!F11),COLUMN('TB boundary TP'!F11),4), 1))</f>
        <v>Column F</v>
      </c>
      <c r="H123" s="1022" t="str">
        <f>CONCATENATE("Column ", LEFT(ADDRESS(ROW('TB boundary TP'!G11),COLUMN('TB boundary TP'!G11),4), 1))</f>
        <v>Column G</v>
      </c>
      <c r="I123" s="1022" t="str">
        <f>CONCATENATE("Column ", LEFT(ADDRESS(ROW('TB boundary TP'!H11),COLUMN('TB boundary TP'!H11),4), 1))</f>
        <v>Column H</v>
      </c>
      <c r="J123" s="1562" t="str">
        <f>CONCATENATE("Column ", LEFT(ADDRESS(ROW('TB boundary TP'!I11),COLUMN('TB boundary TP'!I11),4), 1))</f>
        <v>Column I</v>
      </c>
      <c r="K123" s="204"/>
      <c r="L123" s="204"/>
      <c r="M123" s="204"/>
      <c r="N123" s="1171"/>
    </row>
    <row r="124" spans="1:14" s="1039" customFormat="1" ht="15" customHeight="1" x14ac:dyDescent="0.2">
      <c r="A124" s="211"/>
      <c r="B124" s="1178" t="s">
        <v>497</v>
      </c>
      <c r="C124" s="1277" t="str">
        <f>'TB boundary TP'!B11</f>
        <v>Check: sum of rows 6 to 9 should equal row 10</v>
      </c>
      <c r="D124" s="844"/>
      <c r="E124" s="1266" t="str">
        <f>'TB boundary TP'!D11</f>
        <v>Pass</v>
      </c>
      <c r="F124" s="1266" t="str">
        <f>'TB boundary TP'!E11</f>
        <v>Pass</v>
      </c>
      <c r="G124" s="844"/>
      <c r="H124" s="844"/>
      <c r="I124" s="844"/>
      <c r="J124" s="989"/>
      <c r="K124" s="204"/>
      <c r="L124" s="204"/>
      <c r="M124" s="204"/>
      <c r="N124" s="1171"/>
    </row>
    <row r="125" spans="1:14" s="1039" customFormat="1" ht="15" customHeight="1" x14ac:dyDescent="0.2">
      <c r="A125" s="1577"/>
      <c r="B125" s="1566" t="s">
        <v>497</v>
      </c>
      <c r="C125" s="1278" t="str">
        <f>'TB boundary TP'!B23</f>
        <v>Check: sum of rows 18 to 21 should equal row 22</v>
      </c>
      <c r="D125" s="845"/>
      <c r="E125" s="845"/>
      <c r="F125" s="845"/>
      <c r="G125" s="686" t="str">
        <f>'TB boundary TP'!F23</f>
        <v>Pass</v>
      </c>
      <c r="H125" s="686" t="str">
        <f>'TB boundary TP'!G23</f>
        <v>Pass</v>
      </c>
      <c r="I125" s="845"/>
      <c r="J125" s="962" t="str">
        <f>'TB boundary TP'!I23</f>
        <v>Pass</v>
      </c>
      <c r="K125" s="1575"/>
      <c r="L125" s="1575"/>
      <c r="M125" s="1575"/>
      <c r="N125" s="1576"/>
    </row>
    <row r="126" spans="1:14" s="1574" customFormat="1" ht="45" customHeight="1" x14ac:dyDescent="0.25">
      <c r="A126" s="1572" t="s">
        <v>1513</v>
      </c>
      <c r="B126" s="1578"/>
      <c r="C126" s="1442"/>
      <c r="D126" s="1578"/>
      <c r="E126" s="1578"/>
      <c r="F126" s="1578"/>
      <c r="G126" s="1578"/>
      <c r="H126" s="1578"/>
      <c r="I126" s="1578"/>
      <c r="J126" s="1578"/>
      <c r="K126" s="1575"/>
      <c r="L126" s="1575"/>
      <c r="M126" s="1575"/>
      <c r="N126" s="1576"/>
    </row>
    <row r="127" spans="1:14" s="1573" customFormat="1" ht="15" customHeight="1" x14ac:dyDescent="0.2">
      <c r="A127" s="1577"/>
      <c r="B127" s="1575"/>
      <c r="C127" s="46"/>
      <c r="D127" s="1575"/>
      <c r="E127" s="1575"/>
      <c r="F127" s="1575"/>
      <c r="G127" s="1575"/>
      <c r="H127" s="1575"/>
      <c r="I127" s="1575"/>
      <c r="J127" s="1575"/>
      <c r="K127" s="1575"/>
      <c r="L127" s="1575"/>
      <c r="M127" s="1575"/>
      <c r="N127" s="1576"/>
    </row>
    <row r="128" spans="1:14" s="1573" customFormat="1" ht="15" customHeight="1" x14ac:dyDescent="0.2">
      <c r="A128" s="1577"/>
      <c r="B128" s="1591" t="s">
        <v>78</v>
      </c>
      <c r="C128" s="1580" t="s">
        <v>79</v>
      </c>
      <c r="D128" s="1592" t="str">
        <f>CONCATENATE("Column ", LEFT(ADDRESS(ROW('TB boundary TP'!C16),COLUMN('TB boundary TP'!C16),4), 1))</f>
        <v>Column C</v>
      </c>
      <c r="E128" s="1592" t="str">
        <f>CONCATENATE("Column ", LEFT(ADDRESS(ROW('TB boundary TP'!D16),COLUMN('TB boundary TP'!D16),4), 1))</f>
        <v>Column D</v>
      </c>
      <c r="F128" s="1592" t="str">
        <f>CONCATENATE("Column ", LEFT(ADDRESS(ROW('TB boundary TP'!E16),COLUMN('TB boundary TP'!E16),4), 1))</f>
        <v>Column E</v>
      </c>
      <c r="G128" s="1575"/>
      <c r="H128" s="1575"/>
      <c r="I128" s="1575"/>
      <c r="J128" s="1575"/>
      <c r="K128" s="1575"/>
      <c r="L128" s="1575"/>
      <c r="M128" s="1575"/>
      <c r="N128" s="1576"/>
    </row>
    <row r="129" spans="1:14" s="1573" customFormat="1" ht="15" customHeight="1" x14ac:dyDescent="0.2">
      <c r="A129" s="1577"/>
      <c r="B129" s="1579" t="s">
        <v>497</v>
      </c>
      <c r="C129" s="1595" t="str">
        <f>'TB IMA general'!B15</f>
        <v>Check: positive VaR capital charge requires VaR which is positive but smaller than the capital charge</v>
      </c>
      <c r="D129" s="1582" t="str">
        <f>'TB IMA general'!C15</f>
        <v>Yes</v>
      </c>
      <c r="E129" s="1586"/>
      <c r="F129" s="1597" t="str">
        <f>'TB IMA general'!E15</f>
        <v>Yes</v>
      </c>
      <c r="G129" s="1575"/>
      <c r="H129" s="1575"/>
      <c r="I129" s="1575"/>
      <c r="J129" s="1575"/>
      <c r="K129" s="1575"/>
      <c r="L129" s="1575"/>
      <c r="M129" s="1575"/>
      <c r="N129" s="1576"/>
    </row>
    <row r="130" spans="1:14" s="1573" customFormat="1" ht="15" customHeight="1" x14ac:dyDescent="0.2">
      <c r="A130" s="1577"/>
      <c r="B130" s="1566" t="s">
        <v>497</v>
      </c>
      <c r="C130" s="1596" t="str">
        <f>'TB IMA general'!B17</f>
        <v>Check: positive Basel 2.5 VaR requires positive Basel 2.5 stressed VaR and vice versa</v>
      </c>
      <c r="D130" s="1584" t="str">
        <f>'TB IMA general'!C17</f>
        <v>Yes</v>
      </c>
      <c r="E130" s="1588"/>
      <c r="F130" s="1585" t="str">
        <f>'TB IMA general'!E17</f>
        <v>Yes</v>
      </c>
      <c r="G130" s="1575"/>
      <c r="H130" s="1575"/>
      <c r="I130" s="1575"/>
      <c r="J130" s="1575"/>
      <c r="K130" s="1575"/>
      <c r="L130" s="1575"/>
      <c r="M130" s="1575"/>
      <c r="N130" s="1576"/>
    </row>
    <row r="131" spans="1:14" ht="15" customHeight="1" x14ac:dyDescent="0.2">
      <c r="A131" s="27"/>
      <c r="B131" s="22"/>
      <c r="C131" s="47"/>
      <c r="D131" s="22"/>
      <c r="E131" s="22"/>
      <c r="F131" s="22"/>
      <c r="G131" s="22"/>
      <c r="H131" s="22"/>
      <c r="I131" s="22"/>
      <c r="J131" s="22"/>
      <c r="K131" s="22"/>
      <c r="L131" s="22"/>
      <c r="M131" s="22"/>
      <c r="N131" s="12"/>
    </row>
    <row r="132" spans="1:14" s="15" customFormat="1" ht="30" customHeight="1" x14ac:dyDescent="0.25">
      <c r="A132" s="1478" t="s">
        <v>1507</v>
      </c>
      <c r="B132" s="203"/>
      <c r="C132" s="45"/>
      <c r="D132" s="203"/>
      <c r="E132" s="203"/>
      <c r="F132" s="203"/>
      <c r="G132" s="203"/>
      <c r="H132" s="203"/>
      <c r="I132" s="203"/>
      <c r="J132" s="203"/>
      <c r="K132" s="203"/>
      <c r="L132" s="203"/>
      <c r="M132" s="203"/>
      <c r="N132" s="32"/>
    </row>
    <row r="133" spans="1:14" s="1293" customFormat="1" ht="15" customHeight="1" x14ac:dyDescent="0.2">
      <c r="A133" s="211"/>
      <c r="B133" s="204"/>
      <c r="C133" s="46"/>
      <c r="D133" s="204"/>
      <c r="E133" s="204"/>
      <c r="F133" s="204"/>
      <c r="G133" s="204"/>
      <c r="H133" s="204"/>
      <c r="I133" s="204"/>
      <c r="J133" s="204"/>
      <c r="K133" s="204"/>
      <c r="L133" s="204"/>
      <c r="M133" s="204"/>
      <c r="N133" s="1171"/>
    </row>
    <row r="134" spans="1:14" s="1293" customFormat="1" ht="15" customHeight="1" x14ac:dyDescent="0.2">
      <c r="A134" s="211"/>
      <c r="B134" s="1563" t="s">
        <v>78</v>
      </c>
      <c r="C134" s="444" t="s">
        <v>79</v>
      </c>
      <c r="D134" s="1562">
        <f>OpRisk!D3</f>
        <v>2004</v>
      </c>
      <c r="E134" s="1562">
        <f>OpRisk!E3</f>
        <v>2005</v>
      </c>
      <c r="F134" s="1562">
        <f>OpRisk!F3</f>
        <v>2006</v>
      </c>
      <c r="G134" s="1562">
        <f>OpRisk!G3</f>
        <v>2007</v>
      </c>
      <c r="H134" s="1562">
        <f>OpRisk!H3</f>
        <v>2008</v>
      </c>
      <c r="I134" s="1562">
        <f>OpRisk!I3</f>
        <v>2009</v>
      </c>
      <c r="J134" s="1562">
        <f>OpRisk!J3</f>
        <v>2010</v>
      </c>
      <c r="K134" s="1562">
        <f>OpRisk!K3</f>
        <v>2011</v>
      </c>
      <c r="L134" s="1562">
        <f>OpRisk!L3</f>
        <v>2012</v>
      </c>
      <c r="M134" s="1562">
        <f>OpRisk!M3</f>
        <v>2013</v>
      </c>
      <c r="N134" s="1171"/>
    </row>
    <row r="135" spans="1:14" s="1293" customFormat="1" ht="15" customHeight="1" x14ac:dyDescent="0.2">
      <c r="A135" s="211"/>
      <c r="B135" s="1181" t="s">
        <v>148</v>
      </c>
      <c r="C135" s="1565" t="str">
        <f>OpRisk!C33</f>
        <v>Check: row 32 ≤ row 31 ≤ row 30 ≤ row 29</v>
      </c>
      <c r="D135" s="1567" t="str">
        <f>OpRisk!D33</f>
        <v>Pass</v>
      </c>
      <c r="E135" s="1567" t="str">
        <f>OpRisk!E33</f>
        <v>Pass</v>
      </c>
      <c r="F135" s="1567" t="str">
        <f>OpRisk!F33</f>
        <v>Pass</v>
      </c>
      <c r="G135" s="1567" t="str">
        <f>OpRisk!G33</f>
        <v>Pass</v>
      </c>
      <c r="H135" s="1567" t="str">
        <f>OpRisk!H33</f>
        <v>Pass</v>
      </c>
      <c r="I135" s="1567" t="str">
        <f>OpRisk!I33</f>
        <v>Pass</v>
      </c>
      <c r="J135" s="1567" t="str">
        <f>OpRisk!J33</f>
        <v>Pass</v>
      </c>
      <c r="K135" s="1567" t="str">
        <f>OpRisk!K33</f>
        <v>Pass</v>
      </c>
      <c r="L135" s="1567" t="str">
        <f>OpRisk!L33</f>
        <v>Pass</v>
      </c>
      <c r="M135" s="1568" t="str">
        <f>OpRisk!M33</f>
        <v>Pass</v>
      </c>
      <c r="N135" s="1171"/>
    </row>
    <row r="136" spans="1:14" s="1293" customFormat="1" ht="15" customHeight="1" x14ac:dyDescent="0.2">
      <c r="A136" s="211"/>
      <c r="B136" s="1176" t="s">
        <v>148</v>
      </c>
      <c r="C136" s="1277" t="str">
        <f>OpRisk!C38</f>
        <v>Check: row 37 ≤ row 36 ≤ row 35 ≤ row 34</v>
      </c>
      <c r="D136" s="1266" t="str">
        <f>OpRisk!D38</f>
        <v>Pass</v>
      </c>
      <c r="E136" s="1266" t="str">
        <f>OpRisk!E38</f>
        <v>Pass</v>
      </c>
      <c r="F136" s="1266" t="str">
        <f>OpRisk!F38</f>
        <v>Pass</v>
      </c>
      <c r="G136" s="1266" t="str">
        <f>OpRisk!G38</f>
        <v>Pass</v>
      </c>
      <c r="H136" s="1266" t="str">
        <f>OpRisk!H38</f>
        <v>Pass</v>
      </c>
      <c r="I136" s="1266" t="str">
        <f>OpRisk!I38</f>
        <v>Pass</v>
      </c>
      <c r="J136" s="1266" t="str">
        <f>OpRisk!J38</f>
        <v>Pass</v>
      </c>
      <c r="K136" s="1266" t="str">
        <f>OpRisk!K38</f>
        <v>Pass</v>
      </c>
      <c r="L136" s="1266" t="str">
        <f>OpRisk!L38</f>
        <v>Pass</v>
      </c>
      <c r="M136" s="927" t="str">
        <f>OpRisk!M38</f>
        <v>Pass</v>
      </c>
      <c r="N136" s="1171"/>
    </row>
    <row r="137" spans="1:14" s="1293" customFormat="1" ht="15" customHeight="1" x14ac:dyDescent="0.2">
      <c r="A137" s="211"/>
      <c r="B137" s="1176" t="s">
        <v>148</v>
      </c>
      <c r="C137" s="1277" t="str">
        <f>OpRisk!C42</f>
        <v>Check: row 41 ≥ row 40 ≥ row 39</v>
      </c>
      <c r="D137" s="1266" t="str">
        <f>OpRisk!D42</f>
        <v>Pass</v>
      </c>
      <c r="E137" s="1266" t="str">
        <f>OpRisk!E42</f>
        <v>Pass</v>
      </c>
      <c r="F137" s="1266" t="str">
        <f>OpRisk!F42</f>
        <v>Pass</v>
      </c>
      <c r="G137" s="1266" t="str">
        <f>OpRisk!G42</f>
        <v>Pass</v>
      </c>
      <c r="H137" s="1266" t="str">
        <f>OpRisk!H42</f>
        <v>Pass</v>
      </c>
      <c r="I137" s="1266" t="str">
        <f>OpRisk!I42</f>
        <v>Pass</v>
      </c>
      <c r="J137" s="1266" t="str">
        <f>OpRisk!J42</f>
        <v>Pass</v>
      </c>
      <c r="K137" s="1266" t="str">
        <f>OpRisk!K42</f>
        <v>Pass</v>
      </c>
      <c r="L137" s="1266" t="str">
        <f>OpRisk!L42</f>
        <v>Pass</v>
      </c>
      <c r="M137" s="927" t="str">
        <f>OpRisk!M42</f>
        <v>Pass</v>
      </c>
      <c r="N137" s="1171"/>
    </row>
    <row r="138" spans="1:14" s="1293" customFormat="1" ht="15" customHeight="1" x14ac:dyDescent="0.2">
      <c r="A138" s="211"/>
      <c r="B138" s="1176" t="s">
        <v>148</v>
      </c>
      <c r="C138" s="1277" t="str">
        <f>OpRisk!C48</f>
        <v>Check: row 47 ≤ row 46 ≤ row 45 ≤ row 44</v>
      </c>
      <c r="D138" s="1266" t="str">
        <f>OpRisk!D48</f>
        <v>Pass</v>
      </c>
      <c r="E138" s="1266" t="str">
        <f>OpRisk!E48</f>
        <v>Pass</v>
      </c>
      <c r="F138" s="1266" t="str">
        <f>OpRisk!F48</f>
        <v>Pass</v>
      </c>
      <c r="G138" s="1266" t="str">
        <f>OpRisk!G48</f>
        <v>Pass</v>
      </c>
      <c r="H138" s="1266" t="str">
        <f>OpRisk!H48</f>
        <v>Pass</v>
      </c>
      <c r="I138" s="1266" t="str">
        <f>OpRisk!I48</f>
        <v>Pass</v>
      </c>
      <c r="J138" s="1266" t="str">
        <f>OpRisk!J48</f>
        <v>Pass</v>
      </c>
      <c r="K138" s="1266" t="str">
        <f>OpRisk!K48</f>
        <v>Pass</v>
      </c>
      <c r="L138" s="1266" t="str">
        <f>OpRisk!L48</f>
        <v>Pass</v>
      </c>
      <c r="M138" s="927" t="str">
        <f>OpRisk!M48</f>
        <v>Pass</v>
      </c>
      <c r="N138" s="1171"/>
    </row>
    <row r="139" spans="1:14" s="1293" customFormat="1" ht="15" customHeight="1" x14ac:dyDescent="0.2">
      <c r="A139" s="211"/>
      <c r="B139" s="1176" t="s">
        <v>148</v>
      </c>
      <c r="C139" s="1277" t="str">
        <f>OpRisk!C53</f>
        <v>Check: row 52 ≤ row 51 ≤ row 50 ≤ row 49</v>
      </c>
      <c r="D139" s="1266" t="str">
        <f>OpRisk!D53</f>
        <v>Pass</v>
      </c>
      <c r="E139" s="1266" t="str">
        <f>OpRisk!E53</f>
        <v>Pass</v>
      </c>
      <c r="F139" s="1266" t="str">
        <f>OpRisk!F53</f>
        <v>Pass</v>
      </c>
      <c r="G139" s="1266" t="str">
        <f>OpRisk!G53</f>
        <v>Pass</v>
      </c>
      <c r="H139" s="1266" t="str">
        <f>OpRisk!H53</f>
        <v>Pass</v>
      </c>
      <c r="I139" s="1266" t="str">
        <f>OpRisk!I53</f>
        <v>Pass</v>
      </c>
      <c r="J139" s="1266" t="str">
        <f>OpRisk!J53</f>
        <v>Pass</v>
      </c>
      <c r="K139" s="1266" t="str">
        <f>OpRisk!K53</f>
        <v>Pass</v>
      </c>
      <c r="L139" s="1266" t="str">
        <f>OpRisk!L53</f>
        <v>Pass</v>
      </c>
      <c r="M139" s="927" t="str">
        <f>OpRisk!M53</f>
        <v>Pass</v>
      </c>
      <c r="N139" s="1171"/>
    </row>
    <row r="140" spans="1:14" s="1293" customFormat="1" ht="15" customHeight="1" x14ac:dyDescent="0.2">
      <c r="A140" s="211"/>
      <c r="B140" s="1176" t="s">
        <v>148</v>
      </c>
      <c r="C140" s="1277" t="str">
        <f>OpRisk!C57</f>
        <v>Check: row 56 ≥ row 55 ≥ row 54</v>
      </c>
      <c r="D140" s="1266" t="str">
        <f>OpRisk!D57</f>
        <v>Pass</v>
      </c>
      <c r="E140" s="1266" t="str">
        <f>OpRisk!E57</f>
        <v>Pass</v>
      </c>
      <c r="F140" s="1266" t="str">
        <f>OpRisk!F57</f>
        <v>Pass</v>
      </c>
      <c r="G140" s="1266" t="str">
        <f>OpRisk!G57</f>
        <v>Pass</v>
      </c>
      <c r="H140" s="1266" t="str">
        <f>OpRisk!H57</f>
        <v>Pass</v>
      </c>
      <c r="I140" s="1266" t="str">
        <f>OpRisk!I57</f>
        <v>Pass</v>
      </c>
      <c r="J140" s="1266" t="str">
        <f>OpRisk!J57</f>
        <v>Pass</v>
      </c>
      <c r="K140" s="1266" t="str">
        <f>OpRisk!K57</f>
        <v>Pass</v>
      </c>
      <c r="L140" s="1266" t="str">
        <f>OpRisk!L57</f>
        <v>Pass</v>
      </c>
      <c r="M140" s="927" t="str">
        <f>OpRisk!M57</f>
        <v>Pass</v>
      </c>
      <c r="N140" s="1171"/>
    </row>
    <row r="141" spans="1:14" s="1293" customFormat="1" ht="15" customHeight="1" x14ac:dyDescent="0.2">
      <c r="A141" s="211"/>
      <c r="B141" s="1176" t="s">
        <v>148</v>
      </c>
      <c r="C141" s="1277" t="str">
        <f>OpRisk!C63</f>
        <v>Check: row 62 ≤ row 61 ≤ row 60 ≤ row 59</v>
      </c>
      <c r="D141" s="1266" t="str">
        <f>OpRisk!D63</f>
        <v>Pass</v>
      </c>
      <c r="E141" s="1266" t="str">
        <f>OpRisk!E63</f>
        <v>Pass</v>
      </c>
      <c r="F141" s="1266" t="str">
        <f>OpRisk!F63</f>
        <v>Pass</v>
      </c>
      <c r="G141" s="1266" t="str">
        <f>OpRisk!G63</f>
        <v>Pass</v>
      </c>
      <c r="H141" s="1266" t="str">
        <f>OpRisk!H63</f>
        <v>Pass</v>
      </c>
      <c r="I141" s="1266" t="str">
        <f>OpRisk!I63</f>
        <v>Pass</v>
      </c>
      <c r="J141" s="1266" t="str">
        <f>OpRisk!J63</f>
        <v>Pass</v>
      </c>
      <c r="K141" s="1266" t="str">
        <f>OpRisk!K63</f>
        <v>Pass</v>
      </c>
      <c r="L141" s="1266" t="str">
        <f>OpRisk!L63</f>
        <v>Pass</v>
      </c>
      <c r="M141" s="927" t="str">
        <f>OpRisk!M63</f>
        <v>Pass</v>
      </c>
      <c r="N141" s="1171"/>
    </row>
    <row r="142" spans="1:14" s="1293" customFormat="1" ht="15" customHeight="1" x14ac:dyDescent="0.2">
      <c r="A142" s="211"/>
      <c r="B142" s="1176" t="s">
        <v>148</v>
      </c>
      <c r="C142" s="1277" t="str">
        <f>OpRisk!C68</f>
        <v>Check: row 67 ≤ row 66 ≤ row 65 ≤ row 64</v>
      </c>
      <c r="D142" s="1266" t="str">
        <f>OpRisk!D68</f>
        <v>Pass</v>
      </c>
      <c r="E142" s="1266" t="str">
        <f>OpRisk!E68</f>
        <v>Pass</v>
      </c>
      <c r="F142" s="1266" t="str">
        <f>OpRisk!F68</f>
        <v>Pass</v>
      </c>
      <c r="G142" s="1266" t="str">
        <f>OpRisk!G68</f>
        <v>Pass</v>
      </c>
      <c r="H142" s="1266" t="str">
        <f>OpRisk!H68</f>
        <v>Pass</v>
      </c>
      <c r="I142" s="1266" t="str">
        <f>OpRisk!I68</f>
        <v>Pass</v>
      </c>
      <c r="J142" s="1266" t="str">
        <f>OpRisk!J68</f>
        <v>Pass</v>
      </c>
      <c r="K142" s="1266" t="str">
        <f>OpRisk!K68</f>
        <v>Pass</v>
      </c>
      <c r="L142" s="1266" t="str">
        <f>OpRisk!L68</f>
        <v>Pass</v>
      </c>
      <c r="M142" s="927" t="str">
        <f>OpRisk!M68</f>
        <v>Pass</v>
      </c>
      <c r="N142" s="1171"/>
    </row>
    <row r="143" spans="1:14" s="1293" customFormat="1" ht="15" customHeight="1" x14ac:dyDescent="0.2">
      <c r="A143" s="211"/>
      <c r="B143" s="1176" t="s">
        <v>148</v>
      </c>
      <c r="C143" s="1277" t="str">
        <f>OpRisk!C72</f>
        <v>Check: row 71 ≥ row 70 ≥ row 69</v>
      </c>
      <c r="D143" s="1266" t="str">
        <f>OpRisk!D72</f>
        <v>Pass</v>
      </c>
      <c r="E143" s="1266" t="str">
        <f>OpRisk!E72</f>
        <v>Pass</v>
      </c>
      <c r="F143" s="1266" t="str">
        <f>OpRisk!F72</f>
        <v>Pass</v>
      </c>
      <c r="G143" s="1266" t="str">
        <f>OpRisk!G72</f>
        <v>Pass</v>
      </c>
      <c r="H143" s="1266" t="str">
        <f>OpRisk!H72</f>
        <v>Pass</v>
      </c>
      <c r="I143" s="1266" t="str">
        <f>OpRisk!I72</f>
        <v>Pass</v>
      </c>
      <c r="J143" s="1266" t="str">
        <f>OpRisk!J72</f>
        <v>Pass</v>
      </c>
      <c r="K143" s="1266" t="str">
        <f>OpRisk!K72</f>
        <v>Pass</v>
      </c>
      <c r="L143" s="1266" t="str">
        <f>OpRisk!L72</f>
        <v>Pass</v>
      </c>
      <c r="M143" s="927" t="str">
        <f>OpRisk!M72</f>
        <v>Pass</v>
      </c>
      <c r="N143" s="1171"/>
    </row>
    <row r="144" spans="1:14" s="1293" customFormat="1" ht="15" customHeight="1" x14ac:dyDescent="0.2">
      <c r="A144" s="211"/>
      <c r="B144" s="1176" t="s">
        <v>148</v>
      </c>
      <c r="C144" s="1277" t="str">
        <f>OpRisk!C78</f>
        <v>Check: row 77 ≤ row 76 ≤ row 75 ≤ row 74</v>
      </c>
      <c r="D144" s="1266" t="str">
        <f>OpRisk!D78</f>
        <v>Pass</v>
      </c>
      <c r="E144" s="1266" t="str">
        <f>OpRisk!E78</f>
        <v>Pass</v>
      </c>
      <c r="F144" s="1266" t="str">
        <f>OpRisk!F78</f>
        <v>Pass</v>
      </c>
      <c r="G144" s="1266" t="str">
        <f>OpRisk!G78</f>
        <v>Pass</v>
      </c>
      <c r="H144" s="1266" t="str">
        <f>OpRisk!H78</f>
        <v>Pass</v>
      </c>
      <c r="I144" s="1266" t="str">
        <f>OpRisk!I78</f>
        <v>Pass</v>
      </c>
      <c r="J144" s="1266" t="str">
        <f>OpRisk!J78</f>
        <v>Pass</v>
      </c>
      <c r="K144" s="1266" t="str">
        <f>OpRisk!K78</f>
        <v>Pass</v>
      </c>
      <c r="L144" s="1266" t="str">
        <f>OpRisk!L78</f>
        <v>Pass</v>
      </c>
      <c r="M144" s="927" t="str">
        <f>OpRisk!M78</f>
        <v>Pass</v>
      </c>
      <c r="N144" s="1171"/>
    </row>
    <row r="145" spans="1:14" s="1293" customFormat="1" ht="15" customHeight="1" x14ac:dyDescent="0.2">
      <c r="A145" s="211"/>
      <c r="B145" s="1176" t="s">
        <v>148</v>
      </c>
      <c r="C145" s="1277" t="str">
        <f>OpRisk!C83</f>
        <v>Check: row 82 ≤ row 81 ≤ row 80 ≤ row 79</v>
      </c>
      <c r="D145" s="1266" t="str">
        <f>OpRisk!D83</f>
        <v>Pass</v>
      </c>
      <c r="E145" s="1266" t="str">
        <f>OpRisk!E83</f>
        <v>Pass</v>
      </c>
      <c r="F145" s="1266" t="str">
        <f>OpRisk!F83</f>
        <v>Pass</v>
      </c>
      <c r="G145" s="1266" t="str">
        <f>OpRisk!G83</f>
        <v>Pass</v>
      </c>
      <c r="H145" s="1266" t="str">
        <f>OpRisk!H83</f>
        <v>Pass</v>
      </c>
      <c r="I145" s="1266" t="str">
        <f>OpRisk!I83</f>
        <v>Pass</v>
      </c>
      <c r="J145" s="1266" t="str">
        <f>OpRisk!J83</f>
        <v>Pass</v>
      </c>
      <c r="K145" s="1266" t="str">
        <f>OpRisk!K83</f>
        <v>Pass</v>
      </c>
      <c r="L145" s="1266" t="str">
        <f>OpRisk!L83</f>
        <v>Pass</v>
      </c>
      <c r="M145" s="927" t="str">
        <f>OpRisk!M83</f>
        <v>Pass</v>
      </c>
      <c r="N145" s="1171"/>
    </row>
    <row r="146" spans="1:14" s="1293" customFormat="1" ht="15" customHeight="1" x14ac:dyDescent="0.2">
      <c r="A146" s="211"/>
      <c r="B146" s="1176" t="s">
        <v>148</v>
      </c>
      <c r="C146" s="1277" t="str">
        <f>OpRisk!C87</f>
        <v>Check: row 86 ≥ row 85 ≥ row 84</v>
      </c>
      <c r="D146" s="1266" t="str">
        <f>OpRisk!D87</f>
        <v>Pass</v>
      </c>
      <c r="E146" s="1266" t="str">
        <f>OpRisk!E87</f>
        <v>Pass</v>
      </c>
      <c r="F146" s="1266" t="str">
        <f>OpRisk!F87</f>
        <v>Pass</v>
      </c>
      <c r="G146" s="1266" t="str">
        <f>OpRisk!G87</f>
        <v>Pass</v>
      </c>
      <c r="H146" s="1266" t="str">
        <f>OpRisk!H87</f>
        <v>Pass</v>
      </c>
      <c r="I146" s="1266" t="str">
        <f>OpRisk!I87</f>
        <v>Pass</v>
      </c>
      <c r="J146" s="1266" t="str">
        <f>OpRisk!J87</f>
        <v>Pass</v>
      </c>
      <c r="K146" s="1266" t="str">
        <f>OpRisk!K87</f>
        <v>Pass</v>
      </c>
      <c r="L146" s="1266" t="str">
        <f>OpRisk!L87</f>
        <v>Pass</v>
      </c>
      <c r="M146" s="927" t="str">
        <f>OpRisk!M87</f>
        <v>Pass</v>
      </c>
      <c r="N146" s="1171"/>
    </row>
    <row r="147" spans="1:14" s="1293" customFormat="1" ht="15" customHeight="1" x14ac:dyDescent="0.2">
      <c r="A147" s="211"/>
      <c r="B147" s="1176" t="s">
        <v>148</v>
      </c>
      <c r="C147" s="1277" t="str">
        <f>OpRisk!C93</f>
        <v>Check: row 92 ≤ row 91 ≤ row 90 ≤ row 89</v>
      </c>
      <c r="D147" s="1266" t="str">
        <f>OpRisk!D93</f>
        <v>Pass</v>
      </c>
      <c r="E147" s="1266" t="str">
        <f>OpRisk!E93</f>
        <v>Pass</v>
      </c>
      <c r="F147" s="1266" t="str">
        <f>OpRisk!F93</f>
        <v>Pass</v>
      </c>
      <c r="G147" s="1266" t="str">
        <f>OpRisk!G93</f>
        <v>Pass</v>
      </c>
      <c r="H147" s="1266" t="str">
        <f>OpRisk!H93</f>
        <v>Pass</v>
      </c>
      <c r="I147" s="1266" t="str">
        <f>OpRisk!I93</f>
        <v>Pass</v>
      </c>
      <c r="J147" s="1266" t="str">
        <f>OpRisk!J93</f>
        <v>Pass</v>
      </c>
      <c r="K147" s="1266" t="str">
        <f>OpRisk!K93</f>
        <v>Pass</v>
      </c>
      <c r="L147" s="1266" t="str">
        <f>OpRisk!L93</f>
        <v>Pass</v>
      </c>
      <c r="M147" s="927" t="str">
        <f>OpRisk!M93</f>
        <v>Pass</v>
      </c>
      <c r="N147" s="1171"/>
    </row>
    <row r="148" spans="1:14" s="1293" customFormat="1" ht="15" customHeight="1" x14ac:dyDescent="0.2">
      <c r="A148" s="211"/>
      <c r="B148" s="1176" t="s">
        <v>148</v>
      </c>
      <c r="C148" s="1277" t="str">
        <f>OpRisk!C98</f>
        <v>Check: row 97 ≤ row 96 ≤ row 95 ≤ row 94</v>
      </c>
      <c r="D148" s="1266" t="str">
        <f>OpRisk!D98</f>
        <v>Pass</v>
      </c>
      <c r="E148" s="1266" t="str">
        <f>OpRisk!E98</f>
        <v>Pass</v>
      </c>
      <c r="F148" s="1266" t="str">
        <f>OpRisk!F98</f>
        <v>Pass</v>
      </c>
      <c r="G148" s="1266" t="str">
        <f>OpRisk!G98</f>
        <v>Pass</v>
      </c>
      <c r="H148" s="1266" t="str">
        <f>OpRisk!H98</f>
        <v>Pass</v>
      </c>
      <c r="I148" s="1266" t="str">
        <f>OpRisk!I98</f>
        <v>Pass</v>
      </c>
      <c r="J148" s="1266" t="str">
        <f>OpRisk!J98</f>
        <v>Pass</v>
      </c>
      <c r="K148" s="1266" t="str">
        <f>OpRisk!K98</f>
        <v>Pass</v>
      </c>
      <c r="L148" s="1266" t="str">
        <f>OpRisk!L98</f>
        <v>Pass</v>
      </c>
      <c r="M148" s="927" t="str">
        <f>OpRisk!M98</f>
        <v>Pass</v>
      </c>
      <c r="N148" s="1171"/>
    </row>
    <row r="149" spans="1:14" s="1293" customFormat="1" ht="15" customHeight="1" x14ac:dyDescent="0.2">
      <c r="A149" s="211"/>
      <c r="B149" s="1176" t="s">
        <v>148</v>
      </c>
      <c r="C149" s="1277" t="str">
        <f>OpRisk!C102</f>
        <v>Check: row 101 ≥ row 100 ≥ row 99</v>
      </c>
      <c r="D149" s="1266" t="str">
        <f>OpRisk!D102</f>
        <v>Pass</v>
      </c>
      <c r="E149" s="1266" t="str">
        <f>OpRisk!E102</f>
        <v>Pass</v>
      </c>
      <c r="F149" s="1266" t="str">
        <f>OpRisk!F102</f>
        <v>Pass</v>
      </c>
      <c r="G149" s="1266" t="str">
        <f>OpRisk!G102</f>
        <v>Pass</v>
      </c>
      <c r="H149" s="1266" t="str">
        <f>OpRisk!H102</f>
        <v>Pass</v>
      </c>
      <c r="I149" s="1266" t="str">
        <f>OpRisk!I102</f>
        <v>Pass</v>
      </c>
      <c r="J149" s="1266" t="str">
        <f>OpRisk!J102</f>
        <v>Pass</v>
      </c>
      <c r="K149" s="1266" t="str">
        <f>OpRisk!K102</f>
        <v>Pass</v>
      </c>
      <c r="L149" s="1266" t="str">
        <f>OpRisk!L102</f>
        <v>Pass</v>
      </c>
      <c r="M149" s="927" t="str">
        <f>OpRisk!M102</f>
        <v>Pass</v>
      </c>
      <c r="N149" s="1171"/>
    </row>
    <row r="150" spans="1:14" s="1293" customFormat="1" ht="15" customHeight="1" x14ac:dyDescent="0.2">
      <c r="A150" s="211"/>
      <c r="B150" s="1176" t="s">
        <v>148</v>
      </c>
      <c r="C150" s="1277" t="str">
        <f>OpRisk!C108</f>
        <v>Check: row 107 ≤ row 106 ≤ row 105 ≤ row 104</v>
      </c>
      <c r="D150" s="1266" t="str">
        <f>OpRisk!D108</f>
        <v>Pass</v>
      </c>
      <c r="E150" s="1266" t="str">
        <f>OpRisk!E108</f>
        <v>Pass</v>
      </c>
      <c r="F150" s="1266" t="str">
        <f>OpRisk!F108</f>
        <v>Pass</v>
      </c>
      <c r="G150" s="1266" t="str">
        <f>OpRisk!G108</f>
        <v>Pass</v>
      </c>
      <c r="H150" s="1266" t="str">
        <f>OpRisk!H108</f>
        <v>Pass</v>
      </c>
      <c r="I150" s="1266" t="str">
        <f>OpRisk!I108</f>
        <v>Pass</v>
      </c>
      <c r="J150" s="1266" t="str">
        <f>OpRisk!J108</f>
        <v>Pass</v>
      </c>
      <c r="K150" s="1266" t="str">
        <f>OpRisk!K108</f>
        <v>Pass</v>
      </c>
      <c r="L150" s="1266" t="str">
        <f>OpRisk!L108</f>
        <v>Pass</v>
      </c>
      <c r="M150" s="927" t="str">
        <f>OpRisk!M108</f>
        <v>Pass</v>
      </c>
      <c r="N150" s="1171"/>
    </row>
    <row r="151" spans="1:14" s="1293" customFormat="1" ht="15" customHeight="1" x14ac:dyDescent="0.2">
      <c r="A151" s="211"/>
      <c r="B151" s="1176" t="s">
        <v>148</v>
      </c>
      <c r="C151" s="1277" t="str">
        <f>OpRisk!C113</f>
        <v>Check: row 112 ≤ row 111 ≤ row 110 ≤ row 109</v>
      </c>
      <c r="D151" s="1266" t="str">
        <f>OpRisk!D113</f>
        <v>Pass</v>
      </c>
      <c r="E151" s="1266" t="str">
        <f>OpRisk!E113</f>
        <v>Pass</v>
      </c>
      <c r="F151" s="1266" t="str">
        <f>OpRisk!F113</f>
        <v>Pass</v>
      </c>
      <c r="G151" s="1266" t="str">
        <f>OpRisk!G113</f>
        <v>Pass</v>
      </c>
      <c r="H151" s="1266" t="str">
        <f>OpRisk!H113</f>
        <v>Pass</v>
      </c>
      <c r="I151" s="1266" t="str">
        <f>OpRisk!I113</f>
        <v>Pass</v>
      </c>
      <c r="J151" s="1266" t="str">
        <f>OpRisk!J113</f>
        <v>Pass</v>
      </c>
      <c r="K151" s="1266" t="str">
        <f>OpRisk!K113</f>
        <v>Pass</v>
      </c>
      <c r="L151" s="1266" t="str">
        <f>OpRisk!L113</f>
        <v>Pass</v>
      </c>
      <c r="M151" s="927" t="str">
        <f>OpRisk!M113</f>
        <v>Pass</v>
      </c>
      <c r="N151" s="1171"/>
    </row>
    <row r="152" spans="1:14" s="1293" customFormat="1" ht="15" customHeight="1" x14ac:dyDescent="0.2">
      <c r="A152" s="211"/>
      <c r="B152" s="1176" t="s">
        <v>148</v>
      </c>
      <c r="C152" s="1277" t="str">
        <f>OpRisk!C117</f>
        <v>Check: row 116 ≥ row 115 ≥ row 114</v>
      </c>
      <c r="D152" s="1266" t="str">
        <f>OpRisk!D117</f>
        <v>Pass</v>
      </c>
      <c r="E152" s="1266" t="str">
        <f>OpRisk!E117</f>
        <v>Pass</v>
      </c>
      <c r="F152" s="1266" t="str">
        <f>OpRisk!F117</f>
        <v>Pass</v>
      </c>
      <c r="G152" s="1266" t="str">
        <f>OpRisk!G117</f>
        <v>Pass</v>
      </c>
      <c r="H152" s="1266" t="str">
        <f>OpRisk!H117</f>
        <v>Pass</v>
      </c>
      <c r="I152" s="1266" t="str">
        <f>OpRisk!I117</f>
        <v>Pass</v>
      </c>
      <c r="J152" s="1266" t="str">
        <f>OpRisk!J117</f>
        <v>Pass</v>
      </c>
      <c r="K152" s="1266" t="str">
        <f>OpRisk!K117</f>
        <v>Pass</v>
      </c>
      <c r="L152" s="1266" t="str">
        <f>OpRisk!L117</f>
        <v>Pass</v>
      </c>
      <c r="M152" s="927" t="str">
        <f>OpRisk!M117</f>
        <v>Pass</v>
      </c>
      <c r="N152" s="1171"/>
    </row>
    <row r="153" spans="1:14" s="1293" customFormat="1" ht="15" customHeight="1" x14ac:dyDescent="0.2">
      <c r="A153" s="211"/>
      <c r="B153" s="1176" t="s">
        <v>148</v>
      </c>
      <c r="C153" s="1277" t="str">
        <f>OpRisk!C123</f>
        <v>Check: row 122 ≤ row 121 ≤ row 120 ≤ row 119</v>
      </c>
      <c r="D153" s="1266" t="str">
        <f>OpRisk!D123</f>
        <v>Pass</v>
      </c>
      <c r="E153" s="1266" t="str">
        <f>OpRisk!E123</f>
        <v>Pass</v>
      </c>
      <c r="F153" s="1266" t="str">
        <f>OpRisk!F123</f>
        <v>Pass</v>
      </c>
      <c r="G153" s="1266" t="str">
        <f>OpRisk!G123</f>
        <v>Pass</v>
      </c>
      <c r="H153" s="1266" t="str">
        <f>OpRisk!H123</f>
        <v>Pass</v>
      </c>
      <c r="I153" s="1266" t="str">
        <f>OpRisk!I123</f>
        <v>Pass</v>
      </c>
      <c r="J153" s="1266" t="str">
        <f>OpRisk!J123</f>
        <v>Pass</v>
      </c>
      <c r="K153" s="1266" t="str">
        <f>OpRisk!K123</f>
        <v>Pass</v>
      </c>
      <c r="L153" s="1266" t="str">
        <f>OpRisk!L123</f>
        <v>Pass</v>
      </c>
      <c r="M153" s="927" t="str">
        <f>OpRisk!M123</f>
        <v>Pass</v>
      </c>
      <c r="N153" s="1171"/>
    </row>
    <row r="154" spans="1:14" s="1293" customFormat="1" ht="15" customHeight="1" x14ac:dyDescent="0.2">
      <c r="A154" s="211"/>
      <c r="B154" s="1176" t="s">
        <v>148</v>
      </c>
      <c r="C154" s="1277" t="str">
        <f>OpRisk!C128</f>
        <v>Check: row 127 ≤ row 126 ≤ row 125 ≤ row 124</v>
      </c>
      <c r="D154" s="1266" t="str">
        <f>OpRisk!D128</f>
        <v>Pass</v>
      </c>
      <c r="E154" s="1266" t="str">
        <f>OpRisk!E128</f>
        <v>Pass</v>
      </c>
      <c r="F154" s="1266" t="str">
        <f>OpRisk!F128</f>
        <v>Pass</v>
      </c>
      <c r="G154" s="1266" t="str">
        <f>OpRisk!G128</f>
        <v>Pass</v>
      </c>
      <c r="H154" s="1266" t="str">
        <f>OpRisk!H128</f>
        <v>Pass</v>
      </c>
      <c r="I154" s="1266" t="str">
        <f>OpRisk!I128</f>
        <v>Pass</v>
      </c>
      <c r="J154" s="1266" t="str">
        <f>OpRisk!J128</f>
        <v>Pass</v>
      </c>
      <c r="K154" s="1266" t="str">
        <f>OpRisk!K128</f>
        <v>Pass</v>
      </c>
      <c r="L154" s="1266" t="str">
        <f>OpRisk!L128</f>
        <v>Pass</v>
      </c>
      <c r="M154" s="927" t="str">
        <f>OpRisk!M128</f>
        <v>Pass</v>
      </c>
      <c r="N154" s="1171"/>
    </row>
    <row r="155" spans="1:14" s="1293" customFormat="1" ht="15" customHeight="1" x14ac:dyDescent="0.2">
      <c r="A155" s="211"/>
      <c r="B155" s="1176" t="s">
        <v>148</v>
      </c>
      <c r="C155" s="1277" t="str">
        <f>OpRisk!C132</f>
        <v>Check: row 131 ≥ row 130 ≥ row 129</v>
      </c>
      <c r="D155" s="1266" t="str">
        <f>OpRisk!D132</f>
        <v>Pass</v>
      </c>
      <c r="E155" s="1266" t="str">
        <f>OpRisk!E132</f>
        <v>Pass</v>
      </c>
      <c r="F155" s="1266" t="str">
        <f>OpRisk!F132</f>
        <v>Pass</v>
      </c>
      <c r="G155" s="1266" t="str">
        <f>OpRisk!G132</f>
        <v>Pass</v>
      </c>
      <c r="H155" s="1266" t="str">
        <f>OpRisk!H132</f>
        <v>Pass</v>
      </c>
      <c r="I155" s="1266" t="str">
        <f>OpRisk!I132</f>
        <v>Pass</v>
      </c>
      <c r="J155" s="1266" t="str">
        <f>OpRisk!J132</f>
        <v>Pass</v>
      </c>
      <c r="K155" s="1266" t="str">
        <f>OpRisk!K132</f>
        <v>Pass</v>
      </c>
      <c r="L155" s="1266" t="str">
        <f>OpRisk!L132</f>
        <v>Pass</v>
      </c>
      <c r="M155" s="927" t="str">
        <f>OpRisk!M132</f>
        <v>Pass</v>
      </c>
      <c r="N155" s="1171"/>
    </row>
    <row r="156" spans="1:14" s="1293" customFormat="1" ht="15" customHeight="1" x14ac:dyDescent="0.2">
      <c r="A156" s="211"/>
      <c r="B156" s="1176" t="s">
        <v>148</v>
      </c>
      <c r="C156" s="1277" t="str">
        <f>OpRisk!C138</f>
        <v>Check: row 137 ≤ row 136 ≤ row 135 ≤ row 134</v>
      </c>
      <c r="D156" s="1266" t="str">
        <f>OpRisk!D138</f>
        <v>Pass</v>
      </c>
      <c r="E156" s="1266" t="str">
        <f>OpRisk!E138</f>
        <v>Pass</v>
      </c>
      <c r="F156" s="1266" t="str">
        <f>OpRisk!F138</f>
        <v>Pass</v>
      </c>
      <c r="G156" s="1266" t="str">
        <f>OpRisk!G138</f>
        <v>Pass</v>
      </c>
      <c r="H156" s="1266" t="str">
        <f>OpRisk!H138</f>
        <v>Pass</v>
      </c>
      <c r="I156" s="1266" t="str">
        <f>OpRisk!I138</f>
        <v>Pass</v>
      </c>
      <c r="J156" s="1266" t="str">
        <f>OpRisk!J138</f>
        <v>Pass</v>
      </c>
      <c r="K156" s="1266" t="str">
        <f>OpRisk!K138</f>
        <v>Pass</v>
      </c>
      <c r="L156" s="1266" t="str">
        <f>OpRisk!L138</f>
        <v>Pass</v>
      </c>
      <c r="M156" s="927" t="str">
        <f>OpRisk!M138</f>
        <v>Pass</v>
      </c>
      <c r="N156" s="1171"/>
    </row>
    <row r="157" spans="1:14" s="1293" customFormat="1" ht="15" customHeight="1" x14ac:dyDescent="0.2">
      <c r="A157" s="211"/>
      <c r="B157" s="1176" t="s">
        <v>148</v>
      </c>
      <c r="C157" s="1277" t="str">
        <f>OpRisk!C143</f>
        <v>Check: row 142 ≤ row 141 ≤ row 140 ≤ row 139</v>
      </c>
      <c r="D157" s="1266" t="str">
        <f>OpRisk!D143</f>
        <v>Pass</v>
      </c>
      <c r="E157" s="1266" t="str">
        <f>OpRisk!E143</f>
        <v>Pass</v>
      </c>
      <c r="F157" s="1266" t="str">
        <f>OpRisk!F143</f>
        <v>Pass</v>
      </c>
      <c r="G157" s="1266" t="str">
        <f>OpRisk!G143</f>
        <v>Pass</v>
      </c>
      <c r="H157" s="1266" t="str">
        <f>OpRisk!H143</f>
        <v>Pass</v>
      </c>
      <c r="I157" s="1266" t="str">
        <f>OpRisk!I143</f>
        <v>Pass</v>
      </c>
      <c r="J157" s="1266" t="str">
        <f>OpRisk!J143</f>
        <v>Pass</v>
      </c>
      <c r="K157" s="1266" t="str">
        <f>OpRisk!K143</f>
        <v>Pass</v>
      </c>
      <c r="L157" s="1266" t="str">
        <f>OpRisk!L143</f>
        <v>Pass</v>
      </c>
      <c r="M157" s="927" t="str">
        <f>OpRisk!M143</f>
        <v>Pass</v>
      </c>
      <c r="N157" s="1171"/>
    </row>
    <row r="158" spans="1:14" s="1293" customFormat="1" ht="15" customHeight="1" x14ac:dyDescent="0.2">
      <c r="A158" s="211"/>
      <c r="B158" s="1176" t="s">
        <v>148</v>
      </c>
      <c r="C158" s="1277" t="str">
        <f>OpRisk!C147</f>
        <v>Check: row 146 ≥ row 145 ≥ row 144</v>
      </c>
      <c r="D158" s="1266" t="str">
        <f>OpRisk!D147</f>
        <v>Pass</v>
      </c>
      <c r="E158" s="1266" t="str">
        <f>OpRisk!E147</f>
        <v>Pass</v>
      </c>
      <c r="F158" s="1266" t="str">
        <f>OpRisk!F147</f>
        <v>Pass</v>
      </c>
      <c r="G158" s="1266" t="str">
        <f>OpRisk!G147</f>
        <v>Pass</v>
      </c>
      <c r="H158" s="1266" t="str">
        <f>OpRisk!H147</f>
        <v>Pass</v>
      </c>
      <c r="I158" s="1266" t="str">
        <f>OpRisk!I147</f>
        <v>Pass</v>
      </c>
      <c r="J158" s="1266" t="str">
        <f>OpRisk!J147</f>
        <v>Pass</v>
      </c>
      <c r="K158" s="1266" t="str">
        <f>OpRisk!K147</f>
        <v>Pass</v>
      </c>
      <c r="L158" s="1266" t="str">
        <f>OpRisk!L147</f>
        <v>Pass</v>
      </c>
      <c r="M158" s="927" t="str">
        <f>OpRisk!M147</f>
        <v>Pass</v>
      </c>
      <c r="N158" s="1171"/>
    </row>
    <row r="159" spans="1:14" s="1293" customFormat="1" ht="15" customHeight="1" x14ac:dyDescent="0.2">
      <c r="A159" s="211"/>
      <c r="B159" s="1176" t="s">
        <v>478</v>
      </c>
      <c r="C159" s="1277" t="str">
        <f>OpRisk!C157</f>
        <v>Check: sum of rows 155 and 156 ≤ row 154</v>
      </c>
      <c r="D159" s="1266" t="str">
        <f>OpRisk!D157</f>
        <v>Pass</v>
      </c>
      <c r="E159" s="1266" t="str">
        <f>OpRisk!E157</f>
        <v>Pass</v>
      </c>
      <c r="F159" s="1266" t="str">
        <f>OpRisk!F157</f>
        <v>Pass</v>
      </c>
      <c r="G159" s="1266" t="str">
        <f>OpRisk!G157</f>
        <v>Pass</v>
      </c>
      <c r="H159" s="1266" t="str">
        <f>OpRisk!H157</f>
        <v>Pass</v>
      </c>
      <c r="I159" s="1266" t="str">
        <f>OpRisk!I157</f>
        <v>Pass</v>
      </c>
      <c r="J159" s="1266" t="str">
        <f>OpRisk!J157</f>
        <v>Pass</v>
      </c>
      <c r="K159" s="1266" t="str">
        <f>OpRisk!K157</f>
        <v>Pass</v>
      </c>
      <c r="L159" s="1266" t="str">
        <f>OpRisk!L157</f>
        <v>Pass</v>
      </c>
      <c r="M159" s="927" t="str">
        <f>OpRisk!M157</f>
        <v>Pass</v>
      </c>
      <c r="N159" s="1171"/>
    </row>
    <row r="160" spans="1:14" s="1293" customFormat="1" ht="15" customHeight="1" x14ac:dyDescent="0.2">
      <c r="A160" s="211"/>
      <c r="B160" s="1176" t="s">
        <v>478</v>
      </c>
      <c r="C160" s="1277" t="str">
        <f>OpRisk!C161</f>
        <v>Check: sum of rows 159 and 160 ≤ row 158</v>
      </c>
      <c r="D160" s="1266" t="str">
        <f>OpRisk!D161</f>
        <v>Pass</v>
      </c>
      <c r="E160" s="1266" t="str">
        <f>OpRisk!E161</f>
        <v>Pass</v>
      </c>
      <c r="F160" s="1266" t="str">
        <f>OpRisk!F161</f>
        <v>Pass</v>
      </c>
      <c r="G160" s="1266" t="str">
        <f>OpRisk!G161</f>
        <v>Pass</v>
      </c>
      <c r="H160" s="1266" t="str">
        <f>OpRisk!H161</f>
        <v>Pass</v>
      </c>
      <c r="I160" s="1266" t="str">
        <f>OpRisk!I161</f>
        <v>Pass</v>
      </c>
      <c r="J160" s="1266" t="str">
        <f>OpRisk!J161</f>
        <v>Pass</v>
      </c>
      <c r="K160" s="1266" t="str">
        <f>OpRisk!K161</f>
        <v>Pass</v>
      </c>
      <c r="L160" s="1266" t="str">
        <f>OpRisk!L161</f>
        <v>Pass</v>
      </c>
      <c r="M160" s="927" t="str">
        <f>OpRisk!M161</f>
        <v>Pass</v>
      </c>
      <c r="N160" s="1171"/>
    </row>
    <row r="161" spans="1:14" s="1293" customFormat="1" ht="15" customHeight="1" x14ac:dyDescent="0.2">
      <c r="A161" s="211"/>
      <c r="B161" s="1176" t="s">
        <v>478</v>
      </c>
      <c r="C161" s="1277" t="str">
        <f>OpRisk!C165</f>
        <v>Check: sum of rows 163 and 164 ≤ row 162</v>
      </c>
      <c r="D161" s="1266" t="str">
        <f>OpRisk!D165</f>
        <v>Pass</v>
      </c>
      <c r="E161" s="1266" t="str">
        <f>OpRisk!E165</f>
        <v>Pass</v>
      </c>
      <c r="F161" s="1266" t="str">
        <f>OpRisk!F165</f>
        <v>Pass</v>
      </c>
      <c r="G161" s="1266" t="str">
        <f>OpRisk!G165</f>
        <v>Pass</v>
      </c>
      <c r="H161" s="1266" t="str">
        <f>OpRisk!H165</f>
        <v>Pass</v>
      </c>
      <c r="I161" s="1266" t="str">
        <f>OpRisk!I165</f>
        <v>Pass</v>
      </c>
      <c r="J161" s="1266" t="str">
        <f>OpRisk!J165</f>
        <v>Pass</v>
      </c>
      <c r="K161" s="1266" t="str">
        <f>OpRisk!K165</f>
        <v>Pass</v>
      </c>
      <c r="L161" s="1266" t="str">
        <f>OpRisk!L165</f>
        <v>Pass</v>
      </c>
      <c r="M161" s="927" t="str">
        <f>OpRisk!M165</f>
        <v>Pass</v>
      </c>
      <c r="N161" s="1171"/>
    </row>
    <row r="162" spans="1:14" s="1293" customFormat="1" ht="15" customHeight="1" x14ac:dyDescent="0.2">
      <c r="A162" s="211"/>
      <c r="B162" s="1176" t="s">
        <v>478</v>
      </c>
      <c r="C162" s="1277" t="str">
        <f>OpRisk!B166</f>
        <v>Check: row 162 ≤ row 158 ≤ row 154</v>
      </c>
      <c r="D162" s="1266" t="str">
        <f>OpRisk!D166</f>
        <v>Pass</v>
      </c>
      <c r="E162" s="1266" t="str">
        <f>OpRisk!E166</f>
        <v>Pass</v>
      </c>
      <c r="F162" s="1266" t="str">
        <f>OpRisk!F166</f>
        <v>Pass</v>
      </c>
      <c r="G162" s="1266" t="str">
        <f>OpRisk!G166</f>
        <v>Pass</v>
      </c>
      <c r="H162" s="1266" t="str">
        <f>OpRisk!H166</f>
        <v>Pass</v>
      </c>
      <c r="I162" s="1266" t="str">
        <f>OpRisk!I166</f>
        <v>Pass</v>
      </c>
      <c r="J162" s="1266" t="str">
        <f>OpRisk!J166</f>
        <v>Pass</v>
      </c>
      <c r="K162" s="1266" t="str">
        <f>OpRisk!K166</f>
        <v>Pass</v>
      </c>
      <c r="L162" s="1266" t="str">
        <f>OpRisk!L166</f>
        <v>Pass</v>
      </c>
      <c r="M162" s="927" t="str">
        <f>OpRisk!M166</f>
        <v>Pass</v>
      </c>
      <c r="N162" s="1171"/>
    </row>
    <row r="163" spans="1:14" s="1293" customFormat="1" ht="15" customHeight="1" x14ac:dyDescent="0.2">
      <c r="A163" s="211"/>
      <c r="B163" s="1176" t="s">
        <v>478</v>
      </c>
      <c r="C163" s="1277" t="str">
        <f>OpRisk!C170</f>
        <v>Check: sum of rows 168 and 169 ≤ row 167</v>
      </c>
      <c r="D163" s="1266" t="str">
        <f>OpRisk!D170</f>
        <v>Pass</v>
      </c>
      <c r="E163" s="1266" t="str">
        <f>OpRisk!E170</f>
        <v>Pass</v>
      </c>
      <c r="F163" s="1266" t="str">
        <f>OpRisk!F170</f>
        <v>Pass</v>
      </c>
      <c r="G163" s="1266" t="str">
        <f>OpRisk!G170</f>
        <v>Pass</v>
      </c>
      <c r="H163" s="1266" t="str">
        <f>OpRisk!H170</f>
        <v>Pass</v>
      </c>
      <c r="I163" s="1266" t="str">
        <f>OpRisk!I170</f>
        <v>Pass</v>
      </c>
      <c r="J163" s="1266" t="str">
        <f>OpRisk!J170</f>
        <v>Pass</v>
      </c>
      <c r="K163" s="1266" t="str">
        <f>OpRisk!K170</f>
        <v>Pass</v>
      </c>
      <c r="L163" s="1266" t="str">
        <f>OpRisk!L170</f>
        <v>Pass</v>
      </c>
      <c r="M163" s="927" t="str">
        <f>OpRisk!M170</f>
        <v>Pass</v>
      </c>
      <c r="N163" s="1171"/>
    </row>
    <row r="164" spans="1:14" s="1293" customFormat="1" ht="15" customHeight="1" x14ac:dyDescent="0.2">
      <c r="A164" s="211"/>
      <c r="B164" s="1176" t="s">
        <v>478</v>
      </c>
      <c r="C164" s="1277" t="str">
        <f>OpRisk!C174</f>
        <v>Check: sum of rows 172 and 173 ≤ row 171</v>
      </c>
      <c r="D164" s="1266" t="str">
        <f>OpRisk!D174</f>
        <v>Pass</v>
      </c>
      <c r="E164" s="1266" t="str">
        <f>OpRisk!E174</f>
        <v>Pass</v>
      </c>
      <c r="F164" s="1266" t="str">
        <f>OpRisk!F174</f>
        <v>Pass</v>
      </c>
      <c r="G164" s="1266" t="str">
        <f>OpRisk!G174</f>
        <v>Pass</v>
      </c>
      <c r="H164" s="1266" t="str">
        <f>OpRisk!H174</f>
        <v>Pass</v>
      </c>
      <c r="I164" s="1266" t="str">
        <f>OpRisk!I174</f>
        <v>Pass</v>
      </c>
      <c r="J164" s="1266" t="str">
        <f>OpRisk!J174</f>
        <v>Pass</v>
      </c>
      <c r="K164" s="1266" t="str">
        <f>OpRisk!K174</f>
        <v>Pass</v>
      </c>
      <c r="L164" s="1266" t="str">
        <f>OpRisk!L174</f>
        <v>Pass</v>
      </c>
      <c r="M164" s="927" t="str">
        <f>OpRisk!M174</f>
        <v>Pass</v>
      </c>
      <c r="N164" s="1171"/>
    </row>
    <row r="165" spans="1:14" s="1293" customFormat="1" ht="15" customHeight="1" x14ac:dyDescent="0.2">
      <c r="A165" s="211"/>
      <c r="B165" s="1176" t="s">
        <v>478</v>
      </c>
      <c r="C165" s="1277" t="str">
        <f>OpRisk!C178</f>
        <v>Check: sum of rows 176 and 177 ≤ row 175</v>
      </c>
      <c r="D165" s="1266" t="str">
        <f>OpRisk!D178</f>
        <v>Pass</v>
      </c>
      <c r="E165" s="1266" t="str">
        <f>OpRisk!E178</f>
        <v>Pass</v>
      </c>
      <c r="F165" s="1266" t="str">
        <f>OpRisk!F178</f>
        <v>Pass</v>
      </c>
      <c r="G165" s="1266" t="str">
        <f>OpRisk!G178</f>
        <v>Pass</v>
      </c>
      <c r="H165" s="1266" t="str">
        <f>OpRisk!H178</f>
        <v>Pass</v>
      </c>
      <c r="I165" s="1266" t="str">
        <f>OpRisk!I178</f>
        <v>Pass</v>
      </c>
      <c r="J165" s="1266" t="str">
        <f>OpRisk!J178</f>
        <v>Pass</v>
      </c>
      <c r="K165" s="1266" t="str">
        <f>OpRisk!K178</f>
        <v>Pass</v>
      </c>
      <c r="L165" s="1266" t="str">
        <f>OpRisk!L178</f>
        <v>Pass</v>
      </c>
      <c r="M165" s="927" t="str">
        <f>OpRisk!M178</f>
        <v>Pass</v>
      </c>
      <c r="N165" s="1171"/>
    </row>
    <row r="166" spans="1:14" s="1293" customFormat="1" ht="15" customHeight="1" x14ac:dyDescent="0.2">
      <c r="A166" s="211"/>
      <c r="B166" s="1176" t="s">
        <v>478</v>
      </c>
      <c r="C166" s="1277" t="str">
        <f>OpRisk!B179</f>
        <v>Check: row 175 ≤ row 171 ≤ row 167</v>
      </c>
      <c r="D166" s="1266" t="str">
        <f>OpRisk!D179</f>
        <v>Pass</v>
      </c>
      <c r="E166" s="1266" t="str">
        <f>OpRisk!E179</f>
        <v>Pass</v>
      </c>
      <c r="F166" s="1266" t="str">
        <f>OpRisk!F179</f>
        <v>Pass</v>
      </c>
      <c r="G166" s="1266" t="str">
        <f>OpRisk!G179</f>
        <v>Pass</v>
      </c>
      <c r="H166" s="1266" t="str">
        <f>OpRisk!H179</f>
        <v>Pass</v>
      </c>
      <c r="I166" s="1266" t="str">
        <f>OpRisk!I179</f>
        <v>Pass</v>
      </c>
      <c r="J166" s="1266" t="str">
        <f>OpRisk!J179</f>
        <v>Pass</v>
      </c>
      <c r="K166" s="1266" t="str">
        <f>OpRisk!K179</f>
        <v>Pass</v>
      </c>
      <c r="L166" s="1266" t="str">
        <f>OpRisk!L179</f>
        <v>Pass</v>
      </c>
      <c r="M166" s="927" t="str">
        <f>OpRisk!M179</f>
        <v>Pass</v>
      </c>
      <c r="N166" s="1171"/>
    </row>
    <row r="167" spans="1:14" s="1293" customFormat="1" ht="15" customHeight="1" x14ac:dyDescent="0.2">
      <c r="A167" s="211"/>
      <c r="B167" s="1176" t="s">
        <v>478</v>
      </c>
      <c r="C167" s="1277" t="str">
        <f>OpRisk!C183</f>
        <v>Check: rows 181 and 182 ≤ row 180</v>
      </c>
      <c r="D167" s="1266" t="str">
        <f>OpRisk!D183</f>
        <v>Pass</v>
      </c>
      <c r="E167" s="1266" t="str">
        <f>OpRisk!E183</f>
        <v>Pass</v>
      </c>
      <c r="F167" s="1266" t="str">
        <f>OpRisk!F183</f>
        <v>Pass</v>
      </c>
      <c r="G167" s="1266" t="str">
        <f>OpRisk!G183</f>
        <v>Pass</v>
      </c>
      <c r="H167" s="1266" t="str">
        <f>OpRisk!H183</f>
        <v>Pass</v>
      </c>
      <c r="I167" s="1266" t="str">
        <f>OpRisk!I183</f>
        <v>Pass</v>
      </c>
      <c r="J167" s="1266" t="str">
        <f>OpRisk!J183</f>
        <v>Pass</v>
      </c>
      <c r="K167" s="1266" t="str">
        <f>OpRisk!K183</f>
        <v>Pass</v>
      </c>
      <c r="L167" s="1266" t="str">
        <f>OpRisk!L183</f>
        <v>Pass</v>
      </c>
      <c r="M167" s="927" t="str">
        <f>OpRisk!M183</f>
        <v>Pass</v>
      </c>
      <c r="N167" s="1171"/>
    </row>
    <row r="168" spans="1:14" s="1293" customFormat="1" ht="15" customHeight="1" x14ac:dyDescent="0.2">
      <c r="A168" s="211"/>
      <c r="B168" s="1176" t="s">
        <v>479</v>
      </c>
      <c r="C168" s="1277" t="str">
        <f>OpRisk!C193</f>
        <v>Check: row 192 ≤ row 191</v>
      </c>
      <c r="D168" s="844"/>
      <c r="E168" s="844"/>
      <c r="F168" s="844"/>
      <c r="G168" s="844"/>
      <c r="H168" s="844"/>
      <c r="I168" s="1266" t="str">
        <f>OpRisk!I193</f>
        <v>Pass</v>
      </c>
      <c r="J168" s="1266" t="str">
        <f>OpRisk!J193</f>
        <v>Pass</v>
      </c>
      <c r="K168" s="1266" t="str">
        <f>OpRisk!K193</f>
        <v>Pass</v>
      </c>
      <c r="L168" s="1266" t="str">
        <f>OpRisk!L193</f>
        <v>Pass</v>
      </c>
      <c r="M168" s="927" t="str">
        <f>OpRisk!M193</f>
        <v>Pass</v>
      </c>
      <c r="N168" s="1171"/>
    </row>
    <row r="169" spans="1:14" s="1293" customFormat="1" ht="15" customHeight="1" x14ac:dyDescent="0.2">
      <c r="A169" s="211"/>
      <c r="B169" s="1176" t="s">
        <v>479</v>
      </c>
      <c r="C169" s="1277" t="str">
        <f>OpRisk!C196</f>
        <v>Check: row 195 ≤ row 194</v>
      </c>
      <c r="D169" s="844"/>
      <c r="E169" s="844"/>
      <c r="F169" s="844"/>
      <c r="G169" s="844"/>
      <c r="H169" s="844"/>
      <c r="I169" s="1266" t="str">
        <f>OpRisk!I196</f>
        <v>Pass</v>
      </c>
      <c r="J169" s="1266" t="str">
        <f>OpRisk!J196</f>
        <v>Pass</v>
      </c>
      <c r="K169" s="1266" t="str">
        <f>OpRisk!K196</f>
        <v>Pass</v>
      </c>
      <c r="L169" s="1266" t="str">
        <f>OpRisk!L196</f>
        <v>Pass</v>
      </c>
      <c r="M169" s="927" t="str">
        <f>OpRisk!M196</f>
        <v>Pass</v>
      </c>
      <c r="N169" s="1171"/>
    </row>
    <row r="170" spans="1:14" s="1293" customFormat="1" ht="15" customHeight="1" x14ac:dyDescent="0.2">
      <c r="A170" s="211"/>
      <c r="B170" s="1176" t="s">
        <v>479</v>
      </c>
      <c r="C170" s="1277" t="str">
        <f>OpRisk!C201</f>
        <v>Check: row 200 ≤ row 199</v>
      </c>
      <c r="D170" s="844"/>
      <c r="E170" s="844"/>
      <c r="F170" s="844"/>
      <c r="G170" s="844"/>
      <c r="H170" s="844"/>
      <c r="I170" s="1266" t="str">
        <f>OpRisk!I201</f>
        <v>Pass</v>
      </c>
      <c r="J170" s="1266" t="str">
        <f>OpRisk!J201</f>
        <v>Pass</v>
      </c>
      <c r="K170" s="1266" t="str">
        <f>OpRisk!K201</f>
        <v>Pass</v>
      </c>
      <c r="L170" s="1266" t="str">
        <f>OpRisk!L201</f>
        <v>Pass</v>
      </c>
      <c r="M170" s="927" t="str">
        <f>OpRisk!M201</f>
        <v>Pass</v>
      </c>
      <c r="N170" s="1171"/>
    </row>
    <row r="171" spans="1:14" s="1293" customFormat="1" ht="15" customHeight="1" x14ac:dyDescent="0.2">
      <c r="A171" s="211"/>
      <c r="B171" s="1176" t="s">
        <v>479</v>
      </c>
      <c r="C171" s="1277" t="str">
        <f>OpRisk!C204</f>
        <v>Check: row 203 ≤ row 202</v>
      </c>
      <c r="D171" s="844"/>
      <c r="E171" s="844"/>
      <c r="F171" s="844"/>
      <c r="G171" s="844"/>
      <c r="H171" s="844"/>
      <c r="I171" s="1266" t="str">
        <f>OpRisk!I204</f>
        <v>Pass</v>
      </c>
      <c r="J171" s="1266" t="str">
        <f>OpRisk!J204</f>
        <v>Pass</v>
      </c>
      <c r="K171" s="1266" t="str">
        <f>OpRisk!K204</f>
        <v>Pass</v>
      </c>
      <c r="L171" s="1266" t="str">
        <f>OpRisk!L204</f>
        <v>Pass</v>
      </c>
      <c r="M171" s="927" t="str">
        <f>OpRisk!M204</f>
        <v>Pass</v>
      </c>
      <c r="N171" s="1171"/>
    </row>
    <row r="172" spans="1:14" s="1293" customFormat="1" ht="15" customHeight="1" x14ac:dyDescent="0.2">
      <c r="A172" s="211"/>
      <c r="B172" s="1176" t="s">
        <v>479</v>
      </c>
      <c r="C172" s="1277" t="str">
        <f>OpRisk!C209</f>
        <v>Check: row 208 ≤ row 207</v>
      </c>
      <c r="D172" s="844"/>
      <c r="E172" s="844"/>
      <c r="F172" s="844"/>
      <c r="G172" s="844"/>
      <c r="H172" s="844"/>
      <c r="I172" s="1266" t="str">
        <f>OpRisk!I209</f>
        <v>Pass</v>
      </c>
      <c r="J172" s="1266" t="str">
        <f>OpRisk!J209</f>
        <v>Pass</v>
      </c>
      <c r="K172" s="1266" t="str">
        <f>OpRisk!K209</f>
        <v>Pass</v>
      </c>
      <c r="L172" s="1266" t="str">
        <f>OpRisk!L209</f>
        <v>Pass</v>
      </c>
      <c r="M172" s="927" t="str">
        <f>OpRisk!M209</f>
        <v>Pass</v>
      </c>
      <c r="N172" s="1171"/>
    </row>
    <row r="173" spans="1:14" s="1293" customFormat="1" ht="15" customHeight="1" x14ac:dyDescent="0.2">
      <c r="A173" s="211"/>
      <c r="B173" s="1176" t="s">
        <v>479</v>
      </c>
      <c r="C173" s="1277" t="str">
        <f>OpRisk!C212</f>
        <v>Check: row 211 ≤ row 210</v>
      </c>
      <c r="D173" s="844"/>
      <c r="E173" s="844"/>
      <c r="F173" s="844"/>
      <c r="G173" s="844"/>
      <c r="H173" s="844"/>
      <c r="I173" s="1266" t="str">
        <f>OpRisk!I212</f>
        <v>Pass</v>
      </c>
      <c r="J173" s="1266" t="str">
        <f>OpRisk!J212</f>
        <v>Pass</v>
      </c>
      <c r="K173" s="1266" t="str">
        <f>OpRisk!K212</f>
        <v>Pass</v>
      </c>
      <c r="L173" s="1266" t="str">
        <f>OpRisk!L212</f>
        <v>Pass</v>
      </c>
      <c r="M173" s="927" t="str">
        <f>OpRisk!M212</f>
        <v>Pass</v>
      </c>
      <c r="N173" s="1171"/>
    </row>
    <row r="174" spans="1:14" s="1293" customFormat="1" ht="15" customHeight="1" x14ac:dyDescent="0.2">
      <c r="A174" s="211"/>
      <c r="B174" s="1176" t="s">
        <v>479</v>
      </c>
      <c r="C174" s="1277" t="str">
        <f>OpRisk!C217</f>
        <v>Check: row 216 ≤ row 215</v>
      </c>
      <c r="D174" s="844"/>
      <c r="E174" s="844"/>
      <c r="F174" s="844"/>
      <c r="G174" s="844"/>
      <c r="H174" s="844"/>
      <c r="I174" s="1266" t="str">
        <f>OpRisk!I217</f>
        <v>Pass</v>
      </c>
      <c r="J174" s="1266" t="str">
        <f>OpRisk!J217</f>
        <v>Pass</v>
      </c>
      <c r="K174" s="1266" t="str">
        <f>OpRisk!K217</f>
        <v>Pass</v>
      </c>
      <c r="L174" s="1266" t="str">
        <f>OpRisk!L217</f>
        <v>Pass</v>
      </c>
      <c r="M174" s="927" t="str">
        <f>OpRisk!M217</f>
        <v>Pass</v>
      </c>
      <c r="N174" s="1171"/>
    </row>
    <row r="175" spans="1:14" s="1293" customFormat="1" ht="15" customHeight="1" x14ac:dyDescent="0.2">
      <c r="A175" s="211"/>
      <c r="B175" s="1176" t="s">
        <v>479</v>
      </c>
      <c r="C175" s="1277" t="str">
        <f>OpRisk!C220</f>
        <v>Check: row 219 ≤ row 218</v>
      </c>
      <c r="D175" s="844"/>
      <c r="E175" s="844"/>
      <c r="F175" s="844"/>
      <c r="G175" s="844"/>
      <c r="H175" s="844"/>
      <c r="I175" s="1266" t="str">
        <f>OpRisk!I220</f>
        <v>Pass</v>
      </c>
      <c r="J175" s="1266" t="str">
        <f>OpRisk!J220</f>
        <v>Pass</v>
      </c>
      <c r="K175" s="1266" t="str">
        <f>OpRisk!K220</f>
        <v>Pass</v>
      </c>
      <c r="L175" s="1266" t="str">
        <f>OpRisk!L220</f>
        <v>Pass</v>
      </c>
      <c r="M175" s="927" t="str">
        <f>OpRisk!M220</f>
        <v>Pass</v>
      </c>
      <c r="N175" s="1171"/>
    </row>
    <row r="176" spans="1:14" s="1293" customFormat="1" ht="15" customHeight="1" x14ac:dyDescent="0.2">
      <c r="A176" s="211"/>
      <c r="B176" s="1176" t="s">
        <v>479</v>
      </c>
      <c r="C176" s="1277" t="str">
        <f>OpRisk!C225</f>
        <v>Check: row 224 ≤ row 223</v>
      </c>
      <c r="D176" s="844"/>
      <c r="E176" s="844"/>
      <c r="F176" s="844"/>
      <c r="G176" s="844"/>
      <c r="H176" s="844"/>
      <c r="I176" s="1266" t="str">
        <f>OpRisk!I225</f>
        <v>Pass</v>
      </c>
      <c r="J176" s="1266" t="str">
        <f>OpRisk!J225</f>
        <v>Pass</v>
      </c>
      <c r="K176" s="1266" t="str">
        <f>OpRisk!K225</f>
        <v>Pass</v>
      </c>
      <c r="L176" s="1266" t="str">
        <f>OpRisk!L225</f>
        <v>Pass</v>
      </c>
      <c r="M176" s="927" t="str">
        <f>OpRisk!M225</f>
        <v>Pass</v>
      </c>
      <c r="N176" s="1171"/>
    </row>
    <row r="177" spans="1:14" s="1293" customFormat="1" ht="15" customHeight="1" x14ac:dyDescent="0.2">
      <c r="A177" s="211"/>
      <c r="B177" s="1176" t="s">
        <v>479</v>
      </c>
      <c r="C177" s="1277" t="str">
        <f>OpRisk!C228</f>
        <v>Check: row 227 ≤ row 226</v>
      </c>
      <c r="D177" s="844"/>
      <c r="E177" s="844"/>
      <c r="F177" s="844"/>
      <c r="G177" s="844"/>
      <c r="H177" s="844"/>
      <c r="I177" s="1266" t="str">
        <f>OpRisk!I228</f>
        <v>Pass</v>
      </c>
      <c r="J177" s="1266" t="str">
        <f>OpRisk!J228</f>
        <v>Pass</v>
      </c>
      <c r="K177" s="1266" t="str">
        <f>OpRisk!K228</f>
        <v>Pass</v>
      </c>
      <c r="L177" s="1266" t="str">
        <f>OpRisk!L228</f>
        <v>Pass</v>
      </c>
      <c r="M177" s="927" t="str">
        <f>OpRisk!M228</f>
        <v>Pass</v>
      </c>
      <c r="N177" s="1171"/>
    </row>
    <row r="178" spans="1:14" s="1293" customFormat="1" ht="15" customHeight="1" x14ac:dyDescent="0.2">
      <c r="A178" s="211"/>
      <c r="B178" s="1176" t="s">
        <v>479</v>
      </c>
      <c r="C178" s="1277" t="str">
        <f>OpRisk!C233</f>
        <v>Check: row 232 ≤ row 231</v>
      </c>
      <c r="D178" s="844"/>
      <c r="E178" s="844"/>
      <c r="F178" s="844"/>
      <c r="G178" s="844"/>
      <c r="H178" s="844"/>
      <c r="I178" s="1266" t="str">
        <f>OpRisk!I233</f>
        <v>Pass</v>
      </c>
      <c r="J178" s="1266" t="str">
        <f>OpRisk!J233</f>
        <v>Pass</v>
      </c>
      <c r="K178" s="1266" t="str">
        <f>OpRisk!K233</f>
        <v>Pass</v>
      </c>
      <c r="L178" s="1266" t="str">
        <f>OpRisk!L233</f>
        <v>Pass</v>
      </c>
      <c r="M178" s="927" t="str">
        <f>OpRisk!M233</f>
        <v>Pass</v>
      </c>
      <c r="N178" s="1171"/>
    </row>
    <row r="179" spans="1:14" s="1293" customFormat="1" ht="15" customHeight="1" x14ac:dyDescent="0.2">
      <c r="A179" s="211"/>
      <c r="B179" s="1176" t="s">
        <v>479</v>
      </c>
      <c r="C179" s="1277" t="str">
        <f>OpRisk!C236</f>
        <v>Check: row 235 ≤ row 234</v>
      </c>
      <c r="D179" s="844"/>
      <c r="E179" s="844"/>
      <c r="F179" s="844"/>
      <c r="G179" s="844"/>
      <c r="H179" s="844"/>
      <c r="I179" s="1266" t="str">
        <f>OpRisk!I236</f>
        <v>Pass</v>
      </c>
      <c r="J179" s="1266" t="str">
        <f>OpRisk!J236</f>
        <v>Pass</v>
      </c>
      <c r="K179" s="1266" t="str">
        <f>OpRisk!K236</f>
        <v>Pass</v>
      </c>
      <c r="L179" s="1266" t="str">
        <f>OpRisk!L236</f>
        <v>Pass</v>
      </c>
      <c r="M179" s="927" t="str">
        <f>OpRisk!M236</f>
        <v>Pass</v>
      </c>
      <c r="N179" s="1171"/>
    </row>
    <row r="180" spans="1:14" s="1293" customFormat="1" ht="15" customHeight="1" x14ac:dyDescent="0.2">
      <c r="A180" s="211"/>
      <c r="B180" s="1176" t="s">
        <v>479</v>
      </c>
      <c r="C180" s="1277" t="str">
        <f>OpRisk!C241</f>
        <v>Check: row 240 ≤ row 239</v>
      </c>
      <c r="D180" s="844"/>
      <c r="E180" s="844"/>
      <c r="F180" s="844"/>
      <c r="G180" s="844"/>
      <c r="H180" s="844"/>
      <c r="I180" s="1266" t="str">
        <f>OpRisk!I241</f>
        <v>Pass</v>
      </c>
      <c r="J180" s="1266" t="str">
        <f>OpRisk!J241</f>
        <v>Pass</v>
      </c>
      <c r="K180" s="1266" t="str">
        <f>OpRisk!K241</f>
        <v>Pass</v>
      </c>
      <c r="L180" s="1266" t="str">
        <f>OpRisk!L241</f>
        <v>Pass</v>
      </c>
      <c r="M180" s="927" t="str">
        <f>OpRisk!M241</f>
        <v>Pass</v>
      </c>
      <c r="N180" s="1171"/>
    </row>
    <row r="181" spans="1:14" s="1293" customFormat="1" ht="15" customHeight="1" x14ac:dyDescent="0.2">
      <c r="A181" s="211"/>
      <c r="B181" s="1176" t="s">
        <v>479</v>
      </c>
      <c r="C181" s="1277" t="str">
        <f>OpRisk!C244</f>
        <v>Check: row 243 ≤ row 242</v>
      </c>
      <c r="D181" s="844"/>
      <c r="E181" s="844"/>
      <c r="F181" s="844"/>
      <c r="G181" s="844"/>
      <c r="H181" s="844"/>
      <c r="I181" s="1266" t="str">
        <f>OpRisk!I244</f>
        <v>Pass</v>
      </c>
      <c r="J181" s="1266" t="str">
        <f>OpRisk!J244</f>
        <v>Pass</v>
      </c>
      <c r="K181" s="1266" t="str">
        <f>OpRisk!K244</f>
        <v>Pass</v>
      </c>
      <c r="L181" s="1266" t="str">
        <f>OpRisk!L244</f>
        <v>Pass</v>
      </c>
      <c r="M181" s="927" t="str">
        <f>OpRisk!M244</f>
        <v>Pass</v>
      </c>
      <c r="N181" s="1171"/>
    </row>
    <row r="182" spans="1:14" s="1293" customFormat="1" ht="15" customHeight="1" x14ac:dyDescent="0.2">
      <c r="A182" s="211"/>
      <c r="B182" s="1176" t="s">
        <v>479</v>
      </c>
      <c r="C182" s="1277" t="str">
        <f>OpRisk!C249</f>
        <v>Check: row 248 ≤ row 247</v>
      </c>
      <c r="D182" s="844"/>
      <c r="E182" s="844"/>
      <c r="F182" s="844"/>
      <c r="G182" s="844"/>
      <c r="H182" s="844"/>
      <c r="I182" s="1266" t="str">
        <f>OpRisk!I249</f>
        <v>Pass</v>
      </c>
      <c r="J182" s="1266" t="str">
        <f>OpRisk!J249</f>
        <v>Pass</v>
      </c>
      <c r="K182" s="1266" t="str">
        <f>OpRisk!K249</f>
        <v>Pass</v>
      </c>
      <c r="L182" s="1266" t="str">
        <f>OpRisk!L249</f>
        <v>Pass</v>
      </c>
      <c r="M182" s="927" t="str">
        <f>OpRisk!M249</f>
        <v>Pass</v>
      </c>
      <c r="N182" s="1171"/>
    </row>
    <row r="183" spans="1:14" s="1293" customFormat="1" ht="15" customHeight="1" x14ac:dyDescent="0.2">
      <c r="A183" s="211"/>
      <c r="B183" s="1176" t="s">
        <v>479</v>
      </c>
      <c r="C183" s="1277" t="str">
        <f>OpRisk!C252</f>
        <v>Check: row 251 ≤ row 250</v>
      </c>
      <c r="D183" s="844"/>
      <c r="E183" s="844"/>
      <c r="F183" s="844"/>
      <c r="G183" s="844"/>
      <c r="H183" s="844"/>
      <c r="I183" s="1266" t="str">
        <f>OpRisk!I252</f>
        <v>Pass</v>
      </c>
      <c r="J183" s="1266" t="str">
        <f>OpRisk!J252</f>
        <v>Pass</v>
      </c>
      <c r="K183" s="1266" t="str">
        <f>OpRisk!K252</f>
        <v>Pass</v>
      </c>
      <c r="L183" s="1266" t="str">
        <f>OpRisk!L252</f>
        <v>Pass</v>
      </c>
      <c r="M183" s="927" t="str">
        <f>OpRisk!M252</f>
        <v>Pass</v>
      </c>
      <c r="N183" s="1171"/>
    </row>
    <row r="184" spans="1:14" s="1293" customFormat="1" ht="15" customHeight="1" x14ac:dyDescent="0.2">
      <c r="A184" s="211"/>
      <c r="B184" s="1176" t="s">
        <v>879</v>
      </c>
      <c r="C184" s="1277" t="str">
        <f>OpRisk!B264</f>
        <v>Check: row 263 ≤ row 262</v>
      </c>
      <c r="D184" s="844"/>
      <c r="E184" s="844"/>
      <c r="F184" s="844"/>
      <c r="G184" s="1266" t="str">
        <f>OpRisk!G264</f>
        <v>Pass</v>
      </c>
      <c r="H184" s="1266" t="str">
        <f>OpRisk!H264</f>
        <v>Pass</v>
      </c>
      <c r="I184" s="1266" t="str">
        <f>OpRisk!I264</f>
        <v>Pass</v>
      </c>
      <c r="J184" s="1266" t="str">
        <f>OpRisk!J264</f>
        <v>Pass</v>
      </c>
      <c r="K184" s="1266" t="str">
        <f>OpRisk!K264</f>
        <v>Pass</v>
      </c>
      <c r="L184" s="1266" t="str">
        <f>OpRisk!L264</f>
        <v>Pass</v>
      </c>
      <c r="M184" s="927" t="str">
        <f>OpRisk!M264</f>
        <v>Pass</v>
      </c>
      <c r="N184" s="1171"/>
    </row>
    <row r="185" spans="1:14" s="1293" customFormat="1" ht="15" customHeight="1" x14ac:dyDescent="0.2">
      <c r="A185" s="211"/>
      <c r="B185" s="1176" t="s">
        <v>879</v>
      </c>
      <c r="C185" s="1277" t="str">
        <f>OpRisk!B266</f>
        <v>Check: sum of rows 259 to 262 ≤ row 265</v>
      </c>
      <c r="D185" s="844"/>
      <c r="E185" s="844"/>
      <c r="F185" s="844"/>
      <c r="G185" s="1266" t="str">
        <f>OpRisk!G266</f>
        <v>Pass</v>
      </c>
      <c r="H185" s="1266" t="str">
        <f>OpRisk!H266</f>
        <v>Pass</v>
      </c>
      <c r="I185" s="1266" t="str">
        <f>OpRisk!I266</f>
        <v>Pass</v>
      </c>
      <c r="J185" s="1266" t="str">
        <f>OpRisk!J266</f>
        <v>Pass</v>
      </c>
      <c r="K185" s="1266" t="str">
        <f>OpRisk!K266</f>
        <v>Pass</v>
      </c>
      <c r="L185" s="1266" t="str">
        <f>OpRisk!L266</f>
        <v>Pass</v>
      </c>
      <c r="M185" s="927" t="str">
        <f>OpRisk!M266</f>
        <v>Pass</v>
      </c>
      <c r="N185" s="1171"/>
    </row>
    <row r="186" spans="1:14" s="1293" customFormat="1" ht="15" customHeight="1" x14ac:dyDescent="0.2">
      <c r="A186" s="211"/>
      <c r="B186" s="1019" t="s">
        <v>268</v>
      </c>
      <c r="C186" s="1278" t="str">
        <f>OpRisk!B275</f>
        <v>Check: row 274 ≤ row 273 ≤ row 272 ≤ row 271</v>
      </c>
      <c r="D186" s="845"/>
      <c r="E186" s="845"/>
      <c r="F186" s="845"/>
      <c r="G186" s="845"/>
      <c r="H186" s="845"/>
      <c r="I186" s="845"/>
      <c r="J186" s="845"/>
      <c r="K186" s="845"/>
      <c r="L186" s="686" t="str">
        <f>OpRisk!L275</f>
        <v>Pass</v>
      </c>
      <c r="M186" s="962" t="str">
        <f>OpRisk!M275</f>
        <v>Pass</v>
      </c>
      <c r="N186" s="1171"/>
    </row>
    <row r="187" spans="1:14" s="1293" customFormat="1" ht="15" customHeight="1" x14ac:dyDescent="0.2">
      <c r="A187" s="27"/>
      <c r="B187" s="22"/>
      <c r="C187" s="47"/>
      <c r="D187" s="22"/>
      <c r="E187" s="22"/>
      <c r="F187" s="22"/>
      <c r="G187" s="22"/>
      <c r="H187" s="22"/>
      <c r="I187" s="22"/>
      <c r="J187" s="22"/>
      <c r="K187" s="22"/>
      <c r="L187" s="22"/>
      <c r="M187" s="22"/>
      <c r="N187" s="12"/>
    </row>
  </sheetData>
  <phoneticPr fontId="8" type="noConversion"/>
  <conditionalFormatting sqref="D5:D6 G34:G36 F37 E42:E43 D38:D42 I38:I42 H27:H32 M27:M32 E33 F42 J33 J42:J43 K42 K36:K37 L34:L36 I44:I47">
    <cfRule type="cellIs" dxfId="37" priority="324" stopIfTrue="1" operator="equal">
      <formula>"Yes"</formula>
    </cfRule>
  </conditionalFormatting>
  <conditionalFormatting sqref="D5:D6 G34:G36 F37 E42:E43 D38:D42 I38:I42 H27:H32 M27:M32 E33 F42 J33 J42:J43 K42 K36:K37 L34:L36 I44:I47">
    <cfRule type="cellIs" dxfId="36" priority="323" stopIfTrue="1" operator="equal">
      <formula>"No"</formula>
    </cfRule>
  </conditionalFormatting>
  <conditionalFormatting sqref="D52:D94 E53:G54 E58:E94 D100:D118 E104:H106 H99 E111:H111 E116:H116 E118:H118">
    <cfRule type="cellIs" dxfId="35" priority="327" stopIfTrue="1" operator="equal">
      <formula>"Fail"</formula>
    </cfRule>
    <cfRule type="cellIs" dxfId="34" priority="328" stopIfTrue="1" operator="equal">
      <formula>"Pass"</formula>
    </cfRule>
  </conditionalFormatting>
  <conditionalFormatting sqref="E11:E12">
    <cfRule type="cellIs" dxfId="33" priority="58" stopIfTrue="1" operator="equal">
      <formula>"Yes"</formula>
    </cfRule>
  </conditionalFormatting>
  <conditionalFormatting sqref="E11:E12">
    <cfRule type="cellIs" dxfId="32" priority="57" stopIfTrue="1" operator="equal">
      <formula>"No"</formula>
    </cfRule>
  </conditionalFormatting>
  <conditionalFormatting sqref="D13">
    <cfRule type="cellIs" dxfId="31" priority="54" stopIfTrue="1" operator="equal">
      <formula>"Yes"</formula>
    </cfRule>
  </conditionalFormatting>
  <conditionalFormatting sqref="D13">
    <cfRule type="cellIs" dxfId="30" priority="53" stopIfTrue="1" operator="equal">
      <formula>"No"</formula>
    </cfRule>
  </conditionalFormatting>
  <conditionalFormatting sqref="D19:D21">
    <cfRule type="cellIs" dxfId="29" priority="48" stopIfTrue="1" operator="equal">
      <formula>"Yes"</formula>
    </cfRule>
  </conditionalFormatting>
  <conditionalFormatting sqref="D19:D21">
    <cfRule type="cellIs" dxfId="28" priority="47" stopIfTrue="1" operator="equal">
      <formula>"No"</formula>
    </cfRule>
  </conditionalFormatting>
  <conditionalFormatting sqref="E13:E15">
    <cfRule type="cellIs" dxfId="27" priority="52" stopIfTrue="1" operator="equal">
      <formula>"Yes"</formula>
    </cfRule>
  </conditionalFormatting>
  <conditionalFormatting sqref="E13:E15">
    <cfRule type="cellIs" dxfId="26" priority="51" stopIfTrue="1" operator="equal">
      <formula>"No"</formula>
    </cfRule>
  </conditionalFormatting>
  <conditionalFormatting sqref="E16:E18">
    <cfRule type="cellIs" dxfId="25" priority="50" stopIfTrue="1" operator="equal">
      <formula>"Yes"</formula>
    </cfRule>
  </conditionalFormatting>
  <conditionalFormatting sqref="E16:E18">
    <cfRule type="cellIs" dxfId="24" priority="49" stopIfTrue="1" operator="equal">
      <formula>"No"</formula>
    </cfRule>
  </conditionalFormatting>
  <conditionalFormatting sqref="E22">
    <cfRule type="cellIs" dxfId="23" priority="46" stopIfTrue="1" operator="equal">
      <formula>"Yes"</formula>
    </cfRule>
  </conditionalFormatting>
  <conditionalFormatting sqref="E22">
    <cfRule type="cellIs" dxfId="22" priority="45" stopIfTrue="1" operator="equal">
      <formula>"No"</formula>
    </cfRule>
  </conditionalFormatting>
  <conditionalFormatting sqref="D135:M167">
    <cfRule type="cellIs" dxfId="21" priority="43" stopIfTrue="1" operator="equal">
      <formula>"Fail"</formula>
    </cfRule>
    <cfRule type="cellIs" dxfId="20" priority="44" stopIfTrue="1" operator="equal">
      <formula>"Pass"</formula>
    </cfRule>
  </conditionalFormatting>
  <conditionalFormatting sqref="I168:M185">
    <cfRule type="cellIs" dxfId="19" priority="41" stopIfTrue="1" operator="equal">
      <formula>"Fail"</formula>
    </cfRule>
    <cfRule type="cellIs" dxfId="18" priority="42" stopIfTrue="1" operator="equal">
      <formula>"Pass"</formula>
    </cfRule>
  </conditionalFormatting>
  <conditionalFormatting sqref="G184:H185">
    <cfRule type="cellIs" dxfId="17" priority="39" stopIfTrue="1" operator="equal">
      <formula>"Fail"</formula>
    </cfRule>
    <cfRule type="cellIs" dxfId="16" priority="40" stopIfTrue="1" operator="equal">
      <formula>"Pass"</formula>
    </cfRule>
  </conditionalFormatting>
  <conditionalFormatting sqref="L186:M186">
    <cfRule type="cellIs" dxfId="15" priority="37" stopIfTrue="1" operator="equal">
      <formula>"Fail"</formula>
    </cfRule>
    <cfRule type="cellIs" dxfId="14" priority="38" stopIfTrue="1" operator="equal">
      <formula>"Pass"</formula>
    </cfRule>
  </conditionalFormatting>
  <conditionalFormatting sqref="E124:F124">
    <cfRule type="cellIs" dxfId="13" priority="35" stopIfTrue="1" operator="equal">
      <formula>"Fail"</formula>
    </cfRule>
    <cfRule type="cellIs" dxfId="12" priority="36" stopIfTrue="1" operator="equal">
      <formula>"Pass"</formula>
    </cfRule>
  </conditionalFormatting>
  <conditionalFormatting sqref="G125:H125">
    <cfRule type="cellIs" dxfId="11" priority="33" stopIfTrue="1" operator="equal">
      <formula>"Fail"</formula>
    </cfRule>
    <cfRule type="cellIs" dxfId="10" priority="34" stopIfTrue="1" operator="equal">
      <formula>"Pass"</formula>
    </cfRule>
  </conditionalFormatting>
  <conditionalFormatting sqref="J125">
    <cfRule type="cellIs" dxfId="9" priority="31" stopIfTrue="1" operator="equal">
      <formula>"Fail"</formula>
    </cfRule>
    <cfRule type="cellIs" dxfId="8" priority="32" stopIfTrue="1" operator="equal">
      <formula>"Pass"</formula>
    </cfRule>
  </conditionalFormatting>
  <conditionalFormatting sqref="H11">
    <cfRule type="cellIs" dxfId="7" priority="30" stopIfTrue="1" operator="equal">
      <formula>"Yes"</formula>
    </cfRule>
  </conditionalFormatting>
  <conditionalFormatting sqref="H11">
    <cfRule type="cellIs" dxfId="6" priority="29" stopIfTrue="1" operator="equal">
      <formula>"No"</formula>
    </cfRule>
  </conditionalFormatting>
  <conditionalFormatting sqref="H16:H18">
    <cfRule type="cellIs" dxfId="5" priority="26" stopIfTrue="1" operator="equal">
      <formula>"Yes"</formula>
    </cfRule>
  </conditionalFormatting>
  <conditionalFormatting sqref="H16:H18">
    <cfRule type="cellIs" dxfId="4" priority="25" stopIfTrue="1" operator="equal">
      <formula>"No"</formula>
    </cfRule>
  </conditionalFormatting>
  <conditionalFormatting sqref="D129:D130">
    <cfRule type="cellIs" dxfId="3" priority="4" stopIfTrue="1" operator="equal">
      <formula>"Yes"</formula>
    </cfRule>
  </conditionalFormatting>
  <conditionalFormatting sqref="D129:D130">
    <cfRule type="cellIs" dxfId="2" priority="3" stopIfTrue="1" operator="equal">
      <formula>"No"</formula>
    </cfRule>
  </conditionalFormatting>
  <conditionalFormatting sqref="F129:F130">
    <cfRule type="cellIs" dxfId="1" priority="2" stopIfTrue="1" operator="equal">
      <formula>"Yes"</formula>
    </cfRule>
  </conditionalFormatting>
  <conditionalFormatting sqref="F129:F130">
    <cfRule type="cellIs" dxfId="0" priority="1" stopIfTrue="1" operator="equal">
      <formula>"No"</formula>
    </cfRule>
  </conditionalFormatting>
  <printOptions headings="1"/>
  <pageMargins left="0.78740157480314965" right="0.78740157480314965" top="0.98425196850393704" bottom="0.98425196850393704" header="0.51181102362204722" footer="0.51181102362204722"/>
  <pageSetup paperSize="9" scale="50" fitToHeight="3" pageOrder="overThenDown" orientation="landscape" r:id="rId1"/>
  <headerFooter alignWithMargins="0">
    <oddHeader>&amp;L&amp;"Arial,Bold"&amp;14Basel Committee on Banking Supervision
Basel III monitoring template&amp;C&amp;14&amp;F
&amp;A&amp;R&amp;"Arial,Bold"&amp;14Confidential when completed</oddHeader>
    <oddFooter>&amp;L&amp;14&amp;D  &amp;T&amp;R&amp;14Page &amp;P of &amp;N</oddFooter>
  </headerFooter>
  <rowBreaks count="2" manualBreakCount="2">
    <brk id="48" max="13" man="1"/>
    <brk id="95" max="13" man="1"/>
  </rowBreaks>
  <ignoredErrors>
    <ignoredError sqref="D26:M26 D51:G51" emptyCellReference="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theme="5" tint="0.39997558519241921"/>
  </sheetPr>
  <dimension ref="A1:J317"/>
  <sheetViews>
    <sheetView zoomScale="75" zoomScaleNormal="75" workbookViewId="0"/>
  </sheetViews>
  <sheetFormatPr defaultColWidth="11.42578125" defaultRowHeight="15" customHeight="1" x14ac:dyDescent="0.2"/>
  <cols>
    <col min="1" max="1" width="1.7109375" style="9" customWidth="1"/>
    <col min="2" max="2" width="60.7109375" style="8" customWidth="1"/>
    <col min="3" max="8" width="14.7109375" style="8" customWidth="1"/>
    <col min="9" max="9" width="1.7109375" style="8" customWidth="1"/>
    <col min="10" max="16384" width="11.42578125" style="8"/>
  </cols>
  <sheetData>
    <row r="1" spans="1:10" s="37" customFormat="1" ht="30" customHeight="1" x14ac:dyDescent="0.4">
      <c r="A1" s="35" t="s">
        <v>176</v>
      </c>
      <c r="B1" s="35"/>
      <c r="C1" s="35"/>
      <c r="D1" s="35"/>
      <c r="E1" s="35"/>
      <c r="F1" s="35"/>
      <c r="G1" s="35"/>
      <c r="H1" s="35"/>
      <c r="I1" s="36"/>
    </row>
    <row r="2" spans="1:10" s="1417" customFormat="1" ht="30" customHeight="1" x14ac:dyDescent="0.25">
      <c r="A2" s="1414" t="s">
        <v>171</v>
      </c>
      <c r="B2" s="1414"/>
      <c r="C2" s="1415"/>
      <c r="D2" s="1415"/>
      <c r="E2" s="1415"/>
      <c r="F2" s="1415"/>
      <c r="G2" s="1415"/>
      <c r="H2" s="1415"/>
      <c r="I2" s="1416"/>
    </row>
    <row r="3" spans="1:10" s="77" customFormat="1" ht="15" customHeight="1" x14ac:dyDescent="0.2">
      <c r="A3" s="74"/>
      <c r="B3" s="3"/>
      <c r="C3" s="3"/>
      <c r="D3" s="3"/>
      <c r="E3" s="3"/>
      <c r="F3" s="3"/>
      <c r="G3" s="3"/>
      <c r="H3" s="3"/>
      <c r="I3" s="76"/>
    </row>
    <row r="4" spans="1:10" s="77" customFormat="1" ht="15" customHeight="1" x14ac:dyDescent="0.2">
      <c r="A4" s="74"/>
      <c r="B4" s="627" t="s">
        <v>165</v>
      </c>
      <c r="C4" s="992">
        <v>2</v>
      </c>
      <c r="D4" s="992">
        <v>8</v>
      </c>
      <c r="E4" s="993" t="s">
        <v>1525</v>
      </c>
      <c r="F4" s="994">
        <v>0</v>
      </c>
      <c r="G4" s="3"/>
      <c r="H4" s="3"/>
      <c r="I4" s="78"/>
      <c r="J4" s="1619" t="s">
        <v>1523</v>
      </c>
    </row>
    <row r="5" spans="1:10" s="77" customFormat="1" ht="15" customHeight="1" x14ac:dyDescent="0.2">
      <c r="A5" s="74"/>
      <c r="B5" s="79"/>
      <c r="C5" s="79"/>
      <c r="D5" s="79"/>
      <c r="E5" s="79"/>
      <c r="F5" s="79"/>
      <c r="G5" s="79"/>
      <c r="H5" s="79"/>
      <c r="I5" s="80"/>
    </row>
    <row r="6" spans="1:10" s="1417" customFormat="1" ht="30" customHeight="1" x14ac:dyDescent="0.25">
      <c r="A6" s="1418" t="s">
        <v>22</v>
      </c>
      <c r="B6" s="1418"/>
      <c r="C6" s="19"/>
      <c r="D6" s="19"/>
      <c r="E6" s="19"/>
      <c r="F6" s="19"/>
      <c r="G6" s="19"/>
      <c r="H6" s="19"/>
      <c r="I6" s="1419"/>
    </row>
    <row r="7" spans="1:10" s="15" customFormat="1" ht="30" customHeight="1" x14ac:dyDescent="0.25">
      <c r="A7" s="49" t="s">
        <v>296</v>
      </c>
      <c r="B7" s="49"/>
      <c r="C7" s="14"/>
      <c r="D7" s="14"/>
      <c r="E7" s="14"/>
      <c r="F7" s="14"/>
      <c r="G7" s="14"/>
      <c r="H7" s="14"/>
      <c r="I7" s="21"/>
    </row>
    <row r="8" spans="1:10" s="15" customFormat="1" ht="15" customHeight="1" x14ac:dyDescent="0.2">
      <c r="A8" s="972"/>
      <c r="B8" s="974"/>
      <c r="C8" s="14"/>
      <c r="D8" s="14"/>
      <c r="E8" s="14"/>
      <c r="F8" s="14"/>
      <c r="G8" s="14"/>
      <c r="H8" s="14"/>
      <c r="I8" s="21"/>
    </row>
    <row r="9" spans="1:10" s="15" customFormat="1" ht="15" customHeight="1" x14ac:dyDescent="0.2">
      <c r="A9" s="972"/>
      <c r="B9" s="973"/>
      <c r="C9" s="16"/>
      <c r="D9" s="16"/>
      <c r="E9" s="16"/>
      <c r="F9" s="967" t="s">
        <v>566</v>
      </c>
      <c r="G9" s="14"/>
      <c r="H9" s="14"/>
      <c r="I9" s="21"/>
    </row>
    <row r="10" spans="1:10" s="15" customFormat="1" ht="15" customHeight="1" x14ac:dyDescent="0.2">
      <c r="A10" s="972"/>
      <c r="B10" s="977" t="s">
        <v>586</v>
      </c>
      <c r="C10" s="978"/>
      <c r="D10" s="979"/>
      <c r="E10" s="978"/>
      <c r="F10" s="988"/>
      <c r="G10" s="14"/>
      <c r="H10" s="14"/>
      <c r="I10" s="21"/>
    </row>
    <row r="11" spans="1:10" s="15" customFormat="1" ht="15" customHeight="1" x14ac:dyDescent="0.2">
      <c r="A11" s="972"/>
      <c r="B11" s="324" t="s">
        <v>438</v>
      </c>
      <c r="C11" s="980"/>
      <c r="D11" s="981"/>
      <c r="E11" s="980"/>
      <c r="F11" s="989"/>
      <c r="G11" s="14"/>
      <c r="H11" s="14"/>
      <c r="I11" s="21"/>
    </row>
    <row r="12" spans="1:10" s="15" customFormat="1" ht="15" customHeight="1" x14ac:dyDescent="0.2">
      <c r="A12" s="972"/>
      <c r="B12" s="982" t="s">
        <v>521</v>
      </c>
      <c r="C12" s="980"/>
      <c r="D12" s="981"/>
      <c r="E12" s="980"/>
      <c r="F12" s="990">
        <v>1</v>
      </c>
      <c r="G12" s="14"/>
      <c r="H12" s="14"/>
      <c r="I12" s="21"/>
    </row>
    <row r="13" spans="1:10" s="15" customFormat="1" ht="15" customHeight="1" x14ac:dyDescent="0.2">
      <c r="A13" s="972"/>
      <c r="B13" s="982" t="s">
        <v>522</v>
      </c>
      <c r="C13" s="980"/>
      <c r="D13" s="981"/>
      <c r="E13" s="980"/>
      <c r="F13" s="990">
        <v>1</v>
      </c>
      <c r="G13" s="14"/>
      <c r="H13" s="14"/>
      <c r="I13" s="21"/>
    </row>
    <row r="14" spans="1:10" s="15" customFormat="1" ht="15" customHeight="1" x14ac:dyDescent="0.2">
      <c r="A14" s="972"/>
      <c r="B14" s="982" t="s">
        <v>523</v>
      </c>
      <c r="C14" s="980"/>
      <c r="D14" s="981"/>
      <c r="E14" s="980"/>
      <c r="F14" s="990">
        <v>1</v>
      </c>
      <c r="G14" s="14"/>
      <c r="H14" s="14"/>
      <c r="I14" s="21"/>
    </row>
    <row r="15" spans="1:10" s="15" customFormat="1" ht="15" customHeight="1" x14ac:dyDescent="0.2">
      <c r="A15" s="972"/>
      <c r="B15" s="982" t="s">
        <v>524</v>
      </c>
      <c r="C15" s="980"/>
      <c r="D15" s="981"/>
      <c r="E15" s="980"/>
      <c r="F15" s="990">
        <v>1</v>
      </c>
      <c r="G15" s="14"/>
      <c r="H15" s="14"/>
      <c r="I15" s="21"/>
    </row>
    <row r="16" spans="1:10" s="15" customFormat="1" ht="15" customHeight="1" x14ac:dyDescent="0.2">
      <c r="A16" s="972"/>
      <c r="B16" s="982" t="s">
        <v>798</v>
      </c>
      <c r="C16" s="980"/>
      <c r="D16" s="981"/>
      <c r="E16" s="980"/>
      <c r="F16" s="990">
        <v>1</v>
      </c>
      <c r="G16" s="14"/>
      <c r="H16" s="14"/>
      <c r="I16" s="21"/>
    </row>
    <row r="17" spans="1:9" s="15" customFormat="1" ht="15" customHeight="1" x14ac:dyDescent="0.2">
      <c r="A17" s="972"/>
      <c r="B17" s="324" t="s">
        <v>569</v>
      </c>
      <c r="C17" s="980"/>
      <c r="D17" s="981"/>
      <c r="E17" s="980"/>
      <c r="F17" s="989"/>
      <c r="G17" s="14"/>
      <c r="H17" s="14"/>
      <c r="I17" s="21"/>
    </row>
    <row r="18" spans="1:9" s="15" customFormat="1" ht="30" customHeight="1" x14ac:dyDescent="0.2">
      <c r="A18" s="972"/>
      <c r="B18" s="1866" t="s">
        <v>570</v>
      </c>
      <c r="C18" s="1866"/>
      <c r="D18" s="1866"/>
      <c r="E18" s="1866"/>
      <c r="F18" s="990">
        <v>1</v>
      </c>
      <c r="G18" s="14"/>
      <c r="H18" s="14"/>
      <c r="I18" s="21"/>
    </row>
    <row r="19" spans="1:9" s="15" customFormat="1" ht="45" customHeight="1" x14ac:dyDescent="0.2">
      <c r="A19" s="972"/>
      <c r="B19" s="1866" t="s">
        <v>799</v>
      </c>
      <c r="C19" s="1866"/>
      <c r="D19" s="1866"/>
      <c r="E19" s="1866"/>
      <c r="F19" s="990">
        <v>1</v>
      </c>
      <c r="G19" s="14"/>
      <c r="H19" s="14"/>
      <c r="I19" s="21"/>
    </row>
    <row r="20" spans="1:9" s="15" customFormat="1" ht="15" customHeight="1" x14ac:dyDescent="0.2">
      <c r="A20" s="972"/>
      <c r="B20" s="983" t="s">
        <v>800</v>
      </c>
      <c r="C20" s="980"/>
      <c r="D20" s="981"/>
      <c r="E20" s="980"/>
      <c r="F20" s="989"/>
      <c r="G20" s="14"/>
      <c r="H20" s="14"/>
      <c r="I20" s="21"/>
    </row>
    <row r="21" spans="1:9" s="15" customFormat="1" ht="15" customHeight="1" x14ac:dyDescent="0.2">
      <c r="A21" s="972"/>
      <c r="B21" s="324" t="s">
        <v>576</v>
      </c>
      <c r="C21" s="980"/>
      <c r="D21" s="981"/>
      <c r="E21" s="980"/>
      <c r="F21" s="989"/>
      <c r="G21" s="14"/>
      <c r="H21" s="14"/>
      <c r="I21" s="21"/>
    </row>
    <row r="22" spans="1:9" s="15" customFormat="1" ht="15" customHeight="1" x14ac:dyDescent="0.2">
      <c r="A22" s="972"/>
      <c r="B22" s="982" t="s">
        <v>521</v>
      </c>
      <c r="C22" s="980"/>
      <c r="D22" s="981"/>
      <c r="E22" s="980"/>
      <c r="F22" s="990">
        <v>0.85</v>
      </c>
      <c r="G22" s="14"/>
      <c r="H22" s="14"/>
      <c r="I22" s="21"/>
    </row>
    <row r="23" spans="1:9" s="15" customFormat="1" ht="15" customHeight="1" x14ac:dyDescent="0.2">
      <c r="A23" s="972"/>
      <c r="B23" s="982" t="s">
        <v>522</v>
      </c>
      <c r="C23" s="980"/>
      <c r="D23" s="981"/>
      <c r="E23" s="980"/>
      <c r="F23" s="990">
        <v>0.85</v>
      </c>
      <c r="G23" s="14"/>
      <c r="H23" s="14"/>
      <c r="I23" s="21"/>
    </row>
    <row r="24" spans="1:9" s="15" customFormat="1" ht="15" customHeight="1" x14ac:dyDescent="0.2">
      <c r="A24" s="972"/>
      <c r="B24" s="982" t="s">
        <v>523</v>
      </c>
      <c r="C24" s="980"/>
      <c r="D24" s="981"/>
      <c r="E24" s="980"/>
      <c r="F24" s="990">
        <v>0.85</v>
      </c>
      <c r="G24" s="14"/>
      <c r="H24" s="14"/>
      <c r="I24" s="21"/>
    </row>
    <row r="25" spans="1:9" s="15" customFormat="1" ht="15" customHeight="1" x14ac:dyDescent="0.2">
      <c r="A25" s="972"/>
      <c r="B25" s="982" t="s">
        <v>524</v>
      </c>
      <c r="C25" s="980"/>
      <c r="D25" s="981"/>
      <c r="E25" s="980"/>
      <c r="F25" s="990">
        <v>0.85</v>
      </c>
      <c r="G25" s="14"/>
      <c r="H25" s="14"/>
      <c r="I25" s="21"/>
    </row>
    <row r="26" spans="1:9" s="15" customFormat="1" ht="15" customHeight="1" x14ac:dyDescent="0.2">
      <c r="A26" s="972"/>
      <c r="B26" s="982" t="s">
        <v>577</v>
      </c>
      <c r="C26" s="980"/>
      <c r="D26" s="981"/>
      <c r="E26" s="980"/>
      <c r="F26" s="990">
        <v>0.85</v>
      </c>
      <c r="G26" s="14"/>
      <c r="H26" s="14"/>
      <c r="I26" s="21"/>
    </row>
    <row r="27" spans="1:9" s="15" customFormat="1" ht="15" customHeight="1" x14ac:dyDescent="0.2">
      <c r="A27" s="972"/>
      <c r="B27" s="324" t="s">
        <v>578</v>
      </c>
      <c r="C27" s="980"/>
      <c r="D27" s="981"/>
      <c r="E27" s="980"/>
      <c r="F27" s="990">
        <v>0.85</v>
      </c>
      <c r="G27" s="14"/>
      <c r="H27" s="14"/>
      <c r="I27" s="21"/>
    </row>
    <row r="28" spans="1:9" s="15" customFormat="1" ht="15" customHeight="1" x14ac:dyDescent="0.2">
      <c r="A28" s="972"/>
      <c r="B28" s="324" t="s">
        <v>579</v>
      </c>
      <c r="C28" s="980"/>
      <c r="D28" s="981"/>
      <c r="E28" s="980"/>
      <c r="F28" s="990">
        <v>0.85</v>
      </c>
      <c r="G28" s="14"/>
      <c r="H28" s="14"/>
      <c r="I28" s="21"/>
    </row>
    <row r="29" spans="1:9" s="15" customFormat="1" ht="15" customHeight="1" x14ac:dyDescent="0.2">
      <c r="A29" s="972"/>
      <c r="B29" s="324" t="s">
        <v>652</v>
      </c>
      <c r="C29" s="980"/>
      <c r="D29" s="981"/>
      <c r="E29" s="980"/>
      <c r="F29" s="990">
        <v>0.85</v>
      </c>
      <c r="G29" s="14"/>
      <c r="H29" s="14"/>
      <c r="I29" s="21"/>
    </row>
    <row r="30" spans="1:9" s="15" customFormat="1" ht="15" customHeight="1" x14ac:dyDescent="0.2">
      <c r="A30" s="972"/>
      <c r="B30" s="983" t="s">
        <v>801</v>
      </c>
      <c r="C30" s="980"/>
      <c r="D30" s="981"/>
      <c r="E30" s="980"/>
      <c r="F30" s="989"/>
      <c r="G30" s="14"/>
      <c r="H30" s="14"/>
      <c r="I30" s="21"/>
    </row>
    <row r="31" spans="1:9" s="15" customFormat="1" ht="15" customHeight="1" x14ac:dyDescent="0.2">
      <c r="A31" s="972"/>
      <c r="B31" s="984" t="s">
        <v>802</v>
      </c>
      <c r="C31" s="980"/>
      <c r="D31" s="981"/>
      <c r="E31" s="980"/>
      <c r="F31" s="990">
        <v>0.75</v>
      </c>
      <c r="G31" s="14"/>
      <c r="H31" s="14"/>
      <c r="I31" s="21"/>
    </row>
    <row r="32" spans="1:9" s="15" customFormat="1" ht="15" customHeight="1" x14ac:dyDescent="0.2">
      <c r="A32" s="972"/>
      <c r="B32" s="984" t="s">
        <v>803</v>
      </c>
      <c r="C32" s="980"/>
      <c r="D32" s="981"/>
      <c r="E32" s="980"/>
      <c r="F32" s="990">
        <v>0.5</v>
      </c>
      <c r="G32" s="14"/>
      <c r="H32" s="14"/>
      <c r="I32" s="21"/>
    </row>
    <row r="33" spans="1:9" s="15" customFormat="1" ht="15" customHeight="1" x14ac:dyDescent="0.2">
      <c r="A33" s="972"/>
      <c r="B33" s="984" t="s">
        <v>804</v>
      </c>
      <c r="C33" s="980"/>
      <c r="D33" s="981"/>
      <c r="E33" s="980"/>
      <c r="F33" s="990">
        <v>0.5</v>
      </c>
      <c r="G33" s="14"/>
      <c r="H33" s="14"/>
      <c r="I33" s="21"/>
    </row>
    <row r="34" spans="1:9" s="15" customFormat="1" ht="15" customHeight="1" x14ac:dyDescent="0.2">
      <c r="A34" s="972"/>
      <c r="B34" s="324" t="s">
        <v>662</v>
      </c>
      <c r="C34" s="980"/>
      <c r="D34" s="981"/>
      <c r="E34" s="980"/>
      <c r="F34" s="990">
        <v>0.75</v>
      </c>
      <c r="G34" s="14"/>
      <c r="H34" s="14"/>
      <c r="I34" s="21"/>
    </row>
    <row r="35" spans="1:9" s="15" customFormat="1" ht="15" customHeight="1" x14ac:dyDescent="0.2">
      <c r="A35" s="972"/>
      <c r="B35" s="985" t="s">
        <v>666</v>
      </c>
      <c r="C35" s="986"/>
      <c r="D35" s="987"/>
      <c r="E35" s="986"/>
      <c r="F35" s="991">
        <v>0.5</v>
      </c>
      <c r="G35" s="14"/>
      <c r="H35" s="14"/>
      <c r="I35" s="21"/>
    </row>
    <row r="36" spans="1:9" s="15" customFormat="1" ht="15" customHeight="1" x14ac:dyDescent="0.2">
      <c r="A36" s="972"/>
      <c r="B36" s="974"/>
      <c r="C36" s="14"/>
      <c r="D36" s="14"/>
      <c r="E36" s="14"/>
      <c r="F36" s="14"/>
      <c r="G36" s="14"/>
      <c r="H36" s="14"/>
      <c r="I36" s="21"/>
    </row>
    <row r="37" spans="1:9" customFormat="1" ht="30" customHeight="1" x14ac:dyDescent="0.25">
      <c r="A37" s="49" t="s">
        <v>291</v>
      </c>
      <c r="B37" s="49"/>
      <c r="C37" s="49"/>
      <c r="D37" s="50"/>
      <c r="E37" s="50"/>
      <c r="F37" s="51"/>
      <c r="G37" s="204"/>
      <c r="H37" s="204"/>
      <c r="I37" s="210"/>
    </row>
    <row r="38" spans="1:9" s="77" customFormat="1" ht="15" customHeight="1" x14ac:dyDescent="0.2">
      <c r="A38" s="74"/>
      <c r="B38" s="83"/>
      <c r="C38" s="83"/>
      <c r="D38" s="83"/>
      <c r="E38" s="83"/>
      <c r="F38" s="83"/>
      <c r="G38" s="83"/>
      <c r="H38" s="83"/>
      <c r="I38" s="76"/>
    </row>
    <row r="39" spans="1:9" s="77" customFormat="1" ht="15" customHeight="1" x14ac:dyDescent="0.2">
      <c r="A39" s="74"/>
      <c r="B39" s="144" t="s">
        <v>36</v>
      </c>
      <c r="C39" s="144"/>
      <c r="D39" s="145"/>
      <c r="E39" s="144"/>
      <c r="F39" s="995" t="s">
        <v>169</v>
      </c>
      <c r="G39" s="83"/>
      <c r="H39" s="83"/>
      <c r="I39" s="76"/>
    </row>
    <row r="40" spans="1:9" s="77" customFormat="1" ht="15" customHeight="1" x14ac:dyDescent="0.2">
      <c r="A40" s="74"/>
      <c r="B40" s="83"/>
      <c r="C40" s="83"/>
      <c r="D40" s="3"/>
      <c r="E40" s="83"/>
      <c r="F40" s="83"/>
      <c r="G40" s="83"/>
      <c r="H40" s="83"/>
      <c r="I40" s="76"/>
    </row>
    <row r="41" spans="1:9" s="77" customFormat="1" ht="15" customHeight="1" x14ac:dyDescent="0.2">
      <c r="A41" s="74"/>
      <c r="B41" s="144"/>
      <c r="C41" s="144"/>
      <c r="D41" s="145"/>
      <c r="E41" s="144"/>
      <c r="F41" s="967" t="s">
        <v>566</v>
      </c>
      <c r="G41" s="83"/>
      <c r="H41" s="83"/>
      <c r="I41" s="76"/>
    </row>
    <row r="42" spans="1:9" s="77" customFormat="1" ht="15" customHeight="1" x14ac:dyDescent="0.2">
      <c r="A42" s="74"/>
      <c r="B42" s="978" t="s">
        <v>23</v>
      </c>
      <c r="C42" s="978"/>
      <c r="D42" s="979"/>
      <c r="E42" s="978"/>
      <c r="F42" s="997">
        <v>0</v>
      </c>
      <c r="G42" s="83"/>
      <c r="H42" s="83"/>
      <c r="I42" s="76"/>
    </row>
    <row r="43" spans="1:9" s="77" customFormat="1" ht="15" customHeight="1" x14ac:dyDescent="0.2">
      <c r="A43" s="74"/>
      <c r="B43" s="980" t="s">
        <v>805</v>
      </c>
      <c r="C43" s="980"/>
      <c r="D43" s="981"/>
      <c r="E43" s="980"/>
      <c r="F43" s="989"/>
      <c r="G43" s="83"/>
      <c r="H43" s="83"/>
      <c r="I43" s="76"/>
    </row>
    <row r="44" spans="1:9" s="77" customFormat="1" ht="15" customHeight="1" x14ac:dyDescent="0.2">
      <c r="A44" s="74"/>
      <c r="B44" s="324" t="s">
        <v>586</v>
      </c>
      <c r="C44" s="980"/>
      <c r="D44" s="981"/>
      <c r="E44" s="980"/>
      <c r="F44" s="998">
        <v>0</v>
      </c>
      <c r="G44" s="83"/>
      <c r="H44" s="83"/>
      <c r="I44" s="76"/>
    </row>
    <row r="45" spans="1:9" s="77" customFormat="1" ht="15" customHeight="1" x14ac:dyDescent="0.2">
      <c r="A45" s="74"/>
      <c r="B45" s="324" t="s">
        <v>587</v>
      </c>
      <c r="C45" s="980"/>
      <c r="D45" s="981"/>
      <c r="E45" s="980"/>
      <c r="F45" s="998">
        <v>0</v>
      </c>
      <c r="G45" s="83"/>
      <c r="H45" s="83"/>
      <c r="I45" s="76"/>
    </row>
    <row r="46" spans="1:9" s="77" customFormat="1" ht="15" customHeight="1" x14ac:dyDescent="0.2">
      <c r="A46" s="74"/>
      <c r="B46" s="986" t="s">
        <v>24</v>
      </c>
      <c r="C46" s="986"/>
      <c r="D46" s="987"/>
      <c r="E46" s="986"/>
      <c r="F46" s="999">
        <v>0</v>
      </c>
      <c r="G46" s="83"/>
      <c r="H46" s="83"/>
      <c r="I46" s="76"/>
    </row>
    <row r="47" spans="1:9" customFormat="1" ht="45" customHeight="1" x14ac:dyDescent="0.25">
      <c r="A47" s="49" t="s">
        <v>292</v>
      </c>
      <c r="B47" s="49"/>
      <c r="C47" s="49"/>
      <c r="D47" s="50"/>
      <c r="E47" s="50"/>
      <c r="F47" s="51"/>
      <c r="G47" s="204"/>
      <c r="H47" s="204"/>
      <c r="I47" s="210"/>
    </row>
    <row r="48" spans="1:9" customFormat="1" ht="15" customHeight="1" x14ac:dyDescent="0.25">
      <c r="A48" s="215"/>
      <c r="B48" s="49"/>
      <c r="C48" s="49"/>
      <c r="D48" s="50"/>
      <c r="E48" s="50"/>
      <c r="F48" s="51"/>
      <c r="G48" s="204"/>
      <c r="H48" s="204"/>
      <c r="I48" s="210"/>
    </row>
    <row r="49" spans="1:9" s="77" customFormat="1" ht="60" customHeight="1" x14ac:dyDescent="0.2">
      <c r="A49" s="74"/>
      <c r="B49" s="1871"/>
      <c r="C49" s="1871"/>
      <c r="D49" s="1871"/>
      <c r="E49" s="1871"/>
      <c r="F49" s="966" t="s">
        <v>33</v>
      </c>
      <c r="G49" s="967" t="s">
        <v>34</v>
      </c>
      <c r="H49" s="83"/>
      <c r="I49" s="76"/>
    </row>
    <row r="50" spans="1:9" s="77" customFormat="1" ht="15" customHeight="1" x14ac:dyDescent="0.2">
      <c r="A50" s="74"/>
      <c r="B50" s="1003" t="s">
        <v>597</v>
      </c>
      <c r="C50" s="224"/>
      <c r="D50" s="1000"/>
      <c r="E50" s="1000"/>
      <c r="F50" s="1005">
        <v>0</v>
      </c>
      <c r="G50" s="997">
        <v>0</v>
      </c>
      <c r="H50" s="83"/>
      <c r="I50" s="76"/>
    </row>
    <row r="51" spans="1:9" s="77" customFormat="1" ht="15" customHeight="1" x14ac:dyDescent="0.2">
      <c r="A51" s="74"/>
      <c r="B51" s="1004" t="s">
        <v>598</v>
      </c>
      <c r="C51" s="225"/>
      <c r="D51" s="1001"/>
      <c r="E51" s="1001"/>
      <c r="F51" s="1006">
        <v>0</v>
      </c>
      <c r="G51" s="998">
        <v>0</v>
      </c>
      <c r="H51" s="83"/>
      <c r="I51" s="76"/>
    </row>
    <row r="52" spans="1:9" s="77" customFormat="1" ht="15" customHeight="1" x14ac:dyDescent="0.2">
      <c r="A52" s="74"/>
      <c r="B52" s="1004" t="s">
        <v>599</v>
      </c>
      <c r="C52" s="225"/>
      <c r="D52" s="1001"/>
      <c r="E52" s="1001"/>
      <c r="F52" s="1006">
        <v>0</v>
      </c>
      <c r="G52" s="998">
        <v>0</v>
      </c>
      <c r="H52" s="83"/>
      <c r="I52" s="76"/>
    </row>
    <row r="53" spans="1:9" s="77" customFormat="1" ht="15" customHeight="1" x14ac:dyDescent="0.2">
      <c r="A53" s="74"/>
      <c r="B53" s="986" t="s">
        <v>35</v>
      </c>
      <c r="C53" s="1002"/>
      <c r="D53" s="987"/>
      <c r="E53" s="987"/>
      <c r="F53" s="1007">
        <v>0</v>
      </c>
      <c r="G53" s="999">
        <v>0</v>
      </c>
      <c r="H53" s="83"/>
      <c r="I53" s="76"/>
    </row>
    <row r="54" spans="1:9" customFormat="1" ht="45" customHeight="1" x14ac:dyDescent="0.25">
      <c r="A54" s="49" t="s">
        <v>293</v>
      </c>
      <c r="B54" s="49"/>
      <c r="C54" s="49"/>
      <c r="D54" s="50"/>
      <c r="E54" s="50"/>
      <c r="F54" s="51"/>
      <c r="G54" s="204"/>
      <c r="H54" s="204"/>
      <c r="I54" s="210"/>
    </row>
    <row r="55" spans="1:9" s="77" customFormat="1" ht="15" customHeight="1" x14ac:dyDescent="0.2">
      <c r="A55" s="74"/>
      <c r="B55" s="83"/>
      <c r="C55" s="83"/>
      <c r="D55" s="83"/>
      <c r="E55" s="83"/>
      <c r="F55" s="83"/>
      <c r="G55" s="83"/>
      <c r="H55" s="83"/>
      <c r="I55" s="76"/>
    </row>
    <row r="56" spans="1:9" s="77" customFormat="1" ht="15" customHeight="1" x14ac:dyDescent="0.2">
      <c r="A56" s="74"/>
      <c r="B56" s="1871"/>
      <c r="C56" s="1871"/>
      <c r="D56" s="1871"/>
      <c r="E56" s="1871"/>
      <c r="F56" s="967" t="s">
        <v>566</v>
      </c>
      <c r="G56" s="83"/>
      <c r="H56" s="83"/>
      <c r="I56" s="76"/>
    </row>
    <row r="57" spans="1:9" s="77" customFormat="1" ht="15" customHeight="1" x14ac:dyDescent="0.2">
      <c r="A57" s="74"/>
      <c r="B57" s="1008" t="s">
        <v>731</v>
      </c>
      <c r="C57" s="1008"/>
      <c r="D57" s="1008"/>
      <c r="E57" s="979"/>
      <c r="F57" s="997">
        <v>0</v>
      </c>
      <c r="G57" s="83"/>
      <c r="H57" s="83"/>
      <c r="I57" s="76"/>
    </row>
    <row r="58" spans="1:9" s="77" customFormat="1" ht="15" customHeight="1" x14ac:dyDescent="0.2">
      <c r="A58" s="74"/>
      <c r="B58" s="817" t="s">
        <v>446</v>
      </c>
      <c r="C58" s="980"/>
      <c r="D58" s="980"/>
      <c r="E58" s="981"/>
      <c r="F58" s="998">
        <v>0</v>
      </c>
      <c r="G58" s="83"/>
      <c r="H58" s="83"/>
      <c r="I58" s="76"/>
    </row>
    <row r="59" spans="1:9" s="77" customFormat="1" ht="15" customHeight="1" x14ac:dyDescent="0.2">
      <c r="A59" s="74"/>
      <c r="B59" s="1009" t="s">
        <v>732</v>
      </c>
      <c r="C59" s="1009"/>
      <c r="D59" s="1009"/>
      <c r="E59" s="1009"/>
      <c r="F59" s="998">
        <v>0</v>
      </c>
      <c r="G59" s="83"/>
      <c r="H59" s="83"/>
      <c r="I59" s="76"/>
    </row>
    <row r="60" spans="1:9" s="77" customFormat="1" ht="15" customHeight="1" x14ac:dyDescent="0.2">
      <c r="A60" s="74"/>
      <c r="B60" s="1009" t="s">
        <v>733</v>
      </c>
      <c r="C60" s="1009"/>
      <c r="D60" s="1009"/>
      <c r="E60" s="1009"/>
      <c r="F60" s="998">
        <v>0</v>
      </c>
      <c r="G60" s="83"/>
      <c r="H60" s="83"/>
      <c r="I60" s="76"/>
    </row>
    <row r="61" spans="1:9" s="77" customFormat="1" ht="15" customHeight="1" x14ac:dyDescent="0.2">
      <c r="A61" s="74"/>
      <c r="B61" s="817" t="s">
        <v>11</v>
      </c>
      <c r="C61" s="980"/>
      <c r="D61" s="980"/>
      <c r="E61" s="981"/>
      <c r="F61" s="1010"/>
      <c r="G61" s="83"/>
      <c r="H61" s="83"/>
      <c r="I61" s="76"/>
    </row>
    <row r="62" spans="1:9" s="77" customFormat="1" ht="15" customHeight="1" x14ac:dyDescent="0.2">
      <c r="A62" s="74"/>
      <c r="B62" s="820" t="s">
        <v>12</v>
      </c>
      <c r="C62" s="980"/>
      <c r="D62" s="980"/>
      <c r="E62" s="981"/>
      <c r="F62" s="998">
        <v>0</v>
      </c>
      <c r="G62" s="83"/>
      <c r="H62" s="83"/>
      <c r="I62" s="76"/>
    </row>
    <row r="63" spans="1:9" s="77" customFormat="1" ht="15" customHeight="1" x14ac:dyDescent="0.2">
      <c r="A63" s="74"/>
      <c r="B63" s="820" t="s">
        <v>13</v>
      </c>
      <c r="C63" s="980"/>
      <c r="D63" s="980"/>
      <c r="E63" s="981"/>
      <c r="F63" s="998">
        <v>0</v>
      </c>
      <c r="G63" s="83"/>
      <c r="H63" s="83"/>
      <c r="I63" s="76"/>
    </row>
    <row r="64" spans="1:9" s="77" customFormat="1" ht="15" customHeight="1" x14ac:dyDescent="0.2">
      <c r="A64" s="74"/>
      <c r="B64" s="820" t="s">
        <v>633</v>
      </c>
      <c r="C64" s="980"/>
      <c r="D64" s="980"/>
      <c r="E64" s="981"/>
      <c r="F64" s="998">
        <v>0</v>
      </c>
      <c r="G64" s="83"/>
      <c r="H64" s="83"/>
      <c r="I64" s="76"/>
    </row>
    <row r="65" spans="1:9" s="77" customFormat="1" ht="15" customHeight="1" x14ac:dyDescent="0.2">
      <c r="A65" s="74"/>
      <c r="B65" s="820" t="s">
        <v>14</v>
      </c>
      <c r="C65" s="980"/>
      <c r="D65" s="980"/>
      <c r="E65" s="981"/>
      <c r="F65" s="998">
        <v>0</v>
      </c>
      <c r="G65" s="83"/>
      <c r="H65" s="83"/>
      <c r="I65" s="76"/>
    </row>
    <row r="66" spans="1:9" s="77" customFormat="1" ht="15" customHeight="1" x14ac:dyDescent="0.2">
      <c r="A66" s="74"/>
      <c r="B66" s="817" t="s">
        <v>15</v>
      </c>
      <c r="C66" s="980"/>
      <c r="D66" s="980"/>
      <c r="E66" s="981"/>
      <c r="F66" s="998">
        <v>0</v>
      </c>
      <c r="G66" s="83"/>
      <c r="H66" s="83"/>
      <c r="I66" s="76"/>
    </row>
    <row r="67" spans="1:9" s="77" customFormat="1" ht="15" customHeight="1" x14ac:dyDescent="0.2">
      <c r="A67" s="74"/>
      <c r="B67" s="1011" t="s">
        <v>734</v>
      </c>
      <c r="C67" s="986"/>
      <c r="D67" s="986"/>
      <c r="E67" s="987"/>
      <c r="F67" s="999">
        <v>0.5</v>
      </c>
      <c r="G67" s="83"/>
      <c r="H67" s="83"/>
      <c r="I67" s="76"/>
    </row>
    <row r="68" spans="1:9" customFormat="1" ht="30" customHeight="1" x14ac:dyDescent="0.25">
      <c r="A68" s="49" t="s">
        <v>294</v>
      </c>
      <c r="B68" s="49"/>
      <c r="C68" s="49"/>
      <c r="D68" s="50"/>
      <c r="E68" s="50"/>
      <c r="F68" s="51"/>
      <c r="G68" s="204"/>
      <c r="H68" s="204"/>
      <c r="I68" s="210"/>
    </row>
    <row r="69" spans="1:9" s="77" customFormat="1" ht="15" customHeight="1" x14ac:dyDescent="0.2">
      <c r="A69" s="74"/>
      <c r="B69" s="83"/>
      <c r="C69" s="83"/>
      <c r="D69" s="83"/>
      <c r="E69" s="83"/>
      <c r="F69" s="83"/>
      <c r="G69" s="83"/>
      <c r="H69" s="83"/>
      <c r="I69" s="76"/>
    </row>
    <row r="70" spans="1:9" s="77" customFormat="1" ht="15" customHeight="1" x14ac:dyDescent="0.2">
      <c r="A70" s="74"/>
      <c r="B70" s="1871"/>
      <c r="C70" s="1871"/>
      <c r="D70" s="1871"/>
      <c r="E70" s="1871"/>
      <c r="F70" s="967" t="s">
        <v>566</v>
      </c>
      <c r="G70" s="83"/>
      <c r="H70" s="83"/>
      <c r="I70" s="76"/>
    </row>
    <row r="71" spans="1:9" s="77" customFormat="1" ht="15" customHeight="1" x14ac:dyDescent="0.2">
      <c r="A71" s="74"/>
      <c r="B71" s="975" t="s">
        <v>51</v>
      </c>
      <c r="C71" s="144"/>
      <c r="D71" s="144"/>
      <c r="E71" s="145"/>
      <c r="F71" s="996">
        <v>0</v>
      </c>
      <c r="G71" s="83"/>
      <c r="H71" s="83"/>
      <c r="I71" s="76"/>
    </row>
    <row r="72" spans="1:9" s="77" customFormat="1" ht="15" customHeight="1" x14ac:dyDescent="0.2">
      <c r="A72" s="74"/>
      <c r="B72" s="83"/>
      <c r="C72" s="83"/>
      <c r="D72" s="83"/>
      <c r="E72" s="83"/>
      <c r="F72" s="83"/>
      <c r="G72" s="83"/>
      <c r="H72" s="83"/>
      <c r="I72" s="76"/>
    </row>
    <row r="73" spans="1:9" customFormat="1" ht="30" customHeight="1" x14ac:dyDescent="0.25">
      <c r="A73" s="49" t="s">
        <v>295</v>
      </c>
      <c r="B73" s="49"/>
      <c r="C73" s="49"/>
      <c r="D73" s="50"/>
      <c r="E73" s="50"/>
      <c r="F73" s="51"/>
      <c r="G73" s="204"/>
      <c r="H73" s="204"/>
      <c r="I73" s="210"/>
    </row>
    <row r="74" spans="1:9" s="77" customFormat="1" ht="15" customHeight="1" x14ac:dyDescent="0.2">
      <c r="A74" s="74"/>
      <c r="B74" s="83"/>
      <c r="C74" s="83"/>
      <c r="D74" s="83"/>
      <c r="E74" s="83"/>
      <c r="F74" s="83"/>
      <c r="G74" s="83"/>
      <c r="H74" s="83"/>
      <c r="I74" s="76"/>
    </row>
    <row r="75" spans="1:9" s="77" customFormat="1" ht="15" customHeight="1" x14ac:dyDescent="0.2">
      <c r="A75" s="74"/>
      <c r="B75" s="1871"/>
      <c r="C75" s="1871"/>
      <c r="D75" s="1871"/>
      <c r="E75" s="1871"/>
      <c r="F75" s="967" t="s">
        <v>566</v>
      </c>
      <c r="G75" s="83"/>
      <c r="H75" s="83"/>
      <c r="I75" s="76"/>
    </row>
    <row r="76" spans="1:9" s="77" customFormat="1" ht="15" customHeight="1" x14ac:dyDescent="0.2">
      <c r="A76" s="74"/>
      <c r="B76" s="1867" t="s">
        <v>860</v>
      </c>
      <c r="C76" s="1867"/>
      <c r="D76" s="1867"/>
      <c r="E76" s="1868"/>
      <c r="F76" s="997">
        <v>0</v>
      </c>
      <c r="G76" s="83"/>
      <c r="H76" s="83"/>
      <c r="I76" s="76"/>
    </row>
    <row r="77" spans="1:9" s="77" customFormat="1" ht="15" customHeight="1" x14ac:dyDescent="0.2">
      <c r="A77" s="74"/>
      <c r="B77" s="1869" t="s">
        <v>861</v>
      </c>
      <c r="C77" s="1869"/>
      <c r="D77" s="1869"/>
      <c r="E77" s="1870"/>
      <c r="F77" s="998">
        <v>0</v>
      </c>
      <c r="G77" s="83"/>
      <c r="H77" s="83"/>
      <c r="I77" s="76"/>
    </row>
    <row r="78" spans="1:9" s="77" customFormat="1" ht="15" customHeight="1" x14ac:dyDescent="0.2">
      <c r="A78" s="74"/>
      <c r="B78" s="1862" t="s">
        <v>732</v>
      </c>
      <c r="C78" s="1862"/>
      <c r="D78" s="1862"/>
      <c r="E78" s="1863"/>
      <c r="F78" s="998">
        <v>0</v>
      </c>
      <c r="G78" s="83"/>
      <c r="H78" s="83"/>
      <c r="I78" s="76"/>
    </row>
    <row r="79" spans="1:9" s="77" customFormat="1" ht="15" customHeight="1" x14ac:dyDescent="0.2">
      <c r="A79" s="74"/>
      <c r="B79" s="1862" t="s">
        <v>733</v>
      </c>
      <c r="C79" s="1862"/>
      <c r="D79" s="1862"/>
      <c r="E79" s="1863"/>
      <c r="F79" s="998">
        <v>0</v>
      </c>
      <c r="G79" s="83"/>
      <c r="H79" s="83"/>
      <c r="I79" s="76"/>
    </row>
    <row r="80" spans="1:9" s="77" customFormat="1" ht="15" customHeight="1" x14ac:dyDescent="0.2">
      <c r="A80" s="74"/>
      <c r="B80" s="1862" t="s">
        <v>632</v>
      </c>
      <c r="C80" s="1862"/>
      <c r="D80" s="1862"/>
      <c r="E80" s="1863"/>
      <c r="F80" s="1010"/>
      <c r="G80" s="83"/>
      <c r="H80" s="83"/>
      <c r="I80" s="76"/>
    </row>
    <row r="81" spans="1:9" s="77" customFormat="1" ht="15" customHeight="1" x14ac:dyDescent="0.2">
      <c r="A81" s="74"/>
      <c r="B81" s="1864" t="s">
        <v>445</v>
      </c>
      <c r="C81" s="1864"/>
      <c r="D81" s="1864"/>
      <c r="E81" s="1865"/>
      <c r="F81" s="998">
        <v>0</v>
      </c>
      <c r="G81" s="83"/>
      <c r="H81" s="83"/>
      <c r="I81" s="76"/>
    </row>
    <row r="82" spans="1:9" s="77" customFormat="1" ht="15" customHeight="1" x14ac:dyDescent="0.2">
      <c r="A82" s="74"/>
      <c r="B82" s="1864" t="s">
        <v>13</v>
      </c>
      <c r="C82" s="1864"/>
      <c r="D82" s="1864"/>
      <c r="E82" s="1865"/>
      <c r="F82" s="998">
        <v>0</v>
      </c>
      <c r="G82" s="83"/>
      <c r="H82" s="83"/>
      <c r="I82" s="76"/>
    </row>
    <row r="83" spans="1:9" s="77" customFormat="1" ht="15" customHeight="1" x14ac:dyDescent="0.2">
      <c r="A83" s="74"/>
      <c r="B83" s="1864" t="s">
        <v>633</v>
      </c>
      <c r="C83" s="1864"/>
      <c r="D83" s="1864"/>
      <c r="E83" s="1865"/>
      <c r="F83" s="998">
        <v>0</v>
      </c>
      <c r="G83" s="83"/>
      <c r="H83" s="83"/>
      <c r="I83" s="76"/>
    </row>
    <row r="84" spans="1:9" s="77" customFormat="1" ht="15" customHeight="1" x14ac:dyDescent="0.2">
      <c r="A84" s="74"/>
      <c r="B84" s="1864" t="s">
        <v>14</v>
      </c>
      <c r="C84" s="1864"/>
      <c r="D84" s="1864"/>
      <c r="E84" s="1865"/>
      <c r="F84" s="998">
        <v>0</v>
      </c>
      <c r="G84" s="83"/>
      <c r="H84" s="83"/>
      <c r="I84" s="76"/>
    </row>
    <row r="85" spans="1:9" s="77" customFormat="1" ht="15" customHeight="1" x14ac:dyDescent="0.2">
      <c r="A85" s="74"/>
      <c r="B85" s="1872" t="s">
        <v>226</v>
      </c>
      <c r="C85" s="1872"/>
      <c r="D85" s="1872"/>
      <c r="E85" s="1873"/>
      <c r="F85" s="999">
        <v>0</v>
      </c>
      <c r="G85" s="83"/>
      <c r="H85" s="83"/>
      <c r="I85" s="76"/>
    </row>
    <row r="86" spans="1:9" s="77" customFormat="1" ht="15" customHeight="1" x14ac:dyDescent="0.2">
      <c r="A86" s="1077"/>
      <c r="B86" s="83"/>
      <c r="C86" s="83"/>
      <c r="D86" s="83"/>
      <c r="E86" s="83"/>
      <c r="F86" s="83"/>
      <c r="G86" s="83"/>
      <c r="H86" s="83"/>
      <c r="I86" s="76"/>
    </row>
    <row r="87" spans="1:9" s="1417" customFormat="1" ht="30" customHeight="1" x14ac:dyDescent="0.25">
      <c r="A87" s="1418" t="s">
        <v>1211</v>
      </c>
      <c r="B87" s="1418"/>
      <c r="C87" s="19"/>
      <c r="D87" s="19"/>
      <c r="E87" s="19"/>
      <c r="F87" s="19"/>
      <c r="G87" s="19"/>
      <c r="H87" s="19"/>
      <c r="I87" s="1419"/>
    </row>
    <row r="88" spans="1:9" s="15" customFormat="1" ht="15" customHeight="1" x14ac:dyDescent="0.2">
      <c r="A88" s="972"/>
      <c r="B88" s="974"/>
      <c r="C88" s="14"/>
      <c r="D88" s="14"/>
      <c r="E88" s="14"/>
      <c r="F88" s="14"/>
      <c r="G88" s="14"/>
      <c r="H88" s="14"/>
      <c r="I88" s="21"/>
    </row>
    <row r="89" spans="1:9" s="15" customFormat="1" ht="15" customHeight="1" x14ac:dyDescent="0.2">
      <c r="A89" s="972"/>
      <c r="B89" s="1420" t="s">
        <v>1092</v>
      </c>
      <c r="C89" s="144"/>
      <c r="D89" s="145"/>
      <c r="E89" s="144"/>
      <c r="F89" s="1423">
        <v>0.5</v>
      </c>
      <c r="G89" s="14"/>
      <c r="H89" s="14"/>
      <c r="I89" s="21"/>
    </row>
    <row r="90" spans="1:9" s="15" customFormat="1" ht="15" customHeight="1" x14ac:dyDescent="0.2">
      <c r="A90" s="972"/>
      <c r="B90" s="974"/>
      <c r="C90" s="14"/>
      <c r="D90" s="14"/>
      <c r="E90" s="14"/>
      <c r="F90" s="14"/>
      <c r="G90" s="14"/>
      <c r="H90" s="14"/>
      <c r="I90" s="21"/>
    </row>
    <row r="91" spans="1:9" customFormat="1" ht="30" hidden="1" customHeight="1" x14ac:dyDescent="0.2">
      <c r="A91" s="1319"/>
      <c r="B91" s="1320"/>
      <c r="C91" s="1320"/>
      <c r="D91" s="1320"/>
      <c r="E91" s="1320"/>
      <c r="F91" s="1320"/>
      <c r="G91" s="1320"/>
      <c r="H91" s="1320"/>
      <c r="I91" s="1321"/>
    </row>
    <row r="92" spans="1:9" customFormat="1" ht="15" hidden="1" customHeight="1" x14ac:dyDescent="0.2">
      <c r="A92" s="1076"/>
      <c r="B92" s="1074"/>
      <c r="C92" s="1074"/>
      <c r="D92" s="1074"/>
      <c r="E92" s="1074"/>
      <c r="F92" s="1074"/>
      <c r="G92" s="1074"/>
      <c r="H92" s="1074"/>
      <c r="I92" s="1075"/>
    </row>
    <row r="93" spans="1:9" customFormat="1" ht="45" hidden="1" customHeight="1" x14ac:dyDescent="0.2">
      <c r="A93" s="1076"/>
      <c r="B93" s="1074"/>
      <c r="C93" s="1074"/>
      <c r="D93" s="1074"/>
      <c r="E93" s="1074"/>
      <c r="F93" s="1074"/>
      <c r="G93" s="1074"/>
      <c r="H93" s="1074"/>
      <c r="I93" s="1075"/>
    </row>
    <row r="94" spans="1:9" customFormat="1" ht="30" hidden="1" customHeight="1" x14ac:dyDescent="0.2">
      <c r="A94" s="1076"/>
      <c r="B94" s="1074"/>
      <c r="C94" s="1074"/>
      <c r="D94" s="1074"/>
      <c r="E94" s="1074"/>
      <c r="F94" s="1074"/>
      <c r="G94" s="1074"/>
      <c r="H94" s="1074"/>
      <c r="I94" s="1075"/>
    </row>
    <row r="95" spans="1:9" customFormat="1" ht="15" hidden="1" customHeight="1" x14ac:dyDescent="0.2">
      <c r="A95" s="1076"/>
      <c r="B95" s="1074"/>
      <c r="C95" s="1074"/>
      <c r="D95" s="1074"/>
      <c r="E95" s="1074"/>
      <c r="F95" s="1074"/>
      <c r="G95" s="1074"/>
      <c r="H95" s="1074"/>
      <c r="I95" s="1075"/>
    </row>
    <row r="96" spans="1:9" customFormat="1" ht="15" hidden="1" customHeight="1" x14ac:dyDescent="0.2">
      <c r="A96" s="1076"/>
      <c r="B96" s="1074"/>
      <c r="C96" s="1074"/>
      <c r="D96" s="1074"/>
      <c r="E96" s="1074"/>
      <c r="F96" s="1074"/>
      <c r="G96" s="1074"/>
      <c r="H96" s="1074"/>
      <c r="I96" s="1075"/>
    </row>
    <row r="97" spans="1:9" customFormat="1" ht="15" hidden="1" customHeight="1" x14ac:dyDescent="0.2">
      <c r="A97" s="1076"/>
      <c r="B97" s="1074"/>
      <c r="C97" s="1074"/>
      <c r="D97" s="1074"/>
      <c r="E97" s="1074"/>
      <c r="F97" s="1074"/>
      <c r="G97" s="1074"/>
      <c r="H97" s="1074"/>
      <c r="I97" s="1075"/>
    </row>
    <row r="98" spans="1:9" customFormat="1" ht="15" hidden="1" customHeight="1" x14ac:dyDescent="0.2">
      <c r="A98" s="1076"/>
      <c r="B98" s="1074"/>
      <c r="C98" s="1074"/>
      <c r="D98" s="1074"/>
      <c r="E98" s="1074"/>
      <c r="F98" s="1074"/>
      <c r="G98" s="1074"/>
      <c r="H98" s="1074"/>
      <c r="I98" s="1075"/>
    </row>
    <row r="99" spans="1:9" customFormat="1" ht="15" hidden="1" customHeight="1" x14ac:dyDescent="0.2">
      <c r="A99" s="1076"/>
      <c r="B99" s="1074"/>
      <c r="C99" s="1074"/>
      <c r="D99" s="1074"/>
      <c r="E99" s="1074"/>
      <c r="F99" s="1074"/>
      <c r="G99" s="1074"/>
      <c r="H99" s="1074"/>
      <c r="I99" s="1075"/>
    </row>
    <row r="100" spans="1:9" customFormat="1" ht="15" hidden="1" customHeight="1" x14ac:dyDescent="0.2">
      <c r="A100" s="1076"/>
      <c r="B100" s="1074"/>
      <c r="C100" s="1074"/>
      <c r="D100" s="1074"/>
      <c r="E100" s="1074"/>
      <c r="F100" s="1074"/>
      <c r="G100" s="1074"/>
      <c r="H100" s="1074"/>
      <c r="I100" s="1075"/>
    </row>
    <row r="101" spans="1:9" customFormat="1" ht="15" hidden="1" customHeight="1" x14ac:dyDescent="0.2">
      <c r="A101" s="1076"/>
      <c r="B101" s="1074"/>
      <c r="C101" s="1074"/>
      <c r="D101" s="1074"/>
      <c r="E101" s="1074"/>
      <c r="F101" s="1074"/>
      <c r="G101" s="1074"/>
      <c r="H101" s="1074"/>
      <c r="I101" s="1075"/>
    </row>
    <row r="102" spans="1:9" customFormat="1" ht="15" hidden="1" customHeight="1" x14ac:dyDescent="0.2">
      <c r="A102" s="1076"/>
      <c r="B102" s="1074"/>
      <c r="C102" s="1074"/>
      <c r="D102" s="1074"/>
      <c r="E102" s="1074"/>
      <c r="F102" s="1074"/>
      <c r="G102" s="1074"/>
      <c r="H102" s="1074"/>
      <c r="I102" s="1075"/>
    </row>
    <row r="103" spans="1:9" customFormat="1" ht="30" hidden="1" customHeight="1" x14ac:dyDescent="0.2">
      <c r="A103" s="1076"/>
      <c r="B103" s="1074"/>
      <c r="C103" s="1074"/>
      <c r="D103" s="1074"/>
      <c r="E103" s="1074"/>
      <c r="F103" s="1074"/>
      <c r="G103" s="1074"/>
      <c r="H103" s="1074"/>
      <c r="I103" s="1075"/>
    </row>
    <row r="104" spans="1:9" customFormat="1" ht="15" hidden="1" customHeight="1" x14ac:dyDescent="0.2">
      <c r="A104" s="1076"/>
      <c r="B104" s="1074"/>
      <c r="C104" s="1074"/>
      <c r="D104" s="1074"/>
      <c r="E104" s="1074"/>
      <c r="F104" s="1074"/>
      <c r="G104" s="1074"/>
      <c r="H104" s="1074"/>
      <c r="I104" s="1075"/>
    </row>
    <row r="105" spans="1:9" customFormat="1" ht="15" hidden="1" customHeight="1" x14ac:dyDescent="0.2">
      <c r="A105" s="1076"/>
      <c r="B105" s="1074"/>
      <c r="C105" s="1074"/>
      <c r="D105" s="1074"/>
      <c r="E105" s="1074"/>
      <c r="F105" s="1074"/>
      <c r="G105" s="1074"/>
      <c r="H105" s="1074"/>
      <c r="I105" s="1075"/>
    </row>
    <row r="106" spans="1:9" customFormat="1" ht="15" hidden="1" customHeight="1" x14ac:dyDescent="0.2">
      <c r="A106" s="1076"/>
      <c r="B106" s="1074"/>
      <c r="C106" s="1074"/>
      <c r="D106" s="1074"/>
      <c r="E106" s="1074"/>
      <c r="F106" s="1074"/>
      <c r="G106" s="1074"/>
      <c r="H106" s="1074"/>
      <c r="I106" s="1075"/>
    </row>
    <row r="107" spans="1:9" customFormat="1" ht="15" hidden="1" customHeight="1" x14ac:dyDescent="0.2">
      <c r="A107" s="1076"/>
      <c r="B107" s="1074"/>
      <c r="C107" s="1074"/>
      <c r="D107" s="1074"/>
      <c r="E107" s="1074"/>
      <c r="F107" s="1074"/>
      <c r="G107" s="1074"/>
      <c r="H107" s="1074"/>
      <c r="I107" s="1075"/>
    </row>
    <row r="108" spans="1:9" customFormat="1" ht="15" hidden="1" customHeight="1" x14ac:dyDescent="0.2">
      <c r="A108" s="1076"/>
      <c r="B108" s="1074"/>
      <c r="C108" s="1074"/>
      <c r="D108" s="1074"/>
      <c r="E108" s="1074"/>
      <c r="F108" s="1074"/>
      <c r="G108" s="1074"/>
      <c r="H108" s="1074"/>
      <c r="I108" s="1075"/>
    </row>
    <row r="109" spans="1:9" customFormat="1" ht="15" hidden="1" customHeight="1" x14ac:dyDescent="0.2">
      <c r="A109" s="1076"/>
      <c r="B109" s="1074"/>
      <c r="C109" s="1074"/>
      <c r="D109" s="1074"/>
      <c r="E109" s="1074"/>
      <c r="F109" s="1074"/>
      <c r="G109" s="1074"/>
      <c r="H109" s="1074"/>
      <c r="I109" s="1075"/>
    </row>
    <row r="110" spans="1:9" customFormat="1" ht="30" hidden="1" customHeight="1" x14ac:dyDescent="0.2">
      <c r="A110" s="1076"/>
      <c r="B110" s="1074"/>
      <c r="C110" s="1074"/>
      <c r="D110" s="1074"/>
      <c r="E110" s="1074"/>
      <c r="F110" s="1074"/>
      <c r="G110" s="1074"/>
      <c r="H110" s="1074"/>
      <c r="I110" s="1075"/>
    </row>
    <row r="111" spans="1:9" customFormat="1" ht="15" hidden="1" customHeight="1" x14ac:dyDescent="0.2">
      <c r="A111" s="1076"/>
      <c r="B111" s="1074"/>
      <c r="C111" s="1074"/>
      <c r="D111" s="1074"/>
      <c r="E111" s="1074"/>
      <c r="F111" s="1074"/>
      <c r="G111" s="1074"/>
      <c r="H111" s="1074"/>
      <c r="I111" s="1075"/>
    </row>
    <row r="112" spans="1:9" customFormat="1" ht="15" hidden="1" customHeight="1" x14ac:dyDescent="0.2">
      <c r="A112" s="1076"/>
      <c r="B112" s="1074"/>
      <c r="C112" s="1074"/>
      <c r="D112" s="1074"/>
      <c r="E112" s="1074"/>
      <c r="F112" s="1074"/>
      <c r="G112" s="1074"/>
      <c r="H112" s="1074"/>
      <c r="I112" s="1075"/>
    </row>
    <row r="113" spans="1:9" customFormat="1" ht="15" hidden="1" customHeight="1" x14ac:dyDescent="0.2">
      <c r="A113" s="1076"/>
      <c r="B113" s="1074"/>
      <c r="C113" s="1074"/>
      <c r="D113" s="1074"/>
      <c r="E113" s="1074"/>
      <c r="F113" s="1074"/>
      <c r="G113" s="1074"/>
      <c r="H113" s="1074"/>
      <c r="I113" s="1075"/>
    </row>
    <row r="114" spans="1:9" customFormat="1" ht="30" hidden="1" customHeight="1" x14ac:dyDescent="0.2">
      <c r="A114" s="1076"/>
      <c r="B114" s="1074"/>
      <c r="C114" s="1074"/>
      <c r="D114" s="1074"/>
      <c r="E114" s="1074"/>
      <c r="F114" s="1074"/>
      <c r="G114" s="1074"/>
      <c r="H114" s="1074"/>
      <c r="I114" s="1075"/>
    </row>
    <row r="115" spans="1:9" customFormat="1" ht="15" hidden="1" customHeight="1" x14ac:dyDescent="0.2">
      <c r="A115" s="1076"/>
      <c r="B115" s="1074"/>
      <c r="C115" s="1074"/>
      <c r="D115" s="1074"/>
      <c r="E115" s="1074"/>
      <c r="F115" s="1074"/>
      <c r="G115" s="1074"/>
      <c r="H115" s="1074"/>
      <c r="I115" s="1075"/>
    </row>
    <row r="116" spans="1:9" customFormat="1" ht="15" hidden="1" customHeight="1" x14ac:dyDescent="0.2">
      <c r="A116" s="1076"/>
      <c r="B116" s="1074"/>
      <c r="C116" s="1074"/>
      <c r="D116" s="1074"/>
      <c r="E116" s="1074"/>
      <c r="F116" s="1074"/>
      <c r="G116" s="1074"/>
      <c r="H116" s="1074"/>
      <c r="I116" s="1075"/>
    </row>
    <row r="117" spans="1:9" customFormat="1" ht="15" hidden="1" customHeight="1" x14ac:dyDescent="0.2">
      <c r="A117" s="1076"/>
      <c r="B117" s="1074"/>
      <c r="C117" s="1074"/>
      <c r="D117" s="1074"/>
      <c r="E117" s="1074"/>
      <c r="F117" s="1074"/>
      <c r="G117" s="1074"/>
      <c r="H117" s="1074"/>
      <c r="I117" s="1075"/>
    </row>
    <row r="118" spans="1:9" customFormat="1" ht="15" hidden="1" customHeight="1" x14ac:dyDescent="0.2">
      <c r="A118" s="1076"/>
      <c r="B118" s="1074"/>
      <c r="C118" s="1074"/>
      <c r="D118" s="1074"/>
      <c r="E118" s="1074"/>
      <c r="F118" s="1074"/>
      <c r="G118" s="1074"/>
      <c r="H118" s="1074"/>
      <c r="I118" s="1075"/>
    </row>
    <row r="119" spans="1:9" customFormat="1" ht="30" hidden="1" customHeight="1" x14ac:dyDescent="0.2">
      <c r="A119" s="1076"/>
      <c r="B119" s="1074"/>
      <c r="C119" s="1074"/>
      <c r="D119" s="1074"/>
      <c r="E119" s="1074"/>
      <c r="F119" s="1074"/>
      <c r="G119" s="1074"/>
      <c r="H119" s="1074"/>
      <c r="I119" s="1075"/>
    </row>
    <row r="120" spans="1:9" customFormat="1" ht="15" hidden="1" customHeight="1" x14ac:dyDescent="0.2">
      <c r="A120" s="1076"/>
      <c r="B120" s="1074"/>
      <c r="C120" s="1074"/>
      <c r="D120" s="1074"/>
      <c r="E120" s="1074"/>
      <c r="F120" s="1074"/>
      <c r="G120" s="1074"/>
      <c r="H120" s="1074"/>
      <c r="I120" s="1075"/>
    </row>
    <row r="121" spans="1:9" customFormat="1" ht="15" hidden="1" customHeight="1" x14ac:dyDescent="0.2">
      <c r="A121" s="1076"/>
      <c r="B121" s="1074"/>
      <c r="C121" s="1074"/>
      <c r="D121" s="1074"/>
      <c r="E121" s="1074"/>
      <c r="F121" s="1074"/>
      <c r="G121" s="1074"/>
      <c r="H121" s="1074"/>
      <c r="I121" s="1075"/>
    </row>
    <row r="122" spans="1:9" customFormat="1" ht="15" hidden="1" customHeight="1" x14ac:dyDescent="0.2">
      <c r="A122" s="1076"/>
      <c r="B122" s="1074"/>
      <c r="C122" s="1074"/>
      <c r="D122" s="1074"/>
      <c r="E122" s="1074"/>
      <c r="F122" s="1074"/>
      <c r="G122" s="1074"/>
      <c r="H122" s="1074"/>
      <c r="I122" s="1075"/>
    </row>
    <row r="123" spans="1:9" customFormat="1" ht="15" hidden="1" customHeight="1" x14ac:dyDescent="0.2">
      <c r="A123" s="1076"/>
      <c r="B123" s="1074"/>
      <c r="C123" s="1074"/>
      <c r="D123" s="1074"/>
      <c r="E123" s="1074"/>
      <c r="F123" s="1074"/>
      <c r="G123" s="1074"/>
      <c r="H123" s="1074"/>
      <c r="I123" s="1075"/>
    </row>
    <row r="124" spans="1:9" customFormat="1" ht="15" hidden="1" customHeight="1" x14ac:dyDescent="0.2">
      <c r="A124" s="1076"/>
      <c r="B124" s="1074"/>
      <c r="C124" s="1074"/>
      <c r="D124" s="1074"/>
      <c r="E124" s="1074"/>
      <c r="F124" s="1074"/>
      <c r="G124" s="1074"/>
      <c r="H124" s="1074"/>
      <c r="I124" s="1075"/>
    </row>
    <row r="125" spans="1:9" customFormat="1" ht="30" hidden="1" customHeight="1" x14ac:dyDescent="0.2">
      <c r="A125" s="1076"/>
      <c r="B125" s="1074"/>
      <c r="C125" s="1074"/>
      <c r="D125" s="1074"/>
      <c r="E125" s="1074"/>
      <c r="F125" s="1074"/>
      <c r="G125" s="1074"/>
      <c r="H125" s="1074"/>
      <c r="I125" s="1075"/>
    </row>
    <row r="126" spans="1:9" customFormat="1" ht="15" hidden="1" customHeight="1" x14ac:dyDescent="0.2">
      <c r="A126" s="1076"/>
      <c r="B126" s="1074"/>
      <c r="C126" s="1074"/>
      <c r="D126" s="1074"/>
      <c r="E126" s="1074"/>
      <c r="F126" s="1074"/>
      <c r="G126" s="1074"/>
      <c r="H126" s="1074"/>
      <c r="I126" s="1075"/>
    </row>
    <row r="127" spans="1:9" customFormat="1" ht="15" hidden="1" customHeight="1" x14ac:dyDescent="0.2">
      <c r="A127" s="1076"/>
      <c r="B127" s="1074"/>
      <c r="C127" s="1074"/>
      <c r="D127" s="1074"/>
      <c r="E127" s="1074"/>
      <c r="F127" s="1074"/>
      <c r="G127" s="1074"/>
      <c r="H127" s="1074"/>
      <c r="I127" s="1075"/>
    </row>
    <row r="128" spans="1:9" customFormat="1" ht="15" hidden="1" customHeight="1" x14ac:dyDescent="0.2">
      <c r="A128" s="1076"/>
      <c r="B128" s="1074"/>
      <c r="C128" s="1074"/>
      <c r="D128" s="1074"/>
      <c r="E128" s="1074"/>
      <c r="F128" s="1074"/>
      <c r="G128" s="1074"/>
      <c r="H128" s="1074"/>
      <c r="I128" s="1075"/>
    </row>
    <row r="129" spans="1:9" customFormat="1" ht="15" hidden="1" customHeight="1" x14ac:dyDescent="0.2">
      <c r="A129" s="1076"/>
      <c r="B129" s="1074"/>
      <c r="C129" s="1074"/>
      <c r="D129" s="1074"/>
      <c r="E129" s="1074"/>
      <c r="F129" s="1074"/>
      <c r="G129" s="1074"/>
      <c r="H129" s="1074"/>
      <c r="I129" s="1075"/>
    </row>
    <row r="130" spans="1:9" customFormat="1" ht="15" hidden="1" customHeight="1" x14ac:dyDescent="0.2">
      <c r="A130" s="1076"/>
      <c r="B130" s="1074"/>
      <c r="C130" s="1074"/>
      <c r="D130" s="1074"/>
      <c r="E130" s="1074"/>
      <c r="F130" s="1074"/>
      <c r="G130" s="1074"/>
      <c r="H130" s="1074"/>
      <c r="I130" s="1075"/>
    </row>
    <row r="131" spans="1:9" customFormat="1" ht="15" hidden="1" customHeight="1" x14ac:dyDescent="0.2">
      <c r="A131" s="1076"/>
      <c r="B131" s="1074"/>
      <c r="C131" s="1074"/>
      <c r="D131" s="1074"/>
      <c r="E131" s="1074"/>
      <c r="F131" s="1074"/>
      <c r="G131" s="1074"/>
      <c r="H131" s="1074"/>
      <c r="I131" s="1075"/>
    </row>
    <row r="132" spans="1:9" customFormat="1" ht="15" hidden="1" customHeight="1" x14ac:dyDescent="0.2">
      <c r="A132" s="1076"/>
      <c r="B132" s="1074"/>
      <c r="C132" s="1074"/>
      <c r="D132" s="1074"/>
      <c r="E132" s="1074"/>
      <c r="F132" s="1074"/>
      <c r="G132" s="1074"/>
      <c r="H132" s="1074"/>
      <c r="I132" s="1075"/>
    </row>
    <row r="133" spans="1:9" customFormat="1" ht="15" hidden="1" customHeight="1" x14ac:dyDescent="0.2">
      <c r="A133" s="1076"/>
      <c r="B133" s="1074"/>
      <c r="C133" s="1074"/>
      <c r="D133" s="1074"/>
      <c r="E133" s="1074"/>
      <c r="F133" s="1074"/>
      <c r="G133" s="1074"/>
      <c r="H133" s="1074"/>
      <c r="I133" s="1075"/>
    </row>
    <row r="134" spans="1:9" customFormat="1" ht="15" hidden="1" customHeight="1" x14ac:dyDescent="0.2">
      <c r="A134" s="1076"/>
      <c r="B134" s="1074"/>
      <c r="C134" s="1074"/>
      <c r="D134" s="1074"/>
      <c r="E134" s="1074"/>
      <c r="F134" s="1074"/>
      <c r="G134" s="1074"/>
      <c r="H134" s="1074"/>
      <c r="I134" s="1075"/>
    </row>
    <row r="135" spans="1:9" customFormat="1" ht="15" hidden="1" customHeight="1" x14ac:dyDescent="0.2">
      <c r="A135" s="1076"/>
      <c r="B135" s="1074"/>
      <c r="C135" s="1074"/>
      <c r="D135" s="1074"/>
      <c r="E135" s="1074"/>
      <c r="F135" s="1074"/>
      <c r="G135" s="1074"/>
      <c r="H135" s="1074"/>
      <c r="I135" s="1075"/>
    </row>
    <row r="136" spans="1:9" customFormat="1" ht="30" hidden="1" customHeight="1" x14ac:dyDescent="0.2">
      <c r="A136" s="1076"/>
      <c r="B136" s="1074"/>
      <c r="C136" s="1074"/>
      <c r="D136" s="1074"/>
      <c r="E136" s="1074"/>
      <c r="F136" s="1074"/>
      <c r="G136" s="1074"/>
      <c r="H136" s="1074"/>
      <c r="I136" s="1075"/>
    </row>
    <row r="137" spans="1:9" customFormat="1" ht="15" hidden="1" customHeight="1" x14ac:dyDescent="0.2">
      <c r="A137" s="1076"/>
      <c r="B137" s="1074"/>
      <c r="C137" s="1074"/>
      <c r="D137" s="1074"/>
      <c r="E137" s="1074"/>
      <c r="F137" s="1074"/>
      <c r="G137" s="1074"/>
      <c r="H137" s="1074"/>
      <c r="I137" s="1075"/>
    </row>
    <row r="138" spans="1:9" customFormat="1" ht="15" hidden="1" customHeight="1" x14ac:dyDescent="0.2">
      <c r="A138" s="1076"/>
      <c r="B138" s="1074"/>
      <c r="C138" s="1074"/>
      <c r="D138" s="1074"/>
      <c r="E138" s="1074"/>
      <c r="F138" s="1074"/>
      <c r="G138" s="1074"/>
      <c r="H138" s="1074"/>
      <c r="I138" s="1075"/>
    </row>
    <row r="139" spans="1:9" customFormat="1" ht="15" hidden="1" customHeight="1" x14ac:dyDescent="0.2">
      <c r="A139" s="1076"/>
      <c r="B139" s="1074"/>
      <c r="C139" s="1074"/>
      <c r="D139" s="1074"/>
      <c r="E139" s="1074"/>
      <c r="F139" s="1074"/>
      <c r="G139" s="1074"/>
      <c r="H139" s="1074"/>
      <c r="I139" s="1075"/>
    </row>
    <row r="140" spans="1:9" customFormat="1" ht="15" hidden="1" customHeight="1" x14ac:dyDescent="0.2">
      <c r="A140" s="1076"/>
      <c r="B140" s="1074"/>
      <c r="C140" s="1074"/>
      <c r="D140" s="1074"/>
      <c r="E140" s="1074"/>
      <c r="F140" s="1074"/>
      <c r="G140" s="1074"/>
      <c r="H140" s="1074"/>
      <c r="I140" s="1075"/>
    </row>
    <row r="141" spans="1:9" customFormat="1" ht="15" hidden="1" customHeight="1" x14ac:dyDescent="0.2">
      <c r="A141" s="214"/>
      <c r="B141" s="1070"/>
      <c r="C141" s="1070"/>
      <c r="D141" s="1070"/>
      <c r="E141" s="1070"/>
      <c r="F141" s="1070"/>
      <c r="G141" s="1070"/>
      <c r="H141" s="1070"/>
      <c r="I141" s="1071"/>
    </row>
    <row r="142" spans="1:9" s="1417" customFormat="1" ht="30" customHeight="1" x14ac:dyDescent="0.25">
      <c r="A142" s="1418" t="s">
        <v>1512</v>
      </c>
      <c r="B142" s="1418"/>
      <c r="C142" s="19"/>
      <c r="D142" s="19"/>
      <c r="E142" s="19"/>
      <c r="F142" s="19"/>
      <c r="G142" s="19"/>
      <c r="H142" s="19"/>
      <c r="I142" s="1419"/>
    </row>
    <row r="143" spans="1:9" s="77" customFormat="1" ht="15" customHeight="1" x14ac:dyDescent="0.2">
      <c r="A143" s="74"/>
      <c r="B143" s="1"/>
      <c r="C143" s="1"/>
      <c r="D143" s="1"/>
      <c r="E143" s="1"/>
      <c r="F143" s="1"/>
      <c r="G143" s="1"/>
      <c r="H143" s="1"/>
      <c r="I143" s="81"/>
    </row>
    <row r="144" spans="1:9" s="77" customFormat="1" ht="15" customHeight="1" x14ac:dyDescent="0.2">
      <c r="A144" s="74"/>
      <c r="B144" s="976" t="s">
        <v>175</v>
      </c>
      <c r="C144" s="968">
        <v>1</v>
      </c>
      <c r="D144" s="1013" t="s">
        <v>168</v>
      </c>
      <c r="E144" s="1013"/>
      <c r="F144" s="1013"/>
      <c r="G144" s="83"/>
      <c r="H144" s="83"/>
      <c r="I144" s="76"/>
    </row>
    <row r="145" spans="1:9" s="77" customFormat="1" ht="15" customHeight="1" x14ac:dyDescent="0.2">
      <c r="A145" s="74"/>
      <c r="B145" s="71"/>
      <c r="C145" s="969">
        <v>2</v>
      </c>
      <c r="D145" s="1014" t="s">
        <v>169</v>
      </c>
      <c r="E145" s="1014"/>
      <c r="F145" s="1014"/>
      <c r="G145" s="83"/>
      <c r="H145" s="83"/>
      <c r="I145" s="76"/>
    </row>
    <row r="146" spans="1:9" s="77" customFormat="1" ht="15" customHeight="1" x14ac:dyDescent="0.2">
      <c r="A146" s="74"/>
      <c r="B146" s="681" t="s">
        <v>136</v>
      </c>
      <c r="C146" s="1012">
        <v>3</v>
      </c>
      <c r="D146" s="84"/>
      <c r="E146" s="84"/>
      <c r="F146" s="84"/>
      <c r="G146" s="83"/>
      <c r="H146" s="83"/>
      <c r="I146" s="76"/>
    </row>
    <row r="147" spans="1:9" s="77" customFormat="1" ht="15" customHeight="1" x14ac:dyDescent="0.2">
      <c r="A147" s="74"/>
      <c r="B147" s="976" t="s">
        <v>476</v>
      </c>
      <c r="C147" s="968">
        <v>1</v>
      </c>
      <c r="D147" s="1013">
        <v>1</v>
      </c>
      <c r="E147" s="1013"/>
      <c r="F147" s="1013"/>
      <c r="G147" s="83"/>
      <c r="H147" s="83"/>
      <c r="I147" s="76"/>
    </row>
    <row r="148" spans="1:9" s="77" customFormat="1" ht="15" customHeight="1" x14ac:dyDescent="0.2">
      <c r="A148" s="74"/>
      <c r="B148" s="71"/>
      <c r="C148" s="969">
        <v>2</v>
      </c>
      <c r="D148" s="1014">
        <v>2</v>
      </c>
      <c r="E148" s="1054"/>
      <c r="F148" s="1054"/>
      <c r="G148" s="83"/>
      <c r="H148" s="83"/>
      <c r="I148" s="76"/>
    </row>
    <row r="149" spans="1:9" s="77" customFormat="1" ht="15" customHeight="1" x14ac:dyDescent="0.2">
      <c r="A149" s="74"/>
      <c r="B149" s="68" t="s">
        <v>1095</v>
      </c>
      <c r="C149" s="1333">
        <v>1</v>
      </c>
      <c r="D149" s="323">
        <v>1</v>
      </c>
      <c r="E149" s="1499">
        <v>1</v>
      </c>
      <c r="F149" s="1505" t="s">
        <v>1096</v>
      </c>
      <c r="G149" s="1501"/>
      <c r="H149" s="83"/>
      <c r="I149" s="76"/>
    </row>
    <row r="150" spans="1:9" s="77" customFormat="1" ht="15" customHeight="1" x14ac:dyDescent="0.2">
      <c r="A150" s="74"/>
      <c r="B150" s="1169"/>
      <c r="C150" s="1061">
        <v>2</v>
      </c>
      <c r="D150" s="233">
        <v>1000</v>
      </c>
      <c r="E150" s="1501">
        <v>1000</v>
      </c>
      <c r="F150" s="1504" t="s">
        <v>1097</v>
      </c>
      <c r="G150" s="1501"/>
      <c r="H150" s="83"/>
      <c r="I150" s="76"/>
    </row>
    <row r="151" spans="1:9" s="77" customFormat="1" ht="15" customHeight="1" x14ac:dyDescent="0.2">
      <c r="A151" s="74"/>
      <c r="B151" s="1169"/>
      <c r="C151" s="1334">
        <v>3</v>
      </c>
      <c r="D151" s="1016">
        <v>1000000</v>
      </c>
      <c r="E151" s="1500">
        <v>1000000</v>
      </c>
      <c r="F151" s="1506" t="s">
        <v>1098</v>
      </c>
      <c r="G151" s="1501"/>
      <c r="H151" s="83"/>
      <c r="I151" s="76"/>
    </row>
    <row r="152" spans="1:9" s="77" customFormat="1" ht="15" customHeight="1" x14ac:dyDescent="0.2">
      <c r="A152" s="74"/>
      <c r="B152" s="1348" t="s">
        <v>515</v>
      </c>
      <c r="C152" s="968">
        <v>1</v>
      </c>
      <c r="D152" s="1013" t="s">
        <v>516</v>
      </c>
      <c r="E152" s="1286"/>
      <c r="F152" s="1286"/>
      <c r="G152" s="83"/>
      <c r="H152" s="83"/>
      <c r="I152" s="76"/>
    </row>
    <row r="153" spans="1:9" s="77" customFormat="1" ht="15" customHeight="1" x14ac:dyDescent="0.2">
      <c r="A153" s="74"/>
      <c r="B153" s="3"/>
      <c r="C153" s="1015">
        <v>2</v>
      </c>
      <c r="D153" s="231" t="s">
        <v>517</v>
      </c>
      <c r="E153" s="231"/>
      <c r="F153" s="231"/>
      <c r="G153" s="83"/>
      <c r="H153" s="83"/>
      <c r="I153" s="76"/>
    </row>
    <row r="154" spans="1:9" s="77" customFormat="1" ht="15" customHeight="1" x14ac:dyDescent="0.2">
      <c r="A154" s="74"/>
      <c r="B154" s="3"/>
      <c r="C154" s="969">
        <v>3</v>
      </c>
      <c r="D154" s="1014" t="s">
        <v>518</v>
      </c>
      <c r="E154" s="1014"/>
      <c r="F154" s="1014"/>
      <c r="G154" s="83"/>
      <c r="H154" s="83"/>
      <c r="I154" s="76"/>
    </row>
    <row r="155" spans="1:9" s="77" customFormat="1" ht="15" customHeight="1" x14ac:dyDescent="0.2">
      <c r="A155" s="74"/>
      <c r="B155" s="976" t="s">
        <v>102</v>
      </c>
      <c r="C155" s="968">
        <v>1</v>
      </c>
      <c r="D155" s="1013" t="s">
        <v>519</v>
      </c>
      <c r="E155" s="1013"/>
      <c r="F155" s="1013"/>
      <c r="G155" s="83"/>
      <c r="H155" s="83"/>
      <c r="I155" s="76"/>
    </row>
    <row r="156" spans="1:9" s="77" customFormat="1" ht="15" customHeight="1" x14ac:dyDescent="0.2">
      <c r="A156" s="74"/>
      <c r="B156" s="3"/>
      <c r="C156" s="1015">
        <v>2</v>
      </c>
      <c r="D156" s="231" t="s">
        <v>100</v>
      </c>
      <c r="E156" s="231"/>
      <c r="F156" s="231"/>
      <c r="G156" s="83"/>
      <c r="H156" s="83"/>
      <c r="I156" s="76"/>
    </row>
    <row r="157" spans="1:9" s="77" customFormat="1" ht="15" customHeight="1" x14ac:dyDescent="0.2">
      <c r="A157" s="74"/>
      <c r="B157" s="3"/>
      <c r="C157" s="1015">
        <v>3</v>
      </c>
      <c r="D157" s="231" t="s">
        <v>101</v>
      </c>
      <c r="E157" s="231"/>
      <c r="F157" s="231"/>
      <c r="G157" s="83"/>
      <c r="H157" s="83"/>
      <c r="I157" s="76"/>
    </row>
    <row r="158" spans="1:9" s="77" customFormat="1" ht="15" customHeight="1" x14ac:dyDescent="0.2">
      <c r="A158" s="74"/>
      <c r="B158" s="71"/>
      <c r="C158" s="969">
        <v>4</v>
      </c>
      <c r="D158" s="1014" t="s">
        <v>518</v>
      </c>
      <c r="E158" s="1014"/>
      <c r="F158" s="1014"/>
      <c r="G158" s="83"/>
      <c r="H158" s="83"/>
      <c r="I158" s="76"/>
    </row>
    <row r="159" spans="1:9" s="77" customFormat="1" ht="15" customHeight="1" x14ac:dyDescent="0.2">
      <c r="A159" s="74"/>
      <c r="B159" s="1047" t="s">
        <v>1118</v>
      </c>
      <c r="C159" s="1346">
        <v>1</v>
      </c>
      <c r="D159" s="1060" t="s">
        <v>1113</v>
      </c>
      <c r="E159" s="1048"/>
      <c r="F159" s="1048"/>
      <c r="G159" s="83"/>
      <c r="H159" s="83"/>
      <c r="I159" s="76"/>
    </row>
    <row r="160" spans="1:9" s="77" customFormat="1" ht="15" customHeight="1" x14ac:dyDescent="0.2">
      <c r="A160" s="74"/>
      <c r="B160" s="71"/>
      <c r="C160" s="1365">
        <v>2</v>
      </c>
      <c r="D160" s="1054" t="s">
        <v>1114</v>
      </c>
      <c r="E160" s="1054"/>
      <c r="F160" s="1054"/>
      <c r="G160" s="83"/>
      <c r="H160" s="83"/>
      <c r="I160" s="76"/>
    </row>
    <row r="161" spans="1:9" s="77" customFormat="1" ht="15" customHeight="1" x14ac:dyDescent="0.2">
      <c r="A161" s="74"/>
      <c r="B161" s="1047" t="s">
        <v>1117</v>
      </c>
      <c r="C161" s="1346">
        <v>1</v>
      </c>
      <c r="D161" s="1048" t="s">
        <v>1115</v>
      </c>
      <c r="E161" s="1048"/>
      <c r="F161" s="1048"/>
      <c r="G161" s="83"/>
      <c r="H161" s="83"/>
      <c r="I161" s="76"/>
    </row>
    <row r="162" spans="1:9" s="77" customFormat="1" ht="15" customHeight="1" x14ac:dyDescent="0.2">
      <c r="A162" s="74"/>
      <c r="B162" s="71"/>
      <c r="C162" s="1347">
        <v>2</v>
      </c>
      <c r="D162" s="1014" t="s">
        <v>1116</v>
      </c>
      <c r="E162" s="1014"/>
      <c r="F162" s="1014"/>
      <c r="G162" s="83"/>
      <c r="H162" s="83"/>
      <c r="I162" s="76"/>
    </row>
    <row r="163" spans="1:9" s="77" customFormat="1" ht="15" customHeight="1" x14ac:dyDescent="0.2">
      <c r="A163" s="74"/>
      <c r="B163" s="976" t="s">
        <v>181</v>
      </c>
      <c r="C163" s="968">
        <v>0</v>
      </c>
      <c r="D163" s="1060" t="s">
        <v>509</v>
      </c>
      <c r="E163" s="1013"/>
      <c r="F163" s="1013"/>
      <c r="G163" s="83"/>
      <c r="H163" s="83"/>
      <c r="I163" s="76"/>
    </row>
    <row r="164" spans="1:9" s="77" customFormat="1" ht="15" customHeight="1" x14ac:dyDescent="0.2">
      <c r="A164" s="74"/>
      <c r="B164" s="68"/>
      <c r="C164" s="1015">
        <v>1</v>
      </c>
      <c r="D164" s="1060" t="s">
        <v>510</v>
      </c>
      <c r="E164" s="231"/>
      <c r="F164" s="231"/>
      <c r="G164" s="83"/>
      <c r="H164" s="83"/>
      <c r="I164" s="76"/>
    </row>
    <row r="165" spans="1:9" s="77" customFormat="1" ht="15" customHeight="1" x14ac:dyDescent="0.2">
      <c r="A165" s="74"/>
      <c r="B165" s="3"/>
      <c r="C165" s="1015">
        <v>2</v>
      </c>
      <c r="D165" s="1060" t="s">
        <v>511</v>
      </c>
      <c r="E165" s="231"/>
      <c r="F165" s="231"/>
      <c r="G165" s="83"/>
      <c r="H165" s="83"/>
      <c r="I165" s="76"/>
    </row>
    <row r="166" spans="1:9" s="77" customFormat="1" ht="15" customHeight="1" x14ac:dyDescent="0.2">
      <c r="A166" s="74"/>
      <c r="B166" s="3"/>
      <c r="C166" s="1015">
        <v>3</v>
      </c>
      <c r="D166" s="1014" t="s">
        <v>512</v>
      </c>
      <c r="E166" s="231"/>
      <c r="F166" s="231"/>
      <c r="G166" s="83"/>
      <c r="H166" s="83"/>
      <c r="I166" s="76"/>
    </row>
    <row r="167" spans="1:9" s="77" customFormat="1" ht="15" customHeight="1" x14ac:dyDescent="0.2">
      <c r="A167" s="74"/>
      <c r="B167" s="976" t="s">
        <v>487</v>
      </c>
      <c r="C167" s="968">
        <v>1</v>
      </c>
      <c r="D167" s="1013" t="s">
        <v>170</v>
      </c>
      <c r="E167" s="1013"/>
      <c r="F167" s="1013"/>
      <c r="G167" s="83"/>
      <c r="H167" s="83"/>
      <c r="I167" s="76"/>
    </row>
    <row r="168" spans="1:9" s="77" customFormat="1" ht="15" customHeight="1" x14ac:dyDescent="0.2">
      <c r="A168" s="74"/>
      <c r="B168" s="71"/>
      <c r="C168" s="969">
        <v>2</v>
      </c>
      <c r="D168" s="1014" t="s">
        <v>488</v>
      </c>
      <c r="E168" s="1014"/>
      <c r="F168" s="1014"/>
      <c r="G168" s="83"/>
      <c r="H168" s="83"/>
      <c r="I168" s="76"/>
    </row>
    <row r="169" spans="1:9" s="77" customFormat="1" ht="15" customHeight="1" x14ac:dyDescent="0.2">
      <c r="A169" s="74"/>
      <c r="B169" s="976" t="s">
        <v>39</v>
      </c>
      <c r="C169" s="968">
        <v>0</v>
      </c>
      <c r="D169" s="1060" t="s">
        <v>40</v>
      </c>
      <c r="E169" s="1013"/>
      <c r="F169" s="1013"/>
      <c r="G169" s="83"/>
      <c r="H169" s="83"/>
      <c r="I169" s="76"/>
    </row>
    <row r="170" spans="1:9" ht="15" customHeight="1" x14ac:dyDescent="0.2">
      <c r="A170" s="148"/>
      <c r="B170" s="68"/>
      <c r="C170" s="1015">
        <v>1</v>
      </c>
      <c r="D170" s="1060" t="s">
        <v>41</v>
      </c>
      <c r="E170" s="231"/>
      <c r="F170" s="231"/>
      <c r="G170" s="9"/>
      <c r="H170" s="9"/>
      <c r="I170" s="10"/>
    </row>
    <row r="171" spans="1:9" ht="15" customHeight="1" x14ac:dyDescent="0.2">
      <c r="A171" s="148"/>
      <c r="B171" s="3"/>
      <c r="C171" s="1015">
        <v>2</v>
      </c>
      <c r="D171" s="1014" t="s">
        <v>42</v>
      </c>
      <c r="E171" s="231"/>
      <c r="F171" s="231"/>
      <c r="G171" s="9"/>
      <c r="H171" s="9"/>
      <c r="I171" s="10"/>
    </row>
    <row r="172" spans="1:9" ht="15" customHeight="1" x14ac:dyDescent="0.2">
      <c r="A172" s="148"/>
      <c r="B172" s="1348" t="s">
        <v>166</v>
      </c>
      <c r="C172" s="968">
        <v>1</v>
      </c>
      <c r="D172" s="1013" t="s">
        <v>617</v>
      </c>
      <c r="E172" s="1013"/>
      <c r="F172" s="1013"/>
      <c r="G172" s="9"/>
      <c r="H172" s="9"/>
      <c r="I172" s="10"/>
    </row>
    <row r="173" spans="1:9" ht="15" customHeight="1" x14ac:dyDescent="0.2">
      <c r="A173" s="148"/>
      <c r="B173" s="3"/>
      <c r="C173" s="1015">
        <v>2</v>
      </c>
      <c r="D173" s="231" t="s">
        <v>616</v>
      </c>
      <c r="E173" s="231"/>
      <c r="F173" s="231"/>
      <c r="G173" s="9"/>
      <c r="H173" s="9"/>
      <c r="I173" s="10"/>
    </row>
    <row r="174" spans="1:9" ht="15" customHeight="1" x14ac:dyDescent="0.2">
      <c r="A174" s="148"/>
      <c r="B174" s="71"/>
      <c r="C174" s="969">
        <v>3</v>
      </c>
      <c r="D174" s="1014" t="s">
        <v>618</v>
      </c>
      <c r="E174" s="1014"/>
      <c r="F174" s="1014"/>
      <c r="G174" s="9"/>
      <c r="H174" s="9"/>
      <c r="I174" s="10"/>
    </row>
    <row r="175" spans="1:9" ht="15" customHeight="1" x14ac:dyDescent="0.2">
      <c r="A175" s="148"/>
      <c r="B175" s="68" t="s">
        <v>29</v>
      </c>
      <c r="C175" s="968">
        <v>1</v>
      </c>
      <c r="D175" s="1013"/>
      <c r="E175" s="1013"/>
      <c r="F175" s="1013"/>
      <c r="G175" s="9"/>
      <c r="H175" s="9"/>
      <c r="I175" s="10"/>
    </row>
    <row r="176" spans="1:9" ht="15" customHeight="1" x14ac:dyDescent="0.2">
      <c r="A176" s="148"/>
      <c r="B176" s="68"/>
      <c r="C176" s="1015">
        <v>2</v>
      </c>
      <c r="D176" s="231"/>
      <c r="E176" s="231"/>
      <c r="F176" s="231"/>
      <c r="G176" s="9"/>
      <c r="H176" s="9"/>
      <c r="I176" s="10"/>
    </row>
    <row r="177" spans="1:9" ht="15" customHeight="1" x14ac:dyDescent="0.2">
      <c r="A177" s="148"/>
      <c r="B177" s="68"/>
      <c r="C177" s="1015">
        <v>4</v>
      </c>
      <c r="D177" s="231"/>
      <c r="E177" s="231"/>
      <c r="F177" s="231"/>
      <c r="G177" s="9"/>
      <c r="H177" s="9"/>
      <c r="I177" s="10"/>
    </row>
    <row r="178" spans="1:9" ht="15" customHeight="1" x14ac:dyDescent="0.2">
      <c r="A178" s="148"/>
      <c r="B178" s="68"/>
      <c r="C178" s="1015">
        <v>5</v>
      </c>
      <c r="D178" s="231"/>
      <c r="E178" s="231"/>
      <c r="F178" s="231"/>
      <c r="G178" s="9"/>
      <c r="H178" s="9"/>
      <c r="I178" s="10"/>
    </row>
    <row r="179" spans="1:9" ht="15" customHeight="1" x14ac:dyDescent="0.2">
      <c r="A179" s="148"/>
      <c r="B179" s="3"/>
      <c r="C179" s="1015">
        <v>6</v>
      </c>
      <c r="D179" s="231"/>
      <c r="E179" s="231"/>
      <c r="F179" s="231"/>
      <c r="G179" s="9"/>
      <c r="H179" s="9"/>
      <c r="I179" s="10"/>
    </row>
    <row r="180" spans="1:9" ht="15" customHeight="1" x14ac:dyDescent="0.2">
      <c r="A180" s="148"/>
      <c r="B180" s="3"/>
      <c r="C180" s="1015">
        <v>7</v>
      </c>
      <c r="D180" s="231"/>
      <c r="E180" s="231"/>
      <c r="F180" s="231"/>
      <c r="G180" s="9"/>
      <c r="H180" s="9"/>
      <c r="I180" s="10"/>
    </row>
    <row r="181" spans="1:9" ht="15" customHeight="1" x14ac:dyDescent="0.2">
      <c r="A181" s="148"/>
      <c r="B181" s="71"/>
      <c r="C181" s="969">
        <v>8</v>
      </c>
      <c r="D181" s="1014"/>
      <c r="E181" s="1014"/>
      <c r="F181" s="1014"/>
      <c r="G181" s="9"/>
      <c r="H181" s="9"/>
      <c r="I181" s="10"/>
    </row>
    <row r="182" spans="1:9" s="77" customFormat="1" ht="15" customHeight="1" x14ac:dyDescent="0.2">
      <c r="A182" s="74"/>
      <c r="B182" s="976" t="s">
        <v>862</v>
      </c>
      <c r="C182" s="968">
        <v>1</v>
      </c>
      <c r="D182" s="1287" t="s">
        <v>890</v>
      </c>
      <c r="E182" s="1013"/>
      <c r="F182" s="1013"/>
      <c r="G182" s="83"/>
      <c r="H182" s="83"/>
      <c r="I182" s="76"/>
    </row>
    <row r="183" spans="1:9" s="77" customFormat="1" ht="15" customHeight="1" x14ac:dyDescent="0.2">
      <c r="A183" s="74"/>
      <c r="B183" s="68"/>
      <c r="C183" s="1285">
        <v>2</v>
      </c>
      <c r="D183" s="233" t="s">
        <v>981</v>
      </c>
      <c r="E183" s="1286"/>
      <c r="F183" s="1286"/>
      <c r="G183" s="83"/>
      <c r="H183" s="83"/>
      <c r="I183" s="76"/>
    </row>
    <row r="184" spans="1:9" s="77" customFormat="1" ht="15" customHeight="1" x14ac:dyDescent="0.2">
      <c r="A184" s="74"/>
      <c r="B184" s="68"/>
      <c r="C184" s="1015">
        <v>3</v>
      </c>
      <c r="D184" s="233" t="s">
        <v>891</v>
      </c>
      <c r="E184" s="231"/>
      <c r="F184" s="231"/>
      <c r="G184" s="83"/>
      <c r="H184" s="83"/>
      <c r="I184" s="76"/>
    </row>
    <row r="185" spans="1:9" s="77" customFormat="1" ht="15" customHeight="1" x14ac:dyDescent="0.2">
      <c r="A185" s="74"/>
      <c r="B185" s="3"/>
      <c r="C185" s="1285">
        <v>4</v>
      </c>
      <c r="D185" s="233" t="s">
        <v>980</v>
      </c>
      <c r="E185" s="231"/>
      <c r="F185" s="231"/>
      <c r="G185" s="83"/>
      <c r="H185" s="83"/>
      <c r="I185" s="76"/>
    </row>
    <row r="186" spans="1:9" s="77" customFormat="1" ht="15" customHeight="1" x14ac:dyDescent="0.2">
      <c r="A186" s="74"/>
      <c r="B186" s="3"/>
      <c r="C186" s="1061">
        <v>5</v>
      </c>
      <c r="D186" s="1060" t="s">
        <v>892</v>
      </c>
      <c r="E186" s="231"/>
      <c r="F186" s="231"/>
      <c r="G186" s="83"/>
      <c r="H186" s="83"/>
      <c r="I186" s="76"/>
    </row>
    <row r="187" spans="1:9" s="77" customFormat="1" ht="15" customHeight="1" x14ac:dyDescent="0.2">
      <c r="A187" s="74"/>
      <c r="B187" s="3"/>
      <c r="C187" s="1285">
        <v>6</v>
      </c>
      <c r="D187" s="1014" t="s">
        <v>72</v>
      </c>
      <c r="E187" s="231"/>
      <c r="F187" s="231"/>
      <c r="G187" s="83"/>
      <c r="H187" s="83"/>
      <c r="I187" s="76"/>
    </row>
    <row r="188" spans="1:9" s="209" customFormat="1" ht="15" customHeight="1" x14ac:dyDescent="0.2">
      <c r="A188" s="148"/>
      <c r="B188" s="976" t="s">
        <v>897</v>
      </c>
      <c r="C188" s="968">
        <v>1</v>
      </c>
      <c r="D188" s="323" t="s">
        <v>898</v>
      </c>
      <c r="E188" s="1013"/>
      <c r="F188" s="1013"/>
      <c r="G188" s="9"/>
      <c r="H188" s="9"/>
      <c r="I188" s="10"/>
    </row>
    <row r="189" spans="1:9" s="209" customFormat="1" ht="15" customHeight="1" x14ac:dyDescent="0.2">
      <c r="A189" s="148"/>
      <c r="B189" s="9"/>
      <c r="C189" s="969">
        <v>2</v>
      </c>
      <c r="D189" s="1016" t="s">
        <v>899</v>
      </c>
      <c r="E189" s="1014"/>
      <c r="F189" s="1014"/>
      <c r="G189" s="9"/>
      <c r="H189" s="9"/>
      <c r="I189" s="10"/>
    </row>
    <row r="190" spans="1:9" s="77" customFormat="1" ht="15" customHeight="1" x14ac:dyDescent="0.2">
      <c r="A190" s="74"/>
      <c r="B190" s="976" t="s">
        <v>896</v>
      </c>
      <c r="C190" s="968">
        <v>1</v>
      </c>
      <c r="D190" s="1013" t="s">
        <v>447</v>
      </c>
      <c r="E190" s="1013"/>
      <c r="F190" s="1013"/>
      <c r="G190" s="83"/>
      <c r="H190" s="83"/>
      <c r="I190" s="76"/>
    </row>
    <row r="191" spans="1:9" s="77" customFormat="1" ht="15" customHeight="1" x14ac:dyDescent="0.2">
      <c r="A191" s="74"/>
      <c r="B191" s="68"/>
      <c r="C191" s="1015">
        <v>2</v>
      </c>
      <c r="D191" s="233" t="s">
        <v>982</v>
      </c>
      <c r="E191" s="231"/>
      <c r="F191" s="231"/>
      <c r="G191" s="83"/>
      <c r="H191" s="83"/>
      <c r="I191" s="76"/>
    </row>
    <row r="192" spans="1:9" s="77" customFormat="1" ht="15" customHeight="1" x14ac:dyDescent="0.2">
      <c r="A192" s="74"/>
      <c r="B192" s="3"/>
      <c r="C192" s="1015">
        <v>3</v>
      </c>
      <c r="D192" s="233" t="s">
        <v>983</v>
      </c>
      <c r="E192" s="231"/>
      <c r="F192" s="231"/>
      <c r="G192" s="83"/>
      <c r="H192" s="83"/>
      <c r="I192" s="76"/>
    </row>
    <row r="193" spans="1:9" s="77" customFormat="1" ht="15" customHeight="1" x14ac:dyDescent="0.2">
      <c r="A193" s="74"/>
      <c r="B193" s="3"/>
      <c r="C193" s="1015">
        <v>4</v>
      </c>
      <c r="D193" s="231" t="s">
        <v>900</v>
      </c>
      <c r="E193" s="231"/>
      <c r="F193" s="231"/>
      <c r="G193" s="83"/>
      <c r="H193" s="83"/>
      <c r="I193" s="76"/>
    </row>
    <row r="194" spans="1:9" s="77" customFormat="1" ht="15" customHeight="1" x14ac:dyDescent="0.2">
      <c r="A194" s="74"/>
      <c r="B194" s="71"/>
      <c r="C194" s="969">
        <v>5</v>
      </c>
      <c r="D194" s="1016" t="s">
        <v>984</v>
      </c>
      <c r="E194" s="1014"/>
      <c r="F194" s="1014"/>
      <c r="G194" s="83"/>
      <c r="H194" s="83"/>
      <c r="I194" s="76"/>
    </row>
    <row r="195" spans="1:9" s="1293" customFormat="1" ht="15" customHeight="1" x14ac:dyDescent="0.2">
      <c r="A195" s="1042"/>
      <c r="B195" s="1047" t="s">
        <v>1054</v>
      </c>
      <c r="C195" s="1322">
        <v>0</v>
      </c>
      <c r="D195" s="1323"/>
      <c r="E195" s="1323"/>
      <c r="F195" s="1323"/>
      <c r="G195" s="1059"/>
      <c r="H195" s="1059"/>
      <c r="I195" s="1041"/>
    </row>
    <row r="196" spans="1:9" s="1039" customFormat="1" ht="15" customHeight="1" x14ac:dyDescent="0.2">
      <c r="A196" s="1042"/>
      <c r="B196" s="68"/>
      <c r="C196" s="1061">
        <v>1</v>
      </c>
      <c r="D196" s="1060"/>
      <c r="E196" s="1060"/>
      <c r="F196" s="1060"/>
      <c r="G196" s="1040"/>
      <c r="H196" s="1040"/>
      <c r="I196" s="1041"/>
    </row>
    <row r="197" spans="1:9" s="1293" customFormat="1" ht="15" customHeight="1" x14ac:dyDescent="0.2">
      <c r="A197" s="1042"/>
      <c r="B197" s="68"/>
      <c r="C197" s="1061">
        <v>2</v>
      </c>
      <c r="D197" s="1060"/>
      <c r="E197" s="1060"/>
      <c r="F197" s="1060"/>
      <c r="G197" s="1059"/>
      <c r="H197" s="1059"/>
      <c r="I197" s="1041"/>
    </row>
    <row r="198" spans="1:9" s="1293" customFormat="1" ht="15" customHeight="1" x14ac:dyDescent="0.2">
      <c r="A198" s="1042"/>
      <c r="B198" s="68"/>
      <c r="C198" s="1061">
        <v>3</v>
      </c>
      <c r="D198" s="1060"/>
      <c r="E198" s="1060"/>
      <c r="F198" s="1060"/>
      <c r="G198" s="1059"/>
      <c r="H198" s="1059"/>
      <c r="I198" s="1041"/>
    </row>
    <row r="199" spans="1:9" s="1293" customFormat="1" ht="15" customHeight="1" x14ac:dyDescent="0.2">
      <c r="A199" s="1042"/>
      <c r="B199" s="68"/>
      <c r="C199" s="1061">
        <v>4</v>
      </c>
      <c r="D199" s="1060"/>
      <c r="E199" s="1060"/>
      <c r="F199" s="1060"/>
      <c r="G199" s="1059"/>
      <c r="H199" s="1059"/>
      <c r="I199" s="1041"/>
    </row>
    <row r="200" spans="1:9" s="1293" customFormat="1" ht="15" customHeight="1" x14ac:dyDescent="0.2">
      <c r="A200" s="1042"/>
      <c r="B200" s="68"/>
      <c r="C200" s="1061">
        <v>5</v>
      </c>
      <c r="D200" s="1060"/>
      <c r="E200" s="1060"/>
      <c r="F200" s="1060"/>
      <c r="G200" s="1059"/>
      <c r="H200" s="1059"/>
      <c r="I200" s="1041"/>
    </row>
    <row r="201" spans="1:9" s="1293" customFormat="1" ht="15" customHeight="1" x14ac:dyDescent="0.2">
      <c r="A201" s="1042"/>
      <c r="B201" s="68"/>
      <c r="C201" s="1061">
        <v>6</v>
      </c>
      <c r="D201" s="1060"/>
      <c r="E201" s="1060"/>
      <c r="F201" s="1060"/>
      <c r="G201" s="1059"/>
      <c r="H201" s="1059"/>
      <c r="I201" s="1041"/>
    </row>
    <row r="202" spans="1:9" s="1293" customFormat="1" ht="15" customHeight="1" x14ac:dyDescent="0.2">
      <c r="A202" s="1042"/>
      <c r="B202" s="68"/>
      <c r="C202" s="1061">
        <v>7</v>
      </c>
      <c r="D202" s="1060"/>
      <c r="E202" s="1060"/>
      <c r="F202" s="1060"/>
      <c r="G202" s="1059"/>
      <c r="H202" s="1059"/>
      <c r="I202" s="1041"/>
    </row>
    <row r="203" spans="1:9" s="1293" customFormat="1" ht="15" customHeight="1" x14ac:dyDescent="0.2">
      <c r="A203" s="1042"/>
      <c r="B203" s="68"/>
      <c r="C203" s="1061">
        <v>8</v>
      </c>
      <c r="D203" s="1060"/>
      <c r="E203" s="1060"/>
      <c r="F203" s="1060"/>
      <c r="G203" s="1059"/>
      <c r="H203" s="1059"/>
      <c r="I203" s="1041"/>
    </row>
    <row r="204" spans="1:9" s="1293" customFormat="1" ht="15" customHeight="1" x14ac:dyDescent="0.2">
      <c r="A204" s="1042"/>
      <c r="B204" s="68"/>
      <c r="C204" s="1061">
        <v>9</v>
      </c>
      <c r="D204" s="1060"/>
      <c r="E204" s="1060"/>
      <c r="F204" s="1060"/>
      <c r="G204" s="1059"/>
      <c r="H204" s="1059"/>
      <c r="I204" s="1041"/>
    </row>
    <row r="205" spans="1:9" s="1293" customFormat="1" ht="15" customHeight="1" x14ac:dyDescent="0.2">
      <c r="A205" s="1042"/>
      <c r="B205" s="68"/>
      <c r="C205" s="1061">
        <v>10</v>
      </c>
      <c r="D205" s="1060"/>
      <c r="E205" s="1060"/>
      <c r="F205" s="1060"/>
      <c r="G205" s="1059"/>
      <c r="H205" s="1059"/>
      <c r="I205" s="1041"/>
    </row>
    <row r="206" spans="1:9" s="1293" customFormat="1" ht="15" customHeight="1" x14ac:dyDescent="0.2">
      <c r="A206" s="1042"/>
      <c r="B206" s="68"/>
      <c r="C206" s="1061">
        <v>11</v>
      </c>
      <c r="D206" s="1060"/>
      <c r="E206" s="1060"/>
      <c r="F206" s="1060"/>
      <c r="G206" s="1059"/>
      <c r="H206" s="1059"/>
      <c r="I206" s="1041"/>
    </row>
    <row r="207" spans="1:9" s="1293" customFormat="1" ht="15" customHeight="1" x14ac:dyDescent="0.2">
      <c r="A207" s="1042"/>
      <c r="B207" s="68"/>
      <c r="C207" s="1061">
        <v>12</v>
      </c>
      <c r="D207" s="1060"/>
      <c r="E207" s="1060"/>
      <c r="F207" s="1060"/>
      <c r="G207" s="1059"/>
      <c r="H207" s="1059"/>
      <c r="I207" s="1041"/>
    </row>
    <row r="208" spans="1:9" s="1293" customFormat="1" ht="15" customHeight="1" x14ac:dyDescent="0.2">
      <c r="A208" s="1042"/>
      <c r="B208" s="68"/>
      <c r="C208" s="1061">
        <v>13</v>
      </c>
      <c r="D208" s="1060"/>
      <c r="E208" s="1060"/>
      <c r="F208" s="1060"/>
      <c r="G208" s="1059"/>
      <c r="H208" s="1059"/>
      <c r="I208" s="1041"/>
    </row>
    <row r="209" spans="1:9" s="1293" customFormat="1" ht="15" customHeight="1" x14ac:dyDescent="0.2">
      <c r="A209" s="1042"/>
      <c r="B209" s="68"/>
      <c r="C209" s="1061">
        <v>14</v>
      </c>
      <c r="D209" s="1060"/>
      <c r="E209" s="1060"/>
      <c r="F209" s="1060"/>
      <c r="G209" s="1059"/>
      <c r="H209" s="1059"/>
      <c r="I209" s="1041"/>
    </row>
    <row r="210" spans="1:9" s="1293" customFormat="1" ht="15" customHeight="1" x14ac:dyDescent="0.2">
      <c r="A210" s="1042"/>
      <c r="B210" s="68"/>
      <c r="C210" s="1061">
        <v>15</v>
      </c>
      <c r="D210" s="1060"/>
      <c r="E210" s="1060"/>
      <c r="F210" s="1060"/>
      <c r="G210" s="1059"/>
      <c r="H210" s="1059"/>
      <c r="I210" s="1041"/>
    </row>
    <row r="211" spans="1:9" s="1293" customFormat="1" ht="15" customHeight="1" x14ac:dyDescent="0.2">
      <c r="A211" s="1042"/>
      <c r="B211" s="68"/>
      <c r="C211" s="1061">
        <v>16</v>
      </c>
      <c r="D211" s="1060"/>
      <c r="E211" s="1060"/>
      <c r="F211" s="1060"/>
      <c r="G211" s="1059"/>
      <c r="H211" s="1059"/>
      <c r="I211" s="1041"/>
    </row>
    <row r="212" spans="1:9" s="1293" customFormat="1" ht="15" customHeight="1" x14ac:dyDescent="0.2">
      <c r="A212" s="1042"/>
      <c r="B212" s="68"/>
      <c r="C212" s="1061">
        <v>17</v>
      </c>
      <c r="D212" s="1060"/>
      <c r="E212" s="1060"/>
      <c r="F212" s="1060"/>
      <c r="G212" s="1059"/>
      <c r="H212" s="1059"/>
      <c r="I212" s="1041"/>
    </row>
    <row r="213" spans="1:9" s="1293" customFormat="1" ht="15" customHeight="1" x14ac:dyDescent="0.2">
      <c r="A213" s="1042"/>
      <c r="B213" s="68"/>
      <c r="C213" s="1061">
        <v>18</v>
      </c>
      <c r="D213" s="1060"/>
      <c r="E213" s="1060"/>
      <c r="F213" s="1060"/>
      <c r="G213" s="1059"/>
      <c r="H213" s="1059"/>
      <c r="I213" s="1041"/>
    </row>
    <row r="214" spans="1:9" s="1293" customFormat="1" ht="15" customHeight="1" x14ac:dyDescent="0.2">
      <c r="A214" s="1042"/>
      <c r="B214" s="68"/>
      <c r="C214" s="1061">
        <v>19</v>
      </c>
      <c r="D214" s="1060"/>
      <c r="E214" s="1060"/>
      <c r="F214" s="1060"/>
      <c r="G214" s="1059"/>
      <c r="H214" s="1059"/>
      <c r="I214" s="1041"/>
    </row>
    <row r="215" spans="1:9" s="1293" customFormat="1" ht="15" customHeight="1" x14ac:dyDescent="0.2">
      <c r="A215" s="1042"/>
      <c r="B215" s="68"/>
      <c r="C215" s="1061">
        <v>20</v>
      </c>
      <c r="D215" s="1060"/>
      <c r="E215" s="1060"/>
      <c r="F215" s="1060"/>
      <c r="G215" s="1059"/>
      <c r="H215" s="1059"/>
      <c r="I215" s="1041"/>
    </row>
    <row r="216" spans="1:9" s="1293" customFormat="1" ht="15" customHeight="1" x14ac:dyDescent="0.2">
      <c r="A216" s="1042"/>
      <c r="B216" s="68"/>
      <c r="C216" s="1061">
        <v>21</v>
      </c>
      <c r="D216" s="1060"/>
      <c r="E216" s="1060"/>
      <c r="F216" s="1060"/>
      <c r="G216" s="1059"/>
      <c r="H216" s="1059"/>
      <c r="I216" s="1041"/>
    </row>
    <row r="217" spans="1:9" s="1293" customFormat="1" ht="15" customHeight="1" x14ac:dyDescent="0.2">
      <c r="A217" s="1042"/>
      <c r="B217" s="68"/>
      <c r="C217" s="1061">
        <v>22</v>
      </c>
      <c r="D217" s="1060"/>
      <c r="E217" s="1060"/>
      <c r="F217" s="1060"/>
      <c r="G217" s="1059"/>
      <c r="H217" s="1059"/>
      <c r="I217" s="1041"/>
    </row>
    <row r="218" spans="1:9" s="1293" customFormat="1" ht="15" customHeight="1" x14ac:dyDescent="0.2">
      <c r="A218" s="1042"/>
      <c r="B218" s="68"/>
      <c r="C218" s="1061">
        <v>23</v>
      </c>
      <c r="D218" s="1060"/>
      <c r="E218" s="1060"/>
      <c r="F218" s="1060"/>
      <c r="G218" s="1059"/>
      <c r="H218" s="1059"/>
      <c r="I218" s="1041"/>
    </row>
    <row r="219" spans="1:9" s="1293" customFormat="1" ht="15" customHeight="1" x14ac:dyDescent="0.2">
      <c r="A219" s="1042"/>
      <c r="B219" s="68"/>
      <c r="C219" s="1061">
        <v>24</v>
      </c>
      <c r="D219" s="1060"/>
      <c r="E219" s="1060"/>
      <c r="F219" s="1060"/>
      <c r="G219" s="1059"/>
      <c r="H219" s="1059"/>
      <c r="I219" s="1041"/>
    </row>
    <row r="220" spans="1:9" s="1293" customFormat="1" ht="15" customHeight="1" x14ac:dyDescent="0.2">
      <c r="A220" s="1042"/>
      <c r="B220" s="68"/>
      <c r="C220" s="1061">
        <v>25</v>
      </c>
      <c r="D220" s="1060"/>
      <c r="E220" s="1060"/>
      <c r="F220" s="1060"/>
      <c r="G220" s="1059"/>
      <c r="H220" s="1059"/>
      <c r="I220" s="1041"/>
    </row>
    <row r="221" spans="1:9" s="1293" customFormat="1" ht="15" customHeight="1" x14ac:dyDescent="0.2">
      <c r="A221" s="1042"/>
      <c r="B221" s="68"/>
      <c r="C221" s="1061">
        <v>26</v>
      </c>
      <c r="D221" s="1060"/>
      <c r="E221" s="1060"/>
      <c r="F221" s="1060"/>
      <c r="G221" s="1059"/>
      <c r="H221" s="1059"/>
      <c r="I221" s="1041"/>
    </row>
    <row r="222" spans="1:9" s="1293" customFormat="1" ht="15" customHeight="1" x14ac:dyDescent="0.2">
      <c r="A222" s="1042"/>
      <c r="B222" s="68"/>
      <c r="C222" s="1061">
        <v>27</v>
      </c>
      <c r="D222" s="1060"/>
      <c r="E222" s="1060"/>
      <c r="F222" s="1060"/>
      <c r="G222" s="1059"/>
      <c r="H222" s="1059"/>
      <c r="I222" s="1041"/>
    </row>
    <row r="223" spans="1:9" s="1293" customFormat="1" ht="15" customHeight="1" x14ac:dyDescent="0.2">
      <c r="A223" s="1042"/>
      <c r="B223" s="68"/>
      <c r="C223" s="1061">
        <v>28</v>
      </c>
      <c r="D223" s="1060"/>
      <c r="E223" s="1060"/>
      <c r="F223" s="1060"/>
      <c r="G223" s="1059"/>
      <c r="H223" s="1059"/>
      <c r="I223" s="1041"/>
    </row>
    <row r="224" spans="1:9" s="1293" customFormat="1" ht="15" customHeight="1" x14ac:dyDescent="0.2">
      <c r="A224" s="1042"/>
      <c r="B224" s="68"/>
      <c r="C224" s="1061">
        <v>29</v>
      </c>
      <c r="D224" s="1060"/>
      <c r="E224" s="1060"/>
      <c r="F224" s="1060"/>
      <c r="G224" s="1059"/>
      <c r="H224" s="1059"/>
      <c r="I224" s="1041"/>
    </row>
    <row r="225" spans="1:9" s="1293" customFormat="1" ht="15" customHeight="1" x14ac:dyDescent="0.2">
      <c r="A225" s="1042"/>
      <c r="B225" s="68"/>
      <c r="C225" s="1061">
        <v>30</v>
      </c>
      <c r="D225" s="1060"/>
      <c r="E225" s="1060"/>
      <c r="F225" s="1060"/>
      <c r="G225" s="1059"/>
      <c r="H225" s="1059"/>
      <c r="I225" s="1041"/>
    </row>
    <row r="226" spans="1:9" s="1293" customFormat="1" ht="15" customHeight="1" x14ac:dyDescent="0.2">
      <c r="A226" s="1042"/>
      <c r="B226" s="68"/>
      <c r="C226" s="1061">
        <v>31</v>
      </c>
      <c r="D226" s="1060"/>
      <c r="E226" s="1060"/>
      <c r="F226" s="1060"/>
      <c r="G226" s="1059"/>
      <c r="H226" s="1059"/>
      <c r="I226" s="1041"/>
    </row>
    <row r="227" spans="1:9" s="1293" customFormat="1" ht="15" customHeight="1" x14ac:dyDescent="0.2">
      <c r="A227" s="1042"/>
      <c r="B227" s="68"/>
      <c r="C227" s="1061">
        <v>32</v>
      </c>
      <c r="D227" s="1060"/>
      <c r="E227" s="1060"/>
      <c r="F227" s="1060"/>
      <c r="G227" s="1059"/>
      <c r="H227" s="1059"/>
      <c r="I227" s="1041"/>
    </row>
    <row r="228" spans="1:9" s="1293" customFormat="1" ht="15" customHeight="1" x14ac:dyDescent="0.2">
      <c r="A228" s="1042"/>
      <c r="B228" s="68"/>
      <c r="C228" s="1061">
        <v>33</v>
      </c>
      <c r="D228" s="1060"/>
      <c r="E228" s="1060"/>
      <c r="F228" s="1060"/>
      <c r="G228" s="1059"/>
      <c r="H228" s="1059"/>
      <c r="I228" s="1041"/>
    </row>
    <row r="229" spans="1:9" s="1293" customFormat="1" ht="15" customHeight="1" x14ac:dyDescent="0.2">
      <c r="A229" s="1042"/>
      <c r="B229" s="68"/>
      <c r="C229" s="1061">
        <v>34</v>
      </c>
      <c r="D229" s="1060"/>
      <c r="E229" s="1060"/>
      <c r="F229" s="1060"/>
      <c r="G229" s="1059"/>
      <c r="H229" s="1059"/>
      <c r="I229" s="1041"/>
    </row>
    <row r="230" spans="1:9" s="1293" customFormat="1" ht="15" customHeight="1" x14ac:dyDescent="0.2">
      <c r="A230" s="1042"/>
      <c r="B230" s="68"/>
      <c r="C230" s="1061">
        <v>35</v>
      </c>
      <c r="D230" s="1060"/>
      <c r="E230" s="1060"/>
      <c r="F230" s="1060"/>
      <c r="G230" s="1059"/>
      <c r="H230" s="1059"/>
      <c r="I230" s="1041"/>
    </row>
    <row r="231" spans="1:9" s="1293" customFormat="1" ht="15" customHeight="1" x14ac:dyDescent="0.2">
      <c r="A231" s="1042"/>
      <c r="B231" s="68"/>
      <c r="C231" s="1061">
        <v>36</v>
      </c>
      <c r="D231" s="1060"/>
      <c r="E231" s="1060"/>
      <c r="F231" s="1060"/>
      <c r="G231" s="1059"/>
      <c r="H231" s="1059"/>
      <c r="I231" s="1041"/>
    </row>
    <row r="232" spans="1:9" s="1293" customFormat="1" ht="15" customHeight="1" x14ac:dyDescent="0.2">
      <c r="A232" s="1042"/>
      <c r="B232" s="68"/>
      <c r="C232" s="1061">
        <v>37</v>
      </c>
      <c r="D232" s="1060"/>
      <c r="E232" s="1060"/>
      <c r="F232" s="1060"/>
      <c r="G232" s="1059"/>
      <c r="H232" s="1059"/>
      <c r="I232" s="1041"/>
    </row>
    <row r="233" spans="1:9" s="1293" customFormat="1" ht="15" customHeight="1" x14ac:dyDescent="0.2">
      <c r="A233" s="1042"/>
      <c r="B233" s="68"/>
      <c r="C233" s="1061">
        <v>38</v>
      </c>
      <c r="D233" s="1060"/>
      <c r="E233" s="1060"/>
      <c r="F233" s="1060"/>
      <c r="G233" s="1059"/>
      <c r="H233" s="1059"/>
      <c r="I233" s="1041"/>
    </row>
    <row r="234" spans="1:9" s="1293" customFormat="1" ht="15" customHeight="1" x14ac:dyDescent="0.2">
      <c r="A234" s="1042"/>
      <c r="B234" s="68"/>
      <c r="C234" s="1061">
        <v>39</v>
      </c>
      <c r="D234" s="1060"/>
      <c r="E234" s="1060"/>
      <c r="F234" s="1060"/>
      <c r="G234" s="1059"/>
      <c r="H234" s="1059"/>
      <c r="I234" s="1041"/>
    </row>
    <row r="235" spans="1:9" s="1293" customFormat="1" ht="15" customHeight="1" x14ac:dyDescent="0.2">
      <c r="A235" s="1042"/>
      <c r="B235" s="68"/>
      <c r="C235" s="1061">
        <v>40</v>
      </c>
      <c r="D235" s="1060"/>
      <c r="E235" s="1060"/>
      <c r="F235" s="1060"/>
      <c r="G235" s="1059"/>
      <c r="H235" s="1059"/>
      <c r="I235" s="1041"/>
    </row>
    <row r="236" spans="1:9" s="1293" customFormat="1" ht="15" customHeight="1" x14ac:dyDescent="0.2">
      <c r="A236" s="1042"/>
      <c r="B236" s="68"/>
      <c r="C236" s="1061">
        <v>41</v>
      </c>
      <c r="D236" s="1060"/>
      <c r="E236" s="1060"/>
      <c r="F236" s="1060"/>
      <c r="G236" s="1059"/>
      <c r="H236" s="1059"/>
      <c r="I236" s="1041"/>
    </row>
    <row r="237" spans="1:9" s="1293" customFormat="1" ht="15" customHeight="1" x14ac:dyDescent="0.2">
      <c r="A237" s="1042"/>
      <c r="B237" s="68"/>
      <c r="C237" s="1061">
        <v>42</v>
      </c>
      <c r="D237" s="1060"/>
      <c r="E237" s="1060"/>
      <c r="F237" s="1060"/>
      <c r="G237" s="1059"/>
      <c r="H237" s="1059"/>
      <c r="I237" s="1041"/>
    </row>
    <row r="238" spans="1:9" s="1293" customFormat="1" ht="15" customHeight="1" x14ac:dyDescent="0.2">
      <c r="A238" s="1042"/>
      <c r="B238" s="68"/>
      <c r="C238" s="1061">
        <v>43</v>
      </c>
      <c r="D238" s="1060"/>
      <c r="E238" s="1060"/>
      <c r="F238" s="1060"/>
      <c r="G238" s="1059"/>
      <c r="H238" s="1059"/>
      <c r="I238" s="1041"/>
    </row>
    <row r="239" spans="1:9" s="1293" customFormat="1" ht="15" customHeight="1" x14ac:dyDescent="0.2">
      <c r="A239" s="1042"/>
      <c r="B239" s="68"/>
      <c r="C239" s="1061">
        <v>44</v>
      </c>
      <c r="D239" s="1060"/>
      <c r="E239" s="1060"/>
      <c r="F239" s="1060"/>
      <c r="G239" s="1059"/>
      <c r="H239" s="1059"/>
      <c r="I239" s="1041"/>
    </row>
    <row r="240" spans="1:9" s="1293" customFormat="1" ht="15" customHeight="1" x14ac:dyDescent="0.2">
      <c r="A240" s="1042"/>
      <c r="B240" s="68"/>
      <c r="C240" s="1061">
        <v>45</v>
      </c>
      <c r="D240" s="1060"/>
      <c r="E240" s="1060"/>
      <c r="F240" s="1060"/>
      <c r="G240" s="1059"/>
      <c r="H240" s="1059"/>
      <c r="I240" s="1041"/>
    </row>
    <row r="241" spans="1:9" s="1293" customFormat="1" ht="15" customHeight="1" x14ac:dyDescent="0.2">
      <c r="A241" s="1042"/>
      <c r="B241" s="68"/>
      <c r="C241" s="1061">
        <v>46</v>
      </c>
      <c r="D241" s="1060"/>
      <c r="E241" s="1060"/>
      <c r="F241" s="1060"/>
      <c r="G241" s="1059"/>
      <c r="H241" s="1059"/>
      <c r="I241" s="1041"/>
    </row>
    <row r="242" spans="1:9" s="1293" customFormat="1" ht="15" customHeight="1" x14ac:dyDescent="0.2">
      <c r="A242" s="1042"/>
      <c r="B242" s="68"/>
      <c r="C242" s="1061">
        <v>47</v>
      </c>
      <c r="D242" s="1060"/>
      <c r="E242" s="1060"/>
      <c r="F242" s="1060"/>
      <c r="G242" s="1059"/>
      <c r="H242" s="1059"/>
      <c r="I242" s="1041"/>
    </row>
    <row r="243" spans="1:9" s="1293" customFormat="1" ht="15" customHeight="1" x14ac:dyDescent="0.2">
      <c r="A243" s="1042"/>
      <c r="B243" s="68"/>
      <c r="C243" s="1061">
        <v>48</v>
      </c>
      <c r="D243" s="1060"/>
      <c r="E243" s="1060"/>
      <c r="F243" s="1060"/>
      <c r="G243" s="1059"/>
      <c r="H243" s="1059"/>
      <c r="I243" s="1041"/>
    </row>
    <row r="244" spans="1:9" s="1293" customFormat="1" ht="15" customHeight="1" x14ac:dyDescent="0.2">
      <c r="A244" s="1042"/>
      <c r="B244" s="68"/>
      <c r="C244" s="1061">
        <v>49</v>
      </c>
      <c r="D244" s="1060"/>
      <c r="E244" s="1060"/>
      <c r="F244" s="1060"/>
      <c r="G244" s="1059"/>
      <c r="H244" s="1059"/>
      <c r="I244" s="1041"/>
    </row>
    <row r="245" spans="1:9" s="1293" customFormat="1" ht="15" customHeight="1" x14ac:dyDescent="0.2">
      <c r="A245" s="1042"/>
      <c r="B245" s="68"/>
      <c r="C245" s="1061">
        <v>50</v>
      </c>
      <c r="D245" s="1060"/>
      <c r="E245" s="1060"/>
      <c r="F245" s="1060"/>
      <c r="G245" s="1059"/>
      <c r="H245" s="1059"/>
      <c r="I245" s="1041"/>
    </row>
    <row r="246" spans="1:9" s="1293" customFormat="1" ht="15" customHeight="1" x14ac:dyDescent="0.2">
      <c r="A246" s="1042"/>
      <c r="B246" s="68"/>
      <c r="C246" s="1061">
        <v>51</v>
      </c>
      <c r="D246" s="1060"/>
      <c r="E246" s="1060"/>
      <c r="F246" s="1060"/>
      <c r="G246" s="1059"/>
      <c r="H246" s="1059"/>
      <c r="I246" s="1041"/>
    </row>
    <row r="247" spans="1:9" s="1293" customFormat="1" ht="15" customHeight="1" x14ac:dyDescent="0.2">
      <c r="A247" s="1042"/>
      <c r="B247" s="68"/>
      <c r="C247" s="1061">
        <v>52</v>
      </c>
      <c r="D247" s="1060"/>
      <c r="E247" s="1060"/>
      <c r="F247" s="1060"/>
      <c r="G247" s="1059"/>
      <c r="H247" s="1059"/>
      <c r="I247" s="1041"/>
    </row>
    <row r="248" spans="1:9" s="1293" customFormat="1" ht="15" customHeight="1" x14ac:dyDescent="0.2">
      <c r="A248" s="1042"/>
      <c r="B248" s="68"/>
      <c r="C248" s="1061">
        <v>53</v>
      </c>
      <c r="D248" s="1060"/>
      <c r="E248" s="1060"/>
      <c r="F248" s="1060"/>
      <c r="G248" s="1059"/>
      <c r="H248" s="1059"/>
      <c r="I248" s="1041"/>
    </row>
    <row r="249" spans="1:9" s="1293" customFormat="1" ht="15" customHeight="1" x14ac:dyDescent="0.2">
      <c r="A249" s="1042"/>
      <c r="B249" s="68"/>
      <c r="C249" s="1061">
        <v>54</v>
      </c>
      <c r="D249" s="1060"/>
      <c r="E249" s="1060"/>
      <c r="F249" s="1060"/>
      <c r="G249" s="1059"/>
      <c r="H249" s="1059"/>
      <c r="I249" s="1041"/>
    </row>
    <row r="250" spans="1:9" s="1293" customFormat="1" ht="15" customHeight="1" x14ac:dyDescent="0.2">
      <c r="A250" s="1042"/>
      <c r="B250" s="68"/>
      <c r="C250" s="1061">
        <v>55</v>
      </c>
      <c r="D250" s="1060"/>
      <c r="E250" s="1060"/>
      <c r="F250" s="1060"/>
      <c r="G250" s="1059"/>
      <c r="H250" s="1059"/>
      <c r="I250" s="1041"/>
    </row>
    <row r="251" spans="1:9" s="1293" customFormat="1" ht="15" customHeight="1" x14ac:dyDescent="0.2">
      <c r="A251" s="1042"/>
      <c r="B251" s="68"/>
      <c r="C251" s="1061">
        <v>56</v>
      </c>
      <c r="D251" s="1060"/>
      <c r="E251" s="1060"/>
      <c r="F251" s="1060"/>
      <c r="G251" s="1059"/>
      <c r="H251" s="1059"/>
      <c r="I251" s="1041"/>
    </row>
    <row r="252" spans="1:9" s="1293" customFormat="1" ht="15" customHeight="1" x14ac:dyDescent="0.2">
      <c r="A252" s="1042"/>
      <c r="B252" s="68"/>
      <c r="C252" s="1061">
        <v>57</v>
      </c>
      <c r="D252" s="1060"/>
      <c r="E252" s="1060"/>
      <c r="F252" s="1060"/>
      <c r="G252" s="1059"/>
      <c r="H252" s="1059"/>
      <c r="I252" s="1041"/>
    </row>
    <row r="253" spans="1:9" s="1293" customFormat="1" ht="15" customHeight="1" x14ac:dyDescent="0.2">
      <c r="A253" s="1042"/>
      <c r="B253" s="68"/>
      <c r="C253" s="1061">
        <v>58</v>
      </c>
      <c r="D253" s="1060"/>
      <c r="E253" s="1060"/>
      <c r="F253" s="1060"/>
      <c r="G253" s="1059"/>
      <c r="H253" s="1059"/>
      <c r="I253" s="1041"/>
    </row>
    <row r="254" spans="1:9" s="1293" customFormat="1" ht="15" customHeight="1" x14ac:dyDescent="0.2">
      <c r="A254" s="1042"/>
      <c r="B254" s="68"/>
      <c r="C254" s="1061">
        <v>59</v>
      </c>
      <c r="D254" s="1060"/>
      <c r="E254" s="1060"/>
      <c r="F254" s="1060"/>
      <c r="G254" s="1059"/>
      <c r="H254" s="1059"/>
      <c r="I254" s="1041"/>
    </row>
    <row r="255" spans="1:9" s="1293" customFormat="1" ht="15" customHeight="1" x14ac:dyDescent="0.2">
      <c r="A255" s="1042"/>
      <c r="B255" s="68"/>
      <c r="C255" s="1061">
        <v>60</v>
      </c>
      <c r="D255" s="1060"/>
      <c r="E255" s="1060"/>
      <c r="F255" s="1060"/>
      <c r="G255" s="1059"/>
      <c r="H255" s="1059"/>
      <c r="I255" s="1041"/>
    </row>
    <row r="256" spans="1:9" s="1293" customFormat="1" ht="15" customHeight="1" x14ac:dyDescent="0.2">
      <c r="A256" s="1042"/>
      <c r="B256" s="68"/>
      <c r="C256" s="1061">
        <v>61</v>
      </c>
      <c r="D256" s="1060"/>
      <c r="E256" s="1060"/>
      <c r="F256" s="1060"/>
      <c r="G256" s="1059"/>
      <c r="H256" s="1059"/>
      <c r="I256" s="1041"/>
    </row>
    <row r="257" spans="1:9" s="1293" customFormat="1" ht="15" customHeight="1" x14ac:dyDescent="0.2">
      <c r="A257" s="1042"/>
      <c r="B257" s="68"/>
      <c r="C257" s="1061">
        <v>62</v>
      </c>
      <c r="D257" s="1060"/>
      <c r="E257" s="1060"/>
      <c r="F257" s="1060"/>
      <c r="G257" s="1059"/>
      <c r="H257" s="1059"/>
      <c r="I257" s="1041"/>
    </row>
    <row r="258" spans="1:9" s="1293" customFormat="1" ht="15" customHeight="1" x14ac:dyDescent="0.2">
      <c r="A258" s="1042"/>
      <c r="B258" s="68"/>
      <c r="C258" s="1061">
        <v>63</v>
      </c>
      <c r="D258" s="1060"/>
      <c r="E258" s="1060"/>
      <c r="F258" s="1060"/>
      <c r="G258" s="1059"/>
      <c r="H258" s="1059"/>
      <c r="I258" s="1041"/>
    </row>
    <row r="259" spans="1:9" s="1293" customFormat="1" ht="15" customHeight="1" x14ac:dyDescent="0.2">
      <c r="A259" s="1042"/>
      <c r="B259" s="68"/>
      <c r="C259" s="1061">
        <v>64</v>
      </c>
      <c r="D259" s="1060"/>
      <c r="E259" s="1060"/>
      <c r="F259" s="1060"/>
      <c r="G259" s="1059"/>
      <c r="H259" s="1059"/>
      <c r="I259" s="1041"/>
    </row>
    <row r="260" spans="1:9" s="1293" customFormat="1" ht="15" customHeight="1" x14ac:dyDescent="0.2">
      <c r="A260" s="1042"/>
      <c r="B260" s="68"/>
      <c r="C260" s="1061">
        <v>65</v>
      </c>
      <c r="D260" s="1060"/>
      <c r="E260" s="1060"/>
      <c r="F260" s="1060"/>
      <c r="G260" s="1059"/>
      <c r="H260" s="1059"/>
      <c r="I260" s="1041"/>
    </row>
    <row r="261" spans="1:9" s="1293" customFormat="1" ht="15" customHeight="1" x14ac:dyDescent="0.2">
      <c r="A261" s="1042"/>
      <c r="B261" s="68"/>
      <c r="C261" s="1061">
        <v>66</v>
      </c>
      <c r="D261" s="1060"/>
      <c r="E261" s="1060"/>
      <c r="F261" s="1060"/>
      <c r="G261" s="1059"/>
      <c r="H261" s="1059"/>
      <c r="I261" s="1041"/>
    </row>
    <row r="262" spans="1:9" s="1293" customFormat="1" ht="15" customHeight="1" x14ac:dyDescent="0.2">
      <c r="A262" s="1042"/>
      <c r="B262" s="68"/>
      <c r="C262" s="1061">
        <v>67</v>
      </c>
      <c r="D262" s="1060"/>
      <c r="E262" s="1060"/>
      <c r="F262" s="1060"/>
      <c r="G262" s="1059"/>
      <c r="H262" s="1059"/>
      <c r="I262" s="1041"/>
    </row>
    <row r="263" spans="1:9" s="1293" customFormat="1" ht="15" customHeight="1" x14ac:dyDescent="0.2">
      <c r="A263" s="1042"/>
      <c r="B263" s="68"/>
      <c r="C263" s="1061">
        <v>68</v>
      </c>
      <c r="D263" s="1060"/>
      <c r="E263" s="1060"/>
      <c r="F263" s="1060"/>
      <c r="G263" s="1059"/>
      <c r="H263" s="1059"/>
      <c r="I263" s="1041"/>
    </row>
    <row r="264" spans="1:9" s="1293" customFormat="1" ht="15" customHeight="1" x14ac:dyDescent="0.2">
      <c r="A264" s="1042"/>
      <c r="B264" s="68"/>
      <c r="C264" s="1061">
        <v>69</v>
      </c>
      <c r="D264" s="1060"/>
      <c r="E264" s="1060"/>
      <c r="F264" s="1060"/>
      <c r="G264" s="1059"/>
      <c r="H264" s="1059"/>
      <c r="I264" s="1041"/>
    </row>
    <row r="265" spans="1:9" s="1293" customFormat="1" ht="15" customHeight="1" x14ac:dyDescent="0.2">
      <c r="A265" s="1042"/>
      <c r="B265" s="68"/>
      <c r="C265" s="1061">
        <v>70</v>
      </c>
      <c r="D265" s="1060"/>
      <c r="E265" s="1060"/>
      <c r="F265" s="1060"/>
      <c r="G265" s="1059"/>
      <c r="H265" s="1059"/>
      <c r="I265" s="1041"/>
    </row>
    <row r="266" spans="1:9" s="1293" customFormat="1" ht="15" customHeight="1" x14ac:dyDescent="0.2">
      <c r="A266" s="1042"/>
      <c r="B266" s="68"/>
      <c r="C266" s="1061">
        <v>71</v>
      </c>
      <c r="D266" s="1060"/>
      <c r="E266" s="1060"/>
      <c r="F266" s="1060"/>
      <c r="G266" s="1059"/>
      <c r="H266" s="1059"/>
      <c r="I266" s="1041"/>
    </row>
    <row r="267" spans="1:9" s="1293" customFormat="1" ht="15" customHeight="1" x14ac:dyDescent="0.2">
      <c r="A267" s="1042"/>
      <c r="B267" s="68"/>
      <c r="C267" s="1061">
        <v>72</v>
      </c>
      <c r="D267" s="1060"/>
      <c r="E267" s="1060"/>
      <c r="F267" s="1060"/>
      <c r="G267" s="1059"/>
      <c r="H267" s="1059"/>
      <c r="I267" s="1041"/>
    </row>
    <row r="268" spans="1:9" s="1293" customFormat="1" ht="15" customHeight="1" x14ac:dyDescent="0.2">
      <c r="A268" s="1042"/>
      <c r="B268" s="68"/>
      <c r="C268" s="1061">
        <v>73</v>
      </c>
      <c r="D268" s="1060"/>
      <c r="E268" s="1060"/>
      <c r="F268" s="1060"/>
      <c r="G268" s="1059"/>
      <c r="H268" s="1059"/>
      <c r="I268" s="1041"/>
    </row>
    <row r="269" spans="1:9" s="1293" customFormat="1" ht="15" customHeight="1" x14ac:dyDescent="0.2">
      <c r="A269" s="1042"/>
      <c r="B269" s="68"/>
      <c r="C269" s="1061">
        <v>74</v>
      </c>
      <c r="D269" s="1060"/>
      <c r="E269" s="1060"/>
      <c r="F269" s="1060"/>
      <c r="G269" s="1059"/>
      <c r="H269" s="1059"/>
      <c r="I269" s="1041"/>
    </row>
    <row r="270" spans="1:9" s="1293" customFormat="1" ht="15" customHeight="1" x14ac:dyDescent="0.2">
      <c r="A270" s="1042"/>
      <c r="B270" s="68"/>
      <c r="C270" s="1061">
        <v>75</v>
      </c>
      <c r="D270" s="1060"/>
      <c r="E270" s="1060"/>
      <c r="F270" s="1060"/>
      <c r="G270" s="1059"/>
      <c r="H270" s="1059"/>
      <c r="I270" s="1041"/>
    </row>
    <row r="271" spans="1:9" s="1293" customFormat="1" ht="15" customHeight="1" x14ac:dyDescent="0.2">
      <c r="A271" s="1042"/>
      <c r="B271" s="68"/>
      <c r="C271" s="1061">
        <v>76</v>
      </c>
      <c r="D271" s="1060"/>
      <c r="E271" s="1060"/>
      <c r="F271" s="1060"/>
      <c r="G271" s="1059"/>
      <c r="H271" s="1059"/>
      <c r="I271" s="1041"/>
    </row>
    <row r="272" spans="1:9" s="1293" customFormat="1" ht="15" customHeight="1" x14ac:dyDescent="0.2">
      <c r="A272" s="1042"/>
      <c r="B272" s="68"/>
      <c r="C272" s="1061">
        <v>77</v>
      </c>
      <c r="D272" s="1060"/>
      <c r="E272" s="1060"/>
      <c r="F272" s="1060"/>
      <c r="G272" s="1059"/>
      <c r="H272" s="1059"/>
      <c r="I272" s="1041"/>
    </row>
    <row r="273" spans="1:9" s="1293" customFormat="1" ht="15" customHeight="1" x14ac:dyDescent="0.2">
      <c r="A273" s="1042"/>
      <c r="B273" s="68"/>
      <c r="C273" s="1061">
        <v>78</v>
      </c>
      <c r="D273" s="1060"/>
      <c r="E273" s="1060"/>
      <c r="F273" s="1060"/>
      <c r="G273" s="1059"/>
      <c r="H273" s="1059"/>
      <c r="I273" s="1041"/>
    </row>
    <row r="274" spans="1:9" s="1293" customFormat="1" ht="15" customHeight="1" x14ac:dyDescent="0.2">
      <c r="A274" s="1042"/>
      <c r="B274" s="68"/>
      <c r="C274" s="1061">
        <v>79</v>
      </c>
      <c r="D274" s="1060"/>
      <c r="E274" s="1060"/>
      <c r="F274" s="1060"/>
      <c r="G274" s="1059"/>
      <c r="H274" s="1059"/>
      <c r="I274" s="1041"/>
    </row>
    <row r="275" spans="1:9" s="1293" customFormat="1" ht="15" customHeight="1" x14ac:dyDescent="0.2">
      <c r="A275" s="1042"/>
      <c r="B275" s="68"/>
      <c r="C275" s="1061">
        <v>80</v>
      </c>
      <c r="D275" s="1060"/>
      <c r="E275" s="1060"/>
      <c r="F275" s="1060"/>
      <c r="G275" s="1059"/>
      <c r="H275" s="1059"/>
      <c r="I275" s="1041"/>
    </row>
    <row r="276" spans="1:9" s="1293" customFormat="1" ht="15" customHeight="1" x14ac:dyDescent="0.2">
      <c r="A276" s="1042"/>
      <c r="B276" s="68"/>
      <c r="C276" s="1061">
        <v>81</v>
      </c>
      <c r="D276" s="1060"/>
      <c r="E276" s="1060"/>
      <c r="F276" s="1060"/>
      <c r="G276" s="1059"/>
      <c r="H276" s="1059"/>
      <c r="I276" s="1041"/>
    </row>
    <row r="277" spans="1:9" s="1039" customFormat="1" ht="15" customHeight="1" x14ac:dyDescent="0.2">
      <c r="A277" s="1042"/>
      <c r="B277" s="1040"/>
      <c r="C277" s="1061">
        <v>82</v>
      </c>
      <c r="D277" s="1060"/>
      <c r="E277" s="1060"/>
      <c r="F277" s="1060"/>
      <c r="G277" s="1040"/>
      <c r="H277" s="1040"/>
      <c r="I277" s="1041"/>
    </row>
    <row r="278" spans="1:9" s="1293" customFormat="1" ht="15" customHeight="1" x14ac:dyDescent="0.2">
      <c r="A278" s="1042"/>
      <c r="B278" s="1059"/>
      <c r="C278" s="1061">
        <v>83</v>
      </c>
      <c r="D278" s="1060"/>
      <c r="E278" s="1060"/>
      <c r="F278" s="1060"/>
      <c r="G278" s="1059"/>
      <c r="H278" s="1059"/>
      <c r="I278" s="1041"/>
    </row>
    <row r="279" spans="1:9" s="1293" customFormat="1" ht="15" customHeight="1" x14ac:dyDescent="0.2">
      <c r="A279" s="1042"/>
      <c r="B279" s="1059"/>
      <c r="C279" s="1061">
        <v>84</v>
      </c>
      <c r="D279" s="1060"/>
      <c r="E279" s="1060"/>
      <c r="F279" s="1060"/>
      <c r="G279" s="1059"/>
      <c r="H279" s="1059"/>
      <c r="I279" s="1041"/>
    </row>
    <row r="280" spans="1:9" s="1293" customFormat="1" ht="15" customHeight="1" x14ac:dyDescent="0.2">
      <c r="A280" s="1042"/>
      <c r="B280" s="1059"/>
      <c r="C280" s="1061">
        <v>85</v>
      </c>
      <c r="D280" s="1060"/>
      <c r="E280" s="1060"/>
      <c r="F280" s="1060"/>
      <c r="G280" s="1059"/>
      <c r="H280" s="1059"/>
      <c r="I280" s="1041"/>
    </row>
    <row r="281" spans="1:9" s="1293" customFormat="1" ht="15" customHeight="1" x14ac:dyDescent="0.2">
      <c r="A281" s="1042"/>
      <c r="B281" s="1059"/>
      <c r="C281" s="1061">
        <v>86</v>
      </c>
      <c r="D281" s="1060"/>
      <c r="E281" s="1060"/>
      <c r="F281" s="1060"/>
      <c r="G281" s="1059"/>
      <c r="H281" s="1059"/>
      <c r="I281" s="1041"/>
    </row>
    <row r="282" spans="1:9" s="1293" customFormat="1" ht="15" customHeight="1" x14ac:dyDescent="0.2">
      <c r="A282" s="1042"/>
      <c r="B282" s="1059"/>
      <c r="C282" s="1061">
        <v>87</v>
      </c>
      <c r="D282" s="1060"/>
      <c r="E282" s="1060"/>
      <c r="F282" s="1060"/>
      <c r="G282" s="1059"/>
      <c r="H282" s="1059"/>
      <c r="I282" s="1041"/>
    </row>
    <row r="283" spans="1:9" s="1293" customFormat="1" ht="15" customHeight="1" x14ac:dyDescent="0.2">
      <c r="A283" s="1042"/>
      <c r="B283" s="1059"/>
      <c r="C283" s="1061">
        <v>88</v>
      </c>
      <c r="D283" s="1060"/>
      <c r="E283" s="1060"/>
      <c r="F283" s="1060"/>
      <c r="G283" s="1059"/>
      <c r="H283" s="1059"/>
      <c r="I283" s="1041"/>
    </row>
    <row r="284" spans="1:9" s="1293" customFormat="1" ht="15" customHeight="1" x14ac:dyDescent="0.2">
      <c r="A284" s="1042"/>
      <c r="B284" s="1059"/>
      <c r="C284" s="1061">
        <v>89</v>
      </c>
      <c r="D284" s="1060"/>
      <c r="E284" s="1060"/>
      <c r="F284" s="1060"/>
      <c r="G284" s="1059"/>
      <c r="H284" s="1059"/>
      <c r="I284" s="1041"/>
    </row>
    <row r="285" spans="1:9" s="1293" customFormat="1" ht="15" customHeight="1" x14ac:dyDescent="0.2">
      <c r="A285" s="1042"/>
      <c r="B285" s="1059"/>
      <c r="C285" s="1061">
        <v>90</v>
      </c>
      <c r="D285" s="1060"/>
      <c r="E285" s="1060"/>
      <c r="F285" s="1060"/>
      <c r="G285" s="1059"/>
      <c r="H285" s="1059"/>
      <c r="I285" s="1041"/>
    </row>
    <row r="286" spans="1:9" s="1293" customFormat="1" ht="15" customHeight="1" x14ac:dyDescent="0.2">
      <c r="A286" s="1042"/>
      <c r="B286" s="1059"/>
      <c r="C286" s="1061">
        <v>91</v>
      </c>
      <c r="D286" s="1060"/>
      <c r="E286" s="1060"/>
      <c r="F286" s="1060"/>
      <c r="G286" s="1059"/>
      <c r="H286" s="1059"/>
      <c r="I286" s="1041"/>
    </row>
    <row r="287" spans="1:9" s="1293" customFormat="1" ht="15" customHeight="1" x14ac:dyDescent="0.2">
      <c r="A287" s="1042"/>
      <c r="B287" s="1059"/>
      <c r="C287" s="1061">
        <v>92</v>
      </c>
      <c r="D287" s="1060"/>
      <c r="E287" s="1060"/>
      <c r="F287" s="1060"/>
      <c r="G287" s="1059"/>
      <c r="H287" s="1059"/>
      <c r="I287" s="1041"/>
    </row>
    <row r="288" spans="1:9" s="1293" customFormat="1" ht="15" customHeight="1" x14ac:dyDescent="0.2">
      <c r="A288" s="1042"/>
      <c r="B288" s="1059"/>
      <c r="C288" s="1061">
        <v>93</v>
      </c>
      <c r="D288" s="1060"/>
      <c r="E288" s="1060"/>
      <c r="F288" s="1060"/>
      <c r="G288" s="1059"/>
      <c r="H288" s="1059"/>
      <c r="I288" s="1041"/>
    </row>
    <row r="289" spans="1:9" s="1293" customFormat="1" ht="15" customHeight="1" x14ac:dyDescent="0.2">
      <c r="A289" s="1042"/>
      <c r="B289" s="1059"/>
      <c r="C289" s="1061">
        <v>94</v>
      </c>
      <c r="D289" s="1060"/>
      <c r="E289" s="1060"/>
      <c r="F289" s="1060"/>
      <c r="G289" s="1059"/>
      <c r="H289" s="1059"/>
      <c r="I289" s="1041"/>
    </row>
    <row r="290" spans="1:9" s="1293" customFormat="1" ht="15" customHeight="1" x14ac:dyDescent="0.2">
      <c r="A290" s="1042"/>
      <c r="B290" s="1059"/>
      <c r="C290" s="1061">
        <v>95</v>
      </c>
      <c r="D290" s="1060"/>
      <c r="E290" s="1060"/>
      <c r="F290" s="1060"/>
      <c r="G290" s="1059"/>
      <c r="H290" s="1059"/>
      <c r="I290" s="1041"/>
    </row>
    <row r="291" spans="1:9" s="1293" customFormat="1" ht="15" customHeight="1" x14ac:dyDescent="0.2">
      <c r="A291" s="1042"/>
      <c r="B291" s="1059"/>
      <c r="C291" s="1061">
        <v>96</v>
      </c>
      <c r="D291" s="1060"/>
      <c r="E291" s="1060"/>
      <c r="F291" s="1060"/>
      <c r="G291" s="1059"/>
      <c r="H291" s="1059"/>
      <c r="I291" s="1041"/>
    </row>
    <row r="292" spans="1:9" s="1293" customFormat="1" ht="15" customHeight="1" x14ac:dyDescent="0.2">
      <c r="A292" s="1042"/>
      <c r="B292" s="1059"/>
      <c r="C292" s="1061">
        <v>97</v>
      </c>
      <c r="D292" s="1060"/>
      <c r="E292" s="1060"/>
      <c r="F292" s="1060"/>
      <c r="G292" s="1059"/>
      <c r="H292" s="1059"/>
      <c r="I292" s="1041"/>
    </row>
    <row r="293" spans="1:9" s="1293" customFormat="1" ht="15" customHeight="1" x14ac:dyDescent="0.2">
      <c r="A293" s="1042"/>
      <c r="B293" s="1059"/>
      <c r="C293" s="1061">
        <v>98</v>
      </c>
      <c r="D293" s="1060"/>
      <c r="E293" s="1060"/>
      <c r="F293" s="1060"/>
      <c r="G293" s="1059"/>
      <c r="H293" s="1059"/>
      <c r="I293" s="1041"/>
    </row>
    <row r="294" spans="1:9" s="1039" customFormat="1" ht="15" customHeight="1" x14ac:dyDescent="0.2">
      <c r="A294" s="1042"/>
      <c r="B294" s="1040"/>
      <c r="C294" s="1061">
        <v>99</v>
      </c>
      <c r="D294" s="1060"/>
      <c r="E294" s="1060"/>
      <c r="F294" s="1060"/>
      <c r="G294" s="1040"/>
      <c r="H294" s="1040"/>
      <c r="I294" s="1041"/>
    </row>
    <row r="295" spans="1:9" s="1039" customFormat="1" ht="15" customHeight="1" x14ac:dyDescent="0.2">
      <c r="A295" s="1042"/>
      <c r="B295" s="905"/>
      <c r="C295" s="1317">
        <v>100</v>
      </c>
      <c r="D295" s="1014"/>
      <c r="E295" s="1014"/>
      <c r="F295" s="1014"/>
      <c r="G295" s="1040"/>
      <c r="H295" s="1040"/>
      <c r="I295" s="1041"/>
    </row>
    <row r="296" spans="1:9" ht="15" customHeight="1" x14ac:dyDescent="0.2">
      <c r="A296" s="1378"/>
      <c r="B296" s="1047" t="s">
        <v>1154</v>
      </c>
      <c r="C296" s="1369">
        <v>1</v>
      </c>
      <c r="D296" s="1048" t="s">
        <v>1133</v>
      </c>
      <c r="E296" s="1048"/>
      <c r="F296" s="1048"/>
      <c r="G296" s="1059"/>
      <c r="H296" s="1059"/>
      <c r="I296" s="1041"/>
    </row>
    <row r="297" spans="1:9" ht="15" customHeight="1" x14ac:dyDescent="0.2">
      <c r="A297" s="1378"/>
      <c r="B297" s="1059"/>
      <c r="C297" s="1061">
        <v>2</v>
      </c>
      <c r="D297" s="1060" t="s">
        <v>1134</v>
      </c>
      <c r="E297" s="1060"/>
      <c r="F297" s="1060"/>
      <c r="G297" s="1059"/>
      <c r="H297" s="1059"/>
      <c r="I297" s="1041"/>
    </row>
    <row r="298" spans="1:9" ht="15" customHeight="1" x14ac:dyDescent="0.2">
      <c r="A298" s="1378"/>
      <c r="B298" s="1059"/>
      <c r="C298" s="1061">
        <v>3</v>
      </c>
      <c r="D298" s="1060" t="s">
        <v>1135</v>
      </c>
      <c r="E298" s="1060"/>
      <c r="F298" s="1060"/>
      <c r="G298" s="1059"/>
      <c r="H298" s="1059"/>
      <c r="I298" s="1041"/>
    </row>
    <row r="299" spans="1:9" ht="15" customHeight="1" x14ac:dyDescent="0.2">
      <c r="A299" s="1378"/>
      <c r="B299" s="1059"/>
      <c r="C299" s="1061">
        <v>4</v>
      </c>
      <c r="D299" s="1060" t="s">
        <v>1136</v>
      </c>
      <c r="E299" s="1060"/>
      <c r="F299" s="1060"/>
      <c r="G299" s="1059"/>
      <c r="H299" s="1059"/>
      <c r="I299" s="1041"/>
    </row>
    <row r="300" spans="1:9" ht="15" customHeight="1" x14ac:dyDescent="0.2">
      <c r="A300" s="1378"/>
      <c r="B300" s="1059"/>
      <c r="C300" s="1061">
        <v>5</v>
      </c>
      <c r="D300" s="1060" t="s">
        <v>1137</v>
      </c>
      <c r="E300" s="1060"/>
      <c r="F300" s="1060"/>
      <c r="G300" s="1059"/>
      <c r="H300" s="1059"/>
      <c r="I300" s="1041"/>
    </row>
    <row r="301" spans="1:9" ht="15" customHeight="1" x14ac:dyDescent="0.2">
      <c r="A301" s="1378"/>
      <c r="B301" s="1059"/>
      <c r="C301" s="1061">
        <v>6</v>
      </c>
      <c r="D301" s="1060" t="s">
        <v>1138</v>
      </c>
      <c r="E301" s="1060"/>
      <c r="F301" s="1060"/>
      <c r="G301" s="1059"/>
      <c r="H301" s="1059"/>
      <c r="I301" s="1041"/>
    </row>
    <row r="302" spans="1:9" ht="15" customHeight="1" x14ac:dyDescent="0.2">
      <c r="A302" s="1378"/>
      <c r="B302" s="1059"/>
      <c r="C302" s="1061">
        <v>7</v>
      </c>
      <c r="D302" s="1060" t="s">
        <v>1139</v>
      </c>
      <c r="E302" s="1060"/>
      <c r="F302" s="1060"/>
      <c r="G302" s="1059"/>
      <c r="H302" s="1059"/>
      <c r="I302" s="1041"/>
    </row>
    <row r="303" spans="1:9" ht="15" customHeight="1" x14ac:dyDescent="0.2">
      <c r="A303" s="1378"/>
      <c r="B303" s="1059"/>
      <c r="C303" s="1061">
        <v>8</v>
      </c>
      <c r="D303" s="1060" t="s">
        <v>1140</v>
      </c>
      <c r="E303" s="1060"/>
      <c r="F303" s="1060"/>
      <c r="G303" s="1059"/>
      <c r="H303" s="1059"/>
      <c r="I303" s="1041"/>
    </row>
    <row r="304" spans="1:9" ht="15" customHeight="1" x14ac:dyDescent="0.2">
      <c r="A304" s="1378"/>
      <c r="B304" s="1059"/>
      <c r="C304" s="1061">
        <v>9</v>
      </c>
      <c r="D304" s="1060" t="s">
        <v>1141</v>
      </c>
      <c r="E304" s="1060"/>
      <c r="F304" s="1060"/>
      <c r="G304" s="1059"/>
      <c r="H304" s="1059"/>
      <c r="I304" s="1041"/>
    </row>
    <row r="305" spans="1:9" ht="15" customHeight="1" x14ac:dyDescent="0.2">
      <c r="A305" s="1378"/>
      <c r="B305" s="1059"/>
      <c r="C305" s="1061">
        <v>10</v>
      </c>
      <c r="D305" s="1060" t="s">
        <v>1142</v>
      </c>
      <c r="E305" s="1060"/>
      <c r="F305" s="1060"/>
      <c r="G305" s="1059"/>
      <c r="H305" s="1059"/>
      <c r="I305" s="1041"/>
    </row>
    <row r="306" spans="1:9" ht="15" customHeight="1" x14ac:dyDescent="0.2">
      <c r="A306" s="1378"/>
      <c r="B306" s="1059"/>
      <c r="C306" s="1061">
        <v>11</v>
      </c>
      <c r="D306" s="1060" t="s">
        <v>1143</v>
      </c>
      <c r="E306" s="1060"/>
      <c r="F306" s="1060"/>
      <c r="G306" s="1059"/>
      <c r="H306" s="1059"/>
      <c r="I306" s="1041"/>
    </row>
    <row r="307" spans="1:9" ht="15" customHeight="1" x14ac:dyDescent="0.2">
      <c r="A307" s="1378"/>
      <c r="B307" s="1059"/>
      <c r="C307" s="1061">
        <v>12</v>
      </c>
      <c r="D307" s="1060" t="s">
        <v>1144</v>
      </c>
      <c r="E307" s="1060"/>
      <c r="F307" s="1060"/>
      <c r="G307" s="1059"/>
      <c r="H307" s="1059"/>
      <c r="I307" s="1041"/>
    </row>
    <row r="308" spans="1:9" ht="15" customHeight="1" x14ac:dyDescent="0.2">
      <c r="A308" s="1378"/>
      <c r="B308" s="1059"/>
      <c r="C308" s="1061">
        <v>13</v>
      </c>
      <c r="D308" s="1060" t="s">
        <v>1145</v>
      </c>
      <c r="E308" s="1060"/>
      <c r="F308" s="1060"/>
      <c r="G308" s="1059"/>
      <c r="H308" s="1059"/>
      <c r="I308" s="1041"/>
    </row>
    <row r="309" spans="1:9" ht="15" customHeight="1" x14ac:dyDescent="0.2">
      <c r="A309" s="1378"/>
      <c r="B309" s="1059"/>
      <c r="C309" s="1061">
        <v>14</v>
      </c>
      <c r="D309" s="1060" t="s">
        <v>1146</v>
      </c>
      <c r="E309" s="1060"/>
      <c r="F309" s="1060"/>
      <c r="G309" s="1059"/>
      <c r="H309" s="1059"/>
      <c r="I309" s="1041"/>
    </row>
    <row r="310" spans="1:9" ht="15" customHeight="1" x14ac:dyDescent="0.2">
      <c r="A310" s="1378"/>
      <c r="B310" s="1059"/>
      <c r="C310" s="1061">
        <v>15</v>
      </c>
      <c r="D310" s="1060" t="s">
        <v>1147</v>
      </c>
      <c r="E310" s="1060"/>
      <c r="F310" s="1060"/>
      <c r="G310" s="1059"/>
      <c r="H310" s="1059"/>
      <c r="I310" s="1041"/>
    </row>
    <row r="311" spans="1:9" ht="15" customHeight="1" x14ac:dyDescent="0.2">
      <c r="A311" s="1378"/>
      <c r="B311" s="1059"/>
      <c r="C311" s="1061">
        <v>16</v>
      </c>
      <c r="D311" s="1060" t="s">
        <v>1148</v>
      </c>
      <c r="E311" s="1060"/>
      <c r="F311" s="1060"/>
      <c r="G311" s="1059"/>
      <c r="H311" s="1059"/>
      <c r="I311" s="1041"/>
    </row>
    <row r="312" spans="1:9" ht="15" customHeight="1" x14ac:dyDescent="0.2">
      <c r="A312" s="1378"/>
      <c r="B312" s="1059"/>
      <c r="C312" s="1061">
        <v>17</v>
      </c>
      <c r="D312" s="1060" t="s">
        <v>1149</v>
      </c>
      <c r="E312" s="1060"/>
      <c r="F312" s="1060"/>
      <c r="G312" s="1059"/>
      <c r="H312" s="1059"/>
      <c r="I312" s="1041"/>
    </row>
    <row r="313" spans="1:9" ht="15" customHeight="1" x14ac:dyDescent="0.2">
      <c r="A313" s="1378"/>
      <c r="B313" s="1059"/>
      <c r="C313" s="1061">
        <v>18</v>
      </c>
      <c r="D313" s="1060" t="s">
        <v>1150</v>
      </c>
      <c r="E313" s="1060"/>
      <c r="F313" s="1060"/>
      <c r="G313" s="1059"/>
      <c r="H313" s="1059"/>
      <c r="I313" s="1041"/>
    </row>
    <row r="314" spans="1:9" ht="15" customHeight="1" x14ac:dyDescent="0.2">
      <c r="A314" s="1378"/>
      <c r="B314" s="1059"/>
      <c r="C314" s="1061">
        <v>19</v>
      </c>
      <c r="D314" s="1060" t="s">
        <v>1151</v>
      </c>
      <c r="E314" s="1060"/>
      <c r="F314" s="1060"/>
      <c r="G314" s="1059"/>
      <c r="H314" s="1059"/>
      <c r="I314" s="1041"/>
    </row>
    <row r="315" spans="1:9" ht="15" customHeight="1" x14ac:dyDescent="0.2">
      <c r="A315" s="1378"/>
      <c r="B315" s="1059"/>
      <c r="C315" s="1061">
        <v>20</v>
      </c>
      <c r="D315" s="1060" t="s">
        <v>1152</v>
      </c>
      <c r="E315" s="1060"/>
      <c r="F315" s="1060"/>
      <c r="G315" s="1059"/>
      <c r="H315" s="1059"/>
      <c r="I315" s="1041"/>
    </row>
    <row r="316" spans="1:9" ht="15" customHeight="1" x14ac:dyDescent="0.2">
      <c r="A316" s="1378"/>
      <c r="B316" s="108"/>
      <c r="C316" s="1370">
        <v>21</v>
      </c>
      <c r="D316" s="1014" t="s">
        <v>1153</v>
      </c>
      <c r="E316" s="1014"/>
      <c r="F316" s="1014"/>
      <c r="G316" s="1059"/>
      <c r="H316" s="1059"/>
      <c r="I316" s="1041"/>
    </row>
    <row r="317" spans="1:9" ht="15" customHeight="1" x14ac:dyDescent="0.2">
      <c r="A317" s="110"/>
      <c r="B317" s="108"/>
      <c r="C317" s="108"/>
      <c r="D317" s="108"/>
      <c r="E317" s="108"/>
      <c r="F317" s="108"/>
      <c r="G317" s="108"/>
      <c r="H317" s="108"/>
      <c r="I317" s="12"/>
    </row>
  </sheetData>
  <sortState ref="E94:F96">
    <sortCondition ref="E94:E96"/>
  </sortState>
  <customSheetViews>
    <customSheetView guid="{15489521-78C1-4B59-8BC9-AACD7EBC6362}" scale="75" showPageBreaks="1" printArea="1" showRuler="0">
      <pane ySplit="1" topLeftCell="A2" activePane="bottomLeft" state="frozen"/>
      <selection pane="bottomLeft" activeCell="A40" sqref="A40"/>
      <pageMargins left="0.78740157480314965" right="0.78740157480314965" top="0.98425196850393704" bottom="0.98425196850393704" header="0.51181102362204722" footer="0.51181102362204722"/>
      <pageSetup paperSize="9" scale="55" fitToHeight="3" pageOrder="overThenDown" orientation="landscape"/>
      <headerFooter alignWithMargins="0">
        <oddHeader>&amp;L&amp;"Arial,Bold"&amp;14Basel Committee on Banking Supervision
QIS reporting template&amp;C&amp;14&amp;F
&amp;A&amp;R&amp;"Arial,Bold"&amp;14Confidential</oddHeader>
        <oddFooter>&amp;L&amp;14&amp;D  &amp;T&amp;R&amp;14Page &amp;P of &amp;N</oddFooter>
      </headerFooter>
    </customSheetView>
    <customSheetView guid="{53E8D147-A870-4F3F-BF63-24587CEF7636}" scale="75" showPageBreaks="1" printArea="1" showRuler="0">
      <pane ySplit="1" topLeftCell="A2" activePane="bottomLeft" state="frozen"/>
      <selection pane="bottomLeft" activeCell="A40" sqref="A40"/>
      <pageMargins left="0.78740157480314965" right="0.78740157480314965" top="0.98425196850393704" bottom="0.98425196850393704" header="0.51181102362204722" footer="0.51181102362204722"/>
      <pageSetup paperSize="9" scale="55" fitToHeight="3" pageOrder="overThenDown" orientation="landscape"/>
      <headerFooter alignWithMargins="0">
        <oddHeader>&amp;L&amp;"Arial,Bold"&amp;14Basel Committee on Banking Supervision
QIS reporting template&amp;C&amp;14&amp;F
&amp;A&amp;R&amp;"Arial,Bold"&amp;14Confidential</oddHeader>
        <oddFooter>&amp;L&amp;14&amp;D  &amp;T&amp;R&amp;14Page &amp;P of &amp;N</oddFooter>
      </headerFooter>
    </customSheetView>
    <customSheetView guid="{7608A575-AD39-4DFE-B654-965E0A886A86}" scale="75" showPageBreaks="1" printArea="1" showRuler="0">
      <pane ySplit="1" topLeftCell="A2" activePane="bottomLeft" state="frozen"/>
      <selection pane="bottomLeft" activeCell="E5" sqref="E5"/>
      <pageMargins left="0.78740157480314965" right="0.78740157480314965" top="0.98425196850393704" bottom="0.98425196850393704" header="0.51181102362204722" footer="0.51181102362204722"/>
      <pageSetup paperSize="9" scale="55" fitToHeight="3" pageOrder="overThenDown" orientation="landscape"/>
      <headerFooter alignWithMargins="0">
        <oddHeader>&amp;L&amp;"Arial,Bold"&amp;14Basel Committee on Banking Supervision
QIS reporting template&amp;C&amp;14&amp;F
&amp;A&amp;R&amp;"Arial,Bold"&amp;14Confidential</oddHeader>
        <oddFooter>&amp;L&amp;14&amp;D  &amp;T&amp;R&amp;14Page &amp;P of &amp;N</oddFooter>
      </headerFooter>
    </customSheetView>
  </customSheetViews>
  <mergeCells count="16">
    <mergeCell ref="B18:E18"/>
    <mergeCell ref="B19:E19"/>
    <mergeCell ref="B76:E76"/>
    <mergeCell ref="B77:E77"/>
    <mergeCell ref="B78:E78"/>
    <mergeCell ref="B49:E49"/>
    <mergeCell ref="B56:E56"/>
    <mergeCell ref="B70:E70"/>
    <mergeCell ref="B75:E75"/>
    <mergeCell ref="B84:E84"/>
    <mergeCell ref="B85:E85"/>
    <mergeCell ref="B79:E79"/>
    <mergeCell ref="B80:E80"/>
    <mergeCell ref="B81:E81"/>
    <mergeCell ref="B82:E82"/>
    <mergeCell ref="B83:E83"/>
  </mergeCells>
  <phoneticPr fontId="8" type="noConversion"/>
  <dataValidations disablePrompts="1" xWindow="734" yWindow="271" count="1">
    <dataValidation type="list" showInputMessage="1" showErrorMessage="1" sqref="F39">
      <formula1>YesNo</formula1>
    </dataValidation>
  </dataValidations>
  <printOptions headings="1"/>
  <pageMargins left="0.78740157480314965" right="0.78740157480314965" top="0.98425196850393704" bottom="0.98425196850393704" header="0.51181102362204722" footer="0.51181102362204722"/>
  <pageSetup paperSize="9" scale="50" fitToHeight="3" pageOrder="overThenDown" orientation="landscape" r:id="rId1"/>
  <headerFooter alignWithMargins="0">
    <oddHeader>&amp;L&amp;"Arial,Bold"&amp;14Basel Committee on Banking Supervision
Basel III monitoring template&amp;C&amp;14&amp;F
&amp;A&amp;R&amp;"Arial,Bold"&amp;14Confidential when completed</oddHeader>
    <oddFooter>&amp;L&amp;14&amp;D  &amp;T&amp;R&amp;14Page &amp;P of &amp;N</oddFooter>
  </headerFooter>
  <rowBreaks count="2" manualBreakCount="2">
    <brk id="46" max="8" man="1"/>
    <brk id="141" min="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K184"/>
  <sheetViews>
    <sheetView zoomScale="75" zoomScaleNormal="75" workbookViewId="0"/>
  </sheetViews>
  <sheetFormatPr defaultColWidth="8.85546875" defaultRowHeight="15" customHeight="1" x14ac:dyDescent="0.2"/>
  <cols>
    <col min="1" max="1" width="1.7109375" style="1293" customWidth="1"/>
    <col min="2" max="2" width="100.7109375" style="1293" customWidth="1"/>
    <col min="3" max="3" width="16.7109375" style="1293" customWidth="1"/>
    <col min="4" max="10" width="16.7109375" style="207" customWidth="1"/>
    <col min="11" max="11" width="1.7109375" style="207" customWidth="1"/>
    <col min="12" max="16384" width="8.85546875" style="207"/>
  </cols>
  <sheetData>
    <row r="1" spans="1:11" ht="30" customHeight="1" x14ac:dyDescent="0.4">
      <c r="A1" s="1055" t="s">
        <v>1056</v>
      </c>
      <c r="B1" s="35"/>
      <c r="C1" s="40"/>
      <c r="D1" s="203"/>
      <c r="E1" s="203"/>
      <c r="F1" s="203"/>
      <c r="G1" s="203"/>
      <c r="H1" s="203"/>
      <c r="I1" s="203"/>
      <c r="J1" s="203"/>
      <c r="K1" s="32"/>
    </row>
    <row r="2" spans="1:11" ht="15" customHeight="1" x14ac:dyDescent="0.2">
      <c r="A2" s="11"/>
      <c r="B2" s="1059"/>
      <c r="C2" s="1059"/>
      <c r="D2" s="33"/>
      <c r="E2" s="33"/>
      <c r="F2" s="33"/>
      <c r="G2" s="33"/>
      <c r="H2" s="33"/>
      <c r="I2" s="33"/>
      <c r="J2" s="33"/>
      <c r="K2" s="41"/>
    </row>
    <row r="3" spans="1:11" s="204" customFormat="1" ht="30" customHeight="1" x14ac:dyDescent="0.2">
      <c r="A3" s="11"/>
      <c r="B3" s="91" t="s">
        <v>555</v>
      </c>
      <c r="C3" s="1059"/>
      <c r="K3" s="1171"/>
    </row>
    <row r="4" spans="1:11" s="1074" customFormat="1" ht="15" customHeight="1" x14ac:dyDescent="0.2">
      <c r="A4" s="11"/>
      <c r="B4" s="1059"/>
      <c r="C4" s="1059"/>
      <c r="D4" s="204"/>
      <c r="E4" s="204"/>
      <c r="F4" s="204"/>
      <c r="G4" s="204"/>
      <c r="H4" s="204"/>
      <c r="I4" s="204"/>
      <c r="J4" s="204"/>
      <c r="K4" s="1171"/>
    </row>
    <row r="5" spans="1:11" ht="30" customHeight="1" x14ac:dyDescent="0.25">
      <c r="A5" s="23" t="s">
        <v>1057</v>
      </c>
      <c r="B5" s="18"/>
      <c r="C5" s="16"/>
      <c r="D5" s="203"/>
      <c r="E5" s="203"/>
      <c r="F5" s="203"/>
      <c r="G5" s="203"/>
      <c r="H5" s="203"/>
      <c r="I5" s="203"/>
      <c r="J5" s="203"/>
      <c r="K5" s="32"/>
    </row>
    <row r="6" spans="1:11" ht="30" customHeight="1" x14ac:dyDescent="0.25">
      <c r="A6" s="20" t="s">
        <v>1058</v>
      </c>
      <c r="B6" s="13"/>
      <c r="C6" s="14"/>
      <c r="D6" s="204"/>
      <c r="E6" s="204"/>
      <c r="F6" s="204"/>
      <c r="G6" s="204"/>
      <c r="H6" s="204"/>
      <c r="I6" s="204"/>
      <c r="J6" s="204"/>
      <c r="K6" s="1171"/>
    </row>
    <row r="7" spans="1:11" ht="15" customHeight="1" x14ac:dyDescent="0.25">
      <c r="A7" s="20"/>
      <c r="B7" s="13"/>
      <c r="C7" s="14"/>
      <c r="D7" s="204"/>
      <c r="E7" s="204"/>
      <c r="F7" s="204"/>
      <c r="G7" s="1170"/>
      <c r="H7" s="1170"/>
      <c r="I7" s="1170"/>
      <c r="J7" s="1170"/>
      <c r="K7" s="1171"/>
    </row>
    <row r="8" spans="1:11" ht="15" customHeight="1" x14ac:dyDescent="0.2">
      <c r="A8" s="7"/>
      <c r="B8" s="1620"/>
      <c r="C8" s="1624" t="s">
        <v>318</v>
      </c>
      <c r="D8" s="1624"/>
      <c r="E8" s="1624"/>
      <c r="F8" s="1624" t="s">
        <v>902</v>
      </c>
      <c r="G8" s="1624"/>
      <c r="H8" s="1624"/>
      <c r="I8" s="1624"/>
      <c r="J8" s="1625"/>
      <c r="K8" s="1171"/>
    </row>
    <row r="9" spans="1:11" ht="15" customHeight="1" x14ac:dyDescent="0.25">
      <c r="A9" s="20"/>
      <c r="B9" s="1623"/>
      <c r="C9" s="1624" t="s">
        <v>167</v>
      </c>
      <c r="D9" s="1624"/>
      <c r="E9" s="1624"/>
      <c r="F9" s="1624"/>
      <c r="G9" s="1624"/>
      <c r="H9" s="1626" t="s">
        <v>225</v>
      </c>
      <c r="I9" s="1626"/>
      <c r="J9" s="1627"/>
      <c r="K9" s="1171"/>
    </row>
    <row r="10" spans="1:11" ht="45" customHeight="1" x14ac:dyDescent="0.2">
      <c r="A10" s="7"/>
      <c r="B10" s="1621"/>
      <c r="C10" s="1329" t="s">
        <v>170</v>
      </c>
      <c r="D10" s="1329" t="s">
        <v>556</v>
      </c>
      <c r="E10" s="1329" t="s">
        <v>557</v>
      </c>
      <c r="F10" s="1329" t="s">
        <v>27</v>
      </c>
      <c r="G10" s="1329" t="s">
        <v>28</v>
      </c>
      <c r="H10" s="1327" t="s">
        <v>516</v>
      </c>
      <c r="I10" s="1327" t="s">
        <v>558</v>
      </c>
      <c r="J10" s="1328" t="s">
        <v>518</v>
      </c>
      <c r="K10" s="1171"/>
    </row>
    <row r="11" spans="1:11" s="1168" customFormat="1" ht="15" customHeight="1" x14ac:dyDescent="0.2">
      <c r="A11" s="63"/>
      <c r="B11" s="289" t="s">
        <v>551</v>
      </c>
      <c r="C11" s="1130" t="str">
        <f>IF(ISNUMBER(C14),C12+C14,"")</f>
        <v/>
      </c>
      <c r="D11" s="1130" t="str">
        <f>IF(AND(ISNUMBER(D13),ISNUMBER(D14)),SUM(D12:D14),"")</f>
        <v/>
      </c>
      <c r="E11" s="1130" t="str">
        <f>IF(AND(ISNUMBER(E13),ISNUMBER(E14)),SUM(E12:E14),"")</f>
        <v/>
      </c>
      <c r="F11" s="1130" t="str">
        <f>IF(AND(ISNUMBER(F13),ISNUMBER(F14)),SUM(F12:F14),"")</f>
        <v/>
      </c>
      <c r="G11" s="1130" t="str">
        <f>IF(AND(ISNUMBER(G13),ISNUMBER(G14)),SUM(G12:G14),"")</f>
        <v/>
      </c>
      <c r="H11" s="281"/>
      <c r="I11" s="281"/>
      <c r="J11" s="282"/>
      <c r="K11" s="1171"/>
    </row>
    <row r="12" spans="1:11" s="1168" customFormat="1" ht="15" customHeight="1" x14ac:dyDescent="0.2">
      <c r="A12" s="63"/>
      <c r="B12" s="290" t="s">
        <v>342</v>
      </c>
      <c r="C12" s="284"/>
      <c r="D12" s="284"/>
      <c r="E12" s="284"/>
      <c r="F12" s="265"/>
      <c r="G12" s="265"/>
      <c r="H12" s="265"/>
      <c r="I12" s="265"/>
      <c r="J12" s="273"/>
      <c r="K12" s="1171"/>
    </row>
    <row r="13" spans="1:11" s="1168" customFormat="1" ht="15" customHeight="1" x14ac:dyDescent="0.2">
      <c r="A13" s="63"/>
      <c r="B13" s="290" t="s">
        <v>630</v>
      </c>
      <c r="C13" s="285"/>
      <c r="D13" s="284"/>
      <c r="E13" s="284"/>
      <c r="F13" s="1174" t="str">
        <f>IF(ISNUMBER(D13),D13,"")</f>
        <v/>
      </c>
      <c r="G13" s="1174" t="str">
        <f>IF(ISNUMBER(E13),E13,"")</f>
        <v/>
      </c>
      <c r="H13" s="285"/>
      <c r="I13" s="285"/>
      <c r="J13" s="247"/>
      <c r="K13" s="69"/>
    </row>
    <row r="14" spans="1:11" s="1168" customFormat="1" ht="15" customHeight="1" x14ac:dyDescent="0.2">
      <c r="A14" s="63"/>
      <c r="B14" s="290" t="s">
        <v>548</v>
      </c>
      <c r="C14" s="284"/>
      <c r="D14" s="284"/>
      <c r="E14" s="284"/>
      <c r="F14" s="265"/>
      <c r="G14" s="265"/>
      <c r="H14" s="285"/>
      <c r="I14" s="285"/>
      <c r="J14" s="247"/>
      <c r="K14" s="1143"/>
    </row>
    <row r="15" spans="1:11" s="1168" customFormat="1" ht="15" customHeight="1" x14ac:dyDescent="0.2">
      <c r="A15" s="63"/>
      <c r="B15" s="291" t="s">
        <v>552</v>
      </c>
      <c r="C15" s="1174" t="str">
        <f>IF(ISNUMBER(C17),C16+C17,"")</f>
        <v/>
      </c>
      <c r="D15" s="1174" t="str">
        <f>IF(ISNUMBER(D17),D16+D17,"")</f>
        <v/>
      </c>
      <c r="E15" s="1174" t="str">
        <f>IF(ISNUMBER(E17),E16+E17,"")</f>
        <v/>
      </c>
      <c r="F15" s="1174" t="str">
        <f>IF(ISNUMBER(F17),F16+F17,"")</f>
        <v/>
      </c>
      <c r="G15" s="1174" t="str">
        <f>IF(ISNUMBER(G17),G16+G17,"")</f>
        <v/>
      </c>
      <c r="H15" s="285"/>
      <c r="I15" s="285"/>
      <c r="J15" s="247"/>
      <c r="K15" s="69"/>
    </row>
    <row r="16" spans="1:11" s="1168" customFormat="1" ht="15" customHeight="1" x14ac:dyDescent="0.2">
      <c r="A16" s="63"/>
      <c r="B16" s="290" t="s">
        <v>342</v>
      </c>
      <c r="C16" s="284"/>
      <c r="D16" s="284"/>
      <c r="E16" s="284"/>
      <c r="F16" s="265"/>
      <c r="G16" s="265"/>
      <c r="H16" s="265"/>
      <c r="I16" s="265"/>
      <c r="J16" s="273"/>
      <c r="K16" s="69"/>
    </row>
    <row r="17" spans="1:11" s="1168" customFormat="1" ht="15" customHeight="1" x14ac:dyDescent="0.2">
      <c r="A17" s="63"/>
      <c r="B17" s="290" t="s">
        <v>548</v>
      </c>
      <c r="C17" s="284"/>
      <c r="D17" s="284"/>
      <c r="E17" s="284"/>
      <c r="F17" s="265"/>
      <c r="G17" s="265"/>
      <c r="H17" s="285"/>
      <c r="I17" s="285"/>
      <c r="J17" s="247"/>
      <c r="K17" s="69"/>
    </row>
    <row r="18" spans="1:11" s="1168" customFormat="1" ht="15" customHeight="1" x14ac:dyDescent="0.2">
      <c r="A18" s="63"/>
      <c r="B18" s="291" t="s">
        <v>553</v>
      </c>
      <c r="C18" s="1174" t="str">
        <f>IF(ISNUMBER(C20),C19+C20,"")</f>
        <v/>
      </c>
      <c r="D18" s="1174" t="str">
        <f>IF(ISNUMBER(D20),D19+D20,"")</f>
        <v/>
      </c>
      <c r="E18" s="1174" t="str">
        <f>IF(ISNUMBER(E20),E19+E20,"")</f>
        <v/>
      </c>
      <c r="F18" s="1174" t="str">
        <f>IF(ISNUMBER(F20),F19+F20,"")</f>
        <v/>
      </c>
      <c r="G18" s="1174" t="str">
        <f>IF(ISNUMBER(G20),G19+G20,"")</f>
        <v/>
      </c>
      <c r="H18" s="285"/>
      <c r="I18" s="285"/>
      <c r="J18" s="247"/>
      <c r="K18" s="69"/>
    </row>
    <row r="19" spans="1:11" s="1168" customFormat="1" ht="15" customHeight="1" x14ac:dyDescent="0.2">
      <c r="A19" s="63"/>
      <c r="B19" s="290" t="s">
        <v>342</v>
      </c>
      <c r="C19" s="284"/>
      <c r="D19" s="284"/>
      <c r="E19" s="284"/>
      <c r="F19" s="265"/>
      <c r="G19" s="265"/>
      <c r="H19" s="265"/>
      <c r="I19" s="265"/>
      <c r="J19" s="273"/>
      <c r="K19" s="69"/>
    </row>
    <row r="20" spans="1:11" s="1168" customFormat="1" ht="15" customHeight="1" x14ac:dyDescent="0.2">
      <c r="A20" s="63"/>
      <c r="B20" s="290" t="s">
        <v>548</v>
      </c>
      <c r="C20" s="284"/>
      <c r="D20" s="284"/>
      <c r="E20" s="284"/>
      <c r="F20" s="265"/>
      <c r="G20" s="265"/>
      <c r="H20" s="285"/>
      <c r="I20" s="285"/>
      <c r="J20" s="247"/>
      <c r="K20" s="69"/>
    </row>
    <row r="21" spans="1:11" s="1168" customFormat="1" ht="15" customHeight="1" x14ac:dyDescent="0.2">
      <c r="A21" s="63"/>
      <c r="B21" s="291" t="s">
        <v>554</v>
      </c>
      <c r="C21" s="1174" t="str">
        <f>IF(ISNUMBER(C23),C22+C23,"")</f>
        <v/>
      </c>
      <c r="D21" s="1174" t="str">
        <f>IF(ISNUMBER(D23),D22+D23,"")</f>
        <v/>
      </c>
      <c r="E21" s="1174" t="str">
        <f>IF(ISNUMBER(E23),E22+E23,"")</f>
        <v/>
      </c>
      <c r="F21" s="1174" t="str">
        <f>IF(ISNUMBER(F23),F22+F23,"")</f>
        <v/>
      </c>
      <c r="G21" s="1174" t="str">
        <f>IF(ISNUMBER(G23),G22+G23,"")</f>
        <v/>
      </c>
      <c r="H21" s="285"/>
      <c r="I21" s="285"/>
      <c r="J21" s="247"/>
      <c r="K21" s="69"/>
    </row>
    <row r="22" spans="1:11" s="1168" customFormat="1" ht="15" customHeight="1" x14ac:dyDescent="0.2">
      <c r="A22" s="63"/>
      <c r="B22" s="290" t="s">
        <v>342</v>
      </c>
      <c r="C22" s="284"/>
      <c r="D22" s="284"/>
      <c r="E22" s="284"/>
      <c r="F22" s="265"/>
      <c r="G22" s="265"/>
      <c r="H22" s="265"/>
      <c r="I22" s="265"/>
      <c r="J22" s="273"/>
      <c r="K22" s="69"/>
    </row>
    <row r="23" spans="1:11" s="1168" customFormat="1" ht="15" customHeight="1" x14ac:dyDescent="0.2">
      <c r="A23" s="63"/>
      <c r="B23" s="290" t="s">
        <v>548</v>
      </c>
      <c r="C23" s="284"/>
      <c r="D23" s="284"/>
      <c r="E23" s="284"/>
      <c r="F23" s="265"/>
      <c r="G23" s="265"/>
      <c r="H23" s="285"/>
      <c r="I23" s="285"/>
      <c r="J23" s="247"/>
      <c r="K23" s="69"/>
    </row>
    <row r="24" spans="1:11" s="1168" customFormat="1" ht="15" customHeight="1" x14ac:dyDescent="0.2">
      <c r="A24" s="63"/>
      <c r="B24" s="291" t="s">
        <v>447</v>
      </c>
      <c r="C24" s="284"/>
      <c r="D24" s="284"/>
      <c r="E24" s="284"/>
      <c r="F24" s="1174" t="str">
        <f>IF(ISNUMBER(D24),D24,"")</f>
        <v/>
      </c>
      <c r="G24" s="265"/>
      <c r="H24" s="285"/>
      <c r="I24" s="285"/>
      <c r="J24" s="247"/>
      <c r="K24" s="69"/>
    </row>
    <row r="25" spans="1:11" s="1168" customFormat="1" ht="15" customHeight="1" x14ac:dyDescent="0.2">
      <c r="A25" s="63"/>
      <c r="B25" s="291" t="s">
        <v>155</v>
      </c>
      <c r="C25" s="284"/>
      <c r="D25" s="284"/>
      <c r="E25" s="284"/>
      <c r="F25" s="1174" t="str">
        <f>IF(ISNUMBER(D25),D25,"")</f>
        <v/>
      </c>
      <c r="G25" s="265"/>
      <c r="H25" s="285"/>
      <c r="I25" s="285"/>
      <c r="J25" s="247"/>
      <c r="K25" s="69"/>
    </row>
    <row r="26" spans="1:11" s="1168" customFormat="1" ht="15" customHeight="1" x14ac:dyDescent="0.2">
      <c r="A26" s="63"/>
      <c r="B26" s="291" t="s">
        <v>154</v>
      </c>
      <c r="C26" s="284"/>
      <c r="D26" s="284"/>
      <c r="E26" s="284"/>
      <c r="F26" s="265"/>
      <c r="G26" s="265"/>
      <c r="H26" s="285"/>
      <c r="I26" s="285"/>
      <c r="J26" s="247"/>
      <c r="K26" s="69"/>
    </row>
    <row r="27" spans="1:11" s="1168" customFormat="1" ht="15" customHeight="1" x14ac:dyDescent="0.2">
      <c r="A27" s="63"/>
      <c r="B27" s="291" t="s">
        <v>156</v>
      </c>
      <c r="C27" s="284"/>
      <c r="D27" s="284"/>
      <c r="E27" s="284"/>
      <c r="F27" s="1174" t="str">
        <f t="shared" ref="F27:G29" si="0">IF(ISNUMBER(D27),D27,"")</f>
        <v/>
      </c>
      <c r="G27" s="1174" t="str">
        <f t="shared" si="0"/>
        <v/>
      </c>
      <c r="H27" s="285"/>
      <c r="I27" s="285"/>
      <c r="J27" s="247"/>
      <c r="K27" s="69"/>
    </row>
    <row r="28" spans="1:11" s="1168" customFormat="1" ht="15" customHeight="1" x14ac:dyDescent="0.2">
      <c r="A28" s="63"/>
      <c r="B28" s="292" t="s">
        <v>157</v>
      </c>
      <c r="C28" s="284"/>
      <c r="D28" s="284"/>
      <c r="E28" s="284"/>
      <c r="F28" s="1174" t="str">
        <f t="shared" si="0"/>
        <v/>
      </c>
      <c r="G28" s="1174" t="str">
        <f t="shared" si="0"/>
        <v/>
      </c>
      <c r="H28" s="285"/>
      <c r="I28" s="285"/>
      <c r="J28" s="247"/>
      <c r="K28" s="69"/>
    </row>
    <row r="29" spans="1:11" s="1168" customFormat="1" ht="15" customHeight="1" x14ac:dyDescent="0.2">
      <c r="A29" s="63"/>
      <c r="B29" s="291" t="s">
        <v>158</v>
      </c>
      <c r="C29" s="284"/>
      <c r="D29" s="284"/>
      <c r="E29" s="284"/>
      <c r="F29" s="1174" t="str">
        <f t="shared" si="0"/>
        <v/>
      </c>
      <c r="G29" s="1174" t="str">
        <f t="shared" si="0"/>
        <v/>
      </c>
      <c r="H29" s="285"/>
      <c r="I29" s="285"/>
      <c r="J29" s="247"/>
      <c r="K29" s="69"/>
    </row>
    <row r="30" spans="1:11" s="1168" customFormat="1" ht="15" customHeight="1" x14ac:dyDescent="0.2">
      <c r="A30" s="63"/>
      <c r="B30" s="291" t="s">
        <v>43</v>
      </c>
      <c r="C30" s="285"/>
      <c r="D30" s="284"/>
      <c r="E30" s="285"/>
      <c r="F30" s="1174" t="str">
        <f>IF(ISNUMBER(D30),D30,"")</f>
        <v/>
      </c>
      <c r="G30" s="285"/>
      <c r="H30" s="285"/>
      <c r="I30" s="285"/>
      <c r="J30" s="247"/>
      <c r="K30" s="69"/>
    </row>
    <row r="31" spans="1:11" s="1168" customFormat="1" ht="15" customHeight="1" x14ac:dyDescent="0.2">
      <c r="A31" s="63"/>
      <c r="B31" s="291" t="s">
        <v>584</v>
      </c>
      <c r="C31" s="284"/>
      <c r="D31" s="284"/>
      <c r="E31" s="284"/>
      <c r="F31" s="265"/>
      <c r="G31" s="265"/>
      <c r="H31" s="265"/>
      <c r="I31" s="265"/>
      <c r="J31" s="273"/>
      <c r="K31" s="69"/>
    </row>
    <row r="32" spans="1:11" s="1168" customFormat="1" ht="15" customHeight="1" x14ac:dyDescent="0.2">
      <c r="A32" s="63"/>
      <c r="B32" s="295" t="s">
        <v>365</v>
      </c>
      <c r="C32" s="296"/>
      <c r="D32" s="296"/>
      <c r="E32" s="296"/>
      <c r="F32" s="297" t="str">
        <f>IF(ISNUMBER(D32),D32,"")</f>
        <v/>
      </c>
      <c r="G32" s="297" t="str">
        <f>IF(ISNUMBER(E32),E32,"")</f>
        <v/>
      </c>
      <c r="H32" s="298"/>
      <c r="I32" s="298"/>
      <c r="J32" s="299"/>
      <c r="K32" s="69"/>
    </row>
    <row r="33" spans="1:11" s="1168" customFormat="1" ht="15" customHeight="1" x14ac:dyDescent="0.2">
      <c r="A33" s="63"/>
      <c r="B33" s="300" t="s">
        <v>483</v>
      </c>
      <c r="C33" s="301">
        <f>IF('General Info'!C48="Yes", IF(AND(ISNUMBER(C11),ISNUMBER(C15),ISNUMBER(C18),ISNUMBER(C21),ISNUMBER(C24),ISNUMBER(C25),ISNUMBER(C26),ISNUMBER(C27),ISNUMBER(C28),ISNUMBER(C29),ISNUMBER(C31),ISNUMBER(C32)),SUM(C11,C15,C18,C21,C24:C29,C31,C32),""), 0)</f>
        <v>0</v>
      </c>
      <c r="D33" s="301">
        <f>IF('General Info'!C49="Yes", IF(AND(ISNUMBER(D11),ISNUMBER(D15),ISNUMBER(D18),ISNUMBER(D21),ISNUMBER(D24),ISNUMBER(D25),ISNUMBER(D26),ISNUMBER(D27),ISNUMBER(D28),ISNUMBER(D29),ISNUMBER(D30),ISNUMBER(D31),ISNUMBER(D32)),SUM(D11,D15,D18,D21,D24:D31,D32),""), 0)</f>
        <v>0</v>
      </c>
      <c r="E33" s="301">
        <f>IF(OR('General Info'!C50="Yes",'General Info'!C51= "Yes"),IF(AND(ISNUMBER(E11),ISNUMBER(E15),ISNUMBER(E18),ISNUMBER(E21),ISNUMBER(E24),ISNUMBER(E25),ISNUMBER(E26),ISNUMBER(E27),ISNUMBER(E28),ISNUMBER(E29),ISNUMBER(E31),ISNUMBER(E32)),SUM(E11,E15,E18,E21,E24:E29,E31,E32),""), 0)</f>
        <v>0</v>
      </c>
      <c r="F33" s="301">
        <f>IF('General Info'!C49="Yes", IF(AND(ISNUMBER(F11),ISNUMBER(F15),ISNUMBER(F18),ISNUMBER(F21),ISNUMBER(F24),ISNUMBER(F25),ISNUMBER(F26),ISNUMBER(F27),ISNUMBER(F28),ISNUMBER(F29),ISNUMBER(F30),ISNUMBER(F31),ISNUMBER(F32)),SUM(F11,F15,F18,F21,F24:F31,F32),""), 0)</f>
        <v>0</v>
      </c>
      <c r="G33" s="301">
        <f>IF(OR('General Info'!C50="Yes",'General Info'!C51= "Yes"),IF(AND(ISNUMBER(G11),ISNUMBER(G15),ISNUMBER(G18),ISNUMBER(G21),ISNUMBER(G24),ISNUMBER(G25),ISNUMBER(G26),ISNUMBER(G27),ISNUMBER(G28),ISNUMBER(G29),ISNUMBER(G31),ISNUMBER(G32)),SUM(G11,G15,G18,G21,G24:G26,G27:G29,G31,G32),""), 0)</f>
        <v>0</v>
      </c>
      <c r="H33" s="302"/>
      <c r="I33" s="302"/>
      <c r="J33" s="303"/>
      <c r="K33" s="69"/>
    </row>
    <row r="34" spans="1:11" s="1168" customFormat="1" ht="30" customHeight="1" x14ac:dyDescent="0.2">
      <c r="A34" s="74"/>
      <c r="B34" s="1169"/>
      <c r="C34" s="1169"/>
      <c r="D34" s="1170"/>
      <c r="E34" s="1170"/>
      <c r="F34" s="1170"/>
      <c r="G34" s="1170"/>
      <c r="H34" s="1170"/>
      <c r="I34" s="1170"/>
      <c r="J34" s="1170"/>
      <c r="K34" s="1143"/>
    </row>
    <row r="35" spans="1:11" s="1168" customFormat="1" ht="15" customHeight="1" x14ac:dyDescent="0.2">
      <c r="A35" s="63"/>
      <c r="B35" s="1620"/>
      <c r="C35" s="1624" t="s">
        <v>318</v>
      </c>
      <c r="D35" s="1624"/>
      <c r="E35" s="1624"/>
      <c r="F35" s="1624" t="s">
        <v>902</v>
      </c>
      <c r="G35" s="1624"/>
      <c r="H35" s="1624"/>
      <c r="I35" s="1624"/>
      <c r="J35" s="1625"/>
      <c r="K35" s="69"/>
    </row>
    <row r="36" spans="1:11" ht="15" customHeight="1" x14ac:dyDescent="0.25">
      <c r="A36" s="20"/>
      <c r="B36" s="1623"/>
      <c r="C36" s="1628" t="s">
        <v>167</v>
      </c>
      <c r="D36" s="310"/>
      <c r="E36" s="310"/>
      <c r="F36" s="1628" t="s">
        <v>167</v>
      </c>
      <c r="G36" s="310"/>
      <c r="H36" s="1626" t="s">
        <v>225</v>
      </c>
      <c r="I36" s="1626"/>
      <c r="J36" s="1627"/>
      <c r="K36" s="1171"/>
    </row>
    <row r="37" spans="1:11" ht="30" customHeight="1" x14ac:dyDescent="0.25">
      <c r="A37" s="20"/>
      <c r="B37" s="1621"/>
      <c r="C37" s="1629"/>
      <c r="D37" s="311"/>
      <c r="E37" s="311"/>
      <c r="F37" s="1629"/>
      <c r="G37" s="311"/>
      <c r="H37" s="1327" t="s">
        <v>516</v>
      </c>
      <c r="I37" s="1327" t="s">
        <v>558</v>
      </c>
      <c r="J37" s="1328" t="s">
        <v>518</v>
      </c>
      <c r="K37" s="1171"/>
    </row>
    <row r="38" spans="1:11" s="1168" customFormat="1" ht="15" customHeight="1" x14ac:dyDescent="0.2">
      <c r="A38" s="63"/>
      <c r="B38" s="308" t="s">
        <v>849</v>
      </c>
      <c r="C38" s="1130" t="str">
        <f>IF(AND(ISNUMBER(C39),ISNUMBER(C40)),C39+C40,"")</f>
        <v/>
      </c>
      <c r="D38" s="281"/>
      <c r="E38" s="281"/>
      <c r="F38" s="1130" t="str">
        <f>IF(AND(ISNUMBER(F39),ISNUMBER(F40)),F39+F40,"")</f>
        <v/>
      </c>
      <c r="G38" s="281"/>
      <c r="H38" s="281"/>
      <c r="I38" s="281"/>
      <c r="J38" s="282"/>
      <c r="K38" s="69"/>
    </row>
    <row r="39" spans="1:11" s="1168" customFormat="1" ht="15" customHeight="1" x14ac:dyDescent="0.2">
      <c r="A39" s="63"/>
      <c r="B39" s="309" t="s">
        <v>847</v>
      </c>
      <c r="C39" s="284"/>
      <c r="D39" s="285"/>
      <c r="E39" s="285"/>
      <c r="F39" s="265"/>
      <c r="G39" s="285"/>
      <c r="H39" s="265"/>
      <c r="I39" s="265"/>
      <c r="J39" s="273"/>
      <c r="K39" s="69"/>
    </row>
    <row r="40" spans="1:11" s="1168" customFormat="1" ht="15" customHeight="1" x14ac:dyDescent="0.2">
      <c r="A40" s="63"/>
      <c r="B40" s="327" t="s">
        <v>848</v>
      </c>
      <c r="C40" s="296"/>
      <c r="D40" s="298"/>
      <c r="E40" s="298"/>
      <c r="F40" s="332"/>
      <c r="G40" s="298"/>
      <c r="H40" s="298"/>
      <c r="I40" s="298"/>
      <c r="J40" s="299"/>
      <c r="K40" s="69"/>
    </row>
    <row r="41" spans="1:11" s="1168" customFormat="1" ht="15" customHeight="1" x14ac:dyDescent="0.2">
      <c r="A41" s="63"/>
      <c r="B41" s="300" t="s">
        <v>413</v>
      </c>
      <c r="C41" s="333"/>
      <c r="D41" s="302"/>
      <c r="E41" s="302"/>
      <c r="F41" s="333"/>
      <c r="G41" s="302"/>
      <c r="H41" s="301" t="str">
        <f>IF(AND(ISNUMBER(H12),ISNUMBER(H16),ISNUMBER(H19),ISNUMBER(H22),ISNUMBER(H31),ISNUMBER(H39)),SUM(H12,H16,H19,H22,H31,H39),"")</f>
        <v/>
      </c>
      <c r="I41" s="301" t="str">
        <f>IF(AND(ISNUMBER(I12),ISNUMBER(I16),ISNUMBER(I19),ISNUMBER(I22),ISNUMBER(I31),ISNUMBER(I39)),SUM(I12,I16,I19,I22,I31,I39),"")</f>
        <v/>
      </c>
      <c r="J41" s="305" t="str">
        <f>IF(AND(ISNUMBER(J12),ISNUMBER(J16),ISNUMBER(J19),ISNUMBER(J22),ISNUMBER(J31),ISNUMBER(J39)),SUM(J12,J16,J19,J22,J31,J39),"")</f>
        <v/>
      </c>
      <c r="K41" s="69"/>
    </row>
    <row r="42" spans="1:11" s="1168" customFormat="1" ht="30" customHeight="1" x14ac:dyDescent="0.2">
      <c r="A42" s="74"/>
      <c r="B42" s="1169"/>
      <c r="C42" s="1169"/>
      <c r="D42" s="1170"/>
      <c r="E42" s="1170"/>
      <c r="F42" s="1170"/>
      <c r="G42" s="1170"/>
      <c r="H42" s="1170"/>
      <c r="I42" s="1170"/>
      <c r="J42" s="1170"/>
      <c r="K42" s="1143"/>
    </row>
    <row r="43" spans="1:11" s="1168" customFormat="1" ht="15" customHeight="1" x14ac:dyDescent="0.2">
      <c r="A43" s="63"/>
      <c r="B43" s="1620"/>
      <c r="C43" s="1624" t="s">
        <v>318</v>
      </c>
      <c r="D43" s="1624"/>
      <c r="E43" s="1624"/>
      <c r="F43" s="1624" t="s">
        <v>902</v>
      </c>
      <c r="G43" s="1624"/>
      <c r="H43" s="1624"/>
      <c r="I43" s="1625"/>
      <c r="J43" s="1170"/>
      <c r="K43" s="69"/>
    </row>
    <row r="44" spans="1:11" s="1168" customFormat="1" ht="15" customHeight="1" x14ac:dyDescent="0.2">
      <c r="A44" s="63"/>
      <c r="B44" s="1623"/>
      <c r="C44" s="1628" t="s">
        <v>167</v>
      </c>
      <c r="D44" s="310"/>
      <c r="E44" s="310"/>
      <c r="F44" s="1628" t="s">
        <v>167</v>
      </c>
      <c r="G44" s="310"/>
      <c r="H44" s="1626" t="s">
        <v>225</v>
      </c>
      <c r="I44" s="1627"/>
      <c r="J44" s="1170"/>
      <c r="K44" s="69"/>
    </row>
    <row r="45" spans="1:11" s="1168" customFormat="1" ht="45" customHeight="1" x14ac:dyDescent="0.2">
      <c r="A45" s="63"/>
      <c r="B45" s="1621"/>
      <c r="C45" s="1629"/>
      <c r="D45" s="311"/>
      <c r="E45" s="311"/>
      <c r="F45" s="1629"/>
      <c r="G45" s="311"/>
      <c r="H45" s="1327" t="s">
        <v>221</v>
      </c>
      <c r="I45" s="1328" t="s">
        <v>222</v>
      </c>
      <c r="J45" s="1170"/>
      <c r="K45" s="69"/>
    </row>
    <row r="46" spans="1:11" s="1168" customFormat="1" ht="15" customHeight="1" x14ac:dyDescent="0.2">
      <c r="A46" s="63"/>
      <c r="B46" s="289" t="s">
        <v>260</v>
      </c>
      <c r="C46" s="1130" t="str">
        <f>IF(AND(ISNUMBER(C47),ISNUMBER(C48)),C47+C48,"")</f>
        <v/>
      </c>
      <c r="D46" s="281"/>
      <c r="E46" s="281"/>
      <c r="F46" s="1130" t="str">
        <f>IF(AND(ISNUMBER(F47),ISNUMBER(F48)),F47+F48,"")</f>
        <v/>
      </c>
      <c r="G46" s="281"/>
      <c r="H46" s="281"/>
      <c r="I46" s="282"/>
      <c r="J46" s="1170"/>
      <c r="K46" s="69"/>
    </row>
    <row r="47" spans="1:11" s="1168" customFormat="1" ht="15" customHeight="1" x14ac:dyDescent="0.2">
      <c r="A47" s="63"/>
      <c r="B47" s="290" t="s">
        <v>549</v>
      </c>
      <c r="C47" s="284"/>
      <c r="D47" s="285"/>
      <c r="E47" s="285"/>
      <c r="F47" s="265"/>
      <c r="G47" s="285"/>
      <c r="H47" s="285"/>
      <c r="I47" s="247"/>
      <c r="J47" s="1170"/>
      <c r="K47" s="69"/>
    </row>
    <row r="48" spans="1:11" s="1168" customFormat="1" ht="15" customHeight="1" x14ac:dyDescent="0.2">
      <c r="A48" s="63"/>
      <c r="B48" s="328" t="s">
        <v>550</v>
      </c>
      <c r="C48" s="296"/>
      <c r="D48" s="298"/>
      <c r="E48" s="298"/>
      <c r="F48" s="332"/>
      <c r="G48" s="298"/>
      <c r="H48" s="332"/>
      <c r="I48" s="329"/>
      <c r="J48" s="1170"/>
      <c r="K48" s="69"/>
    </row>
    <row r="49" spans="1:11" s="1168" customFormat="1" ht="15" customHeight="1" x14ac:dyDescent="0.2">
      <c r="A49" s="63"/>
      <c r="B49" s="312" t="s">
        <v>494</v>
      </c>
      <c r="C49" s="334" t="str">
        <f>IF(AND(ISNUMBER(C33),ISNUMBER(D33),ISNUMBER(E33),ISNUMBER(C38),ISNUMBER(C46)),SUM(C33:E33,C38,C46),"")</f>
        <v/>
      </c>
      <c r="D49" s="302"/>
      <c r="E49" s="302"/>
      <c r="F49" s="334" t="str">
        <f>IF(AND(ISNUMBER(C33),ISNUMBER(F33),ISNUMBER(G33),ISNUMBER(F38),ISNUMBER(F46)),SUM(C33,F33:G33,F38,F46),"")</f>
        <v/>
      </c>
      <c r="G49" s="302"/>
      <c r="H49" s="302"/>
      <c r="I49" s="303"/>
      <c r="J49" s="1170"/>
      <c r="K49" s="1143"/>
    </row>
    <row r="50" spans="1:11" ht="45" customHeight="1" x14ac:dyDescent="0.25">
      <c r="A50" s="20" t="s">
        <v>1059</v>
      </c>
      <c r="B50" s="13"/>
      <c r="C50" s="14"/>
      <c r="D50" s="204"/>
      <c r="E50" s="204"/>
      <c r="F50" s="204"/>
      <c r="G50" s="204"/>
      <c r="H50" s="1170"/>
      <c r="I50" s="1170"/>
      <c r="J50" s="1170"/>
      <c r="K50" s="1171"/>
    </row>
    <row r="51" spans="1:11" s="1168" customFormat="1" ht="15" customHeight="1" x14ac:dyDescent="0.2">
      <c r="A51" s="74"/>
      <c r="B51" s="1169"/>
      <c r="C51" s="1169"/>
      <c r="D51" s="1170"/>
      <c r="E51" s="1170"/>
      <c r="F51" s="1170"/>
      <c r="G51" s="1170"/>
      <c r="H51" s="1170"/>
      <c r="I51" s="1170"/>
      <c r="K51" s="1143"/>
    </row>
    <row r="52" spans="1:11" s="1168" customFormat="1" ht="15" customHeight="1" x14ac:dyDescent="0.2">
      <c r="A52" s="63"/>
      <c r="B52" s="1"/>
      <c r="C52" s="1627" t="s">
        <v>178</v>
      </c>
      <c r="D52" s="1630"/>
      <c r="E52" s="1630"/>
      <c r="F52" s="1632"/>
      <c r="G52" s="1627" t="s">
        <v>225</v>
      </c>
      <c r="H52" s="1630"/>
      <c r="I52" s="1630"/>
      <c r="K52" s="172"/>
    </row>
    <row r="53" spans="1:11" s="1168" customFormat="1" ht="15" customHeight="1" x14ac:dyDescent="0.2">
      <c r="A53" s="63"/>
      <c r="B53" s="1169"/>
      <c r="C53" s="1641" t="s">
        <v>317</v>
      </c>
      <c r="D53" s="1639" t="s">
        <v>901</v>
      </c>
      <c r="E53" s="1640"/>
      <c r="F53" s="1640"/>
      <c r="G53" s="1625" t="s">
        <v>901</v>
      </c>
      <c r="H53" s="1631"/>
      <c r="I53" s="1631"/>
      <c r="K53" s="170"/>
    </row>
    <row r="54" spans="1:11" s="1168" customFormat="1" ht="60" customHeight="1" x14ac:dyDescent="0.2">
      <c r="A54" s="63"/>
      <c r="B54" s="71"/>
      <c r="C54" s="1629"/>
      <c r="D54" s="1327" t="s">
        <v>483</v>
      </c>
      <c r="E54" s="1327" t="s">
        <v>223</v>
      </c>
      <c r="F54" s="1327" t="s">
        <v>224</v>
      </c>
      <c r="G54" s="1397" t="s">
        <v>483</v>
      </c>
      <c r="H54" s="1397" t="s">
        <v>1067</v>
      </c>
      <c r="I54" s="1398" t="s">
        <v>1068</v>
      </c>
      <c r="K54" s="170"/>
    </row>
    <row r="55" spans="1:11" s="1168" customFormat="1" ht="15" customHeight="1" x14ac:dyDescent="0.2">
      <c r="A55" s="63"/>
      <c r="B55" s="323" t="s">
        <v>55</v>
      </c>
      <c r="C55" s="313"/>
      <c r="D55" s="314"/>
      <c r="E55" s="281"/>
      <c r="F55" s="281"/>
      <c r="G55" s="265"/>
      <c r="H55" s="281"/>
      <c r="I55" s="282"/>
      <c r="K55" s="1143"/>
    </row>
    <row r="56" spans="1:11" s="1168" customFormat="1" ht="15" customHeight="1" x14ac:dyDescent="0.2">
      <c r="A56" s="63"/>
      <c r="B56" s="1060" t="s">
        <v>56</v>
      </c>
      <c r="C56" s="284"/>
      <c r="D56" s="265"/>
      <c r="E56" s="285"/>
      <c r="F56" s="285"/>
      <c r="G56" s="265"/>
      <c r="H56" s="285"/>
      <c r="I56" s="247"/>
      <c r="K56" s="1143"/>
    </row>
    <row r="57" spans="1:11" s="1168" customFormat="1" ht="15" customHeight="1" x14ac:dyDescent="0.2">
      <c r="A57" s="63"/>
      <c r="B57" s="232" t="s">
        <v>490</v>
      </c>
      <c r="C57" s="284"/>
      <c r="D57" s="265"/>
      <c r="E57" s="265"/>
      <c r="F57" s="265"/>
      <c r="G57" s="265"/>
      <c r="H57" s="265"/>
      <c r="I57" s="273"/>
      <c r="K57" s="1143"/>
    </row>
    <row r="58" spans="1:11" s="1168" customFormat="1" ht="15" customHeight="1" x14ac:dyDescent="0.2">
      <c r="A58" s="63"/>
      <c r="B58" s="331" t="s">
        <v>1509</v>
      </c>
      <c r="C58" s="285"/>
      <c r="D58" s="266" t="str">
        <f>IF(E57+F57&gt;IF(D89,D57,C57),"No","Yes")</f>
        <v>Yes</v>
      </c>
      <c r="E58" s="1131"/>
      <c r="F58" s="1131"/>
      <c r="G58" s="266" t="str">
        <f>IF(H57+I57&gt;G57,"No","Yes")</f>
        <v>Yes</v>
      </c>
      <c r="H58" s="1131"/>
      <c r="I58" s="316"/>
      <c r="K58" s="1143"/>
    </row>
    <row r="59" spans="1:11" s="1168" customFormat="1" ht="15" customHeight="1" x14ac:dyDescent="0.2">
      <c r="A59" s="63"/>
      <c r="B59" s="232" t="s">
        <v>491</v>
      </c>
      <c r="C59" s="284"/>
      <c r="D59" s="265"/>
      <c r="E59" s="1131"/>
      <c r="F59" s="1131"/>
      <c r="G59" s="265"/>
      <c r="H59" s="1131"/>
      <c r="I59" s="316"/>
      <c r="K59" s="1143"/>
    </row>
    <row r="60" spans="1:11" s="1168" customFormat="1" ht="15" customHeight="1" x14ac:dyDescent="0.2">
      <c r="A60" s="63"/>
      <c r="B60" s="233" t="s">
        <v>1180</v>
      </c>
      <c r="C60" s="284"/>
      <c r="D60" s="265"/>
      <c r="E60" s="1131"/>
      <c r="F60" s="1131"/>
      <c r="G60" s="265"/>
      <c r="H60" s="1131"/>
      <c r="I60" s="316"/>
      <c r="K60" s="1143"/>
    </row>
    <row r="61" spans="1:11" s="1168" customFormat="1" ht="15" customHeight="1" x14ac:dyDescent="0.2">
      <c r="A61" s="63"/>
      <c r="B61" s="324" t="s">
        <v>1075</v>
      </c>
      <c r="C61" s="284"/>
      <c r="D61" s="265"/>
      <c r="E61" s="1131"/>
      <c r="F61" s="1131"/>
      <c r="G61" s="265"/>
      <c r="H61" s="1131"/>
      <c r="I61" s="316"/>
      <c r="K61" s="1143"/>
    </row>
    <row r="62" spans="1:11" s="1168" customFormat="1" ht="15" customHeight="1" x14ac:dyDescent="0.2">
      <c r="A62" s="63"/>
      <c r="B62" s="324" t="s">
        <v>1181</v>
      </c>
      <c r="C62" s="284"/>
      <c r="D62" s="265"/>
      <c r="E62" s="1131"/>
      <c r="F62" s="1131"/>
      <c r="G62" s="265"/>
      <c r="H62" s="1131"/>
      <c r="I62" s="316"/>
      <c r="K62" s="1143"/>
    </row>
    <row r="63" spans="1:11" s="1168" customFormat="1" ht="15" customHeight="1" x14ac:dyDescent="0.2">
      <c r="A63" s="63"/>
      <c r="B63" s="233" t="s">
        <v>845</v>
      </c>
      <c r="C63" s="284"/>
      <c r="D63" s="265"/>
      <c r="E63" s="1131"/>
      <c r="F63" s="1131"/>
      <c r="G63" s="265"/>
      <c r="H63" s="1131"/>
      <c r="I63" s="316"/>
      <c r="K63" s="1143"/>
    </row>
    <row r="64" spans="1:11" s="1168" customFormat="1" ht="15" customHeight="1" x14ac:dyDescent="0.2">
      <c r="A64" s="63"/>
      <c r="B64" s="324" t="s">
        <v>213</v>
      </c>
      <c r="C64" s="265"/>
      <c r="D64" s="265"/>
      <c r="E64" s="1131"/>
      <c r="F64" s="1131"/>
      <c r="G64" s="285"/>
      <c r="H64" s="1131"/>
      <c r="I64" s="316"/>
      <c r="K64" s="1143"/>
    </row>
    <row r="65" spans="1:11" s="1168" customFormat="1" ht="15" customHeight="1" x14ac:dyDescent="0.2">
      <c r="A65" s="63"/>
      <c r="B65" s="331" t="s">
        <v>218</v>
      </c>
      <c r="C65" s="285"/>
      <c r="D65" s="266" t="str">
        <f>IF(AND(C64&gt;0,D64=0,D89),"No","Yes")</f>
        <v>Yes</v>
      </c>
      <c r="E65" s="1131"/>
      <c r="F65" s="1131"/>
      <c r="G65" s="285"/>
      <c r="H65" s="1131"/>
      <c r="I65" s="316"/>
      <c r="K65" s="1143"/>
    </row>
    <row r="66" spans="1:11" s="1168" customFormat="1" ht="15" customHeight="1" x14ac:dyDescent="0.2">
      <c r="A66" s="63"/>
      <c r="B66" s="331" t="s">
        <v>1035</v>
      </c>
      <c r="C66" s="266" t="str">
        <f>IF(AND(C63&gt;0,ISNUMBER(C64),OR(C64=0,C64&gt;C63)),"No","Yes")</f>
        <v>Yes</v>
      </c>
      <c r="D66" s="266" t="str">
        <f>IF(AND(D63&gt;0,ISNUMBER(D64),OR(D64=0,D64&gt;D63)),"No","Yes")</f>
        <v>Yes</v>
      </c>
      <c r="E66" s="1131"/>
      <c r="F66" s="1131"/>
      <c r="G66" s="285"/>
      <c r="H66" s="1131"/>
      <c r="I66" s="316"/>
      <c r="K66" s="1143"/>
    </row>
    <row r="67" spans="1:11" s="1168" customFormat="1" ht="15" customHeight="1" x14ac:dyDescent="0.2">
      <c r="A67" s="63"/>
      <c r="B67" s="324" t="s">
        <v>214</v>
      </c>
      <c r="C67" s="265"/>
      <c r="D67" s="265"/>
      <c r="E67" s="1131"/>
      <c r="F67" s="1131"/>
      <c r="G67" s="285"/>
      <c r="H67" s="1131"/>
      <c r="I67" s="316"/>
      <c r="K67" s="1143"/>
    </row>
    <row r="68" spans="1:11" s="1168" customFormat="1" ht="15" customHeight="1" x14ac:dyDescent="0.2">
      <c r="A68" s="63"/>
      <c r="B68" s="331" t="s">
        <v>219</v>
      </c>
      <c r="C68" s="285"/>
      <c r="D68" s="266" t="str">
        <f>IF(AND(C67&gt;0,D67=0,D89),"No","Yes")</f>
        <v>Yes</v>
      </c>
      <c r="E68" s="1131"/>
      <c r="F68" s="1131"/>
      <c r="G68" s="285"/>
      <c r="H68" s="1131"/>
      <c r="I68" s="316"/>
      <c r="K68" s="1143"/>
    </row>
    <row r="69" spans="1:11" s="1168" customFormat="1" ht="15" customHeight="1" x14ac:dyDescent="0.2">
      <c r="A69" s="63"/>
      <c r="B69" s="331" t="s">
        <v>220</v>
      </c>
      <c r="C69" s="285"/>
      <c r="D69" s="266" t="str">
        <f>IF(OR(AND(D64&gt;0,D67=0),AND(D67&gt;0,D64=0)),"No","Yes")</f>
        <v>Yes</v>
      </c>
      <c r="E69" s="1131"/>
      <c r="F69" s="1131"/>
      <c r="G69" s="285"/>
      <c r="H69" s="1131"/>
      <c r="I69" s="316"/>
      <c r="K69" s="1143"/>
    </row>
    <row r="70" spans="1:11" s="1168" customFormat="1" ht="15" customHeight="1" x14ac:dyDescent="0.2">
      <c r="A70" s="63"/>
      <c r="B70" s="233" t="s">
        <v>844</v>
      </c>
      <c r="C70" s="284"/>
      <c r="D70" s="265"/>
      <c r="E70" s="1131"/>
      <c r="F70" s="1131"/>
      <c r="G70" s="285"/>
      <c r="H70" s="1131"/>
      <c r="I70" s="316"/>
      <c r="K70" s="1143"/>
    </row>
    <row r="71" spans="1:11" s="1168" customFormat="1" ht="15" customHeight="1" x14ac:dyDescent="0.2">
      <c r="A71" s="63"/>
      <c r="B71" s="1060" t="s">
        <v>86</v>
      </c>
      <c r="C71" s="284"/>
      <c r="D71" s="265"/>
      <c r="E71" s="1131"/>
      <c r="F71" s="1131"/>
      <c r="G71" s="265"/>
      <c r="H71" s="1131"/>
      <c r="I71" s="316"/>
      <c r="K71" s="1143"/>
    </row>
    <row r="72" spans="1:11" s="1168" customFormat="1" ht="15" customHeight="1" x14ac:dyDescent="0.2">
      <c r="A72" s="63"/>
      <c r="B72" s="1060" t="s">
        <v>87</v>
      </c>
      <c r="C72" s="318" t="str">
        <f>IF(AND(ISNUMBER(C73),ISNUMBER(C74),ISNUMBER(C78)),MAX(C73,0.08*C74)+C78,"")</f>
        <v/>
      </c>
      <c r="D72" s="318" t="str">
        <f>IF(AND(ISNUMBER(D73),ISNUMBER(D74),ISNUMBER(D78)),MAX(D73,0.08*D74)+D78,"")</f>
        <v/>
      </c>
      <c r="E72" s="1131"/>
      <c r="F72" s="1131"/>
      <c r="G72" s="265"/>
      <c r="H72" s="1131"/>
      <c r="I72" s="316"/>
      <c r="K72" s="1143"/>
    </row>
    <row r="73" spans="1:11" s="1168" customFormat="1" ht="15" customHeight="1" x14ac:dyDescent="0.2">
      <c r="A73" s="63"/>
      <c r="B73" s="324" t="s">
        <v>489</v>
      </c>
      <c r="C73" s="284"/>
      <c r="D73" s="265"/>
      <c r="E73" s="1131"/>
      <c r="F73" s="1131"/>
      <c r="G73" s="265"/>
      <c r="H73" s="1131"/>
      <c r="I73" s="316"/>
      <c r="K73" s="1143"/>
    </row>
    <row r="74" spans="1:11" s="1168" customFormat="1" ht="15" customHeight="1" x14ac:dyDescent="0.2">
      <c r="A74" s="63"/>
      <c r="B74" s="324" t="s">
        <v>114</v>
      </c>
      <c r="C74" s="318" t="str">
        <f>IF(AND(ISNUMBER(C76),ISNUMBER(C77)),MAX(C76,C77),"")</f>
        <v/>
      </c>
      <c r="D74" s="318" t="str">
        <f>IF(AND(ISNUMBER(D76),ISNUMBER(D77)),MAX(D76,D77),"")</f>
        <v/>
      </c>
      <c r="E74" s="265"/>
      <c r="F74" s="265"/>
      <c r="G74" s="318" t="str">
        <f>IF(ISNUMBER(G73),G73,"")</f>
        <v/>
      </c>
      <c r="H74" s="265"/>
      <c r="I74" s="273"/>
      <c r="K74" s="1143"/>
    </row>
    <row r="75" spans="1:11" s="1168" customFormat="1" ht="15" customHeight="1" x14ac:dyDescent="0.2">
      <c r="A75" s="63"/>
      <c r="B75" s="331" t="s">
        <v>1509</v>
      </c>
      <c r="C75" s="285"/>
      <c r="D75" s="266" t="str">
        <f>IF(E74+F74&gt;IF(D89,D74,C74),"No","Yes")</f>
        <v>Yes</v>
      </c>
      <c r="E75" s="1131"/>
      <c r="F75" s="1131"/>
      <c r="G75" s="266" t="str">
        <f>IF(H74+I74&gt;G74,"No","Yes")</f>
        <v>Yes</v>
      </c>
      <c r="H75" s="1131"/>
      <c r="I75" s="316"/>
      <c r="K75" s="1143"/>
    </row>
    <row r="76" spans="1:11" s="1168" customFormat="1" ht="15" customHeight="1" x14ac:dyDescent="0.2">
      <c r="A76" s="63"/>
      <c r="B76" s="325" t="s">
        <v>187</v>
      </c>
      <c r="C76" s="284"/>
      <c r="D76" s="265"/>
      <c r="E76" s="1131"/>
      <c r="F76" s="1131"/>
      <c r="G76" s="265"/>
      <c r="H76" s="1131"/>
      <c r="I76" s="316"/>
      <c r="K76" s="1143"/>
    </row>
    <row r="77" spans="1:11" s="1168" customFormat="1" ht="15" customHeight="1" x14ac:dyDescent="0.2">
      <c r="A77" s="63"/>
      <c r="B77" s="325" t="s">
        <v>188</v>
      </c>
      <c r="C77" s="284"/>
      <c r="D77" s="265"/>
      <c r="E77" s="1131"/>
      <c r="F77" s="1131"/>
      <c r="G77" s="265"/>
      <c r="H77" s="1131"/>
      <c r="I77" s="316"/>
      <c r="K77" s="1143"/>
    </row>
    <row r="78" spans="1:11" s="1168" customFormat="1" ht="15" customHeight="1" x14ac:dyDescent="0.2">
      <c r="A78" s="63"/>
      <c r="B78" s="324" t="s">
        <v>112</v>
      </c>
      <c r="C78" s="318" t="str">
        <f>IF(AND(ISNUMBER(C80),ISNUMBER(C81)),MAX(C80,C81),"")</f>
        <v/>
      </c>
      <c r="D78" s="318" t="str">
        <f>IF(AND(ISNUMBER(D80),ISNUMBER(D81)),MAX(D80,D81),"")</f>
        <v/>
      </c>
      <c r="E78" s="265"/>
      <c r="F78" s="265"/>
      <c r="G78" s="265"/>
      <c r="H78" s="265"/>
      <c r="I78" s="273"/>
      <c r="K78" s="1143"/>
    </row>
    <row r="79" spans="1:11" s="1168" customFormat="1" ht="15" customHeight="1" x14ac:dyDescent="0.2">
      <c r="A79" s="63"/>
      <c r="B79" s="331" t="s">
        <v>1509</v>
      </c>
      <c r="C79" s="285"/>
      <c r="D79" s="266" t="str">
        <f>IF(E78+F78&gt;IF(D89,D78,C78),"No","Yes")</f>
        <v>Yes</v>
      </c>
      <c r="E79" s="1131"/>
      <c r="F79" s="1131"/>
      <c r="G79" s="266" t="str">
        <f>IF(H78+I78&gt;G78,"No","Yes")</f>
        <v>Yes</v>
      </c>
      <c r="H79" s="1131"/>
      <c r="I79" s="316"/>
      <c r="K79" s="1143"/>
    </row>
    <row r="80" spans="1:11" s="1168" customFormat="1" ht="15" customHeight="1" x14ac:dyDescent="0.2">
      <c r="A80" s="63"/>
      <c r="B80" s="325" t="s">
        <v>187</v>
      </c>
      <c r="C80" s="284"/>
      <c r="D80" s="265"/>
      <c r="E80" s="1131"/>
      <c r="F80" s="1131"/>
      <c r="G80" s="265"/>
      <c r="H80" s="1131"/>
      <c r="I80" s="316"/>
      <c r="K80" s="1143"/>
    </row>
    <row r="81" spans="1:11" s="1168" customFormat="1" ht="15" customHeight="1" x14ac:dyDescent="0.2">
      <c r="A81" s="63"/>
      <c r="B81" s="325" t="s">
        <v>188</v>
      </c>
      <c r="C81" s="284"/>
      <c r="D81" s="265"/>
      <c r="E81" s="1131"/>
      <c r="F81" s="1131"/>
      <c r="G81" s="265"/>
      <c r="H81" s="1131"/>
      <c r="I81" s="316"/>
      <c r="K81" s="1143"/>
    </row>
    <row r="82" spans="1:11" s="1168" customFormat="1" ht="15" customHeight="1" x14ac:dyDescent="0.2">
      <c r="A82" s="63"/>
      <c r="B82" s="1060" t="s">
        <v>113</v>
      </c>
      <c r="C82" s="284"/>
      <c r="D82" s="265"/>
      <c r="E82" s="265"/>
      <c r="F82" s="265"/>
      <c r="G82" s="265"/>
      <c r="H82" s="265"/>
      <c r="I82" s="273"/>
      <c r="K82" s="1143"/>
    </row>
    <row r="83" spans="1:11" s="1168" customFormat="1" ht="15" customHeight="1" x14ac:dyDescent="0.2">
      <c r="A83" s="63"/>
      <c r="B83" s="1273" t="s">
        <v>1509</v>
      </c>
      <c r="C83" s="285"/>
      <c r="D83" s="266" t="str">
        <f>IF(E82+F82&gt;IF(D89,D82,C82),"No","Yes")</f>
        <v>Yes</v>
      </c>
      <c r="E83" s="1131"/>
      <c r="F83" s="1131"/>
      <c r="G83" s="266" t="str">
        <f>IF(H82+I82&gt;G82,"No","Yes")</f>
        <v>Yes</v>
      </c>
      <c r="H83" s="1131"/>
      <c r="I83" s="316"/>
      <c r="K83" s="1143"/>
    </row>
    <row r="84" spans="1:11" s="1168" customFormat="1" ht="15" customHeight="1" x14ac:dyDescent="0.2">
      <c r="A84" s="63"/>
      <c r="B84" s="232" t="s">
        <v>187</v>
      </c>
      <c r="C84" s="284"/>
      <c r="D84" s="265"/>
      <c r="E84" s="1131"/>
      <c r="F84" s="1131"/>
      <c r="G84" s="265"/>
      <c r="H84" s="1131"/>
      <c r="I84" s="316"/>
      <c r="K84" s="1143"/>
    </row>
    <row r="85" spans="1:11" s="1168" customFormat="1" ht="15" customHeight="1" x14ac:dyDescent="0.2">
      <c r="A85" s="63"/>
      <c r="B85" s="232" t="s">
        <v>192</v>
      </c>
      <c r="C85" s="284"/>
      <c r="D85" s="265"/>
      <c r="E85" s="1131"/>
      <c r="F85" s="1131"/>
      <c r="G85" s="265"/>
      <c r="H85" s="1131"/>
      <c r="I85" s="316"/>
      <c r="K85" s="75"/>
    </row>
    <row r="86" spans="1:11" s="1168" customFormat="1" ht="15" customHeight="1" x14ac:dyDescent="0.2">
      <c r="A86" s="63"/>
      <c r="B86" s="1060" t="s">
        <v>534</v>
      </c>
      <c r="C86" s="284"/>
      <c r="D86" s="265"/>
      <c r="E86" s="1131"/>
      <c r="F86" s="1131"/>
      <c r="G86" s="265"/>
      <c r="H86" s="1131"/>
      <c r="I86" s="316"/>
      <c r="K86" s="75"/>
    </row>
    <row r="87" spans="1:11" s="1168" customFormat="1" ht="15" customHeight="1" x14ac:dyDescent="0.2">
      <c r="A87" s="63"/>
      <c r="B87" s="326" t="s">
        <v>366</v>
      </c>
      <c r="C87" s="320"/>
      <c r="D87" s="321"/>
      <c r="E87" s="1152"/>
      <c r="F87" s="1152"/>
      <c r="G87" s="265"/>
      <c r="H87" s="1152"/>
      <c r="I87" s="322"/>
      <c r="K87" s="75"/>
    </row>
    <row r="88" spans="1:11" s="1168" customFormat="1" ht="15" customHeight="1" x14ac:dyDescent="0.2">
      <c r="A88" s="63"/>
      <c r="B88" s="300" t="s">
        <v>493</v>
      </c>
      <c r="C88" s="335" t="str">
        <f>IF(AND(ISNUMBER(C55),ISNUMBER(C56),ISNUMBER(C60),ISNUMBER(C63),ISNUMBER(C70),ISNUMBER(C71),ISNUMBER(C72),ISNUMBER(C82),ISNUMBER(C86),ISNUMBER(C87)),C55+C56+C60+C63+C70+C71+C72+C82+C86+C87,"")</f>
        <v/>
      </c>
      <c r="D88" s="335" t="str">
        <f>IF(D89, IF(AND(ISNUMBER(D55),ISNUMBER(D56),ISNUMBER(D60),ISNUMBER(D63),ISNUMBER(D70),ISNUMBER(D71),ISNUMBER(D72),ISNUMBER(D82),ISNUMBER(D86),ISNUMBER(D87)),D55+D56+D60+D63+D70+D71+D72+D82+D86+D87,""), C88)</f>
        <v/>
      </c>
      <c r="E88" s="336"/>
      <c r="F88" s="336"/>
      <c r="G88" s="336"/>
      <c r="H88" s="336"/>
      <c r="I88" s="337"/>
      <c r="K88" s="75"/>
    </row>
    <row r="89" spans="1:11" ht="45" customHeight="1" x14ac:dyDescent="0.25">
      <c r="A89" s="20" t="s">
        <v>1060</v>
      </c>
      <c r="B89" s="13"/>
      <c r="C89" s="14"/>
      <c r="D89" s="173" t="b">
        <f>OR(ISNUMBER(D55),ISNUMBER(D56),ISNUMBER(D60),ISNUMBER(D63),ISNUMBER(D70),ISNUMBER(D71),ISNUMBER(D72),ISNUMBER(D82),ISNUMBER(D86),ISNUMBER(D87))</f>
        <v>0</v>
      </c>
      <c r="E89" s="204"/>
      <c r="F89" s="204"/>
      <c r="G89" s="173"/>
      <c r="H89" s="204"/>
      <c r="I89" s="1170"/>
      <c r="J89" s="1170"/>
      <c r="K89" s="1171"/>
    </row>
    <row r="90" spans="1:11" ht="15" customHeight="1" x14ac:dyDescent="0.25">
      <c r="A90" s="20"/>
      <c r="B90" s="13"/>
      <c r="C90" s="14"/>
      <c r="D90" s="173"/>
      <c r="E90" s="204"/>
      <c r="F90" s="204"/>
      <c r="G90" s="204"/>
      <c r="H90" s="204"/>
      <c r="I90" s="1170"/>
      <c r="J90" s="1170"/>
      <c r="K90" s="1171"/>
    </row>
    <row r="91" spans="1:11" s="1168" customFormat="1" ht="15" customHeight="1" x14ac:dyDescent="0.2">
      <c r="A91" s="63"/>
      <c r="B91" s="338"/>
      <c r="C91" s="1330" t="s">
        <v>167</v>
      </c>
      <c r="D91" s="1170"/>
      <c r="E91" s="1170"/>
      <c r="F91" s="1170"/>
      <c r="G91" s="1170"/>
      <c r="H91" s="1170"/>
      <c r="I91" s="1170"/>
      <c r="J91" s="1170"/>
      <c r="K91" s="1143"/>
    </row>
    <row r="92" spans="1:11" s="1168" customFormat="1" ht="15" customHeight="1" x14ac:dyDescent="0.2">
      <c r="A92" s="63"/>
      <c r="B92" s="339" t="s">
        <v>495</v>
      </c>
      <c r="C92" s="340"/>
      <c r="D92" s="1170"/>
      <c r="E92" s="1170"/>
      <c r="F92" s="1170"/>
      <c r="G92" s="1170"/>
      <c r="H92" s="1170"/>
      <c r="I92" s="1170"/>
      <c r="J92" s="1170"/>
      <c r="K92" s="1143"/>
    </row>
    <row r="93" spans="1:11" s="1168" customFormat="1" ht="15" customHeight="1" x14ac:dyDescent="0.2">
      <c r="A93" s="63"/>
      <c r="B93" s="341" t="s">
        <v>496</v>
      </c>
      <c r="C93" s="342"/>
      <c r="D93" s="1170"/>
      <c r="E93" s="1170"/>
      <c r="F93" s="1170"/>
      <c r="G93" s="1170"/>
      <c r="H93" s="1170"/>
      <c r="I93" s="1170"/>
      <c r="J93" s="1170"/>
      <c r="K93" s="1143"/>
    </row>
    <row r="94" spans="1:11" ht="15" customHeight="1" x14ac:dyDescent="0.25">
      <c r="A94" s="20"/>
      <c r="B94" s="13"/>
      <c r="C94" s="14"/>
      <c r="D94" s="173"/>
      <c r="E94" s="204"/>
      <c r="F94" s="204"/>
      <c r="G94" s="204"/>
      <c r="H94" s="204"/>
      <c r="I94" s="1170"/>
      <c r="J94" s="1170"/>
      <c r="K94" s="1171"/>
    </row>
    <row r="95" spans="1:11" ht="30" customHeight="1" x14ac:dyDescent="0.25">
      <c r="A95" s="23" t="s">
        <v>1061</v>
      </c>
      <c r="B95" s="18"/>
      <c r="C95" s="16"/>
      <c r="D95" s="203"/>
      <c r="E95" s="203"/>
      <c r="F95" s="203"/>
      <c r="G95" s="203"/>
      <c r="H95" s="203"/>
      <c r="I95" s="203"/>
      <c r="J95" s="203"/>
      <c r="K95" s="17"/>
    </row>
    <row r="96" spans="1:11" ht="30" customHeight="1" x14ac:dyDescent="0.25">
      <c r="A96" s="20" t="s">
        <v>1062</v>
      </c>
      <c r="B96" s="13"/>
      <c r="C96" s="14"/>
      <c r="D96" s="204"/>
      <c r="E96" s="204"/>
      <c r="F96" s="204"/>
      <c r="G96" s="204"/>
      <c r="H96" s="204"/>
      <c r="I96" s="204"/>
      <c r="J96" s="204"/>
      <c r="K96" s="1171"/>
    </row>
    <row r="97" spans="1:11" ht="15" customHeight="1" x14ac:dyDescent="0.25">
      <c r="A97" s="20"/>
      <c r="B97" s="13"/>
      <c r="C97" s="14"/>
      <c r="D97" s="204"/>
      <c r="E97" s="204"/>
      <c r="F97" s="204"/>
      <c r="G97" s="204"/>
      <c r="H97" s="204"/>
      <c r="I97" s="204"/>
      <c r="J97" s="204"/>
      <c r="K97" s="1171"/>
    </row>
    <row r="98" spans="1:11" s="1168" customFormat="1" ht="15" customHeight="1" x14ac:dyDescent="0.2">
      <c r="A98" s="63"/>
      <c r="B98" s="338"/>
      <c r="C98" s="343" t="s">
        <v>167</v>
      </c>
      <c r="D98" s="1170"/>
      <c r="E98" s="1170"/>
      <c r="F98" s="1170"/>
      <c r="G98" s="1170"/>
      <c r="H98" s="1170"/>
      <c r="I98" s="1170"/>
      <c r="J98" s="1170"/>
      <c r="K98" s="1143"/>
    </row>
    <row r="99" spans="1:11" s="1168" customFormat="1" ht="15" customHeight="1" x14ac:dyDescent="0.2">
      <c r="A99" s="63"/>
      <c r="B99" s="1325" t="s">
        <v>486</v>
      </c>
      <c r="C99" s="340"/>
      <c r="D99" s="1170"/>
      <c r="E99" s="1170"/>
      <c r="F99" s="1170"/>
      <c r="G99" s="1170"/>
      <c r="H99" s="1170"/>
      <c r="I99" s="1170"/>
      <c r="J99" s="1170"/>
      <c r="K99" s="1143"/>
    </row>
    <row r="100" spans="1:11" s="1168" customFormat="1" ht="15" customHeight="1" x14ac:dyDescent="0.2">
      <c r="A100" s="63"/>
      <c r="B100" s="288" t="s">
        <v>310</v>
      </c>
      <c r="C100" s="344"/>
      <c r="D100" s="1170"/>
      <c r="E100" s="1170"/>
      <c r="F100" s="1170"/>
      <c r="G100" s="1170"/>
      <c r="H100" s="1170"/>
      <c r="I100" s="1170"/>
      <c r="J100" s="1170"/>
      <c r="K100" s="1143"/>
    </row>
    <row r="101" spans="1:11" s="1168" customFormat="1" ht="15" customHeight="1" x14ac:dyDescent="0.2">
      <c r="A101" s="63"/>
      <c r="B101" s="288" t="s">
        <v>527</v>
      </c>
      <c r="C101" s="344"/>
      <c r="D101" s="1170"/>
      <c r="E101" s="1170"/>
      <c r="F101" s="1170"/>
      <c r="G101" s="1170"/>
      <c r="H101" s="1170"/>
      <c r="I101" s="1170"/>
      <c r="J101" s="1170"/>
      <c r="K101" s="1143"/>
    </row>
    <row r="102" spans="1:11" s="1168" customFormat="1" ht="15" customHeight="1" x14ac:dyDescent="0.2">
      <c r="A102" s="63"/>
      <c r="B102" s="319" t="s">
        <v>311</v>
      </c>
      <c r="C102" s="342"/>
      <c r="D102" s="1170"/>
      <c r="E102" s="1170"/>
      <c r="F102" s="1170"/>
      <c r="G102" s="1170"/>
      <c r="H102" s="1170"/>
      <c r="I102" s="1170"/>
      <c r="J102" s="1170"/>
      <c r="K102" s="1143"/>
    </row>
    <row r="103" spans="1:11" s="1168" customFormat="1" ht="15" customHeight="1" x14ac:dyDescent="0.2">
      <c r="A103" s="63"/>
      <c r="B103" s="345" t="s">
        <v>492</v>
      </c>
      <c r="C103" s="346" t="str">
        <f>IF(AND(ISNUMBER(C99),ISNUMBER(C100),ISNUMBER(C101),ISNUMBER(C102)),SUM(C99:C102),"")</f>
        <v/>
      </c>
      <c r="D103" s="1170"/>
      <c r="E103" s="1170"/>
      <c r="F103" s="1170"/>
      <c r="G103" s="1170"/>
      <c r="H103" s="1170"/>
      <c r="I103" s="1170"/>
      <c r="J103" s="1170"/>
      <c r="K103" s="1143"/>
    </row>
    <row r="104" spans="1:11" ht="45" customHeight="1" x14ac:dyDescent="0.25">
      <c r="A104" s="20" t="s">
        <v>1063</v>
      </c>
      <c r="B104" s="13"/>
      <c r="C104" s="14"/>
      <c r="D104" s="204"/>
      <c r="E104" s="204"/>
      <c r="F104" s="204"/>
      <c r="G104" s="204"/>
      <c r="H104" s="204"/>
      <c r="I104" s="204"/>
      <c r="J104" s="204"/>
      <c r="K104" s="1171"/>
    </row>
    <row r="105" spans="1:11" ht="15" customHeight="1" x14ac:dyDescent="0.25">
      <c r="A105" s="20"/>
      <c r="B105" s="13"/>
      <c r="C105" s="14"/>
      <c r="D105" s="204"/>
      <c r="E105" s="204"/>
      <c r="F105" s="204"/>
      <c r="G105" s="204"/>
      <c r="H105" s="204"/>
      <c r="I105" s="204"/>
      <c r="J105" s="204"/>
      <c r="K105" s="1171"/>
    </row>
    <row r="106" spans="1:11" s="1168" customFormat="1" ht="15" customHeight="1" x14ac:dyDescent="0.2">
      <c r="A106" s="63"/>
      <c r="B106" s="278"/>
      <c r="C106" s="1330" t="s">
        <v>167</v>
      </c>
      <c r="D106" s="1170"/>
      <c r="E106" s="1170"/>
      <c r="F106" s="1170"/>
      <c r="G106" s="1170"/>
      <c r="H106" s="1170"/>
      <c r="I106" s="1170"/>
      <c r="J106" s="1170"/>
      <c r="K106" s="1143"/>
    </row>
    <row r="107" spans="1:11" s="1168" customFormat="1" ht="15" customHeight="1" x14ac:dyDescent="0.2">
      <c r="A107" s="74"/>
      <c r="B107" s="347" t="s">
        <v>152</v>
      </c>
      <c r="C107" s="342"/>
      <c r="D107" s="1170"/>
      <c r="E107" s="1170"/>
      <c r="F107" s="1170"/>
      <c r="G107" s="1170"/>
      <c r="H107" s="1170"/>
      <c r="I107" s="1170"/>
      <c r="J107" s="1170"/>
      <c r="K107" s="1143"/>
    </row>
    <row r="108" spans="1:11" s="1168" customFormat="1" ht="30" customHeight="1" x14ac:dyDescent="0.2">
      <c r="A108" s="74"/>
      <c r="B108" s="1169"/>
      <c r="C108" s="1169"/>
      <c r="D108" s="1170"/>
      <c r="E108" s="1170"/>
      <c r="F108" s="1170"/>
      <c r="G108" s="1170"/>
      <c r="H108" s="1170"/>
      <c r="I108" s="1170"/>
      <c r="J108" s="1170"/>
      <c r="K108" s="1143"/>
    </row>
    <row r="109" spans="1:11" s="1168" customFormat="1" ht="15" customHeight="1" x14ac:dyDescent="0.2">
      <c r="A109" s="74"/>
      <c r="B109" s="278"/>
      <c r="C109" s="1328" t="s">
        <v>547</v>
      </c>
      <c r="D109" s="1170"/>
      <c r="E109" s="1170"/>
      <c r="F109" s="1170"/>
      <c r="G109" s="1170"/>
      <c r="H109" s="1170"/>
      <c r="I109" s="1170"/>
      <c r="J109" s="1170"/>
      <c r="K109" s="1143"/>
    </row>
    <row r="110" spans="1:11" s="1168" customFormat="1" ht="15" customHeight="1" x14ac:dyDescent="0.2">
      <c r="A110" s="74"/>
      <c r="B110" s="279" t="s">
        <v>83</v>
      </c>
      <c r="C110" s="349"/>
      <c r="D110" s="1170"/>
      <c r="E110" s="1170"/>
      <c r="F110" s="1170"/>
      <c r="G110" s="1170"/>
      <c r="H110" s="1170"/>
      <c r="I110" s="1170"/>
      <c r="J110" s="1170"/>
      <c r="K110" s="1143"/>
    </row>
    <row r="111" spans="1:11" s="1168" customFormat="1" ht="15" customHeight="1" x14ac:dyDescent="0.2">
      <c r="A111" s="74"/>
      <c r="B111" s="287" t="s">
        <v>561</v>
      </c>
      <c r="C111" s="348"/>
      <c r="D111" s="1170"/>
      <c r="E111" s="1170"/>
      <c r="F111" s="1170"/>
      <c r="G111" s="1170"/>
      <c r="H111" s="1170"/>
      <c r="I111" s="1170"/>
      <c r="J111" s="1170"/>
      <c r="K111" s="1143"/>
    </row>
    <row r="112" spans="1:11" s="1168" customFormat="1" ht="15" customHeight="1" x14ac:dyDescent="0.2">
      <c r="A112" s="74"/>
      <c r="B112" s="351" t="s">
        <v>562</v>
      </c>
      <c r="C112" s="352"/>
      <c r="D112" s="1170"/>
      <c r="E112" s="1170"/>
      <c r="F112" s="1170"/>
      <c r="G112" s="1170"/>
      <c r="H112" s="1170"/>
      <c r="I112" s="1170"/>
      <c r="J112" s="1170"/>
      <c r="K112" s="1143"/>
    </row>
    <row r="113" spans="1:11" s="1168" customFormat="1" ht="15" customHeight="1" x14ac:dyDescent="0.2">
      <c r="A113" s="74"/>
      <c r="B113" s="250" t="s">
        <v>563</v>
      </c>
      <c r="C113" s="350"/>
      <c r="D113" s="1170"/>
      <c r="E113" s="1170"/>
      <c r="F113" s="1170"/>
      <c r="G113" s="1170"/>
      <c r="H113" s="1170"/>
      <c r="I113" s="1170"/>
      <c r="J113" s="1170"/>
      <c r="K113" s="1143"/>
    </row>
    <row r="114" spans="1:11" ht="45" customHeight="1" x14ac:dyDescent="0.25">
      <c r="A114" s="20" t="s">
        <v>1064</v>
      </c>
      <c r="B114" s="13"/>
      <c r="C114" s="14"/>
      <c r="D114" s="204"/>
      <c r="E114" s="204"/>
      <c r="F114" s="204"/>
      <c r="G114" s="204"/>
      <c r="H114" s="204"/>
      <c r="I114" s="204"/>
      <c r="J114" s="204"/>
      <c r="K114" s="166"/>
    </row>
    <row r="115" spans="1:11" s="1168" customFormat="1" ht="15" customHeight="1" x14ac:dyDescent="0.2">
      <c r="A115" s="74"/>
      <c r="B115" s="1145"/>
      <c r="C115" s="14"/>
      <c r="D115" s="1170"/>
      <c r="E115" s="1170"/>
      <c r="F115" s="1170"/>
      <c r="G115" s="1170"/>
      <c r="H115" s="1170"/>
      <c r="I115" s="1170"/>
      <c r="J115" s="1170"/>
      <c r="K115" s="167"/>
    </row>
    <row r="116" spans="1:11" s="1168" customFormat="1" ht="15" customHeight="1" x14ac:dyDescent="0.2">
      <c r="A116" s="74"/>
      <c r="B116" s="279" t="s">
        <v>431</v>
      </c>
      <c r="C116" s="353"/>
      <c r="D116" s="1170"/>
      <c r="E116" s="1170"/>
      <c r="F116" s="1170"/>
      <c r="G116" s="1170"/>
      <c r="H116" s="1170"/>
      <c r="I116" s="1170"/>
      <c r="J116" s="1170"/>
      <c r="K116" s="167"/>
    </row>
    <row r="117" spans="1:11" s="1168" customFormat="1" ht="15" customHeight="1" x14ac:dyDescent="0.2">
      <c r="A117" s="74"/>
      <c r="B117" s="287" t="s">
        <v>432</v>
      </c>
      <c r="C117" s="354"/>
      <c r="D117" s="1170"/>
      <c r="E117" s="1170"/>
      <c r="F117" s="1170"/>
      <c r="G117" s="1170"/>
      <c r="H117" s="1170"/>
      <c r="I117" s="1170"/>
      <c r="J117" s="1170"/>
      <c r="K117" s="167"/>
    </row>
    <row r="118" spans="1:11" s="1168" customFormat="1" ht="15" customHeight="1" x14ac:dyDescent="0.2">
      <c r="A118" s="74"/>
      <c r="B118" s="250" t="s">
        <v>433</v>
      </c>
      <c r="C118" s="355"/>
      <c r="D118" s="1170"/>
      <c r="E118" s="1170"/>
      <c r="F118" s="1170"/>
      <c r="G118" s="1170"/>
      <c r="H118" s="1170"/>
      <c r="I118" s="1170"/>
      <c r="J118" s="1170"/>
      <c r="K118" s="167"/>
    </row>
    <row r="119" spans="1:11" s="1168" customFormat="1" ht="15" customHeight="1" x14ac:dyDescent="0.2">
      <c r="A119" s="74"/>
      <c r="B119" s="356" t="s">
        <v>434</v>
      </c>
      <c r="C119" s="357" t="str">
        <f>IF(AND(ISNUMBER(C116),ISNUMBER(C117),ISNUMBER(C118)),SUM(C116:C118),"")</f>
        <v/>
      </c>
      <c r="D119" s="1170"/>
      <c r="E119" s="1170"/>
      <c r="F119" s="1170"/>
      <c r="G119" s="1170"/>
      <c r="H119" s="1170"/>
      <c r="I119" s="1170"/>
      <c r="J119" s="1170"/>
      <c r="K119" s="167"/>
    </row>
    <row r="120" spans="1:11" s="1168" customFormat="1" ht="30" customHeight="1" x14ac:dyDescent="0.2">
      <c r="A120" s="74"/>
      <c r="B120" s="1145"/>
      <c r="C120" s="163"/>
      <c r="D120" s="1170"/>
      <c r="E120" s="1170"/>
      <c r="F120" s="1170"/>
      <c r="G120" s="1170"/>
      <c r="H120" s="1170"/>
      <c r="I120" s="1170"/>
      <c r="J120" s="1170"/>
      <c r="K120" s="167"/>
    </row>
    <row r="121" spans="1:11" s="1168" customFormat="1" ht="15" customHeight="1" x14ac:dyDescent="0.2">
      <c r="A121" s="74"/>
      <c r="B121" s="279" t="s">
        <v>435</v>
      </c>
      <c r="C121" s="353"/>
      <c r="D121" s="1170"/>
      <c r="E121" s="1170"/>
      <c r="F121" s="1170"/>
      <c r="G121" s="1170"/>
      <c r="H121" s="1170"/>
      <c r="I121" s="1170"/>
      <c r="J121" s="1170"/>
      <c r="K121" s="167"/>
    </row>
    <row r="122" spans="1:11" s="1168" customFormat="1" ht="15" customHeight="1" x14ac:dyDescent="0.2">
      <c r="A122" s="74"/>
      <c r="B122" s="1332" t="s">
        <v>643</v>
      </c>
      <c r="C122" s="354"/>
      <c r="D122" s="1170"/>
      <c r="E122" s="1170"/>
      <c r="F122" s="1170"/>
      <c r="G122" s="1170"/>
      <c r="H122" s="1170"/>
      <c r="I122" s="1170"/>
      <c r="J122" s="1170"/>
      <c r="K122" s="167"/>
    </row>
    <row r="123" spans="1:11" s="1168" customFormat="1" ht="15" customHeight="1" x14ac:dyDescent="0.2">
      <c r="A123" s="74"/>
      <c r="B123" s="307" t="s">
        <v>516</v>
      </c>
      <c r="C123" s="354"/>
      <c r="D123" s="1170"/>
      <c r="E123" s="1170"/>
      <c r="F123" s="1170"/>
      <c r="G123" s="1170"/>
      <c r="H123" s="1170"/>
      <c r="I123" s="1170"/>
      <c r="J123" s="1170"/>
      <c r="K123" s="167"/>
    </row>
    <row r="124" spans="1:11" s="1168" customFormat="1" ht="15" customHeight="1" x14ac:dyDescent="0.2">
      <c r="A124" s="74"/>
      <c r="B124" s="307" t="s">
        <v>558</v>
      </c>
      <c r="C124" s="354"/>
      <c r="D124" s="1170"/>
      <c r="E124" s="1170"/>
      <c r="F124" s="1170"/>
      <c r="G124" s="1170"/>
      <c r="H124" s="1170"/>
      <c r="I124" s="1170"/>
      <c r="J124" s="1170"/>
      <c r="K124" s="167"/>
    </row>
    <row r="125" spans="1:11" s="1168" customFormat="1" ht="15" customHeight="1" x14ac:dyDescent="0.2">
      <c r="A125" s="74"/>
      <c r="B125" s="307" t="s">
        <v>518</v>
      </c>
      <c r="C125" s="354"/>
      <c r="D125" s="1170"/>
      <c r="E125" s="1170"/>
      <c r="F125" s="1170"/>
      <c r="G125" s="1170"/>
      <c r="H125" s="1170"/>
      <c r="I125" s="1170"/>
      <c r="J125" s="1170"/>
      <c r="K125" s="167"/>
    </row>
    <row r="126" spans="1:11" s="1168" customFormat="1" ht="15" customHeight="1" x14ac:dyDescent="0.2">
      <c r="A126" s="74"/>
      <c r="B126" s="1270" t="str">
        <f>CONCATENATE("Check: EAD in row ", ROW(C122), " should equal total EAD in row ", ROW(G48))</f>
        <v>Check: EAD in row 122 should equal total EAD in row 48</v>
      </c>
      <c r="C126" s="359" t="str">
        <f>IF(AND(ISNUMBER(H48), ISNUMBER(I48), ISNUMBER(C122), H48+I48&lt;&gt;C122),"No","Yes")</f>
        <v>Yes</v>
      </c>
      <c r="D126" s="1170"/>
      <c r="E126" s="1170"/>
      <c r="F126" s="1170"/>
      <c r="G126" s="1170"/>
      <c r="H126" s="1170"/>
      <c r="I126" s="1170"/>
      <c r="J126" s="1170"/>
      <c r="K126" s="167"/>
    </row>
    <row r="127" spans="1:11" s="1168" customFormat="1" ht="15" customHeight="1" x14ac:dyDescent="0.2">
      <c r="A127" s="74"/>
      <c r="B127" s="1271" t="str">
        <f>CONCATENATE("Check: EAD in rows ", ROW(C123), " to ", ROW(C125), " should add up to EAD in row ", ROW(C122))</f>
        <v>Check: EAD in rows 123 to 125 should add up to EAD in row 122</v>
      </c>
      <c r="C127" s="360" t="str">
        <f>IF(AND(ISNUMBER(C122),ISNUMBER(C123), ISNUMBER(C124), ISNUMBER(C125), SUM(C123:C125)&lt;&gt;C122),"No","Yes")</f>
        <v>Yes</v>
      </c>
      <c r="D127" s="1170"/>
      <c r="E127" s="1170"/>
      <c r="F127" s="1170"/>
      <c r="G127" s="1170"/>
      <c r="H127" s="1170"/>
      <c r="I127" s="1170"/>
      <c r="J127" s="1170"/>
      <c r="K127" s="167"/>
    </row>
    <row r="128" spans="1:11" s="1168" customFormat="1" ht="15" customHeight="1" x14ac:dyDescent="0.2">
      <c r="A128" s="74"/>
      <c r="B128" s="356" t="s">
        <v>436</v>
      </c>
      <c r="C128" s="357" t="str">
        <f>IF(AND(ISNUMBER(C121),ISNUMBER(C122)),SUM(C121:C122),"")</f>
        <v/>
      </c>
      <c r="D128" s="1170"/>
      <c r="E128" s="1170"/>
      <c r="F128" s="1170"/>
      <c r="G128" s="1170"/>
      <c r="H128" s="1170"/>
      <c r="I128" s="1170"/>
      <c r="J128" s="1170"/>
      <c r="K128" s="167"/>
    </row>
    <row r="129" spans="1:11" s="1168" customFormat="1" ht="30" customHeight="1" x14ac:dyDescent="0.2">
      <c r="A129" s="74"/>
      <c r="B129" s="1145"/>
      <c r="C129" s="163"/>
      <c r="D129" s="1170"/>
      <c r="E129" s="1170"/>
      <c r="F129" s="1170"/>
      <c r="G129" s="1170"/>
      <c r="H129" s="1170"/>
      <c r="I129" s="1170"/>
      <c r="J129" s="1170"/>
      <c r="K129" s="167"/>
    </row>
    <row r="130" spans="1:11" s="1168" customFormat="1" ht="15" customHeight="1" x14ac:dyDescent="0.2">
      <c r="A130" s="74"/>
      <c r="B130" s="279" t="s">
        <v>151</v>
      </c>
      <c r="C130" s="353"/>
      <c r="D130" s="1170"/>
      <c r="E130" s="1170"/>
      <c r="F130" s="1170"/>
      <c r="G130" s="1170"/>
      <c r="H130" s="1170"/>
      <c r="I130" s="1170"/>
      <c r="J130" s="1170"/>
      <c r="K130" s="167"/>
    </row>
    <row r="131" spans="1:11" s="1168" customFormat="1" ht="15" customHeight="1" x14ac:dyDescent="0.2">
      <c r="A131" s="74"/>
      <c r="B131" s="250" t="s">
        <v>437</v>
      </c>
      <c r="C131" s="355"/>
      <c r="D131" s="1170"/>
      <c r="E131" s="1170"/>
      <c r="F131" s="1170"/>
      <c r="G131" s="1170"/>
      <c r="H131" s="1170"/>
      <c r="I131" s="1170"/>
      <c r="J131" s="1170"/>
      <c r="K131" s="167"/>
    </row>
    <row r="132" spans="1:11" s="1168" customFormat="1" ht="30" customHeight="1" x14ac:dyDescent="0.2">
      <c r="A132" s="74"/>
      <c r="B132" s="1145"/>
      <c r="C132" s="14"/>
      <c r="D132" s="1170"/>
      <c r="E132" s="1170"/>
      <c r="F132" s="1170"/>
      <c r="G132" s="1170"/>
      <c r="H132" s="1170"/>
      <c r="I132" s="1170"/>
      <c r="J132" s="1170"/>
      <c r="K132" s="167"/>
    </row>
    <row r="133" spans="1:11" s="1168" customFormat="1" ht="15" customHeight="1" x14ac:dyDescent="0.2">
      <c r="A133" s="74"/>
      <c r="B133" s="279" t="s">
        <v>150</v>
      </c>
      <c r="C133" s="353"/>
      <c r="D133" s="14"/>
      <c r="E133" s="1170"/>
      <c r="F133" s="1170"/>
      <c r="G133" s="1170"/>
      <c r="H133" s="1170"/>
      <c r="I133" s="1170"/>
      <c r="J133" s="1170"/>
      <c r="K133" s="167"/>
    </row>
    <row r="134" spans="1:11" s="1168" customFormat="1" ht="15" customHeight="1" x14ac:dyDescent="0.2">
      <c r="A134" s="74"/>
      <c r="B134" s="287" t="s">
        <v>149</v>
      </c>
      <c r="C134" s="354"/>
      <c r="D134" s="14"/>
      <c r="E134" s="1170"/>
      <c r="F134" s="1170"/>
      <c r="G134" s="1170"/>
      <c r="H134" s="1170"/>
      <c r="I134" s="1170"/>
      <c r="J134" s="1170"/>
      <c r="K134" s="167"/>
    </row>
    <row r="135" spans="1:11" s="1168" customFormat="1" ht="15" customHeight="1" x14ac:dyDescent="0.2">
      <c r="A135" s="74"/>
      <c r="B135" s="287" t="s">
        <v>448</v>
      </c>
      <c r="C135" s="361"/>
      <c r="D135" s="14"/>
      <c r="E135" s="1170"/>
      <c r="F135" s="1170"/>
      <c r="G135" s="1170"/>
      <c r="H135" s="1170"/>
      <c r="I135" s="1170"/>
      <c r="J135" s="1170"/>
      <c r="K135" s="167"/>
    </row>
    <row r="136" spans="1:11" s="1168" customFormat="1" ht="15" customHeight="1" x14ac:dyDescent="0.2">
      <c r="A136" s="74"/>
      <c r="B136" s="250" t="s">
        <v>449</v>
      </c>
      <c r="C136" s="362"/>
      <c r="D136" s="14"/>
      <c r="E136" s="1170"/>
      <c r="F136" s="1170"/>
      <c r="G136" s="1170"/>
      <c r="H136" s="1170"/>
      <c r="I136" s="1170"/>
      <c r="J136" s="1170"/>
      <c r="K136" s="167"/>
    </row>
    <row r="137" spans="1:11" s="1168" customFormat="1" ht="30" customHeight="1" x14ac:dyDescent="0.2">
      <c r="A137" s="74"/>
      <c r="B137" s="1145"/>
      <c r="C137" s="14"/>
      <c r="D137" s="14"/>
      <c r="E137" s="1170"/>
      <c r="F137" s="1170"/>
      <c r="G137" s="1170"/>
      <c r="H137" s="1170"/>
      <c r="I137" s="1170"/>
      <c r="J137" s="1170"/>
      <c r="K137" s="167"/>
    </row>
    <row r="138" spans="1:11" s="1168" customFormat="1" ht="15" customHeight="1" x14ac:dyDescent="0.2">
      <c r="A138" s="74"/>
      <c r="B138" s="1331" t="s">
        <v>361</v>
      </c>
      <c r="C138" s="353"/>
      <c r="D138" s="14"/>
      <c r="E138" s="1170"/>
      <c r="F138" s="1170"/>
      <c r="G138" s="1170"/>
      <c r="H138" s="1170"/>
      <c r="I138" s="1170"/>
      <c r="J138" s="1170"/>
      <c r="K138" s="167"/>
    </row>
    <row r="139" spans="1:11" s="1168" customFormat="1" ht="15" customHeight="1" x14ac:dyDescent="0.2">
      <c r="A139" s="74"/>
      <c r="B139" s="287" t="s">
        <v>439</v>
      </c>
      <c r="C139" s="354"/>
      <c r="D139" s="14"/>
      <c r="E139" s="1170"/>
      <c r="F139" s="1170"/>
      <c r="G139" s="1170"/>
      <c r="H139" s="1170"/>
      <c r="I139" s="1170"/>
      <c r="J139" s="1170"/>
      <c r="K139" s="167"/>
    </row>
    <row r="140" spans="1:11" s="1168" customFormat="1" ht="15" customHeight="1" x14ac:dyDescent="0.2">
      <c r="A140" s="74"/>
      <c r="B140" s="287" t="s">
        <v>440</v>
      </c>
      <c r="C140" s="354"/>
      <c r="D140" s="14"/>
      <c r="E140" s="1170"/>
      <c r="F140" s="1170"/>
      <c r="G140" s="1170"/>
      <c r="H140" s="1170"/>
      <c r="I140" s="1170"/>
      <c r="J140" s="1170"/>
      <c r="K140" s="167"/>
    </row>
    <row r="141" spans="1:11" s="1168" customFormat="1" ht="15" customHeight="1" x14ac:dyDescent="0.2">
      <c r="A141" s="74"/>
      <c r="B141" s="363" t="s">
        <v>362</v>
      </c>
      <c r="C141" s="364"/>
      <c r="D141" s="14"/>
      <c r="E141" s="1170"/>
      <c r="F141" s="1170"/>
      <c r="G141" s="1170"/>
      <c r="H141" s="1170"/>
      <c r="I141" s="1170"/>
      <c r="J141" s="1170"/>
      <c r="K141" s="167"/>
    </row>
    <row r="142" spans="1:11" s="1168" customFormat="1" ht="15" customHeight="1" x14ac:dyDescent="0.2">
      <c r="A142" s="74"/>
      <c r="B142" s="365" t="s">
        <v>363</v>
      </c>
      <c r="C142" s="304" t="str">
        <f>IF(AND(ISNUMBER(C138),ISNUMBER(C141)),SUM(C138:C141),"")</f>
        <v/>
      </c>
      <c r="D142" s="14"/>
      <c r="E142" s="1170"/>
      <c r="F142" s="1170"/>
      <c r="G142" s="1170"/>
      <c r="H142" s="1170"/>
      <c r="I142" s="1170"/>
      <c r="J142" s="1170"/>
      <c r="K142" s="167"/>
    </row>
    <row r="143" spans="1:11" s="1168" customFormat="1" ht="15" customHeight="1" x14ac:dyDescent="0.2">
      <c r="A143" s="74"/>
      <c r="B143" s="1271" t="str">
        <f>CONCATENATE("Check: total EAD in row ", ROW(C142), " should equal total EAD in row ", ROW(C128))</f>
        <v>Check: total EAD in row 142 should equal total EAD in row 128</v>
      </c>
      <c r="C143" s="360" t="str">
        <f>IF(C128=C142,"Yes","No")</f>
        <v>Yes</v>
      </c>
      <c r="D143" s="14"/>
      <c r="E143" s="1170"/>
      <c r="F143" s="1170"/>
      <c r="G143" s="1170"/>
      <c r="H143" s="1170"/>
      <c r="I143" s="1170"/>
      <c r="J143" s="1170"/>
      <c r="K143" s="167"/>
    </row>
    <row r="144" spans="1:11" s="1168" customFormat="1" ht="15" customHeight="1" x14ac:dyDescent="0.2">
      <c r="A144" s="74"/>
      <c r="C144" s="14"/>
      <c r="D144" s="14"/>
      <c r="E144" s="1170"/>
      <c r="F144" s="1170"/>
      <c r="G144" s="1170"/>
      <c r="H144" s="1170"/>
      <c r="I144" s="1170"/>
      <c r="J144" s="1170"/>
      <c r="K144" s="167"/>
    </row>
    <row r="145" spans="1:11" s="1168" customFormat="1" ht="30" customHeight="1" x14ac:dyDescent="0.2">
      <c r="A145" s="74"/>
      <c r="B145" s="358" t="s">
        <v>451</v>
      </c>
      <c r="C145" s="14"/>
      <c r="D145" s="14"/>
      <c r="E145" s="1170"/>
      <c r="F145" s="1170"/>
      <c r="G145" s="1170"/>
      <c r="H145" s="1170"/>
      <c r="I145" s="1170"/>
      <c r="J145" s="1170"/>
      <c r="K145" s="167"/>
    </row>
    <row r="146" spans="1:11" s="1168" customFormat="1" ht="15" customHeight="1" x14ac:dyDescent="0.2">
      <c r="A146" s="74"/>
      <c r="B146" s="347" t="s">
        <v>450</v>
      </c>
      <c r="C146" s="366"/>
      <c r="D146" s="14"/>
      <c r="E146" s="1170"/>
      <c r="F146" s="1170"/>
      <c r="G146" s="1170"/>
      <c r="H146" s="1170"/>
      <c r="I146" s="1170"/>
      <c r="J146" s="1170"/>
      <c r="K146" s="167"/>
    </row>
    <row r="147" spans="1:11" ht="45" customHeight="1" x14ac:dyDescent="0.25">
      <c r="A147" s="1053" t="s">
        <v>1065</v>
      </c>
      <c r="B147" s="13"/>
      <c r="C147" s="14"/>
      <c r="D147" s="204"/>
      <c r="E147" s="204"/>
      <c r="F147" s="204"/>
      <c r="G147" s="204"/>
      <c r="H147" s="204"/>
      <c r="I147" s="204"/>
      <c r="J147" s="204"/>
      <c r="K147" s="166"/>
    </row>
    <row r="148" spans="1:11" s="1168" customFormat="1" ht="15" customHeight="1" x14ac:dyDescent="0.2">
      <c r="A148" s="74"/>
      <c r="B148" s="164"/>
      <c r="C148" s="14"/>
      <c r="D148" s="1170"/>
      <c r="E148" s="1170"/>
      <c r="F148" s="1170"/>
      <c r="G148" s="1170"/>
      <c r="H148" s="1170"/>
      <c r="I148" s="1170"/>
      <c r="K148" s="167"/>
    </row>
    <row r="149" spans="1:11" s="1168" customFormat="1" ht="15" customHeight="1" x14ac:dyDescent="0.2">
      <c r="A149" s="74"/>
      <c r="B149" s="300" t="s">
        <v>850</v>
      </c>
      <c r="C149" s="1329" t="s">
        <v>851</v>
      </c>
      <c r="D149" s="1330" t="s">
        <v>167</v>
      </c>
      <c r="E149" s="1170"/>
      <c r="F149" s="1170"/>
      <c r="G149" s="1170"/>
      <c r="H149" s="1170"/>
      <c r="I149" s="1170"/>
      <c r="K149" s="167"/>
    </row>
    <row r="150" spans="1:11" s="1168" customFormat="1" ht="15" customHeight="1" x14ac:dyDescent="0.2">
      <c r="A150" s="74"/>
      <c r="B150" s="1331" t="s">
        <v>859</v>
      </c>
      <c r="C150" s="369" t="str">
        <f>IF(AND(ISNUMBER(C151),ISNUMBER(C152),ISNUMBER(C153),ISNUMBER(C154)),SUM(C151:C154),"")</f>
        <v/>
      </c>
      <c r="D150" s="370" t="str">
        <f>IF(AND(ISNUMBER(D151),ISNUMBER(D152),ISNUMBER(D153),ISNUMBER(D154)),SUM(D151:D154),"")</f>
        <v/>
      </c>
      <c r="E150" s="1170"/>
      <c r="F150" s="1170"/>
      <c r="G150" s="1170"/>
      <c r="H150" s="1170"/>
      <c r="I150" s="1170"/>
      <c r="K150" s="167"/>
    </row>
    <row r="151" spans="1:11" s="1168" customFormat="1" ht="15" customHeight="1" x14ac:dyDescent="0.2">
      <c r="A151" s="74"/>
      <c r="B151" s="317" t="s">
        <v>852</v>
      </c>
      <c r="C151" s="367"/>
      <c r="D151" s="354"/>
      <c r="E151" s="1170"/>
      <c r="F151" s="1170"/>
      <c r="G151" s="1170"/>
      <c r="H151" s="1170"/>
      <c r="I151" s="1170"/>
      <c r="K151" s="167"/>
    </row>
    <row r="152" spans="1:11" s="1168" customFormat="1" ht="15" customHeight="1" x14ac:dyDescent="0.2">
      <c r="A152" s="74"/>
      <c r="B152" s="317" t="s">
        <v>853</v>
      </c>
      <c r="C152" s="367"/>
      <c r="D152" s="354"/>
      <c r="E152" s="1170"/>
      <c r="F152" s="1170"/>
      <c r="G152" s="1170"/>
      <c r="H152" s="1170"/>
      <c r="I152" s="1170"/>
      <c r="K152" s="167"/>
    </row>
    <row r="153" spans="1:11" s="1168" customFormat="1" ht="15" customHeight="1" x14ac:dyDescent="0.2">
      <c r="A153" s="74"/>
      <c r="B153" s="317" t="s">
        <v>854</v>
      </c>
      <c r="C153" s="367"/>
      <c r="D153" s="354"/>
      <c r="E153" s="1170"/>
      <c r="F153" s="1170"/>
      <c r="G153" s="1170"/>
      <c r="H153" s="1170"/>
      <c r="I153" s="1170"/>
      <c r="K153" s="167"/>
    </row>
    <row r="154" spans="1:11" s="1168" customFormat="1" ht="15" customHeight="1" x14ac:dyDescent="0.2">
      <c r="A154" s="74"/>
      <c r="B154" s="371" t="s">
        <v>855</v>
      </c>
      <c r="C154" s="368"/>
      <c r="D154" s="355"/>
      <c r="E154" s="1170"/>
      <c r="F154" s="1170"/>
      <c r="G154" s="1170"/>
      <c r="H154" s="1170"/>
      <c r="I154" s="1170"/>
      <c r="K154" s="167"/>
    </row>
    <row r="155" spans="1:11" s="1168" customFormat="1" ht="15" customHeight="1" x14ac:dyDescent="0.2">
      <c r="A155" s="74"/>
      <c r="B155" s="1145"/>
      <c r="C155" s="179"/>
      <c r="D155" s="179"/>
      <c r="E155" s="1170"/>
      <c r="F155" s="1170"/>
      <c r="G155" s="1170"/>
      <c r="H155" s="1170"/>
      <c r="I155" s="1170"/>
      <c r="K155" s="167"/>
    </row>
    <row r="156" spans="1:11" s="1168" customFormat="1" ht="15" customHeight="1" x14ac:dyDescent="0.2">
      <c r="A156" s="74"/>
      <c r="B156" s="372" t="s">
        <v>856</v>
      </c>
      <c r="C156" s="373"/>
      <c r="D156" s="374"/>
      <c r="E156" s="1170"/>
      <c r="F156" s="1170"/>
      <c r="G156" s="1170"/>
      <c r="H156" s="1170"/>
      <c r="I156" s="1170"/>
      <c r="K156" s="167"/>
    </row>
    <row r="157" spans="1:11" s="1168" customFormat="1" ht="30" customHeight="1" x14ac:dyDescent="0.2">
      <c r="A157" s="74"/>
      <c r="B157" s="1170"/>
      <c r="C157" s="179"/>
      <c r="D157" s="179"/>
      <c r="E157" s="1170"/>
      <c r="F157" s="1170"/>
      <c r="G157" s="1170"/>
      <c r="H157" s="1170"/>
      <c r="I157" s="1170"/>
      <c r="K157" s="167"/>
    </row>
    <row r="158" spans="1:11" s="1168" customFormat="1" ht="15" customHeight="1" x14ac:dyDescent="0.2">
      <c r="A158" s="74"/>
      <c r="B158" s="356" t="s">
        <v>857</v>
      </c>
      <c r="C158" s="1329" t="s">
        <v>851</v>
      </c>
      <c r="D158" s="1330" t="s">
        <v>167</v>
      </c>
      <c r="E158" s="1170"/>
      <c r="F158" s="1170"/>
      <c r="G158" s="1170"/>
      <c r="H158" s="1170"/>
      <c r="I158" s="1170"/>
      <c r="K158" s="167"/>
    </row>
    <row r="159" spans="1:11" s="1168" customFormat="1" ht="15" customHeight="1" x14ac:dyDescent="0.2">
      <c r="A159" s="74"/>
      <c r="B159" s="389" t="s">
        <v>859</v>
      </c>
      <c r="C159" s="369" t="str">
        <f>IF(AND(ISNUMBER(C160),ISNUMBER(C161),ISNUMBER(C162),ISNUMBER(C163)),SUM(C160:C163),"")</f>
        <v/>
      </c>
      <c r="D159" s="1132"/>
      <c r="E159" s="1170"/>
      <c r="F159" s="1170"/>
      <c r="G159" s="1170"/>
      <c r="H159" s="1170"/>
      <c r="I159" s="1170"/>
      <c r="K159" s="167"/>
    </row>
    <row r="160" spans="1:11" s="1168" customFormat="1" ht="15" customHeight="1" x14ac:dyDescent="0.2">
      <c r="A160" s="74"/>
      <c r="B160" s="317" t="s">
        <v>852</v>
      </c>
      <c r="C160" s="367"/>
      <c r="D160" s="316"/>
      <c r="E160" s="1170"/>
      <c r="F160" s="1170"/>
      <c r="G160" s="1170"/>
      <c r="H160" s="1170"/>
      <c r="I160" s="1170"/>
      <c r="K160" s="167"/>
    </row>
    <row r="161" spans="1:11" s="1168" customFormat="1" ht="15" customHeight="1" x14ac:dyDescent="0.2">
      <c r="A161" s="74"/>
      <c r="B161" s="317" t="s">
        <v>853</v>
      </c>
      <c r="C161" s="367"/>
      <c r="D161" s="316"/>
      <c r="E161" s="1170"/>
      <c r="F161" s="1170"/>
      <c r="G161" s="1170"/>
      <c r="H161" s="1170"/>
      <c r="I161" s="1170"/>
      <c r="K161" s="167"/>
    </row>
    <row r="162" spans="1:11" s="1168" customFormat="1" ht="15" customHeight="1" x14ac:dyDescent="0.2">
      <c r="A162" s="74"/>
      <c r="B162" s="317" t="s">
        <v>854</v>
      </c>
      <c r="C162" s="367"/>
      <c r="D162" s="316"/>
      <c r="E162" s="1170"/>
      <c r="F162" s="1170"/>
      <c r="G162" s="1170"/>
      <c r="H162" s="1170"/>
      <c r="I162" s="1170"/>
      <c r="K162" s="167"/>
    </row>
    <row r="163" spans="1:11" s="1168" customFormat="1" ht="15" customHeight="1" x14ac:dyDescent="0.2">
      <c r="A163" s="74"/>
      <c r="B163" s="371" t="s">
        <v>855</v>
      </c>
      <c r="C163" s="368"/>
      <c r="D163" s="322"/>
      <c r="E163" s="1170"/>
      <c r="F163" s="1170"/>
      <c r="G163" s="1170"/>
      <c r="H163" s="1170"/>
      <c r="I163" s="1170"/>
      <c r="K163" s="167"/>
    </row>
    <row r="164" spans="1:11" s="1168" customFormat="1" ht="15" customHeight="1" x14ac:dyDescent="0.2">
      <c r="A164" s="74"/>
      <c r="B164" s="1145"/>
      <c r="C164" s="179"/>
      <c r="D164" s="179"/>
      <c r="E164" s="1170"/>
      <c r="F164" s="1170"/>
      <c r="G164" s="1170"/>
      <c r="H164" s="1170"/>
      <c r="I164" s="1170"/>
      <c r="K164" s="167"/>
    </row>
    <row r="165" spans="1:11" s="1168" customFormat="1" ht="15" customHeight="1" x14ac:dyDescent="0.2">
      <c r="A165" s="74"/>
      <c r="B165" s="372" t="s">
        <v>856</v>
      </c>
      <c r="C165" s="373"/>
      <c r="D165" s="337"/>
      <c r="E165" s="1170"/>
      <c r="F165" s="1170"/>
      <c r="G165" s="1170"/>
      <c r="H165" s="1170"/>
      <c r="I165" s="1170"/>
      <c r="K165" s="167"/>
    </row>
    <row r="166" spans="1:11" s="1168" customFormat="1" ht="15" customHeight="1" x14ac:dyDescent="0.2">
      <c r="A166" s="74"/>
      <c r="B166" s="164"/>
      <c r="C166" s="179"/>
      <c r="D166" s="179"/>
      <c r="E166" s="1170"/>
      <c r="F166" s="1170"/>
      <c r="G166" s="1170"/>
      <c r="H166" s="1170"/>
      <c r="I166" s="1170"/>
      <c r="K166" s="167"/>
    </row>
    <row r="167" spans="1:11" s="1168" customFormat="1" ht="15" customHeight="1" x14ac:dyDescent="0.2">
      <c r="A167" s="74"/>
      <c r="B167" s="372" t="s">
        <v>858</v>
      </c>
      <c r="C167" s="336"/>
      <c r="D167" s="374"/>
      <c r="E167" s="1170"/>
      <c r="F167" s="1170"/>
      <c r="G167" s="1170"/>
      <c r="H167" s="1170"/>
      <c r="I167" s="1170"/>
      <c r="K167" s="167"/>
    </row>
    <row r="168" spans="1:11" s="1168" customFormat="1" ht="15" customHeight="1" x14ac:dyDescent="0.2">
      <c r="A168" s="74"/>
      <c r="C168" s="1170"/>
      <c r="D168" s="1280"/>
      <c r="E168" s="1170"/>
      <c r="F168" s="1170"/>
      <c r="G168" s="1170"/>
      <c r="H168" s="1170"/>
      <c r="I168" s="1170"/>
      <c r="K168" s="167"/>
    </row>
    <row r="169" spans="1:11" s="1168" customFormat="1" ht="15" customHeight="1" x14ac:dyDescent="0.2">
      <c r="A169" s="74"/>
      <c r="B169" s="1272" t="str">
        <f>CONCATENATE("Check: total RWA for QCCPs should equal total RWA in row ", ROW(F38))</f>
        <v>Check: total RWA for QCCPs should equal total RWA in row 38</v>
      </c>
      <c r="C169" s="336"/>
      <c r="D169" s="1279" t="str">
        <f>IF(AND(ISNUMBER(D150),ISNUMBER(D156),ISNUMBER(D167),SUM(D150,D156,D167)&lt;&gt;F38),"No","Yes")</f>
        <v>Yes</v>
      </c>
      <c r="E169" s="1170"/>
      <c r="F169" s="1170"/>
      <c r="G169" s="1170"/>
      <c r="H169" s="1170"/>
      <c r="I169" s="1170"/>
      <c r="K169" s="167"/>
    </row>
    <row r="170" spans="1:11" s="1168" customFormat="1" ht="15" customHeight="1" x14ac:dyDescent="0.2">
      <c r="A170" s="63"/>
      <c r="B170" s="64"/>
      <c r="C170" s="1169"/>
      <c r="D170" s="1170"/>
      <c r="E170" s="1170"/>
      <c r="F170" s="1170"/>
      <c r="G170" s="1170"/>
      <c r="H170" s="1170"/>
      <c r="I170" s="1170"/>
      <c r="J170" s="1170"/>
      <c r="K170" s="1143"/>
    </row>
    <row r="171" spans="1:11" ht="30" customHeight="1" x14ac:dyDescent="0.25">
      <c r="A171" s="23" t="s">
        <v>1066</v>
      </c>
      <c r="B171" s="18"/>
      <c r="C171" s="16"/>
      <c r="D171" s="203"/>
      <c r="E171" s="1280"/>
      <c r="F171" s="203"/>
      <c r="G171" s="203"/>
      <c r="H171" s="203"/>
      <c r="I171" s="203"/>
      <c r="J171" s="203"/>
      <c r="K171" s="32"/>
    </row>
    <row r="172" spans="1:11" s="1168" customFormat="1" ht="15" customHeight="1" x14ac:dyDescent="0.2">
      <c r="A172" s="63"/>
      <c r="B172" s="64"/>
      <c r="C172" s="1169"/>
      <c r="D172" s="1170"/>
      <c r="E172" s="1170"/>
      <c r="F172" s="1170"/>
      <c r="G172" s="1170"/>
      <c r="H172" s="1170"/>
      <c r="I172" s="1170"/>
      <c r="J172" s="1170"/>
      <c r="K172" s="1143"/>
    </row>
    <row r="173" spans="1:11" s="1168" customFormat="1" ht="15" customHeight="1" x14ac:dyDescent="0.2">
      <c r="A173" s="63"/>
      <c r="B173" s="1642"/>
      <c r="C173" s="1624" t="s">
        <v>167</v>
      </c>
      <c r="D173" s="1625"/>
      <c r="E173" s="1170"/>
      <c r="F173" s="1170"/>
      <c r="G173" s="1170"/>
      <c r="H173" s="1170"/>
      <c r="I173" s="1170"/>
      <c r="J173" s="1170"/>
      <c r="K173" s="1143"/>
    </row>
    <row r="174" spans="1:11" s="1168" customFormat="1" ht="30" customHeight="1" x14ac:dyDescent="0.2">
      <c r="A174" s="74"/>
      <c r="B174" s="1643"/>
      <c r="C174" s="1326" t="s">
        <v>317</v>
      </c>
      <c r="D174" s="390" t="s">
        <v>903</v>
      </c>
      <c r="E174" s="1170"/>
      <c r="F174" s="1170"/>
      <c r="G174" s="1170"/>
      <c r="H174" s="1170"/>
      <c r="I174" s="1170"/>
      <c r="J174" s="1170"/>
      <c r="K174" s="1143"/>
    </row>
    <row r="175" spans="1:11" s="1168" customFormat="1" ht="15" customHeight="1" x14ac:dyDescent="0.2">
      <c r="A175" s="74"/>
      <c r="B175" s="376" t="s">
        <v>480</v>
      </c>
      <c r="C175" s="377"/>
      <c r="D175" s="378" t="str">
        <f>IF(ISNUMBER(DefCapB3!D24),DefCapB3!D24,"")</f>
        <v/>
      </c>
      <c r="E175" s="1170"/>
      <c r="F175" s="1170"/>
      <c r="G175" s="1170"/>
      <c r="H175" s="1170"/>
      <c r="I175" s="1170"/>
      <c r="J175" s="1170"/>
      <c r="K175" s="1143"/>
    </row>
    <row r="176" spans="1:11" s="1168" customFormat="1" ht="15" customHeight="1" x14ac:dyDescent="0.2">
      <c r="A176" s="63"/>
      <c r="B176" s="250" t="s">
        <v>564</v>
      </c>
      <c r="C176" s="379" t="str">
        <f>IF(AND(ISNUMBER(C49),ISNUMBER(C88),ISNUMBER(C92),ISNUMBER(C93),OR(ISNUMBER(C103),'General Info'!C48="Yes")),C49+12.5*C88+C92+C93+C103,"")</f>
        <v/>
      </c>
      <c r="D176" s="375" t="str">
        <f>IF(AND(ISNUMBER(F49),ISNUMBER(D88),ISNUMBER(C92),ISNUMBER(C93),ISNUMBER(D175),OR(ISNUMBER(C103),'General Info'!C48="Yes")),F49+12.5*D88+C92+C93+C103+D175,"")</f>
        <v/>
      </c>
      <c r="E176" s="1170"/>
      <c r="F176" s="1170"/>
      <c r="G176" s="1170"/>
      <c r="H176" s="1170"/>
      <c r="I176" s="1170"/>
      <c r="J176" s="1170"/>
      <c r="K176" s="1143"/>
    </row>
    <row r="177" spans="1:11" s="1168" customFormat="1" ht="30" customHeight="1" x14ac:dyDescent="0.2">
      <c r="A177" s="74"/>
      <c r="B177" s="1169"/>
      <c r="C177" s="1169"/>
      <c r="D177" s="1170"/>
      <c r="E177" s="1170"/>
      <c r="F177" s="1170"/>
      <c r="G177" s="1170"/>
      <c r="H177" s="1170"/>
      <c r="I177" s="1170"/>
      <c r="J177" s="1170"/>
      <c r="K177" s="1143"/>
    </row>
    <row r="178" spans="1:11" s="1168" customFormat="1" ht="15" customHeight="1" x14ac:dyDescent="0.2">
      <c r="A178" s="63"/>
      <c r="B178" s="1633"/>
      <c r="C178" s="1624" t="s">
        <v>547</v>
      </c>
      <c r="D178" s="1625"/>
      <c r="E178" s="1170"/>
      <c r="F178" s="1170"/>
      <c r="G178" s="1170"/>
      <c r="H178" s="1170"/>
      <c r="I178" s="1170"/>
      <c r="J178" s="1170"/>
      <c r="K178" s="1143"/>
    </row>
    <row r="179" spans="1:11" s="1168" customFormat="1" ht="15" customHeight="1" x14ac:dyDescent="0.2">
      <c r="A179" s="63"/>
      <c r="B179" s="1634"/>
      <c r="C179" s="1635" t="s">
        <v>317</v>
      </c>
      <c r="D179" s="1637" t="s">
        <v>903</v>
      </c>
      <c r="E179" s="1170"/>
      <c r="F179" s="1170"/>
      <c r="G179" s="1170"/>
      <c r="H179" s="1170"/>
      <c r="I179" s="1170"/>
      <c r="J179" s="1170"/>
      <c r="K179" s="1143"/>
    </row>
    <row r="180" spans="1:11" s="1168" customFormat="1" ht="15" customHeight="1" x14ac:dyDescent="0.2">
      <c r="A180" s="63"/>
      <c r="B180" s="388" t="s">
        <v>481</v>
      </c>
      <c r="C180" s="1636"/>
      <c r="D180" s="1638"/>
      <c r="E180" s="1170"/>
      <c r="F180" s="1170"/>
      <c r="G180" s="1170"/>
      <c r="H180" s="1170"/>
      <c r="I180" s="1170"/>
      <c r="J180" s="1170"/>
      <c r="K180" s="1143"/>
    </row>
    <row r="181" spans="1:11" s="1168" customFormat="1" ht="15" customHeight="1" x14ac:dyDescent="0.2">
      <c r="A181" s="63"/>
      <c r="B181" s="385" t="s">
        <v>37</v>
      </c>
      <c r="C181" s="386" t="str">
        <f>IF(AND(ISNUMBER('General Info'!C63),ISNUMBER(C176)),'General Info'!C63/C176,"")</f>
        <v/>
      </c>
      <c r="D181" s="387" t="str">
        <f>IF(AND(ISNUMBER('General Info'!D63),ISNUMBER(D176)),'General Info'!D63/D176,"")</f>
        <v/>
      </c>
      <c r="E181" s="1170"/>
      <c r="F181" s="1170"/>
      <c r="G181" s="1170"/>
      <c r="H181" s="1170"/>
      <c r="I181" s="1170"/>
      <c r="J181" s="1170"/>
      <c r="K181" s="1143"/>
    </row>
    <row r="182" spans="1:11" s="1168" customFormat="1" ht="15" customHeight="1" x14ac:dyDescent="0.2">
      <c r="A182" s="63"/>
      <c r="B182" s="283" t="s">
        <v>38</v>
      </c>
      <c r="C182" s="380" t="str">
        <f>IF(AND(ISNUMBER('General Info'!C70),ISNUMBER(C176)),'General Info'!C70/C176,"")</f>
        <v/>
      </c>
      <c r="D182" s="381" t="str">
        <f>IF(AND(ISNUMBER('General Info'!D70),ISNUMBER(D176)),'General Info'!D70/D176,"")</f>
        <v/>
      </c>
      <c r="E182" s="1170"/>
      <c r="F182" s="1170"/>
      <c r="G182" s="1170"/>
      <c r="H182" s="1170"/>
      <c r="I182" s="1170"/>
      <c r="J182" s="1170"/>
      <c r="K182" s="1143"/>
    </row>
    <row r="183" spans="1:11" s="1168" customFormat="1" ht="15" customHeight="1" x14ac:dyDescent="0.2">
      <c r="A183" s="63"/>
      <c r="B183" s="382" t="s">
        <v>110</v>
      </c>
      <c r="C183" s="383" t="str">
        <f>IF(AND(ISNUMBER('General Info'!C62),ISNUMBER(C176)),'General Info'!C62/C176,"")</f>
        <v/>
      </c>
      <c r="D183" s="384" t="str">
        <f>IF(AND(ISNUMBER('General Info'!D62),ISNUMBER(D176)),'General Info'!D62/D176,"")</f>
        <v/>
      </c>
      <c r="E183" s="1170"/>
      <c r="F183" s="1170"/>
      <c r="G183" s="1170"/>
      <c r="H183" s="1170"/>
      <c r="I183" s="1170"/>
      <c r="J183" s="1170"/>
      <c r="K183" s="1143"/>
    </row>
    <row r="184" spans="1:11" s="1168" customFormat="1" ht="15" customHeight="1" x14ac:dyDescent="0.2">
      <c r="A184" s="1077"/>
      <c r="B184" s="71"/>
      <c r="C184" s="71"/>
      <c r="D184" s="67"/>
      <c r="E184" s="67"/>
      <c r="F184" s="67"/>
      <c r="G184" s="67"/>
      <c r="H184" s="67"/>
      <c r="I184" s="67"/>
      <c r="J184" s="67"/>
      <c r="K184" s="93"/>
    </row>
  </sheetData>
  <mergeCells count="28">
    <mergeCell ref="G52:I52"/>
    <mergeCell ref="G53:I53"/>
    <mergeCell ref="C52:F52"/>
    <mergeCell ref="B178:B179"/>
    <mergeCell ref="C178:D178"/>
    <mergeCell ref="C179:C180"/>
    <mergeCell ref="D179:D180"/>
    <mergeCell ref="D53:F53"/>
    <mergeCell ref="C53:C54"/>
    <mergeCell ref="B173:B174"/>
    <mergeCell ref="C173:D173"/>
    <mergeCell ref="B43:B45"/>
    <mergeCell ref="C43:E43"/>
    <mergeCell ref="F43:I43"/>
    <mergeCell ref="C44:C45"/>
    <mergeCell ref="F44:F45"/>
    <mergeCell ref="H44:I44"/>
    <mergeCell ref="B35:B37"/>
    <mergeCell ref="C35:E35"/>
    <mergeCell ref="F35:J35"/>
    <mergeCell ref="C36:C37"/>
    <mergeCell ref="F36:F37"/>
    <mergeCell ref="H36:J36"/>
    <mergeCell ref="B8:B10"/>
    <mergeCell ref="C8:E8"/>
    <mergeCell ref="F8:J8"/>
    <mergeCell ref="C9:G9"/>
    <mergeCell ref="H9:J9"/>
  </mergeCells>
  <conditionalFormatting sqref="C92:C93 C99:C102 C107 C76:D77 C73:D73 C116:C118 C110:C113 C70:D71 C67:D67 C59:D64 C55:D57 C80:D82 C84:D87 C130:C131 C32:E32 C47:C48 F47:F48 E31:J31 F26:G26 C16:E17 E22:E29 C22:C29 D22:D31 C31 E12:E14 C12:D12 C14:D14 D13 H19:J19 G22:J22 G23:G25 F22:F23 C19:G20 F17:G17 F16:J16 F14:G14 C121:C125 F12:J12 C133:C136 C138:C141 H48:I48 G55:G57 G59:G63 G71 E78:F78 H78:I78 E74:F74 H74:I74 E57:I57 E82:I82">
    <cfRule type="cellIs" dxfId="1375" priority="39" stopIfTrue="1" operator="lessThan">
      <formula>0</formula>
    </cfRule>
  </conditionalFormatting>
  <conditionalFormatting sqref="C39:C40">
    <cfRule type="cellIs" dxfId="1374" priority="34" stopIfTrue="1" operator="lessThan">
      <formula>0</formula>
    </cfRule>
  </conditionalFormatting>
  <conditionalFormatting sqref="D39:D41">
    <cfRule type="cellIs" dxfId="1373" priority="37" stopIfTrue="1" operator="lessThan">
      <formula>0</formula>
    </cfRule>
  </conditionalFormatting>
  <conditionalFormatting sqref="F39:F40">
    <cfRule type="cellIs" dxfId="1372" priority="36" stopIfTrue="1" operator="lessThan">
      <formula>0</formula>
    </cfRule>
  </conditionalFormatting>
  <conditionalFormatting sqref="H39:J39">
    <cfRule type="cellIs" dxfId="1371" priority="35" stopIfTrue="1" operator="lessThan">
      <formula>0</formula>
    </cfRule>
  </conditionalFormatting>
  <conditionalFormatting sqref="C150:C154">
    <cfRule type="cellIs" dxfId="1370" priority="33" stopIfTrue="1" operator="lessThan">
      <formula>0</formula>
    </cfRule>
  </conditionalFormatting>
  <conditionalFormatting sqref="C159">
    <cfRule type="cellIs" dxfId="1369" priority="31" stopIfTrue="1" operator="lessThan">
      <formula>0</formula>
    </cfRule>
  </conditionalFormatting>
  <conditionalFormatting sqref="C156">
    <cfRule type="cellIs" dxfId="1368" priority="32" stopIfTrue="1" operator="lessThan">
      <formula>0</formula>
    </cfRule>
  </conditionalFormatting>
  <conditionalFormatting sqref="D150:D154">
    <cfRule type="cellIs" dxfId="1367" priority="30" stopIfTrue="1" operator="lessThan">
      <formula>0</formula>
    </cfRule>
  </conditionalFormatting>
  <conditionalFormatting sqref="D156">
    <cfRule type="cellIs" dxfId="1366" priority="29" stopIfTrue="1" operator="lessThan">
      <formula>0</formula>
    </cfRule>
  </conditionalFormatting>
  <conditionalFormatting sqref="C160:C163">
    <cfRule type="cellIs" dxfId="1365" priority="28" stopIfTrue="1" operator="lessThan">
      <formula>0</formula>
    </cfRule>
  </conditionalFormatting>
  <conditionalFormatting sqref="C165">
    <cfRule type="cellIs" dxfId="1364" priority="27" stopIfTrue="1" operator="lessThan">
      <formula>0</formula>
    </cfRule>
  </conditionalFormatting>
  <conditionalFormatting sqref="D167">
    <cfRule type="cellIs" dxfId="1363" priority="26" stopIfTrue="1" operator="lessThan">
      <formula>0</formula>
    </cfRule>
  </conditionalFormatting>
  <conditionalFormatting sqref="D58 D65 C66:D66 D68:D69 D75 D79 D83 C126:C127 C143 D169">
    <cfRule type="cellIs" dxfId="1362" priority="24" stopIfTrue="1" operator="equal">
      <formula>"No"</formula>
    </cfRule>
    <cfRule type="cellIs" dxfId="1361" priority="25" stopIfTrue="1" operator="equal">
      <formula>"Yes"</formula>
    </cfRule>
  </conditionalFormatting>
  <conditionalFormatting sqref="G72">
    <cfRule type="cellIs" dxfId="1360" priority="19" stopIfTrue="1" operator="lessThan">
      <formula>0</formula>
    </cfRule>
  </conditionalFormatting>
  <conditionalFormatting sqref="G73">
    <cfRule type="cellIs" dxfId="1359" priority="18" stopIfTrue="1" operator="lessThan">
      <formula>0</formula>
    </cfRule>
  </conditionalFormatting>
  <conditionalFormatting sqref="G78">
    <cfRule type="cellIs" dxfId="1358" priority="17" stopIfTrue="1" operator="lessThan">
      <formula>0</formula>
    </cfRule>
  </conditionalFormatting>
  <conditionalFormatting sqref="G58">
    <cfRule type="cellIs" dxfId="1357" priority="15" stopIfTrue="1" operator="equal">
      <formula>"No"</formula>
    </cfRule>
    <cfRule type="cellIs" dxfId="1356" priority="16" stopIfTrue="1" operator="equal">
      <formula>"Yes"</formula>
    </cfRule>
  </conditionalFormatting>
  <conditionalFormatting sqref="G75">
    <cfRule type="cellIs" dxfId="1355" priority="13" stopIfTrue="1" operator="equal">
      <formula>"No"</formula>
    </cfRule>
    <cfRule type="cellIs" dxfId="1354" priority="14" stopIfTrue="1" operator="equal">
      <formula>"Yes"</formula>
    </cfRule>
  </conditionalFormatting>
  <conditionalFormatting sqref="G79">
    <cfRule type="cellIs" dxfId="1353" priority="11" stopIfTrue="1" operator="equal">
      <formula>"No"</formula>
    </cfRule>
    <cfRule type="cellIs" dxfId="1352" priority="12" stopIfTrue="1" operator="equal">
      <formula>"Yes"</formula>
    </cfRule>
  </conditionalFormatting>
  <conditionalFormatting sqref="G83">
    <cfRule type="cellIs" dxfId="1351" priority="9" stopIfTrue="1" operator="equal">
      <formula>"No"</formula>
    </cfRule>
    <cfRule type="cellIs" dxfId="1350" priority="10" stopIfTrue="1" operator="equal">
      <formula>"Yes"</formula>
    </cfRule>
  </conditionalFormatting>
  <conditionalFormatting sqref="G76">
    <cfRule type="cellIs" dxfId="1349" priority="8" stopIfTrue="1" operator="lessThan">
      <formula>0</formula>
    </cfRule>
  </conditionalFormatting>
  <conditionalFormatting sqref="G77">
    <cfRule type="cellIs" dxfId="1348" priority="7" stopIfTrue="1" operator="lessThan">
      <formula>0</formula>
    </cfRule>
  </conditionalFormatting>
  <conditionalFormatting sqref="G80">
    <cfRule type="cellIs" dxfId="1347" priority="6" stopIfTrue="1" operator="lessThan">
      <formula>0</formula>
    </cfRule>
  </conditionalFormatting>
  <conditionalFormatting sqref="G81">
    <cfRule type="cellIs" dxfId="1346" priority="5" stopIfTrue="1" operator="lessThan">
      <formula>0</formula>
    </cfRule>
  </conditionalFormatting>
  <conditionalFormatting sqref="G84">
    <cfRule type="cellIs" dxfId="1345" priority="4" stopIfTrue="1" operator="lessThan">
      <formula>0</formula>
    </cfRule>
  </conditionalFormatting>
  <conditionalFormatting sqref="G85">
    <cfRule type="cellIs" dxfId="1344" priority="3" stopIfTrue="1" operator="lessThan">
      <formula>0</formula>
    </cfRule>
  </conditionalFormatting>
  <conditionalFormatting sqref="G86">
    <cfRule type="cellIs" dxfId="1343" priority="2" stopIfTrue="1" operator="lessThan">
      <formula>0</formula>
    </cfRule>
  </conditionalFormatting>
  <conditionalFormatting sqref="G87">
    <cfRule type="cellIs" dxfId="1342" priority="1" stopIfTrue="1" operator="lessThan">
      <formula>0</formula>
    </cfRule>
  </conditionalFormatting>
  <dataValidations disablePrompts="1" count="2">
    <dataValidation type="list" showInputMessage="1" showErrorMessage="1" sqref="C147:C148">
      <formula1>Test1</formula1>
    </dataValidation>
    <dataValidation type="list" showInputMessage="1" showErrorMessage="1" sqref="C146">
      <formula1>YesNo</formula1>
    </dataValidation>
  </dataValidations>
  <printOptions headings="1"/>
  <pageMargins left="0.59055118110236227" right="0.59055118110236227" top="0.98425196850393704" bottom="0.98425196850393704" header="0.51181102362204722" footer="0.51181102362204722"/>
  <pageSetup paperSize="9" scale="50" fitToHeight="4" pageOrder="overThenDown" orientation="landscape" r:id="rId1"/>
  <headerFooter alignWithMargins="0">
    <oddHeader>&amp;L&amp;"Arial,Bold"&amp;14Basel Committee on Banking Supervision
Basel III monitoring template&amp;C&amp;14&amp;F
&amp;A&amp;R&amp;"Arial,Bold"&amp;14Confidential when completed</oddHeader>
    <oddFooter>&amp;L&amp;14&amp;D  &amp;T&amp;R&amp;14Page &amp;P of &amp;N</oddFooter>
  </headerFooter>
  <rowBreaks count="3" manualBreakCount="3">
    <brk id="49" max="7" man="1"/>
    <brk id="94" max="7" man="1"/>
    <brk id="137" max="10" man="1"/>
  </rowBreaks>
  <ignoredErrors>
    <ignoredError sqref="C11:J32 C34:J183 C33:D33 F33:J33" emptyCellReference="1"/>
    <ignoredError sqref="E33" formula="1" emptyCellReferenc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indexed="43"/>
  </sheetPr>
  <dimension ref="A1:E252"/>
  <sheetViews>
    <sheetView zoomScale="75" zoomScaleNormal="75" workbookViewId="0"/>
  </sheetViews>
  <sheetFormatPr defaultColWidth="8.85546875" defaultRowHeight="15" customHeight="1" x14ac:dyDescent="0.2"/>
  <cols>
    <col min="1" max="1" width="1.7109375" customWidth="1"/>
    <col min="2" max="2" width="10.7109375" style="182" customWidth="1"/>
    <col min="3" max="3" width="200.7109375" style="182" customWidth="1"/>
    <col min="4" max="4" width="16.7109375" style="182" customWidth="1"/>
    <col min="5" max="5" width="1.7109375" customWidth="1"/>
  </cols>
  <sheetData>
    <row r="1" spans="1:5" ht="30" customHeight="1" x14ac:dyDescent="0.4">
      <c r="A1" s="34" t="s">
        <v>193</v>
      </c>
      <c r="B1" s="44"/>
      <c r="C1" s="35"/>
      <c r="D1" s="86"/>
      <c r="E1" s="32"/>
    </row>
    <row r="2" spans="1:5" s="62" customFormat="1" ht="30" customHeight="1" x14ac:dyDescent="0.25">
      <c r="A2" s="1478" t="s">
        <v>388</v>
      </c>
      <c r="B2" s="59"/>
      <c r="C2" s="60"/>
      <c r="D2" s="60"/>
      <c r="E2" s="61"/>
    </row>
    <row r="3" spans="1:5" s="62" customFormat="1" ht="15" customHeight="1" x14ac:dyDescent="0.2">
      <c r="A3" s="147"/>
      <c r="B3" s="87"/>
      <c r="C3" s="88"/>
      <c r="D3" s="88"/>
      <c r="E3" s="89"/>
    </row>
    <row r="4" spans="1:5" s="62" customFormat="1" ht="15" customHeight="1" x14ac:dyDescent="0.2">
      <c r="A4" s="147"/>
      <c r="B4" s="90" t="s">
        <v>416</v>
      </c>
      <c r="C4" s="88"/>
      <c r="D4" s="88"/>
      <c r="E4" s="89"/>
    </row>
    <row r="5" spans="1:5" s="2" customFormat="1" ht="15" customHeight="1" x14ac:dyDescent="0.2">
      <c r="A5" s="6"/>
      <c r="B5" s="3"/>
      <c r="C5" s="3"/>
      <c r="D5" s="3"/>
      <c r="E5" s="4"/>
    </row>
    <row r="6" spans="1:5" s="2" customFormat="1" ht="15" customHeight="1" x14ac:dyDescent="0.2">
      <c r="A6" s="6"/>
      <c r="B6" s="1646"/>
      <c r="C6" s="1647"/>
      <c r="D6" s="399" t="s">
        <v>167</v>
      </c>
      <c r="E6" s="4"/>
    </row>
    <row r="7" spans="1:5" s="2" customFormat="1" ht="15" customHeight="1" x14ac:dyDescent="0.2">
      <c r="A7" s="6"/>
      <c r="B7" s="421"/>
      <c r="C7" s="395" t="s">
        <v>75</v>
      </c>
      <c r="D7" s="229"/>
      <c r="E7" s="4"/>
    </row>
    <row r="8" spans="1:5" s="2" customFormat="1" ht="15" customHeight="1" x14ac:dyDescent="0.2">
      <c r="A8" s="6"/>
      <c r="B8" s="405"/>
      <c r="C8" s="396" t="s">
        <v>195</v>
      </c>
      <c r="D8" s="228"/>
      <c r="E8" s="4"/>
    </row>
    <row r="9" spans="1:5" s="2" customFormat="1" ht="15" customHeight="1" x14ac:dyDescent="0.2">
      <c r="A9" s="6"/>
      <c r="B9" s="405"/>
      <c r="C9" s="396" t="s">
        <v>163</v>
      </c>
      <c r="D9" s="228"/>
      <c r="E9" s="4"/>
    </row>
    <row r="10" spans="1:5" s="2" customFormat="1" ht="15" customHeight="1" x14ac:dyDescent="0.2">
      <c r="A10" s="6"/>
      <c r="B10" s="405"/>
      <c r="C10" s="396" t="s">
        <v>77</v>
      </c>
      <c r="D10" s="228"/>
      <c r="E10" s="4"/>
    </row>
    <row r="11" spans="1:5" s="2" customFormat="1" ht="15" customHeight="1" x14ac:dyDescent="0.2">
      <c r="A11" s="6"/>
      <c r="B11" s="405"/>
      <c r="C11" s="396" t="s">
        <v>474</v>
      </c>
      <c r="D11" s="228"/>
      <c r="E11" s="4"/>
    </row>
    <row r="12" spans="1:5" s="2" customFormat="1" ht="15" customHeight="1" x14ac:dyDescent="0.2">
      <c r="A12" s="6"/>
      <c r="B12" s="405"/>
      <c r="C12" s="396" t="s">
        <v>475</v>
      </c>
      <c r="D12" s="228"/>
      <c r="E12" s="4"/>
    </row>
    <row r="13" spans="1:5" s="2" customFormat="1" ht="15" customHeight="1" x14ac:dyDescent="0.2">
      <c r="A13" s="6"/>
      <c r="B13" s="405"/>
      <c r="C13" s="396" t="s">
        <v>189</v>
      </c>
      <c r="D13" s="228"/>
      <c r="E13" s="4"/>
    </row>
    <row r="14" spans="1:5" s="2" customFormat="1" ht="15" customHeight="1" x14ac:dyDescent="0.2">
      <c r="A14" s="6"/>
      <c r="B14" s="405"/>
      <c r="C14" s="396" t="s">
        <v>619</v>
      </c>
      <c r="D14" s="228"/>
      <c r="E14" s="4"/>
    </row>
    <row r="15" spans="1:5" s="2" customFormat="1" ht="15" customHeight="1" x14ac:dyDescent="0.2">
      <c r="A15" s="6"/>
      <c r="B15" s="405"/>
      <c r="C15" s="396" t="s">
        <v>620</v>
      </c>
      <c r="D15" s="228"/>
      <c r="E15" s="4"/>
    </row>
    <row r="16" spans="1:5" s="2" customFormat="1" ht="15" customHeight="1" x14ac:dyDescent="0.2">
      <c r="A16" s="6"/>
      <c r="B16" s="405"/>
      <c r="C16" s="396" t="str">
        <f>CONCATENATE("Investments in the capital of financial entities where the bank does not own more than 10% of the issued common share capital (assuming full deduction of all such investments including amounts in cells D", ROW(D201), " to D", ROW(D203))</f>
        <v>Investments in the capital of financial entities where the bank does not own more than 10% of the issued common share capital (assuming full deduction of all such investments including amounts in cells D201 to D203</v>
      </c>
      <c r="D16" s="228"/>
      <c r="E16" s="4"/>
    </row>
    <row r="17" spans="1:5" s="2" customFormat="1" ht="15" customHeight="1" x14ac:dyDescent="0.2">
      <c r="A17" s="6"/>
      <c r="B17" s="405"/>
      <c r="C17" s="396" t="s">
        <v>613</v>
      </c>
      <c r="D17" s="263" t="str">
        <f>IF(AND(ISNUMBER(D251),ISNUMBER(D206),ISNUMBER(D207),ISNUMBER(D208)),D251*2.5+D206+D207+D208,"")</f>
        <v/>
      </c>
      <c r="E17" s="4"/>
    </row>
    <row r="18" spans="1:5" s="2" customFormat="1" ht="15" customHeight="1" x14ac:dyDescent="0.2">
      <c r="A18" s="6"/>
      <c r="B18" s="405"/>
      <c r="C18" s="397" t="s">
        <v>132</v>
      </c>
      <c r="D18" s="263" t="str">
        <f>IF(AND(ISNUMBER(D19),ISNUMBER(D20),ISNUMBER(D21),ISNUMBER(D22)),SUM(D19:D22),"")</f>
        <v/>
      </c>
      <c r="E18" s="4"/>
    </row>
    <row r="19" spans="1:5" s="2" customFormat="1" ht="15" customHeight="1" x14ac:dyDescent="0.2">
      <c r="A19" s="6"/>
      <c r="B19" s="405"/>
      <c r="C19" s="398" t="s">
        <v>506</v>
      </c>
      <c r="D19" s="228"/>
      <c r="E19" s="4"/>
    </row>
    <row r="20" spans="1:5" s="2" customFormat="1" ht="15" customHeight="1" x14ac:dyDescent="0.2">
      <c r="A20" s="6"/>
      <c r="B20" s="405"/>
      <c r="C20" s="398" t="s">
        <v>507</v>
      </c>
      <c r="D20" s="228"/>
      <c r="E20" s="4"/>
    </row>
    <row r="21" spans="1:5" s="2" customFormat="1" ht="15" customHeight="1" x14ac:dyDescent="0.2">
      <c r="A21" s="6"/>
      <c r="B21" s="405"/>
      <c r="C21" s="398" t="s">
        <v>508</v>
      </c>
      <c r="D21" s="228"/>
      <c r="E21" s="4"/>
    </row>
    <row r="22" spans="1:5" s="2" customFormat="1" ht="15" customHeight="1" x14ac:dyDescent="0.2">
      <c r="A22" s="6"/>
      <c r="B22" s="405"/>
      <c r="C22" s="398" t="s">
        <v>153</v>
      </c>
      <c r="D22" s="228"/>
      <c r="E22" s="4"/>
    </row>
    <row r="23" spans="1:5" s="2" customFormat="1" ht="15" customHeight="1" x14ac:dyDescent="0.2">
      <c r="A23" s="6"/>
      <c r="B23" s="422"/>
      <c r="C23" s="402" t="s">
        <v>72</v>
      </c>
      <c r="D23" s="230"/>
      <c r="E23" s="4"/>
    </row>
    <row r="24" spans="1:5" s="2" customFormat="1" ht="15" customHeight="1" x14ac:dyDescent="0.2">
      <c r="A24" s="6"/>
      <c r="B24" s="423"/>
      <c r="C24" s="400" t="s">
        <v>483</v>
      </c>
      <c r="D24" s="401" t="str">
        <f>IF(AND(ISNUMBER(D7),ISNUMBER(D8),ISNUMBER(D9),ISNUMBER(D10),ISNUMBER(D11),ISNUMBER(D12),ISNUMBER(D13),ISNUMBER(D14),ISNUMBER(D15),ISNUMBER(D16),ISNUMBER(D17),ISNUMBER(D18),ISNUMBER(D23)),SUM(D7:D18,D23),"")</f>
        <v/>
      </c>
      <c r="E24" s="4"/>
    </row>
    <row r="25" spans="1:5" s="2" customFormat="1" ht="15" customHeight="1" x14ac:dyDescent="0.2">
      <c r="A25" s="6"/>
      <c r="B25" s="3"/>
      <c r="C25" s="3"/>
      <c r="D25" s="1"/>
      <c r="E25" s="4"/>
    </row>
    <row r="26" spans="1:5" ht="30" customHeight="1" x14ac:dyDescent="0.25">
      <c r="A26" s="1478" t="s">
        <v>183</v>
      </c>
      <c r="B26" s="52"/>
      <c r="C26" s="24"/>
      <c r="D26" s="24"/>
      <c r="E26" s="32"/>
    </row>
    <row r="27" spans="1:5" ht="30" customHeight="1" x14ac:dyDescent="0.25">
      <c r="A27" s="20" t="s">
        <v>417</v>
      </c>
      <c r="B27" s="49"/>
      <c r="C27" s="50"/>
      <c r="D27" s="50"/>
      <c r="E27" s="28"/>
    </row>
    <row r="28" spans="1:5" ht="15" customHeight="1" x14ac:dyDescent="0.2">
      <c r="A28" s="31"/>
      <c r="B28" s="9"/>
      <c r="C28" s="9"/>
      <c r="D28" s="54"/>
      <c r="E28" s="28"/>
    </row>
    <row r="29" spans="1:5" ht="30" customHeight="1" x14ac:dyDescent="0.2">
      <c r="A29" s="31"/>
      <c r="B29" s="414" t="s">
        <v>196</v>
      </c>
      <c r="C29" s="415" t="s">
        <v>194</v>
      </c>
      <c r="D29" s="416" t="s">
        <v>536</v>
      </c>
      <c r="E29" s="28"/>
    </row>
    <row r="30" spans="1:5" s="2" customFormat="1" ht="45" customHeight="1" x14ac:dyDescent="0.2">
      <c r="A30" s="6"/>
      <c r="B30" s="411" t="s">
        <v>537</v>
      </c>
      <c r="C30" s="412" t="s">
        <v>473</v>
      </c>
      <c r="D30" s="413"/>
      <c r="E30" s="4"/>
    </row>
    <row r="31" spans="1:5" s="2" customFormat="1" ht="30" customHeight="1" x14ac:dyDescent="0.2">
      <c r="A31" s="6"/>
      <c r="B31" s="403" t="s">
        <v>537</v>
      </c>
      <c r="C31" s="404" t="s">
        <v>74</v>
      </c>
      <c r="D31" s="228"/>
      <c r="E31" s="4"/>
    </row>
    <row r="32" spans="1:5" s="2" customFormat="1" ht="30" customHeight="1" x14ac:dyDescent="0.2">
      <c r="A32" s="6"/>
      <c r="B32" s="405"/>
      <c r="C32" s="404" t="s">
        <v>330</v>
      </c>
      <c r="D32" s="406" t="str">
        <f>IF(AND(ISNUMBER(D33),ISNUMBER(D34),ISNUMBER(D35),ISNUMBER(D36),ISNUMBER(D37),ISNUMBER(D38),ISNUMBER(D39)),SUM(D33:D39),"")</f>
        <v/>
      </c>
      <c r="E32" s="4"/>
    </row>
    <row r="33" spans="1:5" s="2" customFormat="1" ht="15" customHeight="1" x14ac:dyDescent="0.2">
      <c r="A33" s="6"/>
      <c r="B33" s="403" t="s">
        <v>537</v>
      </c>
      <c r="C33" s="407" t="s">
        <v>331</v>
      </c>
      <c r="D33" s="228"/>
      <c r="E33" s="4"/>
    </row>
    <row r="34" spans="1:5" s="2" customFormat="1" ht="15" customHeight="1" x14ac:dyDescent="0.2">
      <c r="A34" s="6"/>
      <c r="B34" s="403" t="s">
        <v>537</v>
      </c>
      <c r="C34" s="407" t="s">
        <v>332</v>
      </c>
      <c r="D34" s="228"/>
      <c r="E34" s="4"/>
    </row>
    <row r="35" spans="1:5" s="2" customFormat="1" ht="15" customHeight="1" x14ac:dyDescent="0.2">
      <c r="A35" s="6"/>
      <c r="B35" s="403" t="s">
        <v>537</v>
      </c>
      <c r="C35" s="407" t="s">
        <v>133</v>
      </c>
      <c r="D35" s="228"/>
      <c r="E35" s="4"/>
    </row>
    <row r="36" spans="1:5" s="2" customFormat="1" ht="15" customHeight="1" x14ac:dyDescent="0.2">
      <c r="A36" s="6"/>
      <c r="B36" s="403" t="s">
        <v>537</v>
      </c>
      <c r="C36" s="407" t="s">
        <v>627</v>
      </c>
      <c r="D36" s="228"/>
      <c r="E36" s="4"/>
    </row>
    <row r="37" spans="1:5" s="2" customFormat="1" ht="15" customHeight="1" x14ac:dyDescent="0.2">
      <c r="A37" s="6"/>
      <c r="B37" s="403" t="s">
        <v>537</v>
      </c>
      <c r="C37" s="407" t="s">
        <v>513</v>
      </c>
      <c r="D37" s="228"/>
      <c r="E37" s="4"/>
    </row>
    <row r="38" spans="1:5" s="2" customFormat="1" ht="15" customHeight="1" x14ac:dyDescent="0.2">
      <c r="A38" s="6"/>
      <c r="B38" s="403" t="s">
        <v>537</v>
      </c>
      <c r="C38" s="407" t="s">
        <v>514</v>
      </c>
      <c r="D38" s="228"/>
      <c r="E38" s="4"/>
    </row>
    <row r="39" spans="1:5" s="2" customFormat="1" ht="15" customHeight="1" x14ac:dyDescent="0.2">
      <c r="A39" s="6"/>
      <c r="B39" s="403" t="s">
        <v>537</v>
      </c>
      <c r="C39" s="407" t="s">
        <v>339</v>
      </c>
      <c r="D39" s="228"/>
      <c r="E39" s="4"/>
    </row>
    <row r="40" spans="1:5" s="2" customFormat="1" ht="15" customHeight="1" x14ac:dyDescent="0.2">
      <c r="A40" s="6"/>
      <c r="B40" s="405"/>
      <c r="C40" s="404" t="s">
        <v>340</v>
      </c>
      <c r="D40" s="263" t="str">
        <f>IF(AND(ISNUMBER(D30),ISNUMBER(D31),ISNUMBER(D32)),SUM(D30:D32),"")</f>
        <v/>
      </c>
      <c r="E40" s="4"/>
    </row>
    <row r="41" spans="1:5" s="2" customFormat="1" ht="15" customHeight="1" x14ac:dyDescent="0.2">
      <c r="A41" s="6"/>
      <c r="B41" s="403" t="s">
        <v>538</v>
      </c>
      <c r="C41" s="408" t="s">
        <v>128</v>
      </c>
      <c r="D41" s="228"/>
      <c r="E41" s="4"/>
    </row>
    <row r="42" spans="1:5" s="2" customFormat="1" ht="15" customHeight="1" x14ac:dyDescent="0.2">
      <c r="A42" s="6"/>
      <c r="B42" s="405"/>
      <c r="C42" s="404" t="s">
        <v>197</v>
      </c>
      <c r="D42" s="263" t="str">
        <f>IF(AND(ISNUMBER(D40),ISNUMBER(D41)),D40+D41,"")</f>
        <v/>
      </c>
      <c r="E42" s="4"/>
    </row>
    <row r="43" spans="1:5" s="2" customFormat="1" ht="15" customHeight="1" x14ac:dyDescent="0.2">
      <c r="A43" s="6"/>
      <c r="B43" s="405"/>
      <c r="C43" s="409" t="s">
        <v>198</v>
      </c>
      <c r="D43" s="263" t="str">
        <f>IF(ISNUMBER(D94),D94,"")</f>
        <v/>
      </c>
      <c r="E43" s="4"/>
    </row>
    <row r="44" spans="1:5" s="2" customFormat="1" ht="15" customHeight="1" x14ac:dyDescent="0.2">
      <c r="A44" s="6"/>
      <c r="B44" s="405"/>
      <c r="C44" s="409" t="s">
        <v>341</v>
      </c>
      <c r="D44" s="263" t="str">
        <f>IF(ISNUMBER(D100),D100,"")</f>
        <v/>
      </c>
      <c r="E44" s="4"/>
    </row>
    <row r="45" spans="1:5" s="2" customFormat="1" ht="15" customHeight="1" x14ac:dyDescent="0.2">
      <c r="A45" s="6"/>
      <c r="B45" s="405"/>
      <c r="C45" s="409" t="s">
        <v>199</v>
      </c>
      <c r="D45" s="263" t="str">
        <f>IF(ISNUMBER(D112),D112,"")</f>
        <v/>
      </c>
      <c r="E45" s="4"/>
    </row>
    <row r="46" spans="1:5" s="2" customFormat="1" ht="15" customHeight="1" x14ac:dyDescent="0.2">
      <c r="A46" s="6"/>
      <c r="B46" s="405"/>
      <c r="C46" s="408" t="s">
        <v>200</v>
      </c>
      <c r="D46" s="263" t="str">
        <f>IF(ISNUMBER(D120),D120,"")</f>
        <v/>
      </c>
      <c r="E46" s="4"/>
    </row>
    <row r="47" spans="1:5" s="2" customFormat="1" ht="15" customHeight="1" x14ac:dyDescent="0.2">
      <c r="A47" s="6"/>
      <c r="B47" s="405"/>
      <c r="C47" s="409" t="s">
        <v>313</v>
      </c>
      <c r="D47" s="263" t="str">
        <f>IF(ISNUMBER(D132),D132,"")</f>
        <v/>
      </c>
      <c r="E47" s="4"/>
    </row>
    <row r="48" spans="1:5" s="2" customFormat="1" ht="15" customHeight="1" x14ac:dyDescent="0.2">
      <c r="A48" s="6"/>
      <c r="B48" s="405"/>
      <c r="C48" s="409" t="s">
        <v>314</v>
      </c>
      <c r="D48" s="263" t="str">
        <f>IF(ISNUMBER(D141),D141,"")</f>
        <v/>
      </c>
      <c r="E48" s="4"/>
    </row>
    <row r="49" spans="1:5" s="2" customFormat="1" ht="15" customHeight="1" x14ac:dyDescent="0.2">
      <c r="A49" s="6"/>
      <c r="B49" s="405"/>
      <c r="C49" s="408" t="s">
        <v>326</v>
      </c>
      <c r="D49" s="263" t="str">
        <f>IF(ISNUMBER(D161),D161,"")</f>
        <v/>
      </c>
      <c r="E49" s="4"/>
    </row>
    <row r="50" spans="1:5" s="2" customFormat="1" ht="15" customHeight="1" x14ac:dyDescent="0.2">
      <c r="A50" s="6"/>
      <c r="B50" s="405"/>
      <c r="C50" s="408" t="s">
        <v>108</v>
      </c>
      <c r="D50" s="263" t="str">
        <f>IF(ISNUMBER(D165),D165,"")</f>
        <v/>
      </c>
      <c r="E50" s="4"/>
    </row>
    <row r="51" spans="1:5" s="2" customFormat="1" ht="15" customHeight="1" x14ac:dyDescent="0.2">
      <c r="A51" s="6"/>
      <c r="B51" s="405"/>
      <c r="C51" s="409" t="s">
        <v>77</v>
      </c>
      <c r="D51" s="263" t="str">
        <f>IF(ISNUMBER(D175),D175,"")</f>
        <v/>
      </c>
      <c r="E51" s="4"/>
    </row>
    <row r="52" spans="1:5" s="2" customFormat="1" ht="15" customHeight="1" x14ac:dyDescent="0.2">
      <c r="A52" s="6"/>
      <c r="B52" s="405"/>
      <c r="C52" s="409" t="s">
        <v>84</v>
      </c>
      <c r="D52" s="263" t="str">
        <f>IF(ISNUMBER(D179),D179,"")</f>
        <v/>
      </c>
      <c r="E52" s="4"/>
    </row>
    <row r="53" spans="1:5" s="2" customFormat="1" ht="15" customHeight="1" x14ac:dyDescent="0.2">
      <c r="A53" s="6"/>
      <c r="B53" s="405"/>
      <c r="C53" s="404" t="s">
        <v>121</v>
      </c>
      <c r="D53" s="263" t="str">
        <f>IF(AND(ISNUMBER(D42),ISNUMBER(D43),ISNUMBER(D44),ISNUMBER(D45),ISNUMBER(D46),ISNUMBER(D47),ISNUMBER(D48),ISNUMBER(D49),ISNUMBER(D50),ISNUMBER(D51),ISNUMBER(D52)),D42-SUM(D43:D52),"")</f>
        <v/>
      </c>
      <c r="E53" s="4"/>
    </row>
    <row r="54" spans="1:5" s="2" customFormat="1" ht="15" customHeight="1" x14ac:dyDescent="0.2">
      <c r="A54" s="6"/>
      <c r="B54" s="405"/>
      <c r="C54" s="409" t="s">
        <v>109</v>
      </c>
      <c r="D54" s="263" t="str">
        <f>IF(ISNUMBER(D196),D196,"")</f>
        <v/>
      </c>
      <c r="E54" s="4"/>
    </row>
    <row r="55" spans="1:5" s="2" customFormat="1" ht="15" customHeight="1" x14ac:dyDescent="0.2">
      <c r="A55" s="6"/>
      <c r="B55" s="405"/>
      <c r="C55" s="404" t="s">
        <v>121</v>
      </c>
      <c r="D55" s="263" t="str">
        <f>IF(AND(ISNUMBER(D53),ISNUMBER(D54)),D53-D54,"")</f>
        <v/>
      </c>
      <c r="E55" s="4"/>
    </row>
    <row r="56" spans="1:5" s="2" customFormat="1" ht="15" customHeight="1" x14ac:dyDescent="0.2">
      <c r="A56" s="6"/>
      <c r="B56" s="405"/>
      <c r="C56" s="409" t="s">
        <v>111</v>
      </c>
      <c r="D56" s="263" t="str">
        <f>IF(ISNUMBER(D223),D223,"")</f>
        <v/>
      </c>
      <c r="E56" s="4"/>
    </row>
    <row r="57" spans="1:5" s="2" customFormat="1" ht="15" customHeight="1" x14ac:dyDescent="0.2">
      <c r="A57" s="6"/>
      <c r="B57" s="405"/>
      <c r="C57" s="409" t="s">
        <v>184</v>
      </c>
      <c r="D57" s="263" t="str">
        <f>IF(ISNUMBER(D233),D233,"")</f>
        <v/>
      </c>
      <c r="E57" s="4"/>
    </row>
    <row r="58" spans="1:5" s="2" customFormat="1" ht="15" customHeight="1" x14ac:dyDescent="0.2">
      <c r="A58" s="6"/>
      <c r="B58" s="405"/>
      <c r="C58" s="409" t="s">
        <v>185</v>
      </c>
      <c r="D58" s="263" t="str">
        <f>IF(ISNUMBER(D238),D238,"")</f>
        <v/>
      </c>
      <c r="E58" s="4"/>
    </row>
    <row r="59" spans="1:5" s="2" customFormat="1" ht="15" customHeight="1" x14ac:dyDescent="0.2">
      <c r="A59" s="6"/>
      <c r="B59" s="405"/>
      <c r="C59" s="404" t="s">
        <v>122</v>
      </c>
      <c r="D59" s="263" t="str">
        <f>IF(AND(ISNUMBER(D55),ISNUMBER(D56),ISNUMBER(D57),ISNUMBER(D58)),D55-D56-D57-D58,"")</f>
        <v/>
      </c>
      <c r="E59" s="4"/>
    </row>
    <row r="60" spans="1:5" s="2" customFormat="1" ht="15" customHeight="1" x14ac:dyDescent="0.2">
      <c r="A60" s="6"/>
      <c r="B60" s="405"/>
      <c r="C60" s="409" t="s">
        <v>201</v>
      </c>
      <c r="D60" s="263" t="str">
        <f>IF(AND(ISNUMBER(D73),ISNUMBER(D74)),D73-D74,"")</f>
        <v/>
      </c>
      <c r="E60" s="4"/>
    </row>
    <row r="61" spans="1:5" s="2" customFormat="1" ht="15" customHeight="1" x14ac:dyDescent="0.2">
      <c r="A61" s="6"/>
      <c r="B61" s="405"/>
      <c r="C61" s="404" t="s">
        <v>122</v>
      </c>
      <c r="D61" s="263" t="str">
        <f>IF(AND(ISNUMBER(D59),ISNUMBER(D60)),D59-D60,"")</f>
        <v/>
      </c>
      <c r="E61" s="4"/>
    </row>
    <row r="62" spans="1:5" s="2" customFormat="1" ht="15" customHeight="1" x14ac:dyDescent="0.2">
      <c r="A62" s="6"/>
      <c r="B62" s="422"/>
      <c r="C62" s="417" t="s">
        <v>503</v>
      </c>
      <c r="D62" s="418" t="str">
        <f>IF(ISNUMBER(D245),D245,"")</f>
        <v/>
      </c>
      <c r="E62" s="4"/>
    </row>
    <row r="63" spans="1:5" s="2" customFormat="1" ht="15" customHeight="1" x14ac:dyDescent="0.2">
      <c r="A63" s="6"/>
      <c r="B63" s="423"/>
      <c r="C63" s="419" t="s">
        <v>377</v>
      </c>
      <c r="D63" s="420" t="str">
        <f>IF(AND(ISNUMBER(D61),ISNUMBER(D62)),D61-D62,"")</f>
        <v/>
      </c>
      <c r="E63" s="4"/>
    </row>
    <row r="64" spans="1:5" ht="45" customHeight="1" x14ac:dyDescent="0.25">
      <c r="A64" s="20" t="s">
        <v>99</v>
      </c>
      <c r="B64" s="49"/>
      <c r="C64" s="13"/>
      <c r="D64" s="14"/>
      <c r="E64" s="28"/>
    </row>
    <row r="65" spans="1:5" ht="15" customHeight="1" x14ac:dyDescent="0.2">
      <c r="A65" s="31"/>
      <c r="B65" s="9"/>
      <c r="C65" s="9"/>
      <c r="D65" s="54"/>
      <c r="E65" s="28"/>
    </row>
    <row r="66" spans="1:5" ht="30" customHeight="1" x14ac:dyDescent="0.2">
      <c r="A66" s="31"/>
      <c r="B66" s="435" t="s">
        <v>196</v>
      </c>
      <c r="C66" s="415" t="s">
        <v>194</v>
      </c>
      <c r="D66" s="435" t="s">
        <v>536</v>
      </c>
      <c r="E66" s="28"/>
    </row>
    <row r="67" spans="1:5" s="2" customFormat="1" ht="15" customHeight="1" x14ac:dyDescent="0.2">
      <c r="A67" s="6"/>
      <c r="B67" s="424"/>
      <c r="C67" s="432" t="s">
        <v>123</v>
      </c>
      <c r="D67" s="428" t="str">
        <f>IF(ISNUMBER(D63),D63,"")</f>
        <v/>
      </c>
      <c r="E67" s="4"/>
    </row>
    <row r="68" spans="1:5" s="2" customFormat="1" ht="15" customHeight="1" x14ac:dyDescent="0.2">
      <c r="A68" s="6"/>
      <c r="B68" s="425" t="s">
        <v>540</v>
      </c>
      <c r="C68" s="409" t="s">
        <v>628</v>
      </c>
      <c r="D68" s="429"/>
      <c r="E68" s="4"/>
    </row>
    <row r="69" spans="1:5" s="2" customFormat="1" ht="30" customHeight="1" x14ac:dyDescent="0.2">
      <c r="A69" s="6"/>
      <c r="B69" s="425" t="s">
        <v>539</v>
      </c>
      <c r="C69" s="408" t="s">
        <v>129</v>
      </c>
      <c r="D69" s="429"/>
      <c r="E69" s="4"/>
    </row>
    <row r="70" spans="1:5" s="2" customFormat="1" ht="15" customHeight="1" x14ac:dyDescent="0.2">
      <c r="A70" s="6"/>
      <c r="B70" s="426"/>
      <c r="C70" s="404" t="s">
        <v>124</v>
      </c>
      <c r="D70" s="430" t="str">
        <f>IF(AND(ISNUMBER(D67),ISNUMBER(D68),ISNUMBER(D69)),SUM(D67:D69),"")</f>
        <v/>
      </c>
      <c r="E70" s="4"/>
    </row>
    <row r="71" spans="1:5" s="2" customFormat="1" ht="15" customHeight="1" x14ac:dyDescent="0.2">
      <c r="A71" s="6"/>
      <c r="B71" s="426"/>
      <c r="C71" s="409" t="s">
        <v>202</v>
      </c>
      <c r="D71" s="430" t="str">
        <f>IF(AND(ISNUMBER(D124),ISNUMBER(D133),ISNUMBER(D197),ISNUMBER(D224)),D124+D133+D197+D224,"")</f>
        <v/>
      </c>
      <c r="E71" s="4"/>
    </row>
    <row r="72" spans="1:5" s="2" customFormat="1" ht="15" customHeight="1" x14ac:dyDescent="0.2">
      <c r="A72" s="6"/>
      <c r="B72" s="426"/>
      <c r="C72" s="409" t="s">
        <v>239</v>
      </c>
      <c r="D72" s="430" t="str">
        <f>IF(AND(ISNUMBER(D84),ISNUMBER(D85)),D84-D85,"")</f>
        <v/>
      </c>
      <c r="E72" s="4"/>
    </row>
    <row r="73" spans="1:5" s="2" customFormat="1" ht="15" customHeight="1" x14ac:dyDescent="0.2">
      <c r="A73" s="6"/>
      <c r="B73" s="426"/>
      <c r="C73" s="404" t="s">
        <v>125</v>
      </c>
      <c r="D73" s="430" t="str">
        <f>IF(AND(ISNUMBER(D71),ISNUMBER(D72)),D71+D72,"")</f>
        <v/>
      </c>
      <c r="E73" s="4"/>
    </row>
    <row r="74" spans="1:5" s="2" customFormat="1" ht="15" customHeight="1" x14ac:dyDescent="0.2">
      <c r="A74" s="6"/>
      <c r="B74" s="427"/>
      <c r="C74" s="433" t="s">
        <v>240</v>
      </c>
      <c r="D74" s="431" t="str">
        <f>IF(AND(ISNUMBER(D73),ISNUMBER(D68),ISNUMBER(D69)),MIN(D73,SUM(D68:D69)),"")</f>
        <v/>
      </c>
      <c r="E74" s="4"/>
    </row>
    <row r="75" spans="1:5" s="2" customFormat="1" ht="15" customHeight="1" x14ac:dyDescent="0.2">
      <c r="A75" s="6"/>
      <c r="B75" s="391"/>
      <c r="C75" s="434" t="s">
        <v>120</v>
      </c>
      <c r="D75" s="401" t="str">
        <f>IF(AND(ISNUMBER(D70),ISNUMBER(D74)),D70-D74,"")</f>
        <v/>
      </c>
      <c r="E75" s="4"/>
    </row>
    <row r="76" spans="1:5" ht="45" customHeight="1" x14ac:dyDescent="0.25">
      <c r="A76" s="20" t="s">
        <v>137</v>
      </c>
      <c r="B76" s="49"/>
      <c r="C76" s="13"/>
      <c r="D76" s="14"/>
      <c r="E76" s="28"/>
    </row>
    <row r="77" spans="1:5" ht="15" customHeight="1" x14ac:dyDescent="0.2">
      <c r="A77" s="31"/>
      <c r="B77" s="9"/>
      <c r="C77" s="9"/>
      <c r="D77" s="54"/>
      <c r="E77" s="28"/>
    </row>
    <row r="78" spans="1:5" ht="30" customHeight="1" x14ac:dyDescent="0.2">
      <c r="A78" s="31"/>
      <c r="B78" s="435" t="s">
        <v>196</v>
      </c>
      <c r="C78" s="415" t="s">
        <v>194</v>
      </c>
      <c r="D78" s="435" t="s">
        <v>536</v>
      </c>
      <c r="E78" s="28"/>
    </row>
    <row r="79" spans="1:5" s="2" customFormat="1" ht="15" customHeight="1" x14ac:dyDescent="0.2">
      <c r="A79" s="6"/>
      <c r="B79" s="424"/>
      <c r="C79" s="432" t="s">
        <v>120</v>
      </c>
      <c r="D79" s="428" t="str">
        <f>IF(ISNUMBER(D75),D75,"")</f>
        <v/>
      </c>
      <c r="E79" s="4"/>
    </row>
    <row r="80" spans="1:5" s="2" customFormat="1" ht="15" customHeight="1" x14ac:dyDescent="0.2">
      <c r="A80" s="6"/>
      <c r="B80" s="425" t="s">
        <v>241</v>
      </c>
      <c r="C80" s="409" t="s">
        <v>629</v>
      </c>
      <c r="D80" s="429"/>
      <c r="E80" s="4"/>
    </row>
    <row r="81" spans="1:5" s="2" customFormat="1" ht="30" customHeight="1" x14ac:dyDescent="0.2">
      <c r="A81" s="6"/>
      <c r="B81" s="425" t="s">
        <v>539</v>
      </c>
      <c r="C81" s="408" t="s">
        <v>131</v>
      </c>
      <c r="D81" s="429"/>
      <c r="E81" s="4"/>
    </row>
    <row r="82" spans="1:5" s="2" customFormat="1" ht="15" customHeight="1" x14ac:dyDescent="0.2">
      <c r="A82" s="6"/>
      <c r="B82" s="437"/>
      <c r="C82" s="409" t="s">
        <v>504</v>
      </c>
      <c r="D82" s="430" t="str">
        <f>IF(ISNUMBER(D152),D152,"")</f>
        <v/>
      </c>
      <c r="E82" s="4"/>
    </row>
    <row r="83" spans="1:5" s="2" customFormat="1" ht="15" customHeight="1" x14ac:dyDescent="0.2">
      <c r="A83" s="6"/>
      <c r="B83" s="437"/>
      <c r="C83" s="404" t="s">
        <v>126</v>
      </c>
      <c r="D83" s="430" t="str">
        <f>IF(AND(ISNUMBER(D79),ISNUMBER(D80),ISNUMBER(D81),ISNUMBER(D82)),SUM(D79:D82),"")</f>
        <v/>
      </c>
      <c r="E83" s="4"/>
    </row>
    <row r="84" spans="1:5" s="2" customFormat="1" ht="15" customHeight="1" x14ac:dyDescent="0.2">
      <c r="A84" s="6"/>
      <c r="B84" s="437"/>
      <c r="C84" s="409" t="s">
        <v>621</v>
      </c>
      <c r="D84" s="430" t="str">
        <f>IF(AND(ISNUMBER(D128),ISNUMBER(D134),ISNUMBER(D198),ISNUMBER(D225)),D128+D134+D198+D225,"")</f>
        <v/>
      </c>
      <c r="E84" s="4"/>
    </row>
    <row r="85" spans="1:5" s="2" customFormat="1" ht="15" customHeight="1" x14ac:dyDescent="0.2">
      <c r="A85" s="6"/>
      <c r="B85" s="438"/>
      <c r="C85" s="433" t="s">
        <v>256</v>
      </c>
      <c r="D85" s="431" t="str">
        <f>IF(AND(ISNUMBER(D84),ISNUMBER(D80),ISNUMBER(D81),ISNUMBER(D82)),MIN(D84,SUM(D80:D82)),"")</f>
        <v/>
      </c>
      <c r="E85" s="4"/>
    </row>
    <row r="86" spans="1:5" s="2" customFormat="1" ht="15" customHeight="1" x14ac:dyDescent="0.2">
      <c r="A86" s="6"/>
      <c r="B86" s="436"/>
      <c r="C86" s="419" t="s">
        <v>382</v>
      </c>
      <c r="D86" s="394" t="str">
        <f>IF(AND(ISNUMBER(D83),ISNUMBER(D85)),D83-D85,"")</f>
        <v/>
      </c>
      <c r="E86" s="4"/>
    </row>
    <row r="87" spans="1:5" s="2" customFormat="1" ht="15" customHeight="1" x14ac:dyDescent="0.2">
      <c r="A87" s="6"/>
      <c r="B87" s="200"/>
      <c r="C87" s="55"/>
      <c r="D87" s="56"/>
      <c r="E87" s="4"/>
    </row>
    <row r="88" spans="1:5" ht="30" customHeight="1" x14ac:dyDescent="0.25">
      <c r="A88" s="1478" t="s">
        <v>80</v>
      </c>
      <c r="B88" s="52"/>
      <c r="C88" s="24"/>
      <c r="D88" s="24"/>
      <c r="E88" s="32"/>
    </row>
    <row r="89" spans="1:5" ht="30" customHeight="1" x14ac:dyDescent="0.25">
      <c r="A89" s="20" t="s">
        <v>81</v>
      </c>
      <c r="B89" s="49"/>
      <c r="C89" s="13"/>
      <c r="D89" s="14"/>
      <c r="E89" s="28"/>
    </row>
    <row r="90" spans="1:5" ht="15" customHeight="1" x14ac:dyDescent="0.2">
      <c r="A90" s="31"/>
      <c r="B90" s="9"/>
      <c r="C90" s="9"/>
      <c r="D90" s="54"/>
      <c r="E90" s="28"/>
    </row>
    <row r="91" spans="1:5" ht="30" customHeight="1" x14ac:dyDescent="0.2">
      <c r="A91" s="31"/>
      <c r="B91" s="435" t="s">
        <v>196</v>
      </c>
      <c r="C91" s="415" t="s">
        <v>194</v>
      </c>
      <c r="D91" s="435" t="s">
        <v>536</v>
      </c>
      <c r="E91" s="28"/>
    </row>
    <row r="92" spans="1:5" s="2" customFormat="1" ht="15" customHeight="1" x14ac:dyDescent="0.2">
      <c r="A92" s="6"/>
      <c r="B92" s="445" t="s">
        <v>541</v>
      </c>
      <c r="C92" s="446" t="s">
        <v>73</v>
      </c>
      <c r="D92" s="447"/>
      <c r="E92" s="4"/>
    </row>
    <row r="93" spans="1:5" s="2" customFormat="1" ht="15" customHeight="1" x14ac:dyDescent="0.2">
      <c r="A93" s="6"/>
      <c r="B93" s="448" t="s">
        <v>541</v>
      </c>
      <c r="C93" s="449" t="s">
        <v>85</v>
      </c>
      <c r="D93" s="450"/>
      <c r="E93" s="4"/>
    </row>
    <row r="94" spans="1:5" s="2" customFormat="1" ht="15" customHeight="1" x14ac:dyDescent="0.2">
      <c r="A94" s="6"/>
      <c r="B94" s="177"/>
      <c r="C94" s="439" t="s">
        <v>344</v>
      </c>
      <c r="D94" s="393" t="str">
        <f>IF(AND(ISNUMBER(D92),ISNUMBER(D93)),D92-D93,"")</f>
        <v/>
      </c>
      <c r="E94" s="4"/>
    </row>
    <row r="95" spans="1:5" ht="45" customHeight="1" x14ac:dyDescent="0.25">
      <c r="A95" s="20" t="s">
        <v>82</v>
      </c>
      <c r="B95" s="49"/>
      <c r="C95" s="13"/>
      <c r="D95" s="14"/>
      <c r="E95" s="28"/>
    </row>
    <row r="96" spans="1:5" ht="15" customHeight="1" x14ac:dyDescent="0.2">
      <c r="A96" s="31"/>
      <c r="B96" s="9"/>
      <c r="C96" s="9"/>
      <c r="D96" s="54"/>
      <c r="E96" s="28"/>
    </row>
    <row r="97" spans="1:5" ht="30" customHeight="1" x14ac:dyDescent="0.2">
      <c r="A97" s="31"/>
      <c r="B97" s="435" t="s">
        <v>196</v>
      </c>
      <c r="C97" s="415" t="s">
        <v>194</v>
      </c>
      <c r="D97" s="435" t="s">
        <v>536</v>
      </c>
      <c r="E97" s="28"/>
    </row>
    <row r="98" spans="1:5" s="2" customFormat="1" ht="15" customHeight="1" x14ac:dyDescent="0.2">
      <c r="A98" s="6"/>
      <c r="B98" s="445" t="s">
        <v>541</v>
      </c>
      <c r="C98" s="446" t="s">
        <v>242</v>
      </c>
      <c r="D98" s="447"/>
      <c r="E98" s="4"/>
    </row>
    <row r="99" spans="1:5" s="2" customFormat="1" ht="15" customHeight="1" x14ac:dyDescent="0.2">
      <c r="A99" s="6"/>
      <c r="B99" s="448" t="s">
        <v>541</v>
      </c>
      <c r="C99" s="451" t="s">
        <v>67</v>
      </c>
      <c r="D99" s="450"/>
      <c r="E99" s="4"/>
    </row>
    <row r="100" spans="1:5" s="2" customFormat="1" ht="15" customHeight="1" x14ac:dyDescent="0.2">
      <c r="A100" s="6"/>
      <c r="B100" s="177"/>
      <c r="C100" s="439" t="s">
        <v>343</v>
      </c>
      <c r="D100" s="393" t="str">
        <f>IF(AND(ISNUMBER(D98),ISNUMBER(D99)),D98-D99,"")</f>
        <v/>
      </c>
      <c r="E100" s="4"/>
    </row>
    <row r="101" spans="1:5" ht="45" customHeight="1" x14ac:dyDescent="0.25">
      <c r="A101" s="20" t="s">
        <v>103</v>
      </c>
      <c r="B101" s="49"/>
      <c r="C101" s="13"/>
      <c r="D101" s="14"/>
      <c r="E101" s="28"/>
    </row>
    <row r="102" spans="1:5" ht="15" customHeight="1" x14ac:dyDescent="0.2">
      <c r="A102" s="31"/>
      <c r="B102" s="9"/>
      <c r="C102" s="9"/>
      <c r="D102" s="54"/>
      <c r="E102" s="28"/>
    </row>
    <row r="103" spans="1:5" ht="30" customHeight="1" x14ac:dyDescent="0.2">
      <c r="A103" s="31"/>
      <c r="B103" s="435" t="s">
        <v>196</v>
      </c>
      <c r="C103" s="415" t="s">
        <v>194</v>
      </c>
      <c r="D103" s="435" t="s">
        <v>536</v>
      </c>
      <c r="E103" s="28"/>
    </row>
    <row r="104" spans="1:5" s="2" customFormat="1" ht="15" customHeight="1" x14ac:dyDescent="0.2">
      <c r="A104" s="6"/>
      <c r="B104" s="452"/>
      <c r="C104" s="453" t="s">
        <v>1039</v>
      </c>
      <c r="D104" s="424"/>
      <c r="E104" s="4"/>
    </row>
    <row r="105" spans="1:5" s="2" customFormat="1" ht="15" customHeight="1" x14ac:dyDescent="0.2">
      <c r="A105" s="6"/>
      <c r="B105" s="454">
        <v>70</v>
      </c>
      <c r="C105" s="455" t="s">
        <v>71</v>
      </c>
      <c r="D105" s="429"/>
      <c r="E105" s="4"/>
    </row>
    <row r="106" spans="1:5" s="2" customFormat="1" ht="15" customHeight="1" x14ac:dyDescent="0.2">
      <c r="A106" s="6"/>
      <c r="B106" s="454">
        <v>70</v>
      </c>
      <c r="C106" s="455" t="s">
        <v>243</v>
      </c>
      <c r="D106" s="429"/>
      <c r="E106" s="4"/>
    </row>
    <row r="107" spans="1:5" s="2" customFormat="1" ht="15" customHeight="1" x14ac:dyDescent="0.2">
      <c r="A107" s="6"/>
      <c r="B107" s="456"/>
      <c r="C107" s="457" t="s">
        <v>1040</v>
      </c>
      <c r="D107" s="426"/>
      <c r="E107" s="4"/>
    </row>
    <row r="108" spans="1:5" s="2" customFormat="1" ht="15" customHeight="1" x14ac:dyDescent="0.2">
      <c r="A108" s="6"/>
      <c r="B108" s="456"/>
      <c r="C108" s="455" t="s">
        <v>257</v>
      </c>
      <c r="D108" s="429"/>
      <c r="E108" s="4"/>
    </row>
    <row r="109" spans="1:5" s="2" customFormat="1" ht="15" customHeight="1" x14ac:dyDescent="0.2">
      <c r="A109" s="6"/>
      <c r="B109" s="454">
        <v>69</v>
      </c>
      <c r="C109" s="455" t="s">
        <v>258</v>
      </c>
      <c r="D109" s="430" t="str">
        <f>IF(AND(ISNUMBER(D110),ISNUMBER(D111)),SUM(D110:D111),"")</f>
        <v/>
      </c>
      <c r="E109" s="4"/>
    </row>
    <row r="110" spans="1:5" s="2" customFormat="1" ht="15" customHeight="1" x14ac:dyDescent="0.2">
      <c r="A110" s="6"/>
      <c r="B110" s="454">
        <v>69</v>
      </c>
      <c r="C110" s="458" t="s">
        <v>259</v>
      </c>
      <c r="D110" s="429"/>
      <c r="E110" s="4"/>
    </row>
    <row r="111" spans="1:5" s="2" customFormat="1" ht="15" customHeight="1" x14ac:dyDescent="0.2">
      <c r="A111" s="6"/>
      <c r="B111" s="459">
        <v>69</v>
      </c>
      <c r="C111" s="460" t="s">
        <v>261</v>
      </c>
      <c r="D111" s="450"/>
      <c r="E111" s="4"/>
    </row>
    <row r="112" spans="1:5" s="2" customFormat="1" ht="15" customHeight="1" x14ac:dyDescent="0.2">
      <c r="A112" s="6"/>
      <c r="B112" s="452"/>
      <c r="C112" s="453" t="s">
        <v>345</v>
      </c>
      <c r="D112" s="428" t="str">
        <f>IF(ISNUMBER(D110),D110,"")</f>
        <v/>
      </c>
      <c r="E112" s="4"/>
    </row>
    <row r="113" spans="1:5" s="2" customFormat="1" ht="15" customHeight="1" x14ac:dyDescent="0.2">
      <c r="A113" s="6"/>
      <c r="B113" s="461"/>
      <c r="C113" s="462" t="s">
        <v>104</v>
      </c>
      <c r="D113" s="431" t="str">
        <f>IF(ISNUMBER(D111),D111,"")</f>
        <v/>
      </c>
      <c r="E113" s="4"/>
    </row>
    <row r="114" spans="1:5" ht="45" customHeight="1" x14ac:dyDescent="0.25">
      <c r="A114" s="20" t="s">
        <v>346</v>
      </c>
      <c r="B114" s="49"/>
      <c r="C114" s="13"/>
      <c r="D114" s="14"/>
      <c r="E114" s="28"/>
    </row>
    <row r="115" spans="1:5" ht="15" customHeight="1" x14ac:dyDescent="0.2">
      <c r="A115" s="31"/>
      <c r="B115" s="9"/>
      <c r="C115" s="9"/>
      <c r="D115" s="54"/>
      <c r="E115" s="28"/>
    </row>
    <row r="116" spans="1:5" ht="30" customHeight="1" x14ac:dyDescent="0.2">
      <c r="A116" s="31"/>
      <c r="B116" s="435" t="s">
        <v>196</v>
      </c>
      <c r="C116" s="415" t="s">
        <v>194</v>
      </c>
      <c r="D116" s="435" t="s">
        <v>536</v>
      </c>
      <c r="E116" s="28"/>
    </row>
    <row r="117" spans="1:5" s="2" customFormat="1" ht="15" customHeight="1" x14ac:dyDescent="0.2">
      <c r="A117" s="6"/>
      <c r="B117" s="463">
        <v>78</v>
      </c>
      <c r="C117" s="464" t="s">
        <v>134</v>
      </c>
      <c r="D117" s="447"/>
      <c r="E117" s="4"/>
    </row>
    <row r="118" spans="1:5" s="2" customFormat="1" ht="15" customHeight="1" x14ac:dyDescent="0.2">
      <c r="A118" s="6"/>
      <c r="B118" s="454">
        <v>78</v>
      </c>
      <c r="C118" s="455" t="s">
        <v>262</v>
      </c>
      <c r="D118" s="429"/>
      <c r="E118" s="4"/>
    </row>
    <row r="119" spans="1:5" s="2" customFormat="1" ht="15" customHeight="1" x14ac:dyDescent="0.2">
      <c r="A119" s="6"/>
      <c r="B119" s="454">
        <v>78</v>
      </c>
      <c r="C119" s="455" t="s">
        <v>69</v>
      </c>
      <c r="D119" s="429"/>
      <c r="E119" s="4"/>
    </row>
    <row r="120" spans="1:5" s="2" customFormat="1" ht="15" customHeight="1" x14ac:dyDescent="0.2">
      <c r="A120" s="6"/>
      <c r="B120" s="441"/>
      <c r="C120" s="496" t="s">
        <v>347</v>
      </c>
      <c r="D120" s="494" t="str">
        <f>IF(AND(ISNUMBER(D117),ISNUMBER(D118),ISNUMBER(D119)),SUM(D117:D119),"")</f>
        <v/>
      </c>
      <c r="E120" s="4"/>
    </row>
    <row r="121" spans="1:5" s="2" customFormat="1" ht="15" customHeight="1" x14ac:dyDescent="0.2">
      <c r="A121" s="6"/>
      <c r="B121" s="463">
        <v>78</v>
      </c>
      <c r="C121" s="464" t="s">
        <v>348</v>
      </c>
      <c r="D121" s="447"/>
      <c r="E121" s="4"/>
    </row>
    <row r="122" spans="1:5" s="2" customFormat="1" ht="15" customHeight="1" x14ac:dyDescent="0.2">
      <c r="A122" s="6"/>
      <c r="B122" s="454">
        <v>78</v>
      </c>
      <c r="C122" s="455" t="s">
        <v>349</v>
      </c>
      <c r="D122" s="429"/>
      <c r="E122" s="4"/>
    </row>
    <row r="123" spans="1:5" s="2" customFormat="1" ht="15" customHeight="1" x14ac:dyDescent="0.2">
      <c r="A123" s="6"/>
      <c r="B123" s="454">
        <v>78</v>
      </c>
      <c r="C123" s="455" t="s">
        <v>350</v>
      </c>
      <c r="D123" s="429"/>
      <c r="E123" s="4"/>
    </row>
    <row r="124" spans="1:5" s="2" customFormat="1" ht="15" customHeight="1" x14ac:dyDescent="0.2">
      <c r="A124" s="6"/>
      <c r="B124" s="441"/>
      <c r="C124" s="496" t="s">
        <v>263</v>
      </c>
      <c r="D124" s="494" t="str">
        <f>IF(AND(ISNUMBER(D121),ISNUMBER(D122),ISNUMBER(D123)),SUM(D121:D123),"")</f>
        <v/>
      </c>
      <c r="E124" s="4"/>
    </row>
    <row r="125" spans="1:5" s="2" customFormat="1" ht="15" customHeight="1" x14ac:dyDescent="0.2">
      <c r="A125" s="6"/>
      <c r="B125" s="463">
        <v>78</v>
      </c>
      <c r="C125" s="464" t="s">
        <v>351</v>
      </c>
      <c r="D125" s="447"/>
      <c r="E125" s="4"/>
    </row>
    <row r="126" spans="1:5" s="2" customFormat="1" ht="15" customHeight="1" x14ac:dyDescent="0.2">
      <c r="A126" s="6"/>
      <c r="B126" s="454">
        <v>78</v>
      </c>
      <c r="C126" s="455" t="s">
        <v>352</v>
      </c>
      <c r="D126" s="429"/>
      <c r="E126" s="4"/>
    </row>
    <row r="127" spans="1:5" s="2" customFormat="1" ht="15" customHeight="1" x14ac:dyDescent="0.2">
      <c r="A127" s="6"/>
      <c r="B127" s="454">
        <v>78</v>
      </c>
      <c r="C127" s="455" t="s">
        <v>353</v>
      </c>
      <c r="D127" s="429"/>
      <c r="E127" s="4"/>
    </row>
    <row r="128" spans="1:5" s="2" customFormat="1" ht="15" customHeight="1" x14ac:dyDescent="0.2">
      <c r="A128" s="6"/>
      <c r="B128" s="441"/>
      <c r="C128" s="496" t="s">
        <v>264</v>
      </c>
      <c r="D128" s="494" t="str">
        <f>IF(AND(ISNUMBER(D125),ISNUMBER(D126),ISNUMBER(D127)),SUM(D125:D127),"")</f>
        <v/>
      </c>
      <c r="E128" s="4"/>
    </row>
    <row r="129" spans="1:5" ht="45" customHeight="1" x14ac:dyDescent="0.25">
      <c r="A129" s="20" t="s">
        <v>105</v>
      </c>
      <c r="B129" s="49"/>
      <c r="C129" s="13"/>
      <c r="D129" s="14"/>
      <c r="E129" s="28"/>
    </row>
    <row r="130" spans="1:5" ht="15" customHeight="1" x14ac:dyDescent="0.2">
      <c r="A130" s="31"/>
      <c r="B130" s="9"/>
      <c r="C130" s="9"/>
      <c r="D130" s="54"/>
      <c r="E130" s="28"/>
    </row>
    <row r="131" spans="1:5" ht="30" customHeight="1" x14ac:dyDescent="0.2">
      <c r="A131" s="31"/>
      <c r="B131" s="435" t="s">
        <v>196</v>
      </c>
      <c r="C131" s="415" t="s">
        <v>194</v>
      </c>
      <c r="D131" s="435" t="s">
        <v>536</v>
      </c>
      <c r="E131" s="28"/>
    </row>
    <row r="132" spans="1:5" s="2" customFormat="1" ht="15" customHeight="1" x14ac:dyDescent="0.2">
      <c r="A132" s="6"/>
      <c r="B132" s="465">
        <v>79</v>
      </c>
      <c r="C132" s="466" t="s">
        <v>107</v>
      </c>
      <c r="D132" s="229"/>
      <c r="E132" s="4"/>
    </row>
    <row r="133" spans="1:5" s="2" customFormat="1" ht="15" customHeight="1" x14ac:dyDescent="0.2">
      <c r="A133" s="6"/>
      <c r="B133" s="467">
        <v>79</v>
      </c>
      <c r="C133" s="468" t="s">
        <v>622</v>
      </c>
      <c r="D133" s="228"/>
      <c r="E133" s="4"/>
    </row>
    <row r="134" spans="1:5" s="2" customFormat="1" ht="15" customHeight="1" x14ac:dyDescent="0.2">
      <c r="A134" s="6"/>
      <c r="B134" s="469">
        <v>79</v>
      </c>
      <c r="C134" s="470" t="s">
        <v>354</v>
      </c>
      <c r="D134" s="230"/>
      <c r="E134" s="4"/>
    </row>
    <row r="135" spans="1:5" ht="45" customHeight="1" x14ac:dyDescent="0.25">
      <c r="A135" s="20" t="s">
        <v>106</v>
      </c>
      <c r="B135" s="49"/>
      <c r="C135" s="13"/>
      <c r="D135" s="14"/>
      <c r="E135" s="28"/>
    </row>
    <row r="136" spans="1:5" ht="15" customHeight="1" x14ac:dyDescent="0.2">
      <c r="A136" s="31"/>
      <c r="B136" s="9"/>
      <c r="C136" s="9"/>
      <c r="D136" s="54"/>
      <c r="E136" s="28"/>
    </row>
    <row r="137" spans="1:5" ht="30" customHeight="1" x14ac:dyDescent="0.2">
      <c r="A137" s="31"/>
      <c r="B137" s="435" t="s">
        <v>196</v>
      </c>
      <c r="C137" s="415" t="s">
        <v>194</v>
      </c>
      <c r="D137" s="435" t="s">
        <v>536</v>
      </c>
      <c r="E137" s="28"/>
    </row>
    <row r="138" spans="1:5" s="2" customFormat="1" ht="15" customHeight="1" x14ac:dyDescent="0.2">
      <c r="A138" s="6"/>
      <c r="B138" s="452"/>
      <c r="C138" s="453" t="s">
        <v>254</v>
      </c>
      <c r="D138" s="424"/>
      <c r="E138" s="4"/>
    </row>
    <row r="139" spans="1:5" s="2" customFormat="1" ht="15" customHeight="1" x14ac:dyDescent="0.2">
      <c r="A139" s="6"/>
      <c r="B139" s="454">
        <v>73</v>
      </c>
      <c r="C139" s="471" t="s">
        <v>250</v>
      </c>
      <c r="D139" s="429"/>
      <c r="E139" s="4"/>
    </row>
    <row r="140" spans="1:5" s="2" customFormat="1" ht="15" customHeight="1" x14ac:dyDescent="0.2">
      <c r="A140" s="6"/>
      <c r="B140" s="454">
        <v>73</v>
      </c>
      <c r="C140" s="471" t="s">
        <v>287</v>
      </c>
      <c r="D140" s="429"/>
      <c r="E140" s="4"/>
    </row>
    <row r="141" spans="1:5" s="2" customFormat="1" ht="15" customHeight="1" x14ac:dyDescent="0.2">
      <c r="A141" s="6"/>
      <c r="B141" s="456"/>
      <c r="C141" s="472" t="s">
        <v>355</v>
      </c>
      <c r="D141" s="430" t="str">
        <f>IF(AND(ISNUMBER(D140),ISNUMBER(D139)),MAX(0, D140-D139),"")</f>
        <v/>
      </c>
      <c r="E141" s="4"/>
    </row>
    <row r="142" spans="1:5" s="2" customFormat="1" ht="15" customHeight="1" x14ac:dyDescent="0.2">
      <c r="A142" s="6"/>
      <c r="B142" s="454">
        <v>61</v>
      </c>
      <c r="C142" s="471" t="s">
        <v>356</v>
      </c>
      <c r="D142" s="429"/>
      <c r="E142" s="4"/>
    </row>
    <row r="143" spans="1:5" s="2" customFormat="1" ht="15" customHeight="1" x14ac:dyDescent="0.2">
      <c r="A143" s="6"/>
      <c r="B143" s="474"/>
      <c r="C143" s="475" t="s">
        <v>357</v>
      </c>
      <c r="D143" s="476" t="str">
        <f>IF(AND(ISNUMBER(D142),ISNUMBER(D139),ISNUMBER(D140)),MIN(D142, MAX(0, D139-D140)),"")</f>
        <v/>
      </c>
      <c r="E143" s="4"/>
    </row>
    <row r="144" spans="1:5" s="2" customFormat="1" ht="15" customHeight="1" x14ac:dyDescent="0.2">
      <c r="A144" s="6"/>
      <c r="B144" s="452"/>
      <c r="C144" s="453" t="s">
        <v>76</v>
      </c>
      <c r="D144" s="424"/>
      <c r="E144" s="4"/>
    </row>
    <row r="145" spans="1:5" s="2" customFormat="1" ht="15" customHeight="1" x14ac:dyDescent="0.2">
      <c r="A145" s="6"/>
      <c r="B145" s="454">
        <v>60</v>
      </c>
      <c r="C145" s="471" t="s">
        <v>251</v>
      </c>
      <c r="D145" s="429"/>
      <c r="E145" s="4"/>
    </row>
    <row r="146" spans="1:5" s="2" customFormat="1" ht="15" customHeight="1" x14ac:dyDescent="0.2">
      <c r="A146" s="6"/>
      <c r="B146" s="454">
        <v>60</v>
      </c>
      <c r="C146" s="471" t="s">
        <v>358</v>
      </c>
      <c r="D146" s="429"/>
      <c r="E146" s="4"/>
    </row>
    <row r="147" spans="1:5" s="2" customFormat="1" ht="15" customHeight="1" x14ac:dyDescent="0.2">
      <c r="A147" s="6"/>
      <c r="B147" s="474"/>
      <c r="C147" s="475" t="s">
        <v>359</v>
      </c>
      <c r="D147" s="476" t="str">
        <f>IF(AND(ISNUMBER(D145),ISNUMBER(D146)),MIN(D145,D146),"")</f>
        <v/>
      </c>
      <c r="E147" s="4"/>
    </row>
    <row r="148" spans="1:5" s="2" customFormat="1" ht="15" customHeight="1" x14ac:dyDescent="0.2">
      <c r="A148" s="6"/>
      <c r="B148" s="452"/>
      <c r="C148" s="453" t="s">
        <v>68</v>
      </c>
      <c r="D148" s="424"/>
      <c r="E148" s="4"/>
    </row>
    <row r="149" spans="1:5" s="2" customFormat="1" ht="15" customHeight="1" x14ac:dyDescent="0.2">
      <c r="A149" s="6"/>
      <c r="B149" s="456"/>
      <c r="C149" s="471" t="s">
        <v>251</v>
      </c>
      <c r="D149" s="429"/>
      <c r="E149" s="4"/>
    </row>
    <row r="150" spans="1:5" s="2" customFormat="1" ht="15" customHeight="1" x14ac:dyDescent="0.2">
      <c r="A150" s="6"/>
      <c r="B150" s="456"/>
      <c r="C150" s="471" t="s">
        <v>358</v>
      </c>
      <c r="D150" s="429"/>
      <c r="E150" s="4"/>
    </row>
    <row r="151" spans="1:5" s="2" customFormat="1" ht="15" customHeight="1" x14ac:dyDescent="0.2">
      <c r="A151" s="6"/>
      <c r="B151" s="456"/>
      <c r="C151" s="472" t="s">
        <v>360</v>
      </c>
      <c r="D151" s="430" t="str">
        <f>IF(AND(ISNUMBER(D149),ISNUMBER(D150)),MIN(D149,D150),"")</f>
        <v/>
      </c>
      <c r="E151" s="4"/>
    </row>
    <row r="152" spans="1:5" s="2" customFormat="1" ht="15" customHeight="1" x14ac:dyDescent="0.2">
      <c r="A152" s="6"/>
      <c r="B152" s="461"/>
      <c r="C152" s="473" t="s">
        <v>499</v>
      </c>
      <c r="D152" s="431" t="str">
        <f>IF(AND(ISNUMBER(D143),ISNUMBER(D147),ISNUMBER(D151)),D143+D147+D151,"")</f>
        <v/>
      </c>
      <c r="E152" s="4"/>
    </row>
    <row r="153" spans="1:5" ht="45" customHeight="1" x14ac:dyDescent="0.25">
      <c r="A153" s="20" t="s">
        <v>500</v>
      </c>
      <c r="B153" s="49"/>
      <c r="C153" s="13"/>
      <c r="D153" s="14"/>
      <c r="E153" s="28"/>
    </row>
    <row r="154" spans="1:5" ht="15" customHeight="1" x14ac:dyDescent="0.2">
      <c r="A154" s="31"/>
      <c r="B154" s="9"/>
      <c r="C154" s="9"/>
      <c r="D154" s="54"/>
      <c r="E154" s="28"/>
    </row>
    <row r="155" spans="1:5" ht="30" customHeight="1" x14ac:dyDescent="0.2">
      <c r="A155" s="31"/>
      <c r="B155" s="435" t="s">
        <v>196</v>
      </c>
      <c r="C155" s="415" t="s">
        <v>194</v>
      </c>
      <c r="D155" s="435" t="s">
        <v>536</v>
      </c>
      <c r="E155" s="28"/>
    </row>
    <row r="156" spans="1:5" s="2" customFormat="1" ht="15" customHeight="1" x14ac:dyDescent="0.2">
      <c r="A156" s="6"/>
      <c r="B156" s="452"/>
      <c r="C156" s="477" t="s">
        <v>623</v>
      </c>
      <c r="D156" s="478" t="str">
        <f>IF(AND(ISNUMBER(D157),ISNUMBER(D158),ISNUMBER(D159),ISNUMBER(D160)),SUM(D157:D160),"")</f>
        <v/>
      </c>
      <c r="E156" s="4"/>
    </row>
    <row r="157" spans="1:5" s="2" customFormat="1" ht="15" customHeight="1" x14ac:dyDescent="0.2">
      <c r="A157" s="6"/>
      <c r="B157" s="454" t="s">
        <v>542</v>
      </c>
      <c r="C157" s="479" t="s">
        <v>288</v>
      </c>
      <c r="D157" s="429"/>
      <c r="E157" s="4"/>
    </row>
    <row r="158" spans="1:5" s="2" customFormat="1" ht="30" customHeight="1" x14ac:dyDescent="0.2">
      <c r="A158" s="6"/>
      <c r="B158" s="454" t="s">
        <v>542</v>
      </c>
      <c r="C158" s="480" t="s">
        <v>327</v>
      </c>
      <c r="D158" s="429"/>
      <c r="E158" s="4"/>
    </row>
    <row r="159" spans="1:5" s="2" customFormat="1" ht="15" customHeight="1" x14ac:dyDescent="0.2">
      <c r="A159" s="6"/>
      <c r="B159" s="454" t="s">
        <v>542</v>
      </c>
      <c r="C159" s="479" t="s">
        <v>289</v>
      </c>
      <c r="D159" s="429"/>
      <c r="E159" s="4"/>
    </row>
    <row r="160" spans="1:5" s="2" customFormat="1" ht="15" customHeight="1" x14ac:dyDescent="0.2">
      <c r="A160" s="6"/>
      <c r="B160" s="459" t="s">
        <v>542</v>
      </c>
      <c r="C160" s="481" t="s">
        <v>297</v>
      </c>
      <c r="D160" s="450"/>
      <c r="E160" s="4"/>
    </row>
    <row r="161" spans="1:5" s="2" customFormat="1" ht="15" customHeight="1" x14ac:dyDescent="0.2">
      <c r="A161" s="6"/>
      <c r="B161" s="440"/>
      <c r="C161" s="443" t="s">
        <v>364</v>
      </c>
      <c r="D161" s="393" t="str">
        <f>IF(AND(ISNUMBER(D157),ISNUMBER(D158),ISNUMBER(D159)),D157+D158+D159,"")</f>
        <v/>
      </c>
      <c r="E161" s="4"/>
    </row>
    <row r="162" spans="1:5" ht="45" customHeight="1" x14ac:dyDescent="0.25">
      <c r="A162" s="20" t="s">
        <v>115</v>
      </c>
      <c r="B162" s="49"/>
      <c r="C162" s="13"/>
      <c r="D162" s="14"/>
      <c r="E162" s="28"/>
    </row>
    <row r="163" spans="1:5" ht="15" customHeight="1" x14ac:dyDescent="0.2">
      <c r="A163" s="31"/>
      <c r="B163" s="9"/>
      <c r="C163" s="9"/>
      <c r="D163" s="54"/>
      <c r="E163" s="28"/>
    </row>
    <row r="164" spans="1:5" ht="30" customHeight="1" x14ac:dyDescent="0.2">
      <c r="A164" s="31"/>
      <c r="B164" s="435" t="s">
        <v>196</v>
      </c>
      <c r="C164" s="415" t="s">
        <v>194</v>
      </c>
      <c r="D164" s="435" t="s">
        <v>536</v>
      </c>
      <c r="E164" s="28"/>
    </row>
    <row r="165" spans="1:5" s="2" customFormat="1" ht="30" customHeight="1" x14ac:dyDescent="0.2">
      <c r="A165" s="6"/>
      <c r="B165" s="82">
        <v>75</v>
      </c>
      <c r="C165" s="482" t="s">
        <v>367</v>
      </c>
      <c r="D165" s="483"/>
      <c r="E165" s="4"/>
    </row>
    <row r="166" spans="1:5" s="2" customFormat="1" ht="30" customHeight="1" x14ac:dyDescent="0.2">
      <c r="A166" s="6"/>
      <c r="B166" s="484" t="s">
        <v>215</v>
      </c>
      <c r="C166" s="485" t="s">
        <v>216</v>
      </c>
      <c r="D166" s="486"/>
      <c r="E166" s="4"/>
    </row>
    <row r="167" spans="1:5" s="2" customFormat="1" ht="15" hidden="1" customHeight="1" x14ac:dyDescent="0.2">
      <c r="A167" s="6"/>
      <c r="B167" s="442"/>
      <c r="C167" s="487"/>
      <c r="D167" s="442"/>
      <c r="E167" s="4"/>
    </row>
    <row r="168" spans="1:5" s="2" customFormat="1" ht="30" customHeight="1" x14ac:dyDescent="0.2">
      <c r="A168" s="6"/>
      <c r="B168" s="488" t="s">
        <v>215</v>
      </c>
      <c r="C168" s="489" t="s">
        <v>217</v>
      </c>
      <c r="D168" s="490"/>
      <c r="E168" s="4"/>
    </row>
    <row r="169" spans="1:5" ht="45" customHeight="1" x14ac:dyDescent="0.25">
      <c r="A169" s="20" t="s">
        <v>309</v>
      </c>
      <c r="B169" s="49"/>
      <c r="C169" s="13"/>
      <c r="D169" s="14"/>
      <c r="E169" s="28"/>
    </row>
    <row r="170" spans="1:5" ht="15" customHeight="1" x14ac:dyDescent="0.2">
      <c r="A170" s="31"/>
      <c r="B170" s="9"/>
      <c r="C170" s="9"/>
      <c r="D170" s="54"/>
      <c r="E170" s="28"/>
    </row>
    <row r="171" spans="1:5" ht="30" customHeight="1" x14ac:dyDescent="0.2">
      <c r="A171" s="31"/>
      <c r="B171" s="435" t="s">
        <v>196</v>
      </c>
      <c r="C171" s="415" t="s">
        <v>194</v>
      </c>
      <c r="D171" s="435" t="s">
        <v>536</v>
      </c>
      <c r="E171" s="28"/>
    </row>
    <row r="172" spans="1:5" s="2" customFormat="1" ht="15" customHeight="1" x14ac:dyDescent="0.2">
      <c r="A172" s="6"/>
      <c r="B172" s="463" t="s">
        <v>543</v>
      </c>
      <c r="C172" s="477" t="s">
        <v>298</v>
      </c>
      <c r="D172" s="447"/>
      <c r="E172" s="4"/>
    </row>
    <row r="173" spans="1:5" s="2" customFormat="1" ht="15" customHeight="1" x14ac:dyDescent="0.2">
      <c r="A173" s="6"/>
      <c r="B173" s="454" t="s">
        <v>543</v>
      </c>
      <c r="C173" s="491" t="s">
        <v>300</v>
      </c>
      <c r="D173" s="429"/>
      <c r="E173" s="4"/>
    </row>
    <row r="174" spans="1:5" s="2" customFormat="1" ht="15" customHeight="1" x14ac:dyDescent="0.2">
      <c r="A174" s="6"/>
      <c r="B174" s="459" t="s">
        <v>543</v>
      </c>
      <c r="C174" s="492" t="s">
        <v>419</v>
      </c>
      <c r="D174" s="450"/>
      <c r="E174" s="4"/>
    </row>
    <row r="175" spans="1:5" s="2" customFormat="1" ht="15" customHeight="1" x14ac:dyDescent="0.2">
      <c r="A175" s="6"/>
      <c r="B175" s="440"/>
      <c r="C175" s="444" t="s">
        <v>347</v>
      </c>
      <c r="D175" s="393" t="str">
        <f>IF(AND(ISNUMBER(D172),ISNUMBER(D173)),MAX(0,D172-D173),"")</f>
        <v/>
      </c>
      <c r="E175" s="4"/>
    </row>
    <row r="176" spans="1:5" ht="45" customHeight="1" x14ac:dyDescent="0.25">
      <c r="A176" s="20" t="s">
        <v>501</v>
      </c>
      <c r="B176" s="49"/>
      <c r="C176" s="13"/>
      <c r="D176" s="14"/>
      <c r="E176" s="28"/>
    </row>
    <row r="177" spans="1:5" ht="15" customHeight="1" x14ac:dyDescent="0.2">
      <c r="A177" s="31"/>
      <c r="B177" s="9"/>
      <c r="C177" s="9"/>
      <c r="D177" s="54"/>
      <c r="E177" s="28"/>
    </row>
    <row r="178" spans="1:5" ht="30" customHeight="1" x14ac:dyDescent="0.2">
      <c r="A178" s="31"/>
      <c r="B178" s="435" t="s">
        <v>196</v>
      </c>
      <c r="C178" s="415" t="s">
        <v>194</v>
      </c>
      <c r="D178" s="435" t="s">
        <v>536</v>
      </c>
      <c r="E178" s="28"/>
    </row>
    <row r="179" spans="1:5" s="2" customFormat="1" ht="15" customHeight="1" x14ac:dyDescent="0.2">
      <c r="A179" s="6"/>
      <c r="B179" s="85">
        <v>74</v>
      </c>
      <c r="C179" s="439" t="s">
        <v>84</v>
      </c>
      <c r="D179" s="392"/>
      <c r="E179" s="4"/>
    </row>
    <row r="180" spans="1:5" s="42" customFormat="1" ht="60" customHeight="1" x14ac:dyDescent="0.25">
      <c r="A180" s="1644" t="s">
        <v>1038</v>
      </c>
      <c r="B180" s="1645"/>
      <c r="C180" s="1645"/>
      <c r="D180" s="1645"/>
      <c r="E180" s="168"/>
    </row>
    <row r="181" spans="1:5" ht="15" customHeight="1" x14ac:dyDescent="0.25">
      <c r="A181" s="31"/>
      <c r="B181" s="49"/>
      <c r="C181" s="13"/>
      <c r="D181" s="14"/>
      <c r="E181" s="28"/>
    </row>
    <row r="182" spans="1:5" ht="30" customHeight="1" x14ac:dyDescent="0.2">
      <c r="A182" s="31"/>
      <c r="B182" s="435" t="s">
        <v>196</v>
      </c>
      <c r="C182" s="415" t="s">
        <v>194</v>
      </c>
      <c r="D182" s="435" t="s">
        <v>536</v>
      </c>
      <c r="E182" s="28"/>
    </row>
    <row r="183" spans="1:5" s="2" customFormat="1" ht="15" customHeight="1" x14ac:dyDescent="0.2">
      <c r="A183" s="6"/>
      <c r="B183" s="463" t="s">
        <v>544</v>
      </c>
      <c r="C183" s="466" t="s">
        <v>159</v>
      </c>
      <c r="D183" s="447"/>
      <c r="E183" s="4"/>
    </row>
    <row r="184" spans="1:5" s="2" customFormat="1" ht="15" customHeight="1" x14ac:dyDescent="0.2">
      <c r="A184" s="6"/>
      <c r="B184" s="454" t="s">
        <v>544</v>
      </c>
      <c r="C184" s="409" t="s">
        <v>301</v>
      </c>
      <c r="D184" s="429"/>
      <c r="E184" s="4"/>
    </row>
    <row r="185" spans="1:5" s="2" customFormat="1" ht="15" customHeight="1" x14ac:dyDescent="0.2">
      <c r="A185" s="6"/>
      <c r="B185" s="441"/>
      <c r="C185" s="493" t="s">
        <v>177</v>
      </c>
      <c r="D185" s="494" t="str">
        <f>IF(AND(ISNUMBER(D183),ISNUMBER(D184)),MAX(0,D183-D184),"")</f>
        <v/>
      </c>
      <c r="E185" s="4"/>
    </row>
    <row r="186" spans="1:5" s="2" customFormat="1" ht="15" customHeight="1" x14ac:dyDescent="0.2">
      <c r="A186" s="6"/>
      <c r="B186" s="463" t="s">
        <v>544</v>
      </c>
      <c r="C186" s="466" t="s">
        <v>368</v>
      </c>
      <c r="D186" s="447"/>
      <c r="E186" s="4"/>
    </row>
    <row r="187" spans="1:5" s="2" customFormat="1" ht="15" customHeight="1" x14ac:dyDescent="0.2">
      <c r="A187" s="6"/>
      <c r="B187" s="454" t="s">
        <v>544</v>
      </c>
      <c r="C187" s="409" t="s">
        <v>301</v>
      </c>
      <c r="D187" s="429"/>
      <c r="E187" s="4"/>
    </row>
    <row r="188" spans="1:5" s="2" customFormat="1" ht="15" customHeight="1" x14ac:dyDescent="0.2">
      <c r="A188" s="6"/>
      <c r="B188" s="461"/>
      <c r="C188" s="495" t="s">
        <v>369</v>
      </c>
      <c r="D188" s="431" t="str">
        <f>IF(AND(ISNUMBER(D186),ISNUMBER(D187)),MAX(0,D186-D187),"")</f>
        <v/>
      </c>
      <c r="E188" s="4"/>
    </row>
    <row r="189" spans="1:5" s="2" customFormat="1" ht="15" customHeight="1" x14ac:dyDescent="0.2">
      <c r="A189" s="6"/>
      <c r="B189" s="463" t="s">
        <v>544</v>
      </c>
      <c r="C189" s="466" t="s">
        <v>370</v>
      </c>
      <c r="D189" s="447"/>
      <c r="E189" s="4"/>
    </row>
    <row r="190" spans="1:5" s="2" customFormat="1" ht="15" customHeight="1" x14ac:dyDescent="0.2">
      <c r="A190" s="6"/>
      <c r="B190" s="454" t="s">
        <v>544</v>
      </c>
      <c r="C190" s="408" t="s">
        <v>302</v>
      </c>
      <c r="D190" s="429"/>
      <c r="E190" s="4"/>
    </row>
    <row r="191" spans="1:5" s="2" customFormat="1" ht="15" customHeight="1" x14ac:dyDescent="0.2">
      <c r="A191" s="6"/>
      <c r="B191" s="461"/>
      <c r="C191" s="495" t="s">
        <v>371</v>
      </c>
      <c r="D191" s="431" t="str">
        <f>IF(AND(ISNUMBER(D189),ISNUMBER(D190)),MAX(0,D189-D190),"")</f>
        <v/>
      </c>
      <c r="E191" s="4"/>
    </row>
    <row r="192" spans="1:5" s="2" customFormat="1" ht="15" customHeight="1" x14ac:dyDescent="0.2">
      <c r="A192" s="6"/>
      <c r="B192" s="3"/>
      <c r="C192" s="57"/>
      <c r="D192" s="57"/>
      <c r="E192" s="4"/>
    </row>
    <row r="193" spans="1:5" s="2" customFormat="1" ht="15" customHeight="1" x14ac:dyDescent="0.2">
      <c r="A193" s="6"/>
      <c r="B193" s="452"/>
      <c r="C193" s="497" t="s">
        <v>505</v>
      </c>
      <c r="D193" s="428" t="str">
        <f>IF(AND(ISNUMBER(D185),ISNUMBER(D188),ISNUMBER(D191)),D185+D188+D191,"")</f>
        <v/>
      </c>
      <c r="E193" s="4"/>
    </row>
    <row r="194" spans="1:5" s="2" customFormat="1" ht="15" customHeight="1" x14ac:dyDescent="0.2">
      <c r="A194" s="6"/>
      <c r="B194" s="456"/>
      <c r="C194" s="468" t="s">
        <v>333</v>
      </c>
      <c r="D194" s="430" t="str">
        <f>IF(ISNUMBER(D53),MAX(D53,0),"")</f>
        <v/>
      </c>
      <c r="E194" s="4"/>
    </row>
    <row r="195" spans="1:5" s="2" customFormat="1" ht="30" customHeight="1" x14ac:dyDescent="0.2">
      <c r="A195" s="6"/>
      <c r="B195" s="456"/>
      <c r="C195" s="404" t="s">
        <v>418</v>
      </c>
      <c r="D195" s="430" t="str">
        <f>IF(AND(ISNUMBER(D193),ISNUMBER(D194)),MAX(0, D193-0.1*D194),"")</f>
        <v/>
      </c>
      <c r="E195" s="4"/>
    </row>
    <row r="196" spans="1:5" s="2" customFormat="1" ht="15" customHeight="1" x14ac:dyDescent="0.2">
      <c r="A196" s="6"/>
      <c r="B196" s="456"/>
      <c r="C196" s="498" t="s">
        <v>374</v>
      </c>
      <c r="D196" s="430" t="str">
        <f>IF(ISNUMBER(D193),IF(D193&gt;0, IF(AND(ISNUMBER(D195),ISNUMBER(D185)),D195*D185/D193,""), 0),"")</f>
        <v/>
      </c>
      <c r="E196" s="4"/>
    </row>
    <row r="197" spans="1:5" s="2" customFormat="1" ht="15" customHeight="1" x14ac:dyDescent="0.2">
      <c r="A197" s="6"/>
      <c r="B197" s="456"/>
      <c r="C197" s="498" t="s">
        <v>303</v>
      </c>
      <c r="D197" s="430" t="str">
        <f>IF(ISNUMBER(D193),IF(D193&gt;0, IF(AND(ISNUMBER(D195),ISNUMBER(D188)),D195*D188/D193,""), 0),"")</f>
        <v/>
      </c>
      <c r="E197" s="4"/>
    </row>
    <row r="198" spans="1:5" s="2" customFormat="1" ht="15" customHeight="1" x14ac:dyDescent="0.2">
      <c r="A198" s="6"/>
      <c r="B198" s="461"/>
      <c r="C198" s="495" t="s">
        <v>338</v>
      </c>
      <c r="D198" s="431" t="str">
        <f>IF(ISNUMBER(D193),IF(D193&gt;0, IF(AND(ISNUMBER(D195),ISNUMBER(D191)),D195*D191/D193,""), 0),"")</f>
        <v/>
      </c>
      <c r="E198" s="4"/>
    </row>
    <row r="199" spans="1:5" s="2" customFormat="1" ht="15" customHeight="1" x14ac:dyDescent="0.2">
      <c r="A199" s="6"/>
      <c r="B199" s="3"/>
      <c r="C199" s="57"/>
      <c r="D199" s="58"/>
      <c r="E199" s="4"/>
    </row>
    <row r="200" spans="1:5" s="2" customFormat="1" ht="15" customHeight="1" x14ac:dyDescent="0.2">
      <c r="A200" s="6"/>
      <c r="B200" s="452"/>
      <c r="C200" s="497" t="s">
        <v>372</v>
      </c>
      <c r="D200" s="424"/>
      <c r="E200" s="4"/>
    </row>
    <row r="201" spans="1:5" s="2" customFormat="1" ht="15" customHeight="1" x14ac:dyDescent="0.2">
      <c r="A201" s="6"/>
      <c r="B201" s="456"/>
      <c r="C201" s="499" t="s">
        <v>177</v>
      </c>
      <c r="D201" s="430" t="str">
        <f>IF(AND(ISNUMBER(D185),ISNUMBER(D196)),D185-D196,"")</f>
        <v/>
      </c>
      <c r="E201" s="4"/>
    </row>
    <row r="202" spans="1:5" s="2" customFormat="1" ht="15" customHeight="1" x14ac:dyDescent="0.2">
      <c r="A202" s="6"/>
      <c r="B202" s="456"/>
      <c r="C202" s="499" t="s">
        <v>369</v>
      </c>
      <c r="D202" s="430" t="str">
        <f>IF(AND(ISNUMBER(D188),ISNUMBER(D197)),D188-D197,"")</f>
        <v/>
      </c>
      <c r="E202" s="4"/>
    </row>
    <row r="203" spans="1:5" s="2" customFormat="1" ht="15" customHeight="1" x14ac:dyDescent="0.2">
      <c r="A203" s="6"/>
      <c r="B203" s="461"/>
      <c r="C203" s="500" t="s">
        <v>371</v>
      </c>
      <c r="D203" s="431" t="str">
        <f>IF(AND(ISNUMBER(D191),ISNUMBER(D198)),D191-D198,"")</f>
        <v/>
      </c>
      <c r="E203" s="4"/>
    </row>
    <row r="204" spans="1:5" s="2" customFormat="1" ht="15" customHeight="1" x14ac:dyDescent="0.2">
      <c r="A204" s="6"/>
      <c r="B204" s="3"/>
      <c r="C204" s="57"/>
      <c r="D204" s="58"/>
      <c r="E204" s="4"/>
    </row>
    <row r="205" spans="1:5" s="2" customFormat="1" ht="15" customHeight="1" x14ac:dyDescent="0.2">
      <c r="A205" s="6"/>
      <c r="B205" s="452"/>
      <c r="C205" s="497" t="str">
        <f>CONCATENATE("Total risk weighted assets of amounts not deducted (set out in cells D", ROW(D201), " to D", ROW(D203), "); of which amounts that relate to:")</f>
        <v>Total risk weighted assets of amounts not deducted (set out in cells D201 to D203); of which amounts that relate to:</v>
      </c>
      <c r="D205" s="424"/>
      <c r="E205" s="4"/>
    </row>
    <row r="206" spans="1:5" s="2" customFormat="1" ht="15" customHeight="1" x14ac:dyDescent="0.2">
      <c r="A206" s="6"/>
      <c r="B206" s="456"/>
      <c r="C206" s="499" t="str">
        <f>CONCATENATE("Holdings of common stock net of short positions (ie risk weighted assets of exposures in cell D", ROW(D201), ")")</f>
        <v>Holdings of common stock net of short positions (ie risk weighted assets of exposures in cell D201)</v>
      </c>
      <c r="D206" s="429"/>
      <c r="E206" s="4"/>
    </row>
    <row r="207" spans="1:5" s="2" customFormat="1" ht="15" customHeight="1" x14ac:dyDescent="0.2">
      <c r="A207" s="6"/>
      <c r="B207" s="456"/>
      <c r="C207" s="499" t="str">
        <f>CONCATENATE("Holdings of Additional Tier 1 capital net of short positions (ie risk weighted assets of exposures in cell D", ROW(D202), ")")</f>
        <v>Holdings of Additional Tier 1 capital net of short positions (ie risk weighted assets of exposures in cell D202)</v>
      </c>
      <c r="D207" s="429"/>
      <c r="E207" s="4"/>
    </row>
    <row r="208" spans="1:5" s="2" customFormat="1" ht="15" customHeight="1" x14ac:dyDescent="0.2">
      <c r="A208" s="6"/>
      <c r="B208" s="461"/>
      <c r="C208" s="500" t="str">
        <f>CONCATENATE("Holdings of Tier 2 capital net of short positions (ie risk weighted assets of exposures in cell D", ROW(D203),")")</f>
        <v>Holdings of Tier 2 capital net of short positions (ie risk weighted assets of exposures in cell D203)</v>
      </c>
      <c r="D208" s="450"/>
      <c r="E208" s="4"/>
    </row>
    <row r="209" spans="1:5" ht="60" customHeight="1" x14ac:dyDescent="0.25">
      <c r="A209" s="1644" t="s">
        <v>373</v>
      </c>
      <c r="B209" s="1645"/>
      <c r="C209" s="1645"/>
      <c r="D209" s="1645"/>
      <c r="E209" s="28"/>
    </row>
    <row r="210" spans="1:5" ht="15" customHeight="1" x14ac:dyDescent="0.2">
      <c r="A210" s="31"/>
      <c r="B210" s="9"/>
      <c r="C210" s="9"/>
      <c r="D210" s="54"/>
      <c r="E210" s="28"/>
    </row>
    <row r="211" spans="1:5" ht="30" customHeight="1" x14ac:dyDescent="0.2">
      <c r="A211" s="31"/>
      <c r="B211" s="435" t="s">
        <v>196</v>
      </c>
      <c r="C211" s="415" t="s">
        <v>194</v>
      </c>
      <c r="D211" s="435" t="s">
        <v>536</v>
      </c>
      <c r="E211" s="28"/>
    </row>
    <row r="212" spans="1:5" s="2" customFormat="1" ht="15" customHeight="1" x14ac:dyDescent="0.2">
      <c r="A212" s="6"/>
      <c r="B212" s="463" t="s">
        <v>545</v>
      </c>
      <c r="C212" s="466" t="s">
        <v>159</v>
      </c>
      <c r="D212" s="447"/>
      <c r="E212" s="4"/>
    </row>
    <row r="213" spans="1:5" s="2" customFormat="1" ht="15" customHeight="1" x14ac:dyDescent="0.2">
      <c r="A213" s="6"/>
      <c r="B213" s="454" t="s">
        <v>545</v>
      </c>
      <c r="C213" s="408" t="s">
        <v>301</v>
      </c>
      <c r="D213" s="429"/>
      <c r="E213" s="4"/>
    </row>
    <row r="214" spans="1:5" s="2" customFormat="1" ht="15" customHeight="1" x14ac:dyDescent="0.2">
      <c r="A214" s="6"/>
      <c r="B214" s="461"/>
      <c r="C214" s="495" t="s">
        <v>177</v>
      </c>
      <c r="D214" s="431" t="str">
        <f>IF(AND(ISNUMBER(D212),ISNUMBER(D213)),MAX(0,D212-D213),"")</f>
        <v/>
      </c>
      <c r="E214" s="4"/>
    </row>
    <row r="215" spans="1:5" s="2" customFormat="1" ht="15" customHeight="1" x14ac:dyDescent="0.2">
      <c r="A215" s="6"/>
      <c r="B215" s="463" t="s">
        <v>545</v>
      </c>
      <c r="C215" s="466" t="s">
        <v>368</v>
      </c>
      <c r="D215" s="447"/>
      <c r="E215" s="4"/>
    </row>
    <row r="216" spans="1:5" s="2" customFormat="1" ht="15" customHeight="1" x14ac:dyDescent="0.2">
      <c r="A216" s="6"/>
      <c r="B216" s="454" t="s">
        <v>545</v>
      </c>
      <c r="C216" s="408" t="s">
        <v>301</v>
      </c>
      <c r="D216" s="429"/>
      <c r="E216" s="4"/>
    </row>
    <row r="217" spans="1:5" s="2" customFormat="1" ht="15" customHeight="1" x14ac:dyDescent="0.2">
      <c r="A217" s="6"/>
      <c r="B217" s="461"/>
      <c r="C217" s="495" t="s">
        <v>369</v>
      </c>
      <c r="D217" s="431" t="str">
        <f>IF(AND(ISNUMBER(D215),ISNUMBER(D216)),MAX(0,D215-D216),"")</f>
        <v/>
      </c>
      <c r="E217" s="4"/>
    </row>
    <row r="218" spans="1:5" s="2" customFormat="1" ht="15" customHeight="1" x14ac:dyDescent="0.2">
      <c r="A218" s="6"/>
      <c r="B218" s="463" t="s">
        <v>545</v>
      </c>
      <c r="C218" s="466" t="s">
        <v>370</v>
      </c>
      <c r="D218" s="447"/>
      <c r="E218" s="4"/>
    </row>
    <row r="219" spans="1:5" s="2" customFormat="1" ht="15" customHeight="1" x14ac:dyDescent="0.2">
      <c r="A219" s="6"/>
      <c r="B219" s="454" t="s">
        <v>545</v>
      </c>
      <c r="C219" s="408" t="s">
        <v>301</v>
      </c>
      <c r="D219" s="429"/>
      <c r="E219" s="4"/>
    </row>
    <row r="220" spans="1:5" s="2" customFormat="1" ht="15" customHeight="1" x14ac:dyDescent="0.2">
      <c r="A220" s="6"/>
      <c r="B220" s="461"/>
      <c r="C220" s="495" t="s">
        <v>371</v>
      </c>
      <c r="D220" s="431" t="str">
        <f>IF(AND(ISNUMBER(D218),ISNUMBER(D219)),MAX(0,D218-D219),"")</f>
        <v/>
      </c>
      <c r="E220" s="4"/>
    </row>
    <row r="221" spans="1:5" s="2" customFormat="1" ht="15" customHeight="1" x14ac:dyDescent="0.2">
      <c r="A221" s="6"/>
      <c r="B221" s="3"/>
      <c r="C221" s="57"/>
      <c r="D221" s="57"/>
      <c r="E221" s="4"/>
    </row>
    <row r="222" spans="1:5" s="2" customFormat="1" ht="15" customHeight="1" x14ac:dyDescent="0.2">
      <c r="A222" s="6"/>
      <c r="B222" s="452"/>
      <c r="C222" s="466" t="s">
        <v>335</v>
      </c>
      <c r="D222" s="428" t="str">
        <f>IF(ISNUMBER(D55),MAX(D55,0),"")</f>
        <v/>
      </c>
      <c r="E222" s="4"/>
    </row>
    <row r="223" spans="1:5" s="2" customFormat="1" ht="15" customHeight="1" x14ac:dyDescent="0.2">
      <c r="A223" s="6"/>
      <c r="B223" s="456"/>
      <c r="C223" s="498" t="s">
        <v>304</v>
      </c>
      <c r="D223" s="430" t="str">
        <f>IF(AND(ISNUMBER(D214),ISNUMBER(D222)),MAX(0,D214-0.1*D222),"")</f>
        <v/>
      </c>
      <c r="E223" s="4"/>
    </row>
    <row r="224" spans="1:5" s="2" customFormat="1" ht="15" customHeight="1" x14ac:dyDescent="0.2">
      <c r="A224" s="6"/>
      <c r="B224" s="456"/>
      <c r="C224" s="498" t="s">
        <v>305</v>
      </c>
      <c r="D224" s="501" t="str">
        <f>IF(ISNUMBER(D217),D217,"")</f>
        <v/>
      </c>
      <c r="E224" s="4"/>
    </row>
    <row r="225" spans="1:5" s="2" customFormat="1" ht="15" customHeight="1" x14ac:dyDescent="0.2">
      <c r="A225" s="6"/>
      <c r="B225" s="461"/>
      <c r="C225" s="495" t="s">
        <v>443</v>
      </c>
      <c r="D225" s="431" t="str">
        <f>IF(ISNUMBER(D220),D220,"")</f>
        <v/>
      </c>
      <c r="E225" s="4"/>
    </row>
    <row r="226" spans="1:5" ht="45" customHeight="1" x14ac:dyDescent="0.25">
      <c r="A226" s="20" t="s">
        <v>160</v>
      </c>
      <c r="B226" s="49"/>
      <c r="C226" s="13"/>
      <c r="D226" s="14"/>
      <c r="E226" s="28"/>
    </row>
    <row r="227" spans="1:5" ht="15" customHeight="1" x14ac:dyDescent="0.2">
      <c r="A227" s="31"/>
      <c r="B227" s="9"/>
      <c r="C227" s="9"/>
      <c r="D227" s="54"/>
      <c r="E227" s="28"/>
    </row>
    <row r="228" spans="1:5" ht="30" customHeight="1" x14ac:dyDescent="0.2">
      <c r="A228" s="31"/>
      <c r="B228" s="435" t="s">
        <v>196</v>
      </c>
      <c r="C228" s="415" t="s">
        <v>194</v>
      </c>
      <c r="D228" s="435" t="s">
        <v>536</v>
      </c>
      <c r="E228" s="28"/>
    </row>
    <row r="229" spans="1:5" s="2" customFormat="1" ht="15" customHeight="1" x14ac:dyDescent="0.2">
      <c r="A229" s="6"/>
      <c r="B229" s="463">
        <v>87</v>
      </c>
      <c r="C229" s="466" t="s">
        <v>161</v>
      </c>
      <c r="D229" s="447"/>
      <c r="E229" s="4"/>
    </row>
    <row r="230" spans="1:5" s="2" customFormat="1" ht="15" customHeight="1" x14ac:dyDescent="0.2">
      <c r="A230" s="6"/>
      <c r="B230" s="454">
        <v>87</v>
      </c>
      <c r="C230" s="468" t="s">
        <v>67</v>
      </c>
      <c r="D230" s="429"/>
      <c r="E230" s="4"/>
    </row>
    <row r="231" spans="1:5" s="2" customFormat="1" ht="15" customHeight="1" x14ac:dyDescent="0.2">
      <c r="A231" s="6"/>
      <c r="B231" s="456"/>
      <c r="C231" s="498" t="s">
        <v>162</v>
      </c>
      <c r="D231" s="430" t="str">
        <f>IF(AND(ISNUMBER(D229),ISNUMBER(D230)),D229-D230,"")</f>
        <v/>
      </c>
      <c r="E231" s="4"/>
    </row>
    <row r="232" spans="1:5" s="2" customFormat="1" ht="15" customHeight="1" x14ac:dyDescent="0.2">
      <c r="A232" s="6"/>
      <c r="B232" s="456"/>
      <c r="C232" s="468" t="s">
        <v>336</v>
      </c>
      <c r="D232" s="430" t="str">
        <f>IF(ISNUMBER(D55),MAX(D55,0),"")</f>
        <v/>
      </c>
      <c r="E232" s="4"/>
    </row>
    <row r="233" spans="1:5" s="2" customFormat="1" ht="15" customHeight="1" x14ac:dyDescent="0.2">
      <c r="A233" s="6"/>
      <c r="B233" s="461"/>
      <c r="C233" s="495" t="s">
        <v>304</v>
      </c>
      <c r="D233" s="431" t="str">
        <f>IF(AND(ISNUMBER(D231),ISNUMBER(D232)),MAX(0,D231-0.1*D232),"")</f>
        <v/>
      </c>
      <c r="E233" s="4"/>
    </row>
    <row r="234" spans="1:5" ht="60" customHeight="1" x14ac:dyDescent="0.25">
      <c r="A234" s="1644" t="s">
        <v>905</v>
      </c>
      <c r="B234" s="1645"/>
      <c r="C234" s="1645"/>
      <c r="D234" s="1645"/>
      <c r="E234" s="28"/>
    </row>
    <row r="235" spans="1:5" ht="15" customHeight="1" x14ac:dyDescent="0.2">
      <c r="A235" s="31"/>
      <c r="B235" s="115"/>
      <c r="C235" s="115"/>
      <c r="D235" s="416" t="s">
        <v>536</v>
      </c>
      <c r="E235" s="28"/>
    </row>
    <row r="236" spans="1:5" s="2" customFormat="1" ht="15" customHeight="1" x14ac:dyDescent="0.2">
      <c r="A236" s="6"/>
      <c r="B236" s="452"/>
      <c r="C236" s="466" t="s">
        <v>306</v>
      </c>
      <c r="D236" s="428" t="str">
        <f>IF(ISNUMBER(D113),D113,"")</f>
        <v/>
      </c>
      <c r="E236" s="4"/>
    </row>
    <row r="237" spans="1:5" s="2" customFormat="1" ht="15" customHeight="1" x14ac:dyDescent="0.2">
      <c r="A237" s="6"/>
      <c r="B237" s="456"/>
      <c r="C237" s="468" t="s">
        <v>337</v>
      </c>
      <c r="D237" s="430" t="str">
        <f>IF(ISNUMBER(D55),MAX(D55,0),"")</f>
        <v/>
      </c>
      <c r="E237" s="4"/>
    </row>
    <row r="238" spans="1:5" s="2" customFormat="1" ht="15" customHeight="1" x14ac:dyDescent="0.2">
      <c r="A238" s="6"/>
      <c r="B238" s="461"/>
      <c r="C238" s="495" t="s">
        <v>304</v>
      </c>
      <c r="D238" s="431" t="str">
        <f>IF(AND(ISNUMBER(D236),ISNUMBER(D237)),MAX(0,D236-0.1*D237),"")</f>
        <v/>
      </c>
      <c r="E238" s="4"/>
    </row>
    <row r="239" spans="1:5" s="207" customFormat="1" ht="60" customHeight="1" x14ac:dyDescent="0.25">
      <c r="A239" s="1644" t="s">
        <v>906</v>
      </c>
      <c r="B239" s="1645"/>
      <c r="C239" s="1645"/>
      <c r="D239" s="1645"/>
      <c r="E239" s="210"/>
    </row>
    <row r="240" spans="1:5" s="207" customFormat="1" ht="15" customHeight="1" x14ac:dyDescent="0.2">
      <c r="A240" s="211"/>
      <c r="B240" s="115"/>
      <c r="C240" s="115"/>
      <c r="D240" s="416" t="s">
        <v>536</v>
      </c>
      <c r="E240" s="210"/>
    </row>
    <row r="241" spans="1:5" s="2" customFormat="1" ht="15" customHeight="1" x14ac:dyDescent="0.2">
      <c r="A241" s="6"/>
      <c r="B241" s="452"/>
      <c r="C241" s="466" t="s">
        <v>244</v>
      </c>
      <c r="D241" s="428" t="str">
        <f>IF(AND(ISNUMBER(D214),ISNUMBER(D223)),D214-D223,"")</f>
        <v/>
      </c>
      <c r="E241" s="4"/>
    </row>
    <row r="242" spans="1:5" s="2" customFormat="1" ht="15" customHeight="1" x14ac:dyDescent="0.2">
      <c r="A242" s="6"/>
      <c r="B242" s="456"/>
      <c r="C242" s="468" t="s">
        <v>245</v>
      </c>
      <c r="D242" s="430" t="str">
        <f>IF(AND(ISNUMBER(D231),ISNUMBER(D233)),D231-D233,"")</f>
        <v/>
      </c>
      <c r="E242" s="4"/>
    </row>
    <row r="243" spans="1:5" s="2" customFormat="1" ht="15" customHeight="1" x14ac:dyDescent="0.2">
      <c r="A243" s="6"/>
      <c r="B243" s="456"/>
      <c r="C243" s="468" t="s">
        <v>246</v>
      </c>
      <c r="D243" s="430" t="str">
        <f>IF(AND(ISNUMBER(D236),ISNUMBER(D238)),D236-D238,"")</f>
        <v/>
      </c>
      <c r="E243" s="4"/>
    </row>
    <row r="244" spans="1:5" s="2" customFormat="1" ht="15" customHeight="1" x14ac:dyDescent="0.2">
      <c r="A244" s="6"/>
      <c r="B244" s="456"/>
      <c r="C244" s="498" t="s">
        <v>375</v>
      </c>
      <c r="D244" s="430" t="str">
        <f>IF(AND(ISNUMBER(D241),ISNUMBER(D242),ISNUMBER(D243)),SUM(D241:D243),"")</f>
        <v/>
      </c>
      <c r="E244" s="4"/>
    </row>
    <row r="245" spans="1:5" s="2" customFormat="1" ht="15" customHeight="1" x14ac:dyDescent="0.2">
      <c r="A245" s="6"/>
      <c r="B245" s="461"/>
      <c r="C245" s="495" t="s">
        <v>376</v>
      </c>
      <c r="D245" s="431" t="str">
        <f>IF(AND(ISNUMBER(D244),ISNUMBER(D61)),MAX(0,(D244-0.15*MAX(D61,0))/0.85),"")</f>
        <v/>
      </c>
      <c r="E245" s="4"/>
    </row>
    <row r="246" spans="1:5" s="2" customFormat="1" ht="15" customHeight="1" x14ac:dyDescent="0.2">
      <c r="A246" s="6"/>
      <c r="B246" s="200"/>
      <c r="C246" s="200"/>
      <c r="D246" s="200"/>
      <c r="E246" s="4"/>
    </row>
    <row r="247" spans="1:5" s="2" customFormat="1" ht="15" customHeight="1" x14ac:dyDescent="0.2">
      <c r="A247" s="6"/>
      <c r="B247" s="452"/>
      <c r="C247" s="497" t="s">
        <v>255</v>
      </c>
      <c r="D247" s="424"/>
      <c r="E247" s="4"/>
    </row>
    <row r="248" spans="1:5" s="2" customFormat="1" ht="15" customHeight="1" x14ac:dyDescent="0.2">
      <c r="A248" s="6"/>
      <c r="B248" s="456"/>
      <c r="C248" s="499" t="s">
        <v>247</v>
      </c>
      <c r="D248" s="430" t="str">
        <f>IF(ISNUMBER(D244),IF(D244&gt;0, IF(AND(ISNUMBER(D241),ISNUMBER(D245)),D241-(D241/D244)*D245,""), 0),"")</f>
        <v/>
      </c>
      <c r="E248" s="4"/>
    </row>
    <row r="249" spans="1:5" s="2" customFormat="1" ht="15" customHeight="1" x14ac:dyDescent="0.2">
      <c r="A249" s="6"/>
      <c r="B249" s="456"/>
      <c r="C249" s="499" t="s">
        <v>248</v>
      </c>
      <c r="D249" s="430" t="str">
        <f>IF(ISNUMBER(D244),IF(D244&gt;0, IF(AND(ISNUMBER(D242),ISNUMBER(D245)),D242-(D242/D244)*D245,""), 0),"")</f>
        <v/>
      </c>
      <c r="E249" s="4"/>
    </row>
    <row r="250" spans="1:5" s="2" customFormat="1" ht="15" customHeight="1" x14ac:dyDescent="0.2">
      <c r="A250" s="6"/>
      <c r="B250" s="456"/>
      <c r="C250" s="499" t="s">
        <v>186</v>
      </c>
      <c r="D250" s="430" t="str">
        <f>IF(ISNUMBER(D244),IF(D244&gt;0, IF(AND(ISNUMBER(D243),ISNUMBER(D245)),D243-(D243/D244)*D245,""), 0),"")</f>
        <v/>
      </c>
      <c r="E250" s="4"/>
    </row>
    <row r="251" spans="1:5" s="2" customFormat="1" ht="15" customHeight="1" x14ac:dyDescent="0.2">
      <c r="A251" s="6"/>
      <c r="B251" s="461"/>
      <c r="C251" s="500" t="s">
        <v>483</v>
      </c>
      <c r="D251" s="431" t="str">
        <f>IF(AND(ISNUMBER(D248),ISNUMBER(D249),ISNUMBER(D250)),SUM(D248:D250),"")</f>
        <v/>
      </c>
      <c r="E251" s="4"/>
    </row>
    <row r="252" spans="1:5" ht="15" customHeight="1" x14ac:dyDescent="0.2">
      <c r="A252" s="53"/>
      <c r="B252" s="29"/>
      <c r="C252" s="29"/>
      <c r="D252" s="29"/>
      <c r="E252" s="30"/>
    </row>
  </sheetData>
  <dataConsolidate/>
  <mergeCells count="5">
    <mergeCell ref="A180:D180"/>
    <mergeCell ref="A209:D209"/>
    <mergeCell ref="B6:C6"/>
    <mergeCell ref="A234:D234"/>
    <mergeCell ref="A239:D239"/>
  </mergeCells>
  <phoneticPr fontId="8" type="noConversion"/>
  <conditionalFormatting sqref="D68:D69 D206:D208 D92:D93 D98:D99 D105:D106 D110:D111 D108 D117:D119 D121:D123 D125:D127 D132:D134 D139:D140 D142 D145:D146 D149:D150 D80:D81 D30 D172:D174 D179 D183:D184 D186:D187 D189:D190 D212:D213 D215:D216 D218:D219 D229:D230 D41">
    <cfRule type="cellIs" dxfId="1341" priority="4" stopIfTrue="1" operator="lessThan">
      <formula>0</formula>
    </cfRule>
  </conditionalFormatting>
  <printOptions headings="1"/>
  <pageMargins left="0.78740157480314965" right="0.78740157480314965" top="0.98425196850393704" bottom="0.98425196850393704" header="0.51181102362204722" footer="0.51181102362204722"/>
  <pageSetup paperSize="9" scale="50" fitToHeight="10" pageOrder="overThenDown" orientation="landscape" r:id="rId1"/>
  <headerFooter alignWithMargins="0">
    <oddHeader>&amp;L&amp;"Arial,Bold"&amp;14Basel Committee on Banking Supervision
Basel III monitoring template&amp;C&amp;14&amp;F
&amp;A&amp;R&amp;"Arial,Bold"&amp;14Confidential when completed</oddHeader>
    <oddFooter>&amp;L&amp;14&amp;D  &amp;T&amp;R&amp;14Page &amp;P of &amp;N</oddFooter>
  </headerFooter>
  <rowBreaks count="6" manualBreakCount="6">
    <brk id="25" max="4" man="1"/>
    <brk id="63" max="4" man="1"/>
    <brk id="100" max="4" man="1"/>
    <brk id="134" max="4" man="1"/>
    <brk id="175" max="4" man="1"/>
    <brk id="208" max="4" man="1"/>
  </rowBreaks>
  <ignoredErrors>
    <ignoredError sqref="A17:D61 D214:D232 A63:D211 A62:C62" emptyCellReference="1"/>
    <ignoredError sqref="D62" formula="1" emptyCellReferenc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indexed="43"/>
  </sheetPr>
  <dimension ref="A1:AI32"/>
  <sheetViews>
    <sheetView zoomScale="75" zoomScaleNormal="75" workbookViewId="0"/>
  </sheetViews>
  <sheetFormatPr defaultColWidth="8.85546875" defaultRowHeight="15" customHeight="1" x14ac:dyDescent="0.2"/>
  <cols>
    <col min="1" max="1" width="1.7109375" customWidth="1"/>
    <col min="2" max="2" width="10.7109375" customWidth="1"/>
    <col min="3" max="3" width="200.7109375" customWidth="1"/>
    <col min="4" max="34" width="16.7109375" customWidth="1"/>
    <col min="35" max="35" width="1.7109375" customWidth="1"/>
  </cols>
  <sheetData>
    <row r="1" spans="1:35" ht="30" customHeight="1" x14ac:dyDescent="0.4">
      <c r="A1" s="34" t="s">
        <v>127</v>
      </c>
      <c r="B1" s="44"/>
      <c r="C1" s="35"/>
      <c r="D1" s="86"/>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32"/>
    </row>
    <row r="2" spans="1:35" ht="30" customHeight="1" x14ac:dyDescent="0.25">
      <c r="A2" s="1478" t="s">
        <v>1341</v>
      </c>
      <c r="B2" s="52"/>
      <c r="C2" s="24"/>
      <c r="D2" s="24"/>
      <c r="E2" s="24"/>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32"/>
    </row>
    <row r="3" spans="1:35" ht="45" customHeight="1" x14ac:dyDescent="0.2">
      <c r="A3" s="31"/>
      <c r="B3" s="9" t="s">
        <v>307</v>
      </c>
      <c r="C3" s="13"/>
      <c r="D3" s="14"/>
      <c r="E3" s="50"/>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8"/>
    </row>
    <row r="4" spans="1:35" ht="30" customHeight="1" x14ac:dyDescent="0.2">
      <c r="A4" s="31"/>
      <c r="B4" s="414" t="s">
        <v>196</v>
      </c>
      <c r="C4" s="414" t="s">
        <v>194</v>
      </c>
      <c r="D4" s="415" t="s">
        <v>536</v>
      </c>
      <c r="E4" s="512">
        <v>1</v>
      </c>
      <c r="F4" s="512">
        <v>2</v>
      </c>
      <c r="G4" s="512">
        <v>3</v>
      </c>
      <c r="H4" s="512">
        <v>4</v>
      </c>
      <c r="I4" s="512">
        <v>5</v>
      </c>
      <c r="J4" s="512">
        <v>6</v>
      </c>
      <c r="K4" s="512">
        <v>7</v>
      </c>
      <c r="L4" s="512">
        <v>8</v>
      </c>
      <c r="M4" s="512">
        <v>9</v>
      </c>
      <c r="N4" s="512">
        <v>10</v>
      </c>
      <c r="O4" s="512">
        <v>11</v>
      </c>
      <c r="P4" s="512">
        <v>12</v>
      </c>
      <c r="Q4" s="512">
        <v>13</v>
      </c>
      <c r="R4" s="512">
        <v>14</v>
      </c>
      <c r="S4" s="512">
        <v>15</v>
      </c>
      <c r="T4" s="512">
        <v>16</v>
      </c>
      <c r="U4" s="512">
        <v>17</v>
      </c>
      <c r="V4" s="512">
        <v>18</v>
      </c>
      <c r="W4" s="512">
        <v>19</v>
      </c>
      <c r="X4" s="512">
        <v>20</v>
      </c>
      <c r="Y4" s="512">
        <v>21</v>
      </c>
      <c r="Z4" s="512">
        <v>22</v>
      </c>
      <c r="AA4" s="512">
        <v>23</v>
      </c>
      <c r="AB4" s="512">
        <v>24</v>
      </c>
      <c r="AC4" s="512">
        <v>25</v>
      </c>
      <c r="AD4" s="512">
        <v>26</v>
      </c>
      <c r="AE4" s="512">
        <v>27</v>
      </c>
      <c r="AF4" s="512">
        <v>28</v>
      </c>
      <c r="AG4" s="512">
        <v>29</v>
      </c>
      <c r="AH4" s="513">
        <v>30</v>
      </c>
      <c r="AI4" s="28"/>
    </row>
    <row r="5" spans="1:35" s="2" customFormat="1" ht="30" customHeight="1" x14ac:dyDescent="0.2">
      <c r="A5" s="6"/>
      <c r="B5" s="465">
        <v>62</v>
      </c>
      <c r="C5" s="339" t="s">
        <v>624</v>
      </c>
      <c r="D5" s="502"/>
      <c r="E5" s="218"/>
      <c r="F5" s="218"/>
      <c r="G5" s="218"/>
      <c r="H5" s="218"/>
      <c r="I5" s="218"/>
      <c r="J5" s="218"/>
      <c r="K5" s="218"/>
      <c r="L5" s="218"/>
      <c r="M5" s="218"/>
      <c r="N5" s="218"/>
      <c r="O5" s="218"/>
      <c r="P5" s="218"/>
      <c r="Q5" s="218"/>
      <c r="R5" s="218"/>
      <c r="S5" s="218"/>
      <c r="T5" s="218"/>
      <c r="U5" s="218"/>
      <c r="V5" s="218"/>
      <c r="W5" s="218"/>
      <c r="X5" s="218"/>
      <c r="Y5" s="218"/>
      <c r="Z5" s="218"/>
      <c r="AA5" s="218"/>
      <c r="AB5" s="218"/>
      <c r="AC5" s="218"/>
      <c r="AD5" s="218"/>
      <c r="AE5" s="218"/>
      <c r="AF5" s="218"/>
      <c r="AG5" s="218"/>
      <c r="AH5" s="229"/>
      <c r="AI5" s="4"/>
    </row>
    <row r="6" spans="1:35" s="2" customFormat="1" ht="15" customHeight="1" x14ac:dyDescent="0.2">
      <c r="A6" s="6"/>
      <c r="B6" s="467">
        <v>62</v>
      </c>
      <c r="C6" s="514" t="s">
        <v>91</v>
      </c>
      <c r="D6" s="503"/>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28"/>
      <c r="AI6" s="4"/>
    </row>
    <row r="7" spans="1:35" s="2" customFormat="1" ht="15" customHeight="1" x14ac:dyDescent="0.2">
      <c r="A7" s="6"/>
      <c r="B7" s="467">
        <v>62</v>
      </c>
      <c r="C7" s="514" t="s">
        <v>92</v>
      </c>
      <c r="D7" s="503"/>
      <c r="E7" s="219"/>
      <c r="F7" s="219"/>
      <c r="G7" s="219"/>
      <c r="H7" s="219"/>
      <c r="I7" s="219"/>
      <c r="J7" s="219"/>
      <c r="K7" s="219"/>
      <c r="L7" s="219"/>
      <c r="M7" s="219"/>
      <c r="N7" s="219"/>
      <c r="O7" s="219"/>
      <c r="P7" s="219"/>
      <c r="Q7" s="219"/>
      <c r="R7" s="219"/>
      <c r="S7" s="219"/>
      <c r="T7" s="219"/>
      <c r="U7" s="219"/>
      <c r="V7" s="219"/>
      <c r="W7" s="219"/>
      <c r="X7" s="219"/>
      <c r="Y7" s="219"/>
      <c r="Z7" s="219"/>
      <c r="AA7" s="219"/>
      <c r="AB7" s="219"/>
      <c r="AC7" s="219"/>
      <c r="AD7" s="219"/>
      <c r="AE7" s="219"/>
      <c r="AF7" s="219"/>
      <c r="AG7" s="219"/>
      <c r="AH7" s="228"/>
      <c r="AI7" s="4"/>
    </row>
    <row r="8" spans="1:35" s="2" customFormat="1" ht="15" customHeight="1" x14ac:dyDescent="0.2">
      <c r="A8" s="6"/>
      <c r="B8" s="467">
        <v>63</v>
      </c>
      <c r="C8" s="515" t="s">
        <v>625</v>
      </c>
      <c r="D8" s="503"/>
      <c r="E8" s="219"/>
      <c r="F8" s="219"/>
      <c r="G8" s="219"/>
      <c r="H8" s="219"/>
      <c r="I8" s="219"/>
      <c r="J8" s="219"/>
      <c r="K8" s="219"/>
      <c r="L8" s="219"/>
      <c r="M8" s="219"/>
      <c r="N8" s="219"/>
      <c r="O8" s="219"/>
      <c r="P8" s="219"/>
      <c r="Q8" s="219"/>
      <c r="R8" s="219"/>
      <c r="S8" s="219"/>
      <c r="T8" s="219"/>
      <c r="U8" s="219"/>
      <c r="V8" s="219"/>
      <c r="W8" s="219"/>
      <c r="X8" s="219"/>
      <c r="Y8" s="219"/>
      <c r="Z8" s="219"/>
      <c r="AA8" s="219"/>
      <c r="AB8" s="219"/>
      <c r="AC8" s="219"/>
      <c r="AD8" s="219"/>
      <c r="AE8" s="219"/>
      <c r="AF8" s="219"/>
      <c r="AG8" s="219"/>
      <c r="AH8" s="228"/>
      <c r="AI8" s="4"/>
    </row>
    <row r="9" spans="1:35" s="2" customFormat="1" ht="15" customHeight="1" x14ac:dyDescent="0.2">
      <c r="A9" s="6"/>
      <c r="B9" s="467">
        <v>63</v>
      </c>
      <c r="C9" s="514" t="s">
        <v>91</v>
      </c>
      <c r="D9" s="503"/>
      <c r="E9" s="219"/>
      <c r="F9" s="219"/>
      <c r="G9" s="219"/>
      <c r="H9" s="219"/>
      <c r="I9" s="219"/>
      <c r="J9" s="219"/>
      <c r="K9" s="219"/>
      <c r="L9" s="219"/>
      <c r="M9" s="219"/>
      <c r="N9" s="219"/>
      <c r="O9" s="219"/>
      <c r="P9" s="219"/>
      <c r="Q9" s="219"/>
      <c r="R9" s="219"/>
      <c r="S9" s="219"/>
      <c r="T9" s="219"/>
      <c r="U9" s="219"/>
      <c r="V9" s="219"/>
      <c r="W9" s="219"/>
      <c r="X9" s="219"/>
      <c r="Y9" s="219"/>
      <c r="Z9" s="219"/>
      <c r="AA9" s="219"/>
      <c r="AB9" s="219"/>
      <c r="AC9" s="219"/>
      <c r="AD9" s="219"/>
      <c r="AE9" s="219"/>
      <c r="AF9" s="219"/>
      <c r="AG9" s="219"/>
      <c r="AH9" s="228"/>
      <c r="AI9" s="4"/>
    </row>
    <row r="10" spans="1:35" s="2" customFormat="1" ht="15" customHeight="1" x14ac:dyDescent="0.2">
      <c r="A10" s="6"/>
      <c r="B10" s="467">
        <v>63</v>
      </c>
      <c r="C10" s="514" t="s">
        <v>92</v>
      </c>
      <c r="D10" s="503"/>
      <c r="E10" s="219"/>
      <c r="F10" s="219"/>
      <c r="G10" s="219"/>
      <c r="H10" s="219"/>
      <c r="I10" s="219"/>
      <c r="J10" s="219"/>
      <c r="K10" s="219"/>
      <c r="L10" s="219"/>
      <c r="M10" s="219"/>
      <c r="N10" s="219"/>
      <c r="O10" s="219"/>
      <c r="P10" s="219"/>
      <c r="Q10" s="219"/>
      <c r="R10" s="219"/>
      <c r="S10" s="219"/>
      <c r="T10" s="219"/>
      <c r="U10" s="219"/>
      <c r="V10" s="219"/>
      <c r="W10" s="219"/>
      <c r="X10" s="219"/>
      <c r="Y10" s="219"/>
      <c r="Z10" s="219"/>
      <c r="AA10" s="219"/>
      <c r="AB10" s="219"/>
      <c r="AC10" s="219"/>
      <c r="AD10" s="219"/>
      <c r="AE10" s="219"/>
      <c r="AF10" s="219"/>
      <c r="AG10" s="219"/>
      <c r="AH10" s="228"/>
      <c r="AI10" s="4"/>
    </row>
    <row r="11" spans="1:35" s="2" customFormat="1" ht="15" customHeight="1" x14ac:dyDescent="0.2">
      <c r="A11" s="6"/>
      <c r="B11" s="467">
        <v>64</v>
      </c>
      <c r="C11" s="515" t="s">
        <v>626</v>
      </c>
      <c r="D11" s="503"/>
      <c r="E11" s="219"/>
      <c r="F11" s="219"/>
      <c r="G11" s="219"/>
      <c r="H11" s="219"/>
      <c r="I11" s="219"/>
      <c r="J11" s="219"/>
      <c r="K11" s="219"/>
      <c r="L11" s="219"/>
      <c r="M11" s="219"/>
      <c r="N11" s="219"/>
      <c r="O11" s="219"/>
      <c r="P11" s="219"/>
      <c r="Q11" s="219"/>
      <c r="R11" s="219"/>
      <c r="S11" s="219"/>
      <c r="T11" s="219"/>
      <c r="U11" s="219"/>
      <c r="V11" s="219"/>
      <c r="W11" s="219"/>
      <c r="X11" s="219"/>
      <c r="Y11" s="219"/>
      <c r="Z11" s="219"/>
      <c r="AA11" s="219"/>
      <c r="AB11" s="219"/>
      <c r="AC11" s="219"/>
      <c r="AD11" s="219"/>
      <c r="AE11" s="219"/>
      <c r="AF11" s="219"/>
      <c r="AG11" s="219"/>
      <c r="AH11" s="228"/>
      <c r="AI11" s="4"/>
    </row>
    <row r="12" spans="1:35" s="2" customFormat="1" ht="15" customHeight="1" x14ac:dyDescent="0.2">
      <c r="A12" s="6"/>
      <c r="B12" s="467">
        <v>64</v>
      </c>
      <c r="C12" s="514" t="s">
        <v>91</v>
      </c>
      <c r="D12" s="503"/>
      <c r="E12" s="219"/>
      <c r="F12" s="219"/>
      <c r="G12" s="219"/>
      <c r="H12" s="219"/>
      <c r="I12" s="219"/>
      <c r="J12" s="219"/>
      <c r="K12" s="219"/>
      <c r="L12" s="219"/>
      <c r="M12" s="219"/>
      <c r="N12" s="219"/>
      <c r="O12" s="219"/>
      <c r="P12" s="219"/>
      <c r="Q12" s="219"/>
      <c r="R12" s="219"/>
      <c r="S12" s="219"/>
      <c r="T12" s="219"/>
      <c r="U12" s="219"/>
      <c r="V12" s="219"/>
      <c r="W12" s="219"/>
      <c r="X12" s="219"/>
      <c r="Y12" s="219"/>
      <c r="Z12" s="219"/>
      <c r="AA12" s="219"/>
      <c r="AB12" s="219"/>
      <c r="AC12" s="219"/>
      <c r="AD12" s="219"/>
      <c r="AE12" s="219"/>
      <c r="AF12" s="219"/>
      <c r="AG12" s="219"/>
      <c r="AH12" s="228"/>
      <c r="AI12" s="4"/>
    </row>
    <row r="13" spans="1:35" s="2" customFormat="1" ht="15" customHeight="1" x14ac:dyDescent="0.2">
      <c r="A13" s="6"/>
      <c r="B13" s="467">
        <v>64</v>
      </c>
      <c r="C13" s="514" t="s">
        <v>92</v>
      </c>
      <c r="D13" s="503"/>
      <c r="E13" s="219"/>
      <c r="F13" s="219"/>
      <c r="G13" s="219"/>
      <c r="H13" s="219"/>
      <c r="I13" s="219"/>
      <c r="J13" s="219"/>
      <c r="K13" s="219"/>
      <c r="L13" s="219"/>
      <c r="M13" s="219"/>
      <c r="N13" s="219"/>
      <c r="O13" s="219"/>
      <c r="P13" s="219"/>
      <c r="Q13" s="219"/>
      <c r="R13" s="219"/>
      <c r="S13" s="219"/>
      <c r="T13" s="219"/>
      <c r="U13" s="219"/>
      <c r="V13" s="219"/>
      <c r="W13" s="219"/>
      <c r="X13" s="219"/>
      <c r="Y13" s="219"/>
      <c r="Z13" s="219"/>
      <c r="AA13" s="219"/>
      <c r="AB13" s="219"/>
      <c r="AC13" s="219"/>
      <c r="AD13" s="219"/>
      <c r="AE13" s="219"/>
      <c r="AF13" s="219"/>
      <c r="AG13" s="219"/>
      <c r="AH13" s="228"/>
      <c r="AI13" s="4"/>
    </row>
    <row r="14" spans="1:35" s="2" customFormat="1" ht="15" customHeight="1" x14ac:dyDescent="0.2">
      <c r="A14" s="6"/>
      <c r="B14" s="467" t="s">
        <v>546</v>
      </c>
      <c r="C14" s="515" t="s">
        <v>420</v>
      </c>
      <c r="D14" s="503"/>
      <c r="E14" s="219"/>
      <c r="F14" s="219"/>
      <c r="G14" s="219"/>
      <c r="H14" s="219"/>
      <c r="I14" s="219"/>
      <c r="J14" s="219"/>
      <c r="K14" s="219"/>
      <c r="L14" s="219"/>
      <c r="M14" s="219"/>
      <c r="N14" s="219"/>
      <c r="O14" s="219"/>
      <c r="P14" s="219"/>
      <c r="Q14" s="219"/>
      <c r="R14" s="219"/>
      <c r="S14" s="219"/>
      <c r="T14" s="219"/>
      <c r="U14" s="219"/>
      <c r="V14" s="219"/>
      <c r="W14" s="219"/>
      <c r="X14" s="219"/>
      <c r="Y14" s="219"/>
      <c r="Z14" s="219"/>
      <c r="AA14" s="219"/>
      <c r="AB14" s="219"/>
      <c r="AC14" s="219"/>
      <c r="AD14" s="219"/>
      <c r="AE14" s="219"/>
      <c r="AF14" s="219"/>
      <c r="AG14" s="219"/>
      <c r="AH14" s="228"/>
      <c r="AI14" s="4"/>
    </row>
    <row r="15" spans="1:35" s="2" customFormat="1" ht="15" customHeight="1" x14ac:dyDescent="0.2">
      <c r="A15" s="6"/>
      <c r="B15" s="467" t="s">
        <v>546</v>
      </c>
      <c r="C15" s="236" t="s">
        <v>441</v>
      </c>
      <c r="D15" s="503"/>
      <c r="E15" s="219"/>
      <c r="F15" s="219"/>
      <c r="G15" s="219"/>
      <c r="H15" s="219"/>
      <c r="I15" s="219"/>
      <c r="J15" s="219"/>
      <c r="K15" s="219"/>
      <c r="L15" s="219"/>
      <c r="M15" s="219"/>
      <c r="N15" s="219"/>
      <c r="O15" s="219"/>
      <c r="P15" s="219"/>
      <c r="Q15" s="219"/>
      <c r="R15" s="219"/>
      <c r="S15" s="219"/>
      <c r="T15" s="219"/>
      <c r="U15" s="219"/>
      <c r="V15" s="219"/>
      <c r="W15" s="219"/>
      <c r="X15" s="219"/>
      <c r="Y15" s="219"/>
      <c r="Z15" s="219"/>
      <c r="AA15" s="219"/>
      <c r="AB15" s="219"/>
      <c r="AC15" s="219"/>
      <c r="AD15" s="219"/>
      <c r="AE15" s="219"/>
      <c r="AF15" s="219"/>
      <c r="AG15" s="219"/>
      <c r="AH15" s="228"/>
      <c r="AI15" s="4"/>
    </row>
    <row r="16" spans="1:35" s="2" customFormat="1" ht="15" customHeight="1" x14ac:dyDescent="0.2">
      <c r="A16" s="6"/>
      <c r="B16" s="504"/>
      <c r="C16" s="236" t="s">
        <v>442</v>
      </c>
      <c r="D16" s="503"/>
      <c r="E16" s="505">
        <f>MIN(E14,E15)</f>
        <v>0</v>
      </c>
      <c r="F16" s="505">
        <f>MIN(F14,F15)</f>
        <v>0</v>
      </c>
      <c r="G16" s="505">
        <f t="shared" ref="G16:AH16" si="0">MIN(G14,G15)</f>
        <v>0</v>
      </c>
      <c r="H16" s="505">
        <f t="shared" si="0"/>
        <v>0</v>
      </c>
      <c r="I16" s="505">
        <f t="shared" si="0"/>
        <v>0</v>
      </c>
      <c r="J16" s="505">
        <f t="shared" si="0"/>
        <v>0</v>
      </c>
      <c r="K16" s="505">
        <f t="shared" si="0"/>
        <v>0</v>
      </c>
      <c r="L16" s="505">
        <f t="shared" si="0"/>
        <v>0</v>
      </c>
      <c r="M16" s="505">
        <f t="shared" si="0"/>
        <v>0</v>
      </c>
      <c r="N16" s="505">
        <f t="shared" si="0"/>
        <v>0</v>
      </c>
      <c r="O16" s="505">
        <f t="shared" si="0"/>
        <v>0</v>
      </c>
      <c r="P16" s="505">
        <f t="shared" si="0"/>
        <v>0</v>
      </c>
      <c r="Q16" s="505">
        <f t="shared" si="0"/>
        <v>0</v>
      </c>
      <c r="R16" s="505">
        <f t="shared" si="0"/>
        <v>0</v>
      </c>
      <c r="S16" s="505">
        <f t="shared" si="0"/>
        <v>0</v>
      </c>
      <c r="T16" s="505">
        <f t="shared" si="0"/>
        <v>0</v>
      </c>
      <c r="U16" s="505">
        <f t="shared" si="0"/>
        <v>0</v>
      </c>
      <c r="V16" s="505">
        <f t="shared" si="0"/>
        <v>0</v>
      </c>
      <c r="W16" s="505">
        <f t="shared" si="0"/>
        <v>0</v>
      </c>
      <c r="X16" s="505">
        <f t="shared" si="0"/>
        <v>0</v>
      </c>
      <c r="Y16" s="505">
        <f t="shared" si="0"/>
        <v>0</v>
      </c>
      <c r="Z16" s="505">
        <f t="shared" si="0"/>
        <v>0</v>
      </c>
      <c r="AA16" s="505">
        <f t="shared" si="0"/>
        <v>0</v>
      </c>
      <c r="AB16" s="505">
        <f t="shared" si="0"/>
        <v>0</v>
      </c>
      <c r="AC16" s="505">
        <f t="shared" si="0"/>
        <v>0</v>
      </c>
      <c r="AD16" s="505">
        <f t="shared" si="0"/>
        <v>0</v>
      </c>
      <c r="AE16" s="505">
        <f t="shared" si="0"/>
        <v>0</v>
      </c>
      <c r="AF16" s="505">
        <f t="shared" si="0"/>
        <v>0</v>
      </c>
      <c r="AG16" s="505">
        <f t="shared" si="0"/>
        <v>0</v>
      </c>
      <c r="AH16" s="506">
        <f t="shared" si="0"/>
        <v>0</v>
      </c>
      <c r="AI16" s="4"/>
    </row>
    <row r="17" spans="1:35" s="2" customFormat="1" ht="15" customHeight="1" x14ac:dyDescent="0.2">
      <c r="A17" s="6"/>
      <c r="B17" s="504"/>
      <c r="C17" s="272" t="s">
        <v>377</v>
      </c>
      <c r="D17" s="503"/>
      <c r="E17" s="503"/>
      <c r="F17" s="503"/>
      <c r="G17" s="503"/>
      <c r="H17" s="503"/>
      <c r="I17" s="503"/>
      <c r="J17" s="503"/>
      <c r="K17" s="503"/>
      <c r="L17" s="503"/>
      <c r="M17" s="503"/>
      <c r="N17" s="503"/>
      <c r="O17" s="503"/>
      <c r="P17" s="503"/>
      <c r="Q17" s="503"/>
      <c r="R17" s="503"/>
      <c r="S17" s="503"/>
      <c r="T17" s="503"/>
      <c r="U17" s="503"/>
      <c r="V17" s="503"/>
      <c r="W17" s="503"/>
      <c r="X17" s="503"/>
      <c r="Y17" s="503"/>
      <c r="Z17" s="503"/>
      <c r="AA17" s="503"/>
      <c r="AB17" s="503"/>
      <c r="AC17" s="503"/>
      <c r="AD17" s="503"/>
      <c r="AE17" s="503"/>
      <c r="AF17" s="503"/>
      <c r="AG17" s="503"/>
      <c r="AH17" s="507"/>
      <c r="AI17" s="4"/>
    </row>
    <row r="18" spans="1:35" s="2" customFormat="1" ht="15" customHeight="1" x14ac:dyDescent="0.2">
      <c r="A18" s="6"/>
      <c r="B18" s="504"/>
      <c r="C18" s="236" t="s">
        <v>384</v>
      </c>
      <c r="D18" s="503"/>
      <c r="E18" s="505">
        <f>MAX(0,E5-0.07*E16)</f>
        <v>0</v>
      </c>
      <c r="F18" s="505">
        <f>MAX(0,F5-0.07*F16)</f>
        <v>0</v>
      </c>
      <c r="G18" s="505">
        <f t="shared" ref="G18:AF18" si="1">MAX(0,G5-0.07*G16)</f>
        <v>0</v>
      </c>
      <c r="H18" s="505">
        <f t="shared" si="1"/>
        <v>0</v>
      </c>
      <c r="I18" s="505">
        <f t="shared" si="1"/>
        <v>0</v>
      </c>
      <c r="J18" s="505">
        <f t="shared" si="1"/>
        <v>0</v>
      </c>
      <c r="K18" s="505">
        <f t="shared" si="1"/>
        <v>0</v>
      </c>
      <c r="L18" s="505">
        <f t="shared" si="1"/>
        <v>0</v>
      </c>
      <c r="M18" s="505">
        <f t="shared" si="1"/>
        <v>0</v>
      </c>
      <c r="N18" s="505">
        <f t="shared" si="1"/>
        <v>0</v>
      </c>
      <c r="O18" s="505">
        <f t="shared" si="1"/>
        <v>0</v>
      </c>
      <c r="P18" s="505">
        <f t="shared" si="1"/>
        <v>0</v>
      </c>
      <c r="Q18" s="505">
        <f t="shared" si="1"/>
        <v>0</v>
      </c>
      <c r="R18" s="505">
        <f t="shared" si="1"/>
        <v>0</v>
      </c>
      <c r="S18" s="505">
        <f t="shared" si="1"/>
        <v>0</v>
      </c>
      <c r="T18" s="505">
        <f t="shared" si="1"/>
        <v>0</v>
      </c>
      <c r="U18" s="505">
        <f t="shared" si="1"/>
        <v>0</v>
      </c>
      <c r="V18" s="505">
        <f t="shared" si="1"/>
        <v>0</v>
      </c>
      <c r="W18" s="505">
        <f t="shared" si="1"/>
        <v>0</v>
      </c>
      <c r="X18" s="505">
        <f t="shared" si="1"/>
        <v>0</v>
      </c>
      <c r="Y18" s="505">
        <f t="shared" si="1"/>
        <v>0</v>
      </c>
      <c r="Z18" s="505">
        <f t="shared" si="1"/>
        <v>0</v>
      </c>
      <c r="AA18" s="505">
        <f t="shared" si="1"/>
        <v>0</v>
      </c>
      <c r="AB18" s="505">
        <f t="shared" si="1"/>
        <v>0</v>
      </c>
      <c r="AC18" s="505">
        <f t="shared" si="1"/>
        <v>0</v>
      </c>
      <c r="AD18" s="505">
        <f t="shared" si="1"/>
        <v>0</v>
      </c>
      <c r="AE18" s="505">
        <f t="shared" si="1"/>
        <v>0</v>
      </c>
      <c r="AF18" s="505">
        <f t="shared" si="1"/>
        <v>0</v>
      </c>
      <c r="AG18" s="505">
        <f>MAX(0,AG5-0.07*AG16)</f>
        <v>0</v>
      </c>
      <c r="AH18" s="506">
        <f>MAX(0,AH5-0.07*AH16)</f>
        <v>0</v>
      </c>
      <c r="AI18" s="4"/>
    </row>
    <row r="19" spans="1:35" s="2" customFormat="1" ht="15" customHeight="1" x14ac:dyDescent="0.2">
      <c r="A19" s="6"/>
      <c r="B19" s="504"/>
      <c r="C19" s="245" t="s">
        <v>308</v>
      </c>
      <c r="D19" s="503"/>
      <c r="E19" s="505">
        <f>IF(E6+E7&gt;0, E18*E7/(E6+E7), 0)</f>
        <v>0</v>
      </c>
      <c r="F19" s="505">
        <f t="shared" ref="F19:AH19" si="2">IF(F6+F7&gt;0, F18*F7/(F6+F7), 0)</f>
        <v>0</v>
      </c>
      <c r="G19" s="505">
        <f t="shared" si="2"/>
        <v>0</v>
      </c>
      <c r="H19" s="505">
        <f t="shared" si="2"/>
        <v>0</v>
      </c>
      <c r="I19" s="505">
        <f t="shared" si="2"/>
        <v>0</v>
      </c>
      <c r="J19" s="505">
        <f t="shared" si="2"/>
        <v>0</v>
      </c>
      <c r="K19" s="505">
        <f t="shared" si="2"/>
        <v>0</v>
      </c>
      <c r="L19" s="505">
        <f t="shared" si="2"/>
        <v>0</v>
      </c>
      <c r="M19" s="505">
        <f t="shared" si="2"/>
        <v>0</v>
      </c>
      <c r="N19" s="505">
        <f t="shared" si="2"/>
        <v>0</v>
      </c>
      <c r="O19" s="505">
        <f t="shared" si="2"/>
        <v>0</v>
      </c>
      <c r="P19" s="505">
        <f t="shared" si="2"/>
        <v>0</v>
      </c>
      <c r="Q19" s="505">
        <f t="shared" si="2"/>
        <v>0</v>
      </c>
      <c r="R19" s="505">
        <f t="shared" si="2"/>
        <v>0</v>
      </c>
      <c r="S19" s="505">
        <f t="shared" si="2"/>
        <v>0</v>
      </c>
      <c r="T19" s="505">
        <f t="shared" si="2"/>
        <v>0</v>
      </c>
      <c r="U19" s="505">
        <f t="shared" si="2"/>
        <v>0</v>
      </c>
      <c r="V19" s="505">
        <f t="shared" si="2"/>
        <v>0</v>
      </c>
      <c r="W19" s="505">
        <f t="shared" si="2"/>
        <v>0</v>
      </c>
      <c r="X19" s="505">
        <f t="shared" si="2"/>
        <v>0</v>
      </c>
      <c r="Y19" s="505">
        <f t="shared" si="2"/>
        <v>0</v>
      </c>
      <c r="Z19" s="505">
        <f t="shared" si="2"/>
        <v>0</v>
      </c>
      <c r="AA19" s="505">
        <f t="shared" si="2"/>
        <v>0</v>
      </c>
      <c r="AB19" s="505">
        <f t="shared" si="2"/>
        <v>0</v>
      </c>
      <c r="AC19" s="505">
        <f t="shared" si="2"/>
        <v>0</v>
      </c>
      <c r="AD19" s="505">
        <f t="shared" si="2"/>
        <v>0</v>
      </c>
      <c r="AE19" s="505">
        <f t="shared" si="2"/>
        <v>0</v>
      </c>
      <c r="AF19" s="505">
        <f t="shared" si="2"/>
        <v>0</v>
      </c>
      <c r="AG19" s="505">
        <f t="shared" si="2"/>
        <v>0</v>
      </c>
      <c r="AH19" s="506">
        <f t="shared" si="2"/>
        <v>0</v>
      </c>
      <c r="AI19" s="4"/>
    </row>
    <row r="20" spans="1:35" s="2" customFormat="1" ht="15" customHeight="1" x14ac:dyDescent="0.2">
      <c r="A20" s="6"/>
      <c r="B20" s="504"/>
      <c r="C20" s="242" t="s">
        <v>378</v>
      </c>
      <c r="D20" s="503"/>
      <c r="E20" s="505">
        <f>E7-E19</f>
        <v>0</v>
      </c>
      <c r="F20" s="505">
        <f>F7-F19</f>
        <v>0</v>
      </c>
      <c r="G20" s="505">
        <f t="shared" ref="G20:AH20" si="3">G7-G19</f>
        <v>0</v>
      </c>
      <c r="H20" s="505">
        <f t="shared" si="3"/>
        <v>0</v>
      </c>
      <c r="I20" s="505">
        <f t="shared" si="3"/>
        <v>0</v>
      </c>
      <c r="J20" s="505">
        <f t="shared" si="3"/>
        <v>0</v>
      </c>
      <c r="K20" s="505">
        <f t="shared" si="3"/>
        <v>0</v>
      </c>
      <c r="L20" s="505">
        <f t="shared" si="3"/>
        <v>0</v>
      </c>
      <c r="M20" s="505">
        <f t="shared" si="3"/>
        <v>0</v>
      </c>
      <c r="N20" s="505">
        <f t="shared" si="3"/>
        <v>0</v>
      </c>
      <c r="O20" s="505">
        <f t="shared" si="3"/>
        <v>0</v>
      </c>
      <c r="P20" s="505">
        <f t="shared" si="3"/>
        <v>0</v>
      </c>
      <c r="Q20" s="505">
        <f t="shared" si="3"/>
        <v>0</v>
      </c>
      <c r="R20" s="505">
        <f t="shared" si="3"/>
        <v>0</v>
      </c>
      <c r="S20" s="505">
        <f t="shared" si="3"/>
        <v>0</v>
      </c>
      <c r="T20" s="505">
        <f t="shared" si="3"/>
        <v>0</v>
      </c>
      <c r="U20" s="505">
        <f t="shared" si="3"/>
        <v>0</v>
      </c>
      <c r="V20" s="505">
        <f t="shared" si="3"/>
        <v>0</v>
      </c>
      <c r="W20" s="505">
        <f t="shared" si="3"/>
        <v>0</v>
      </c>
      <c r="X20" s="505">
        <f t="shared" si="3"/>
        <v>0</v>
      </c>
      <c r="Y20" s="505">
        <f t="shared" si="3"/>
        <v>0</v>
      </c>
      <c r="Z20" s="505">
        <f t="shared" si="3"/>
        <v>0</v>
      </c>
      <c r="AA20" s="505">
        <f t="shared" si="3"/>
        <v>0</v>
      </c>
      <c r="AB20" s="505">
        <f t="shared" si="3"/>
        <v>0</v>
      </c>
      <c r="AC20" s="505">
        <f t="shared" si="3"/>
        <v>0</v>
      </c>
      <c r="AD20" s="505">
        <f t="shared" si="3"/>
        <v>0</v>
      </c>
      <c r="AE20" s="505">
        <f t="shared" si="3"/>
        <v>0</v>
      </c>
      <c r="AF20" s="505">
        <f t="shared" si="3"/>
        <v>0</v>
      </c>
      <c r="AG20" s="505">
        <f t="shared" si="3"/>
        <v>0</v>
      </c>
      <c r="AH20" s="506">
        <f t="shared" si="3"/>
        <v>0</v>
      </c>
      <c r="AI20" s="4"/>
    </row>
    <row r="21" spans="1:35" s="2" customFormat="1" ht="15" customHeight="1" x14ac:dyDescent="0.2">
      <c r="A21" s="6"/>
      <c r="B21" s="504"/>
      <c r="C21" s="516" t="s">
        <v>379</v>
      </c>
      <c r="D21" s="503"/>
      <c r="E21" s="503"/>
      <c r="F21" s="503"/>
      <c r="G21" s="503"/>
      <c r="H21" s="503"/>
      <c r="I21" s="503"/>
      <c r="J21" s="503"/>
      <c r="K21" s="503"/>
      <c r="L21" s="503"/>
      <c r="M21" s="503"/>
      <c r="N21" s="503"/>
      <c r="O21" s="503"/>
      <c r="P21" s="503"/>
      <c r="Q21" s="503"/>
      <c r="R21" s="503"/>
      <c r="S21" s="503"/>
      <c r="T21" s="503"/>
      <c r="U21" s="503"/>
      <c r="V21" s="503"/>
      <c r="W21" s="503"/>
      <c r="X21" s="503"/>
      <c r="Y21" s="503"/>
      <c r="Z21" s="503"/>
      <c r="AA21" s="503"/>
      <c r="AB21" s="503"/>
      <c r="AC21" s="503"/>
      <c r="AD21" s="503"/>
      <c r="AE21" s="503"/>
      <c r="AF21" s="503"/>
      <c r="AG21" s="503"/>
      <c r="AH21" s="507"/>
      <c r="AI21" s="4"/>
    </row>
    <row r="22" spans="1:35" s="2" customFormat="1" ht="15" customHeight="1" x14ac:dyDescent="0.2">
      <c r="A22" s="6"/>
      <c r="B22" s="504"/>
      <c r="C22" s="236" t="s">
        <v>380</v>
      </c>
      <c r="D22" s="503"/>
      <c r="E22" s="505">
        <f>MAX(0,E8-0.085*E16)</f>
        <v>0</v>
      </c>
      <c r="F22" s="505">
        <f>MAX(0,F8-0.085*F16)</f>
        <v>0</v>
      </c>
      <c r="G22" s="505">
        <f t="shared" ref="G22:AF22" si="4">MAX(0,G8-0.085*G16)</f>
        <v>0</v>
      </c>
      <c r="H22" s="505">
        <f t="shared" si="4"/>
        <v>0</v>
      </c>
      <c r="I22" s="505">
        <f t="shared" si="4"/>
        <v>0</v>
      </c>
      <c r="J22" s="505">
        <f t="shared" si="4"/>
        <v>0</v>
      </c>
      <c r="K22" s="505">
        <f t="shared" si="4"/>
        <v>0</v>
      </c>
      <c r="L22" s="505">
        <f t="shared" si="4"/>
        <v>0</v>
      </c>
      <c r="M22" s="505">
        <f t="shared" si="4"/>
        <v>0</v>
      </c>
      <c r="N22" s="505">
        <f t="shared" si="4"/>
        <v>0</v>
      </c>
      <c r="O22" s="505">
        <f t="shared" si="4"/>
        <v>0</v>
      </c>
      <c r="P22" s="505">
        <f t="shared" si="4"/>
        <v>0</v>
      </c>
      <c r="Q22" s="505">
        <f t="shared" si="4"/>
        <v>0</v>
      </c>
      <c r="R22" s="505">
        <f t="shared" si="4"/>
        <v>0</v>
      </c>
      <c r="S22" s="505">
        <f t="shared" si="4"/>
        <v>0</v>
      </c>
      <c r="T22" s="505">
        <f t="shared" si="4"/>
        <v>0</v>
      </c>
      <c r="U22" s="505">
        <f t="shared" si="4"/>
        <v>0</v>
      </c>
      <c r="V22" s="505">
        <f t="shared" si="4"/>
        <v>0</v>
      </c>
      <c r="W22" s="505">
        <f t="shared" si="4"/>
        <v>0</v>
      </c>
      <c r="X22" s="505">
        <f t="shared" si="4"/>
        <v>0</v>
      </c>
      <c r="Y22" s="505">
        <f t="shared" si="4"/>
        <v>0</v>
      </c>
      <c r="Z22" s="505">
        <f t="shared" si="4"/>
        <v>0</v>
      </c>
      <c r="AA22" s="505">
        <f t="shared" si="4"/>
        <v>0</v>
      </c>
      <c r="AB22" s="505">
        <f t="shared" si="4"/>
        <v>0</v>
      </c>
      <c r="AC22" s="505">
        <f t="shared" si="4"/>
        <v>0</v>
      </c>
      <c r="AD22" s="505">
        <f t="shared" si="4"/>
        <v>0</v>
      </c>
      <c r="AE22" s="505">
        <f t="shared" si="4"/>
        <v>0</v>
      </c>
      <c r="AF22" s="505">
        <f t="shared" si="4"/>
        <v>0</v>
      </c>
      <c r="AG22" s="505">
        <f>MAX(0,AG8-0.085*AG16)</f>
        <v>0</v>
      </c>
      <c r="AH22" s="506">
        <f>MAX(0,AH8-0.085*AH16)</f>
        <v>0</v>
      </c>
      <c r="AI22" s="4"/>
    </row>
    <row r="23" spans="1:35" s="2" customFormat="1" ht="15" customHeight="1" x14ac:dyDescent="0.2">
      <c r="A23" s="6"/>
      <c r="B23" s="504"/>
      <c r="C23" s="245" t="s">
        <v>308</v>
      </c>
      <c r="D23" s="503"/>
      <c r="E23" s="505">
        <f>IF(E9+E10&gt;0, E22*E10/(E9+E10), 0)</f>
        <v>0</v>
      </c>
      <c r="F23" s="505">
        <f t="shared" ref="F23:AH23" si="5">IF(F9+F10&gt;0, F22*F10/(F9+F10), 0)</f>
        <v>0</v>
      </c>
      <c r="G23" s="505">
        <f t="shared" si="5"/>
        <v>0</v>
      </c>
      <c r="H23" s="505">
        <f t="shared" si="5"/>
        <v>0</v>
      </c>
      <c r="I23" s="505">
        <f t="shared" si="5"/>
        <v>0</v>
      </c>
      <c r="J23" s="505">
        <f t="shared" si="5"/>
        <v>0</v>
      </c>
      <c r="K23" s="505">
        <f t="shared" si="5"/>
        <v>0</v>
      </c>
      <c r="L23" s="505">
        <f t="shared" si="5"/>
        <v>0</v>
      </c>
      <c r="M23" s="505">
        <f t="shared" si="5"/>
        <v>0</v>
      </c>
      <c r="N23" s="505">
        <f t="shared" si="5"/>
        <v>0</v>
      </c>
      <c r="O23" s="505">
        <f t="shared" si="5"/>
        <v>0</v>
      </c>
      <c r="P23" s="505">
        <f t="shared" si="5"/>
        <v>0</v>
      </c>
      <c r="Q23" s="505">
        <f t="shared" si="5"/>
        <v>0</v>
      </c>
      <c r="R23" s="505">
        <f t="shared" si="5"/>
        <v>0</v>
      </c>
      <c r="S23" s="505">
        <f t="shared" si="5"/>
        <v>0</v>
      </c>
      <c r="T23" s="505">
        <f t="shared" si="5"/>
        <v>0</v>
      </c>
      <c r="U23" s="505">
        <f t="shared" si="5"/>
        <v>0</v>
      </c>
      <c r="V23" s="505">
        <f t="shared" si="5"/>
        <v>0</v>
      </c>
      <c r="W23" s="505">
        <f t="shared" si="5"/>
        <v>0</v>
      </c>
      <c r="X23" s="505">
        <f t="shared" si="5"/>
        <v>0</v>
      </c>
      <c r="Y23" s="505">
        <f t="shared" si="5"/>
        <v>0</v>
      </c>
      <c r="Z23" s="505">
        <f t="shared" si="5"/>
        <v>0</v>
      </c>
      <c r="AA23" s="505">
        <f t="shared" si="5"/>
        <v>0</v>
      </c>
      <c r="AB23" s="505">
        <f t="shared" si="5"/>
        <v>0</v>
      </c>
      <c r="AC23" s="505">
        <f t="shared" si="5"/>
        <v>0</v>
      </c>
      <c r="AD23" s="505">
        <f t="shared" si="5"/>
        <v>0</v>
      </c>
      <c r="AE23" s="505">
        <f t="shared" si="5"/>
        <v>0</v>
      </c>
      <c r="AF23" s="505">
        <f t="shared" si="5"/>
        <v>0</v>
      </c>
      <c r="AG23" s="505">
        <f t="shared" si="5"/>
        <v>0</v>
      </c>
      <c r="AH23" s="506">
        <f t="shared" si="5"/>
        <v>0</v>
      </c>
      <c r="AI23" s="4"/>
    </row>
    <row r="24" spans="1:35" s="2" customFormat="1" ht="15" customHeight="1" x14ac:dyDescent="0.2">
      <c r="A24" s="6"/>
      <c r="B24" s="504"/>
      <c r="C24" s="242" t="s">
        <v>381</v>
      </c>
      <c r="D24" s="503"/>
      <c r="E24" s="505">
        <f>E10-E23</f>
        <v>0</v>
      </c>
      <c r="F24" s="505">
        <f>F10-F23</f>
        <v>0</v>
      </c>
      <c r="G24" s="505">
        <f t="shared" ref="G24:AH24" si="6">G10-G23</f>
        <v>0</v>
      </c>
      <c r="H24" s="505">
        <f t="shared" si="6"/>
        <v>0</v>
      </c>
      <c r="I24" s="505">
        <f t="shared" si="6"/>
        <v>0</v>
      </c>
      <c r="J24" s="505">
        <f t="shared" si="6"/>
        <v>0</v>
      </c>
      <c r="K24" s="505">
        <f t="shared" si="6"/>
        <v>0</v>
      </c>
      <c r="L24" s="505">
        <f t="shared" si="6"/>
        <v>0</v>
      </c>
      <c r="M24" s="505">
        <f t="shared" si="6"/>
        <v>0</v>
      </c>
      <c r="N24" s="505">
        <f t="shared" si="6"/>
        <v>0</v>
      </c>
      <c r="O24" s="505">
        <f t="shared" si="6"/>
        <v>0</v>
      </c>
      <c r="P24" s="505">
        <f t="shared" si="6"/>
        <v>0</v>
      </c>
      <c r="Q24" s="505">
        <f t="shared" si="6"/>
        <v>0</v>
      </c>
      <c r="R24" s="505">
        <f t="shared" si="6"/>
        <v>0</v>
      </c>
      <c r="S24" s="505">
        <f t="shared" si="6"/>
        <v>0</v>
      </c>
      <c r="T24" s="505">
        <f t="shared" si="6"/>
        <v>0</v>
      </c>
      <c r="U24" s="505">
        <f t="shared" si="6"/>
        <v>0</v>
      </c>
      <c r="V24" s="505">
        <f t="shared" si="6"/>
        <v>0</v>
      </c>
      <c r="W24" s="505">
        <f t="shared" si="6"/>
        <v>0</v>
      </c>
      <c r="X24" s="505">
        <f t="shared" si="6"/>
        <v>0</v>
      </c>
      <c r="Y24" s="505">
        <f t="shared" si="6"/>
        <v>0</v>
      </c>
      <c r="Z24" s="505">
        <f t="shared" si="6"/>
        <v>0</v>
      </c>
      <c r="AA24" s="505">
        <f t="shared" si="6"/>
        <v>0</v>
      </c>
      <c r="AB24" s="505">
        <f t="shared" si="6"/>
        <v>0</v>
      </c>
      <c r="AC24" s="505">
        <f t="shared" si="6"/>
        <v>0</v>
      </c>
      <c r="AD24" s="505">
        <f t="shared" si="6"/>
        <v>0</v>
      </c>
      <c r="AE24" s="505">
        <f t="shared" si="6"/>
        <v>0</v>
      </c>
      <c r="AF24" s="505">
        <f t="shared" si="6"/>
        <v>0</v>
      </c>
      <c r="AG24" s="505">
        <f t="shared" si="6"/>
        <v>0</v>
      </c>
      <c r="AH24" s="506">
        <f t="shared" si="6"/>
        <v>0</v>
      </c>
      <c r="AI24" s="4"/>
    </row>
    <row r="25" spans="1:35" s="2" customFormat="1" ht="15" customHeight="1" x14ac:dyDescent="0.2">
      <c r="A25" s="6"/>
      <c r="B25" s="504"/>
      <c r="C25" s="516" t="s">
        <v>382</v>
      </c>
      <c r="D25" s="503"/>
      <c r="E25" s="503"/>
      <c r="F25" s="503"/>
      <c r="G25" s="503"/>
      <c r="H25" s="503"/>
      <c r="I25" s="503"/>
      <c r="J25" s="503"/>
      <c r="K25" s="503"/>
      <c r="L25" s="503"/>
      <c r="M25" s="503"/>
      <c r="N25" s="503"/>
      <c r="O25" s="503"/>
      <c r="P25" s="503"/>
      <c r="Q25" s="503"/>
      <c r="R25" s="503"/>
      <c r="S25" s="503"/>
      <c r="T25" s="503"/>
      <c r="U25" s="503"/>
      <c r="V25" s="503"/>
      <c r="W25" s="503"/>
      <c r="X25" s="503"/>
      <c r="Y25" s="503"/>
      <c r="Z25" s="503"/>
      <c r="AA25" s="503"/>
      <c r="AB25" s="503"/>
      <c r="AC25" s="503"/>
      <c r="AD25" s="503"/>
      <c r="AE25" s="503"/>
      <c r="AF25" s="503"/>
      <c r="AG25" s="503"/>
      <c r="AH25" s="507"/>
      <c r="AI25" s="4"/>
    </row>
    <row r="26" spans="1:35" s="2" customFormat="1" ht="15" customHeight="1" x14ac:dyDescent="0.2">
      <c r="A26" s="6"/>
      <c r="B26" s="504"/>
      <c r="C26" s="236" t="s">
        <v>383</v>
      </c>
      <c r="D26" s="503"/>
      <c r="E26" s="505">
        <f>MAX(0,E11-0.105*E16)</f>
        <v>0</v>
      </c>
      <c r="F26" s="505">
        <f>MAX(0,F11-0.105*F16)</f>
        <v>0</v>
      </c>
      <c r="G26" s="505">
        <f t="shared" ref="G26:AF26" si="7">MAX(0,G11-0.105*G16)</f>
        <v>0</v>
      </c>
      <c r="H26" s="505">
        <f t="shared" si="7"/>
        <v>0</v>
      </c>
      <c r="I26" s="505">
        <f t="shared" si="7"/>
        <v>0</v>
      </c>
      <c r="J26" s="505">
        <f t="shared" si="7"/>
        <v>0</v>
      </c>
      <c r="K26" s="505">
        <f t="shared" si="7"/>
        <v>0</v>
      </c>
      <c r="L26" s="505">
        <f t="shared" si="7"/>
        <v>0</v>
      </c>
      <c r="M26" s="505">
        <f t="shared" si="7"/>
        <v>0</v>
      </c>
      <c r="N26" s="505">
        <f t="shared" si="7"/>
        <v>0</v>
      </c>
      <c r="O26" s="505">
        <f t="shared" si="7"/>
        <v>0</v>
      </c>
      <c r="P26" s="505">
        <f t="shared" si="7"/>
        <v>0</v>
      </c>
      <c r="Q26" s="505">
        <f t="shared" si="7"/>
        <v>0</v>
      </c>
      <c r="R26" s="505">
        <f t="shared" si="7"/>
        <v>0</v>
      </c>
      <c r="S26" s="505">
        <f t="shared" si="7"/>
        <v>0</v>
      </c>
      <c r="T26" s="505">
        <f t="shared" si="7"/>
        <v>0</v>
      </c>
      <c r="U26" s="505">
        <f t="shared" si="7"/>
        <v>0</v>
      </c>
      <c r="V26" s="505">
        <f t="shared" si="7"/>
        <v>0</v>
      </c>
      <c r="W26" s="505">
        <f t="shared" si="7"/>
        <v>0</v>
      </c>
      <c r="X26" s="505">
        <f t="shared" si="7"/>
        <v>0</v>
      </c>
      <c r="Y26" s="505">
        <f t="shared" si="7"/>
        <v>0</v>
      </c>
      <c r="Z26" s="505">
        <f t="shared" si="7"/>
        <v>0</v>
      </c>
      <c r="AA26" s="505">
        <f t="shared" si="7"/>
        <v>0</v>
      </c>
      <c r="AB26" s="505">
        <f t="shared" si="7"/>
        <v>0</v>
      </c>
      <c r="AC26" s="505">
        <f t="shared" si="7"/>
        <v>0</v>
      </c>
      <c r="AD26" s="505">
        <f t="shared" si="7"/>
        <v>0</v>
      </c>
      <c r="AE26" s="505">
        <f t="shared" si="7"/>
        <v>0</v>
      </c>
      <c r="AF26" s="505">
        <f t="shared" si="7"/>
        <v>0</v>
      </c>
      <c r="AG26" s="505">
        <f>MAX(0,AG11-0.105*AG16)</f>
        <v>0</v>
      </c>
      <c r="AH26" s="506">
        <f>MAX(0,AH11-0.105*AH16)</f>
        <v>0</v>
      </c>
      <c r="AI26" s="4"/>
    </row>
    <row r="27" spans="1:35" s="2" customFormat="1" ht="15" customHeight="1" x14ac:dyDescent="0.2">
      <c r="A27" s="6"/>
      <c r="B27" s="504"/>
      <c r="C27" s="245" t="s">
        <v>308</v>
      </c>
      <c r="D27" s="503"/>
      <c r="E27" s="505">
        <f>IF(E12+E13&gt;0, E26*E13/(E12+E13), 0)</f>
        <v>0</v>
      </c>
      <c r="F27" s="505">
        <f t="shared" ref="F27:AH27" si="8">IF(F12+F13&gt;0, F26*F13/(F12+F13), 0)</f>
        <v>0</v>
      </c>
      <c r="G27" s="505">
        <f t="shared" si="8"/>
        <v>0</v>
      </c>
      <c r="H27" s="505">
        <f t="shared" si="8"/>
        <v>0</v>
      </c>
      <c r="I27" s="505">
        <f t="shared" si="8"/>
        <v>0</v>
      </c>
      <c r="J27" s="505">
        <f t="shared" si="8"/>
        <v>0</v>
      </c>
      <c r="K27" s="505">
        <f t="shared" si="8"/>
        <v>0</v>
      </c>
      <c r="L27" s="505">
        <f t="shared" si="8"/>
        <v>0</v>
      </c>
      <c r="M27" s="505">
        <f t="shared" si="8"/>
        <v>0</v>
      </c>
      <c r="N27" s="505">
        <f t="shared" si="8"/>
        <v>0</v>
      </c>
      <c r="O27" s="505">
        <f t="shared" si="8"/>
        <v>0</v>
      </c>
      <c r="P27" s="505">
        <f t="shared" si="8"/>
        <v>0</v>
      </c>
      <c r="Q27" s="505">
        <f t="shared" si="8"/>
        <v>0</v>
      </c>
      <c r="R27" s="505">
        <f t="shared" si="8"/>
        <v>0</v>
      </c>
      <c r="S27" s="505">
        <f t="shared" si="8"/>
        <v>0</v>
      </c>
      <c r="T27" s="505">
        <f t="shared" si="8"/>
        <v>0</v>
      </c>
      <c r="U27" s="505">
        <f t="shared" si="8"/>
        <v>0</v>
      </c>
      <c r="V27" s="505">
        <f t="shared" si="8"/>
        <v>0</v>
      </c>
      <c r="W27" s="505">
        <f t="shared" si="8"/>
        <v>0</v>
      </c>
      <c r="X27" s="505">
        <f t="shared" si="8"/>
        <v>0</v>
      </c>
      <c r="Y27" s="505">
        <f t="shared" si="8"/>
        <v>0</v>
      </c>
      <c r="Z27" s="505">
        <f t="shared" si="8"/>
        <v>0</v>
      </c>
      <c r="AA27" s="505">
        <f t="shared" si="8"/>
        <v>0</v>
      </c>
      <c r="AB27" s="505">
        <f t="shared" si="8"/>
        <v>0</v>
      </c>
      <c r="AC27" s="505">
        <f t="shared" si="8"/>
        <v>0</v>
      </c>
      <c r="AD27" s="505">
        <f t="shared" si="8"/>
        <v>0</v>
      </c>
      <c r="AE27" s="505">
        <f t="shared" si="8"/>
        <v>0</v>
      </c>
      <c r="AF27" s="505">
        <f t="shared" si="8"/>
        <v>0</v>
      </c>
      <c r="AG27" s="505">
        <f t="shared" si="8"/>
        <v>0</v>
      </c>
      <c r="AH27" s="506">
        <f t="shared" si="8"/>
        <v>0</v>
      </c>
      <c r="AI27" s="4"/>
    </row>
    <row r="28" spans="1:35" s="2" customFormat="1" ht="15" customHeight="1" x14ac:dyDescent="0.2">
      <c r="A28" s="6"/>
      <c r="B28" s="508"/>
      <c r="C28" s="255" t="s">
        <v>325</v>
      </c>
      <c r="D28" s="509"/>
      <c r="E28" s="510">
        <f>E13-E27</f>
        <v>0</v>
      </c>
      <c r="F28" s="510">
        <f>F13-F27</f>
        <v>0</v>
      </c>
      <c r="G28" s="510">
        <f t="shared" ref="G28:AH28" si="9">G13-G27</f>
        <v>0</v>
      </c>
      <c r="H28" s="510">
        <f t="shared" si="9"/>
        <v>0</v>
      </c>
      <c r="I28" s="510">
        <f t="shared" si="9"/>
        <v>0</v>
      </c>
      <c r="J28" s="510">
        <f t="shared" si="9"/>
        <v>0</v>
      </c>
      <c r="K28" s="510">
        <f t="shared" si="9"/>
        <v>0</v>
      </c>
      <c r="L28" s="510">
        <f t="shared" si="9"/>
        <v>0</v>
      </c>
      <c r="M28" s="510">
        <f t="shared" si="9"/>
        <v>0</v>
      </c>
      <c r="N28" s="510">
        <f t="shared" si="9"/>
        <v>0</v>
      </c>
      <c r="O28" s="510">
        <f t="shared" si="9"/>
        <v>0</v>
      </c>
      <c r="P28" s="510">
        <f t="shared" si="9"/>
        <v>0</v>
      </c>
      <c r="Q28" s="510">
        <f t="shared" si="9"/>
        <v>0</v>
      </c>
      <c r="R28" s="510">
        <f t="shared" si="9"/>
        <v>0</v>
      </c>
      <c r="S28" s="510">
        <f t="shared" si="9"/>
        <v>0</v>
      </c>
      <c r="T28" s="510">
        <f t="shared" si="9"/>
        <v>0</v>
      </c>
      <c r="U28" s="510">
        <f t="shared" si="9"/>
        <v>0</v>
      </c>
      <c r="V28" s="510">
        <f t="shared" si="9"/>
        <v>0</v>
      </c>
      <c r="W28" s="510">
        <f t="shared" si="9"/>
        <v>0</v>
      </c>
      <c r="X28" s="510">
        <f t="shared" si="9"/>
        <v>0</v>
      </c>
      <c r="Y28" s="510">
        <f t="shared" si="9"/>
        <v>0</v>
      </c>
      <c r="Z28" s="510">
        <f t="shared" si="9"/>
        <v>0</v>
      </c>
      <c r="AA28" s="510">
        <f t="shared" si="9"/>
        <v>0</v>
      </c>
      <c r="AB28" s="510">
        <f t="shared" si="9"/>
        <v>0</v>
      </c>
      <c r="AC28" s="510">
        <f t="shared" si="9"/>
        <v>0</v>
      </c>
      <c r="AD28" s="510">
        <f t="shared" si="9"/>
        <v>0</v>
      </c>
      <c r="AE28" s="510">
        <f t="shared" si="9"/>
        <v>0</v>
      </c>
      <c r="AF28" s="510">
        <f t="shared" si="9"/>
        <v>0</v>
      </c>
      <c r="AG28" s="510">
        <f t="shared" si="9"/>
        <v>0</v>
      </c>
      <c r="AH28" s="511">
        <f t="shared" si="9"/>
        <v>0</v>
      </c>
      <c r="AI28" s="4"/>
    </row>
    <row r="29" spans="1:35" s="2" customFormat="1" ht="15" customHeight="1" x14ac:dyDescent="0.2">
      <c r="A29" s="6"/>
      <c r="B29" s="517"/>
      <c r="C29" s="497" t="s">
        <v>385</v>
      </c>
      <c r="D29" s="518">
        <f>SUM(E29:AH29)</f>
        <v>0</v>
      </c>
      <c r="E29" s="519">
        <f>MAX(0,E20)</f>
        <v>0</v>
      </c>
      <c r="F29" s="519">
        <f t="shared" ref="F29:AH29" si="10">MAX(0,F20)</f>
        <v>0</v>
      </c>
      <c r="G29" s="519">
        <f t="shared" si="10"/>
        <v>0</v>
      </c>
      <c r="H29" s="519">
        <f t="shared" si="10"/>
        <v>0</v>
      </c>
      <c r="I29" s="519">
        <f t="shared" si="10"/>
        <v>0</v>
      </c>
      <c r="J29" s="519">
        <f t="shared" si="10"/>
        <v>0</v>
      </c>
      <c r="K29" s="519">
        <f t="shared" si="10"/>
        <v>0</v>
      </c>
      <c r="L29" s="519">
        <f t="shared" si="10"/>
        <v>0</v>
      </c>
      <c r="M29" s="519">
        <f t="shared" si="10"/>
        <v>0</v>
      </c>
      <c r="N29" s="519">
        <f t="shared" si="10"/>
        <v>0</v>
      </c>
      <c r="O29" s="519">
        <f t="shared" si="10"/>
        <v>0</v>
      </c>
      <c r="P29" s="519">
        <f t="shared" si="10"/>
        <v>0</v>
      </c>
      <c r="Q29" s="519">
        <f t="shared" si="10"/>
        <v>0</v>
      </c>
      <c r="R29" s="519">
        <f t="shared" si="10"/>
        <v>0</v>
      </c>
      <c r="S29" s="519">
        <f t="shared" si="10"/>
        <v>0</v>
      </c>
      <c r="T29" s="519">
        <f t="shared" si="10"/>
        <v>0</v>
      </c>
      <c r="U29" s="519">
        <f t="shared" si="10"/>
        <v>0</v>
      </c>
      <c r="V29" s="519">
        <f t="shared" si="10"/>
        <v>0</v>
      </c>
      <c r="W29" s="519">
        <f t="shared" si="10"/>
        <v>0</v>
      </c>
      <c r="X29" s="519">
        <f t="shared" si="10"/>
        <v>0</v>
      </c>
      <c r="Y29" s="519">
        <f t="shared" si="10"/>
        <v>0</v>
      </c>
      <c r="Z29" s="519">
        <f t="shared" si="10"/>
        <v>0</v>
      </c>
      <c r="AA29" s="519">
        <f t="shared" si="10"/>
        <v>0</v>
      </c>
      <c r="AB29" s="519">
        <f t="shared" si="10"/>
        <v>0</v>
      </c>
      <c r="AC29" s="519">
        <f t="shared" si="10"/>
        <v>0</v>
      </c>
      <c r="AD29" s="519">
        <f t="shared" si="10"/>
        <v>0</v>
      </c>
      <c r="AE29" s="519">
        <f t="shared" si="10"/>
        <v>0</v>
      </c>
      <c r="AF29" s="519">
        <f t="shared" si="10"/>
        <v>0</v>
      </c>
      <c r="AG29" s="519">
        <f t="shared" si="10"/>
        <v>0</v>
      </c>
      <c r="AH29" s="520">
        <f t="shared" si="10"/>
        <v>0</v>
      </c>
      <c r="AI29" s="4"/>
    </row>
    <row r="30" spans="1:35" s="2" customFormat="1" ht="15" customHeight="1" x14ac:dyDescent="0.2">
      <c r="A30" s="6"/>
      <c r="B30" s="504"/>
      <c r="C30" s="498" t="s">
        <v>386</v>
      </c>
      <c r="D30" s="521">
        <f>SUM(E30:AH30)</f>
        <v>0</v>
      </c>
      <c r="E30" s="505">
        <f>MAX(0,E24-E29)</f>
        <v>0</v>
      </c>
      <c r="F30" s="505">
        <f t="shared" ref="F30:AH30" si="11">MAX(0,F24-F29)</f>
        <v>0</v>
      </c>
      <c r="G30" s="505">
        <f t="shared" si="11"/>
        <v>0</v>
      </c>
      <c r="H30" s="505">
        <f t="shared" si="11"/>
        <v>0</v>
      </c>
      <c r="I30" s="505">
        <f t="shared" si="11"/>
        <v>0</v>
      </c>
      <c r="J30" s="505">
        <f t="shared" si="11"/>
        <v>0</v>
      </c>
      <c r="K30" s="505">
        <f t="shared" si="11"/>
        <v>0</v>
      </c>
      <c r="L30" s="505">
        <f t="shared" si="11"/>
        <v>0</v>
      </c>
      <c r="M30" s="505">
        <f t="shared" si="11"/>
        <v>0</v>
      </c>
      <c r="N30" s="505">
        <f t="shared" si="11"/>
        <v>0</v>
      </c>
      <c r="O30" s="505">
        <f t="shared" si="11"/>
        <v>0</v>
      </c>
      <c r="P30" s="505">
        <f t="shared" si="11"/>
        <v>0</v>
      </c>
      <c r="Q30" s="505">
        <f t="shared" si="11"/>
        <v>0</v>
      </c>
      <c r="R30" s="505">
        <f t="shared" si="11"/>
        <v>0</v>
      </c>
      <c r="S30" s="505">
        <f t="shared" si="11"/>
        <v>0</v>
      </c>
      <c r="T30" s="505">
        <f t="shared" si="11"/>
        <v>0</v>
      </c>
      <c r="U30" s="505">
        <f t="shared" si="11"/>
        <v>0</v>
      </c>
      <c r="V30" s="505">
        <f t="shared" si="11"/>
        <v>0</v>
      </c>
      <c r="W30" s="505">
        <f t="shared" si="11"/>
        <v>0</v>
      </c>
      <c r="X30" s="505">
        <f t="shared" si="11"/>
        <v>0</v>
      </c>
      <c r="Y30" s="505">
        <f t="shared" si="11"/>
        <v>0</v>
      </c>
      <c r="Z30" s="505">
        <f t="shared" si="11"/>
        <v>0</v>
      </c>
      <c r="AA30" s="505">
        <f t="shared" si="11"/>
        <v>0</v>
      </c>
      <c r="AB30" s="505">
        <f t="shared" si="11"/>
        <v>0</v>
      </c>
      <c r="AC30" s="505">
        <f t="shared" si="11"/>
        <v>0</v>
      </c>
      <c r="AD30" s="505">
        <f t="shared" si="11"/>
        <v>0</v>
      </c>
      <c r="AE30" s="505">
        <f t="shared" si="11"/>
        <v>0</v>
      </c>
      <c r="AF30" s="505">
        <f t="shared" si="11"/>
        <v>0</v>
      </c>
      <c r="AG30" s="505">
        <f t="shared" si="11"/>
        <v>0</v>
      </c>
      <c r="AH30" s="506">
        <f t="shared" si="11"/>
        <v>0</v>
      </c>
      <c r="AI30" s="4"/>
    </row>
    <row r="31" spans="1:35" s="2" customFormat="1" ht="15" customHeight="1" x14ac:dyDescent="0.2">
      <c r="A31" s="6"/>
      <c r="B31" s="508"/>
      <c r="C31" s="495" t="s">
        <v>387</v>
      </c>
      <c r="D31" s="522">
        <f>SUM(E31:AH31)</f>
        <v>0</v>
      </c>
      <c r="E31" s="510">
        <f>MAX(0,E28-E29-E30)</f>
        <v>0</v>
      </c>
      <c r="F31" s="510">
        <f t="shared" ref="F31:AH31" si="12">MAX(0,F28-F29-F30)</f>
        <v>0</v>
      </c>
      <c r="G31" s="510">
        <f t="shared" si="12"/>
        <v>0</v>
      </c>
      <c r="H31" s="510">
        <f t="shared" si="12"/>
        <v>0</v>
      </c>
      <c r="I31" s="510">
        <f t="shared" si="12"/>
        <v>0</v>
      </c>
      <c r="J31" s="510">
        <f t="shared" si="12"/>
        <v>0</v>
      </c>
      <c r="K31" s="510">
        <f t="shared" si="12"/>
        <v>0</v>
      </c>
      <c r="L31" s="510">
        <f t="shared" si="12"/>
        <v>0</v>
      </c>
      <c r="M31" s="510">
        <f t="shared" si="12"/>
        <v>0</v>
      </c>
      <c r="N31" s="510">
        <f t="shared" si="12"/>
        <v>0</v>
      </c>
      <c r="O31" s="510">
        <f t="shared" si="12"/>
        <v>0</v>
      </c>
      <c r="P31" s="510">
        <f t="shared" si="12"/>
        <v>0</v>
      </c>
      <c r="Q31" s="510">
        <f t="shared" si="12"/>
        <v>0</v>
      </c>
      <c r="R31" s="510">
        <f t="shared" si="12"/>
        <v>0</v>
      </c>
      <c r="S31" s="510">
        <f t="shared" si="12"/>
        <v>0</v>
      </c>
      <c r="T31" s="510">
        <f t="shared" si="12"/>
        <v>0</v>
      </c>
      <c r="U31" s="510">
        <f t="shared" si="12"/>
        <v>0</v>
      </c>
      <c r="V31" s="510">
        <f t="shared" si="12"/>
        <v>0</v>
      </c>
      <c r="W31" s="510">
        <f t="shared" si="12"/>
        <v>0</v>
      </c>
      <c r="X31" s="510">
        <f t="shared" si="12"/>
        <v>0</v>
      </c>
      <c r="Y31" s="510">
        <f t="shared" si="12"/>
        <v>0</v>
      </c>
      <c r="Z31" s="510">
        <f t="shared" si="12"/>
        <v>0</v>
      </c>
      <c r="AA31" s="510">
        <f t="shared" si="12"/>
        <v>0</v>
      </c>
      <c r="AB31" s="510">
        <f t="shared" si="12"/>
        <v>0</v>
      </c>
      <c r="AC31" s="510">
        <f t="shared" si="12"/>
        <v>0</v>
      </c>
      <c r="AD31" s="510">
        <f t="shared" si="12"/>
        <v>0</v>
      </c>
      <c r="AE31" s="510">
        <f t="shared" si="12"/>
        <v>0</v>
      </c>
      <c r="AF31" s="510">
        <f t="shared" si="12"/>
        <v>0</v>
      </c>
      <c r="AG31" s="510">
        <f t="shared" si="12"/>
        <v>0</v>
      </c>
      <c r="AH31" s="511">
        <f t="shared" si="12"/>
        <v>0</v>
      </c>
      <c r="AI31" s="4"/>
    </row>
    <row r="32" spans="1:35" ht="15" customHeight="1" x14ac:dyDescent="0.2">
      <c r="A32" s="53"/>
      <c r="B32" s="29"/>
      <c r="C32" s="29"/>
      <c r="D32" s="29"/>
      <c r="E32" s="43"/>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30"/>
    </row>
  </sheetData>
  <dataConsolidate/>
  <phoneticPr fontId="8" type="noConversion"/>
  <conditionalFormatting sqref="E5:AH15">
    <cfRule type="cellIs" dxfId="1340" priority="1" stopIfTrue="1" operator="lessThan">
      <formula>0</formula>
    </cfRule>
  </conditionalFormatting>
  <printOptions headings="1"/>
  <pageMargins left="0.78740157480314965" right="0.78740157480314965" top="0.98425196850393704" bottom="0.98425196850393704" header="0.51181102362204722" footer="0.51181102362204722"/>
  <pageSetup paperSize="9" scale="50" fitToHeight="10" pageOrder="overThenDown" orientation="landscape" r:id="rId1"/>
  <headerFooter alignWithMargins="0">
    <oddHeader>&amp;L&amp;"Arial,Bold"&amp;14Basel Committee on Banking Supervision
Basel III monitoring template&amp;C&amp;14&amp;F
&amp;A&amp;R&amp;"Arial,Bold"&amp;14Confidential when completed</oddHeader>
    <oddFooter>&amp;L&amp;14&amp;D  &amp;T&amp;R&amp;14Page &amp;P of &amp;N</oddFooter>
  </headerFooter>
  <ignoredErrors>
    <ignoredError sqref="E16:AH31" emptyCellReferenc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indexed="43"/>
  </sheetPr>
  <dimension ref="A1:O151"/>
  <sheetViews>
    <sheetView zoomScale="75" zoomScaleNormal="75" zoomScaleSheetLayoutView="75" workbookViewId="0"/>
  </sheetViews>
  <sheetFormatPr defaultColWidth="8.85546875" defaultRowHeight="15" customHeight="1" x14ac:dyDescent="0.2"/>
  <cols>
    <col min="1" max="1" width="1.7109375" customWidth="1"/>
    <col min="2" max="2" width="12.7109375" customWidth="1"/>
    <col min="3" max="3" width="83.140625" customWidth="1"/>
    <col min="4" max="8" width="16.7109375" customWidth="1"/>
    <col min="9" max="9" width="1.7109375" customWidth="1"/>
    <col min="10" max="14" width="16.7109375" customWidth="1"/>
    <col min="15" max="15" width="1.7109375" customWidth="1"/>
  </cols>
  <sheetData>
    <row r="1" spans="1:15" ht="30" customHeight="1" x14ac:dyDescent="0.4">
      <c r="A1" s="38" t="s">
        <v>535</v>
      </c>
      <c r="B1" s="35"/>
      <c r="C1" s="39"/>
      <c r="D1" s="39"/>
      <c r="E1" s="39"/>
      <c r="F1" s="39"/>
      <c r="G1" s="39"/>
      <c r="H1" s="39"/>
      <c r="I1" s="39"/>
      <c r="J1" s="39"/>
      <c r="K1" s="39"/>
      <c r="L1" s="39"/>
      <c r="M1" s="39"/>
      <c r="N1" s="39"/>
      <c r="O1" s="41"/>
    </row>
    <row r="2" spans="1:15" s="62" customFormat="1" ht="30" customHeight="1" x14ac:dyDescent="0.25">
      <c r="A2" s="1478" t="s">
        <v>389</v>
      </c>
      <c r="B2" s="52"/>
      <c r="C2" s="92"/>
      <c r="D2" s="92"/>
      <c r="E2" s="92"/>
      <c r="F2" s="92"/>
      <c r="G2" s="92"/>
      <c r="H2" s="92"/>
      <c r="I2" s="92"/>
      <c r="J2" s="92"/>
      <c r="K2" s="92"/>
      <c r="L2" s="92"/>
      <c r="M2" s="92"/>
      <c r="N2" s="92"/>
      <c r="O2" s="61"/>
    </row>
    <row r="3" spans="1:15" s="62" customFormat="1" ht="15" customHeight="1" x14ac:dyDescent="0.2">
      <c r="A3" s="153"/>
      <c r="B3" s="3"/>
      <c r="C3" s="3"/>
      <c r="D3" s="3"/>
      <c r="E3" s="3"/>
      <c r="F3" s="3"/>
      <c r="G3" s="3"/>
      <c r="H3" s="3"/>
      <c r="I3" s="3"/>
      <c r="J3" s="3"/>
      <c r="K3" s="3"/>
      <c r="L3" s="3"/>
      <c r="M3" s="3"/>
      <c r="N3" s="3"/>
      <c r="O3" s="89"/>
    </row>
    <row r="4" spans="1:15" s="62" customFormat="1" ht="15" customHeight="1" x14ac:dyDescent="0.2">
      <c r="A4" s="153"/>
      <c r="B4" s="3"/>
      <c r="C4" s="3" t="s">
        <v>390</v>
      </c>
      <c r="D4" s="3"/>
      <c r="E4" s="3"/>
      <c r="F4" s="3"/>
      <c r="G4" s="3"/>
      <c r="H4" s="3"/>
      <c r="I4" s="3"/>
      <c r="J4" s="3"/>
      <c r="K4" s="3"/>
      <c r="L4" s="3"/>
      <c r="M4" s="3"/>
      <c r="N4" s="3"/>
      <c r="O4" s="89"/>
    </row>
    <row r="5" spans="1:15" s="2" customFormat="1" ht="15" customHeight="1" x14ac:dyDescent="0.2">
      <c r="A5" s="6"/>
      <c r="B5" s="1169"/>
      <c r="C5" s="1169"/>
      <c r="D5" s="3"/>
      <c r="E5" s="3"/>
      <c r="F5" s="3"/>
      <c r="G5" s="3"/>
      <c r="H5" s="3"/>
      <c r="I5" s="3"/>
      <c r="J5" s="3"/>
      <c r="K5" s="3"/>
      <c r="L5" s="3"/>
      <c r="M5" s="3"/>
      <c r="N5" s="3"/>
      <c r="O5" s="4"/>
    </row>
    <row r="6" spans="1:15" s="2" customFormat="1" ht="15" customHeight="1" x14ac:dyDescent="0.2">
      <c r="A6" s="6"/>
      <c r="B6" s="1653" t="s">
        <v>880</v>
      </c>
      <c r="C6" s="1655"/>
      <c r="D6" s="1649" t="s">
        <v>472</v>
      </c>
      <c r="E6" s="1651"/>
      <c r="F6" s="1651"/>
      <c r="G6" s="1651"/>
      <c r="H6" s="1651"/>
      <c r="I6" s="95"/>
      <c r="J6" s="1651" t="s">
        <v>88</v>
      </c>
      <c r="K6" s="1651"/>
      <c r="L6" s="1651"/>
      <c r="M6" s="1651"/>
      <c r="N6" s="1651"/>
      <c r="O6" s="4"/>
    </row>
    <row r="7" spans="1:15" s="2" customFormat="1" ht="60" customHeight="1" x14ac:dyDescent="0.2">
      <c r="A7" s="6"/>
      <c r="B7" s="1654"/>
      <c r="C7" s="1656"/>
      <c r="D7" s="529" t="s">
        <v>391</v>
      </c>
      <c r="E7" s="529" t="s">
        <v>881</v>
      </c>
      <c r="F7" s="529" t="s">
        <v>869</v>
      </c>
      <c r="G7" s="529" t="s">
        <v>885</v>
      </c>
      <c r="H7" s="343" t="s">
        <v>227</v>
      </c>
      <c r="I7" s="95"/>
      <c r="J7" s="533" t="s">
        <v>391</v>
      </c>
      <c r="K7" s="529" t="s">
        <v>881</v>
      </c>
      <c r="L7" s="529" t="s">
        <v>869</v>
      </c>
      <c r="M7" s="529" t="s">
        <v>885</v>
      </c>
      <c r="N7" s="343" t="s">
        <v>227</v>
      </c>
      <c r="O7" s="4"/>
    </row>
    <row r="8" spans="1:15" s="2" customFormat="1" ht="15" customHeight="1" x14ac:dyDescent="0.2">
      <c r="A8" s="6"/>
      <c r="B8" s="524" t="s">
        <v>870</v>
      </c>
      <c r="C8" s="525" t="s">
        <v>392</v>
      </c>
      <c r="D8" s="1130" t="str">
        <f>IF(AND(ISNUMBER(D10),ISNUMBER(D11),ISNUMBER(D12)),SUM(D10:D12),"")</f>
        <v/>
      </c>
      <c r="E8" s="1130" t="str">
        <f>IF(AND(ISNUMBER(E10),ISNUMBER(E11),ISNUMBER(E12)),SUM(E10:E12),"")</f>
        <v/>
      </c>
      <c r="F8" s="1130" t="str">
        <f>IF(AND(ISNUMBER(F9),ISNUMBER(F13),ISNUMBER(F14)),F9-F13-F14,"")</f>
        <v/>
      </c>
      <c r="G8" s="1135"/>
      <c r="H8" s="1136"/>
      <c r="I8" s="95"/>
      <c r="J8" s="293" t="str">
        <f>IF(AND(ISNUMBER(J10),ISNUMBER(J11),ISNUMBER(J12)),SUM(J10:J12),"")</f>
        <v/>
      </c>
      <c r="K8" s="280" t="str">
        <f>IF(AND(ISNUMBER(K10),ISNUMBER(K11),ISNUMBER(K12)),SUM(K10:K12),"")</f>
        <v/>
      </c>
      <c r="L8" s="1089" t="str">
        <f>IF(AND(ISNUMBER(L9),ISNUMBER(L13),ISNUMBER(L14)),L9-L13-L14,"")</f>
        <v/>
      </c>
      <c r="M8" s="526"/>
      <c r="N8" s="527"/>
      <c r="O8" s="4"/>
    </row>
    <row r="9" spans="1:15" s="1078" customFormat="1" ht="15" customHeight="1" x14ac:dyDescent="0.2">
      <c r="A9" s="1080"/>
      <c r="B9" s="1091" t="s">
        <v>986</v>
      </c>
      <c r="C9" s="1090" t="s">
        <v>987</v>
      </c>
      <c r="D9" s="1141"/>
      <c r="E9" s="1141"/>
      <c r="F9" s="1126"/>
      <c r="G9" s="1127"/>
      <c r="H9" s="1128"/>
      <c r="I9" s="1081"/>
      <c r="J9" s="1315"/>
      <c r="K9" s="1164"/>
      <c r="L9" s="1082"/>
      <c r="M9" s="1083"/>
      <c r="N9" s="1084"/>
      <c r="O9" s="1079"/>
    </row>
    <row r="10" spans="1:15" s="2" customFormat="1" ht="15" customHeight="1" x14ac:dyDescent="0.2">
      <c r="A10" s="6"/>
      <c r="B10" s="405"/>
      <c r="C10" s="1133" t="s">
        <v>1001</v>
      </c>
      <c r="D10" s="1134"/>
      <c r="E10" s="1134"/>
      <c r="F10" s="1125"/>
      <c r="G10" s="1125"/>
      <c r="H10" s="1155" t="str">
        <f>IF(D10&lt;=E10,"Yes","No")</f>
        <v>Yes</v>
      </c>
      <c r="I10" s="95"/>
      <c r="J10" s="1157"/>
      <c r="K10" s="523"/>
      <c r="L10" s="220"/>
      <c r="M10" s="220"/>
      <c r="N10" s="1155" t="str">
        <f>IF(J10&lt;=K10,"Yes","No")</f>
        <v>Yes</v>
      </c>
      <c r="O10" s="4"/>
    </row>
    <row r="11" spans="1:15" s="2" customFormat="1" ht="15" customHeight="1" x14ac:dyDescent="0.2">
      <c r="A11" s="6"/>
      <c r="B11" s="405"/>
      <c r="C11" s="1133" t="s">
        <v>1002</v>
      </c>
      <c r="D11" s="1134"/>
      <c r="E11" s="1134"/>
      <c r="F11" s="1125"/>
      <c r="G11" s="1125"/>
      <c r="H11" s="1155" t="str">
        <f>IF(D11&lt;=E11,"Yes","No")</f>
        <v>Yes</v>
      </c>
      <c r="I11" s="95"/>
      <c r="J11" s="1157"/>
      <c r="K11" s="523"/>
      <c r="L11" s="220"/>
      <c r="M11" s="220"/>
      <c r="N11" s="1155" t="str">
        <f>IF(J11&lt;=K11,"Yes","No")</f>
        <v>Yes</v>
      </c>
      <c r="O11" s="4"/>
    </row>
    <row r="12" spans="1:15" s="2" customFormat="1" ht="15" customHeight="1" x14ac:dyDescent="0.2">
      <c r="A12" s="6"/>
      <c r="B12" s="405"/>
      <c r="C12" s="1133" t="s">
        <v>1003</v>
      </c>
      <c r="D12" s="1134"/>
      <c r="E12" s="1134"/>
      <c r="F12" s="1125"/>
      <c r="G12" s="1125"/>
      <c r="H12" s="1155" t="str">
        <f>IF(D12&lt;=E12,"Yes","No")</f>
        <v>Yes</v>
      </c>
      <c r="I12" s="95"/>
      <c r="J12" s="1157"/>
      <c r="K12" s="523"/>
      <c r="L12" s="220"/>
      <c r="M12" s="220"/>
      <c r="N12" s="1155" t="str">
        <f>IF(J12&lt;=K12,"Yes","No")</f>
        <v>Yes</v>
      </c>
      <c r="O12" s="4"/>
    </row>
    <row r="13" spans="1:15" s="1085" customFormat="1" ht="15" customHeight="1" x14ac:dyDescent="0.2">
      <c r="A13" s="1087"/>
      <c r="B13" s="1093" t="s">
        <v>988</v>
      </c>
      <c r="C13" s="1092" t="s">
        <v>989</v>
      </c>
      <c r="D13" s="1139"/>
      <c r="E13" s="1131"/>
      <c r="F13" s="1140"/>
      <c r="G13" s="1127"/>
      <c r="H13" s="1132"/>
      <c r="I13" s="1088"/>
      <c r="J13" s="1315"/>
      <c r="K13" s="1101"/>
      <c r="L13" s="1103"/>
      <c r="M13" s="1100"/>
      <c r="N13" s="1132"/>
      <c r="O13" s="1086"/>
    </row>
    <row r="14" spans="1:15" s="1085" customFormat="1" ht="15" customHeight="1" x14ac:dyDescent="0.2">
      <c r="A14" s="1087"/>
      <c r="B14" s="1288">
        <v>27</v>
      </c>
      <c r="C14" s="1094" t="s">
        <v>990</v>
      </c>
      <c r="D14" s="1152"/>
      <c r="E14" s="1152"/>
      <c r="F14" s="1146"/>
      <c r="G14" s="1148"/>
      <c r="H14" s="1151"/>
      <c r="I14" s="1088"/>
      <c r="J14" s="1316"/>
      <c r="K14" s="1152"/>
      <c r="L14" s="1146"/>
      <c r="M14" s="1148"/>
      <c r="N14" s="1151"/>
      <c r="O14" s="1086"/>
    </row>
    <row r="15" spans="1:15" s="2" customFormat="1" ht="15" customHeight="1" x14ac:dyDescent="0.2">
      <c r="A15" s="6"/>
      <c r="B15" s="1181" t="s">
        <v>991</v>
      </c>
      <c r="C15" s="1106" t="s">
        <v>452</v>
      </c>
      <c r="D15" s="1161" t="str">
        <f>IF(AND(ISNUMBER(D16),ISNUMBER(D17)),SUM(D16:D17),"")</f>
        <v/>
      </c>
      <c r="E15" s="1161" t="str">
        <f t="shared" ref="E15:F15" si="0">IF(AND(ISNUMBER(E16),ISNUMBER(E17)),SUM(E16:E17),"")</f>
        <v/>
      </c>
      <c r="F15" s="1161" t="str">
        <f t="shared" si="0"/>
        <v/>
      </c>
      <c r="G15" s="1161" t="str">
        <f>IF(ISNUMBER(G17),G17,"")</f>
        <v/>
      </c>
      <c r="H15" s="1165"/>
      <c r="I15" s="95"/>
      <c r="J15" s="293" t="str">
        <f>IF(AND(ISNUMBER(J16),ISNUMBER(J17)),SUM(J16:J17),"")</f>
        <v/>
      </c>
      <c r="K15" s="1161" t="str">
        <f t="shared" ref="K15" si="1">IF(AND(ISNUMBER(K16),ISNUMBER(K17)),SUM(K16:K17),"")</f>
        <v/>
      </c>
      <c r="L15" s="1161" t="str">
        <f t="shared" ref="L15" si="2">IF(AND(ISNUMBER(L16),ISNUMBER(L17)),SUM(L16:L17),"")</f>
        <v/>
      </c>
      <c r="M15" s="1161" t="str">
        <f>IF(ISNUMBER(M17),M17,"")</f>
        <v/>
      </c>
      <c r="N15" s="1165"/>
      <c r="O15" s="4"/>
    </row>
    <row r="16" spans="1:15" s="1095" customFormat="1" ht="15" customHeight="1" x14ac:dyDescent="0.2">
      <c r="A16" s="1097"/>
      <c r="B16" s="1176" t="s">
        <v>872</v>
      </c>
      <c r="C16" s="1104" t="s">
        <v>992</v>
      </c>
      <c r="D16" s="1134"/>
      <c r="E16" s="1134"/>
      <c r="F16" s="1124"/>
      <c r="G16" s="1165"/>
      <c r="H16" s="1297" t="str">
        <f>IF(D16&lt;=E16,"Yes","No")</f>
        <v>Yes</v>
      </c>
      <c r="I16" s="1098"/>
      <c r="J16" s="1157"/>
      <c r="K16" s="1102"/>
      <c r="L16" s="1099"/>
      <c r="M16" s="1165"/>
      <c r="N16" s="1297" t="str">
        <f>IF(J16&lt;=K16,"Yes","No")</f>
        <v>Yes</v>
      </c>
      <c r="O16" s="1096"/>
    </row>
    <row r="17" spans="1:15" s="1095" customFormat="1" ht="15" customHeight="1" x14ac:dyDescent="0.2">
      <c r="A17" s="1097"/>
      <c r="B17" s="1019" t="s">
        <v>1051</v>
      </c>
      <c r="C17" s="1105" t="s">
        <v>1050</v>
      </c>
      <c r="D17" s="1156"/>
      <c r="E17" s="1156"/>
      <c r="F17" s="1146"/>
      <c r="G17" s="1146"/>
      <c r="H17" s="1185" t="str">
        <f>IF(D17&lt;=E17,"Yes","No")</f>
        <v>Yes</v>
      </c>
      <c r="I17" s="1098"/>
      <c r="J17" s="1162"/>
      <c r="K17" s="1156"/>
      <c r="L17" s="1146"/>
      <c r="M17" s="1146"/>
      <c r="N17" s="1185" t="str">
        <f>IF(J17&lt;=K17,"Yes","No")</f>
        <v>Yes</v>
      </c>
      <c r="O17" s="1096"/>
    </row>
    <row r="18" spans="1:15" s="2" customFormat="1" ht="15" customHeight="1" x14ac:dyDescent="0.2">
      <c r="A18" s="6"/>
      <c r="B18" s="1289"/>
      <c r="C18" s="1122" t="s">
        <v>158</v>
      </c>
      <c r="D18" s="1149"/>
      <c r="E18" s="1161" t="str">
        <f>IF(ISNUMBER(E19),E19+E20,"")</f>
        <v/>
      </c>
      <c r="F18" s="1149"/>
      <c r="G18" s="1149"/>
      <c r="H18" s="1165"/>
      <c r="I18" s="95"/>
      <c r="J18" s="1166"/>
      <c r="K18" s="1161" t="str">
        <f>IF(ISNUMBER(K19),K19+K20,"")</f>
        <v/>
      </c>
      <c r="L18" s="1149"/>
      <c r="M18" s="1149"/>
      <c r="N18" s="1165"/>
      <c r="O18" s="4"/>
    </row>
    <row r="19" spans="1:15" s="1107" customFormat="1" ht="15" customHeight="1" x14ac:dyDescent="0.2">
      <c r="A19" s="1109"/>
      <c r="B19" s="1119"/>
      <c r="C19" s="1120" t="s">
        <v>993</v>
      </c>
      <c r="D19" s="1134"/>
      <c r="E19" s="1124"/>
      <c r="F19" s="1125"/>
      <c r="G19" s="1125"/>
      <c r="H19" s="1155" t="str">
        <f>IF(D19&lt;=E19,"Yes","No")</f>
        <v>Yes</v>
      </c>
      <c r="I19" s="1110"/>
      <c r="J19" s="1157"/>
      <c r="K19" s="1111"/>
      <c r="L19" s="1112"/>
      <c r="M19" s="1112"/>
      <c r="N19" s="1155" t="str">
        <f>IF(J19&lt;=K19,"Yes","No")</f>
        <v>Yes</v>
      </c>
      <c r="O19" s="1108"/>
    </row>
    <row r="20" spans="1:15" s="1107" customFormat="1" ht="15" customHeight="1" x14ac:dyDescent="0.2">
      <c r="A20" s="1109"/>
      <c r="B20" s="1119"/>
      <c r="C20" s="1120" t="s">
        <v>994</v>
      </c>
      <c r="D20" s="1147"/>
      <c r="E20" s="1161" t="str">
        <f>IF(AND(ISNUMBER(E21),ISNUMBER(E22),ISNUMBER(E23),ISNUMBER(E24),ISNUMBER(E25),ISNUMBER(E26)),E21-E22-E23-E24+E25-E26,"")</f>
        <v/>
      </c>
      <c r="F20" s="1125"/>
      <c r="G20" s="1125"/>
      <c r="H20" s="1150"/>
      <c r="I20" s="1110"/>
      <c r="J20" s="1114"/>
      <c r="K20" s="1161" t="str">
        <f>IF(AND(ISNUMBER(K21),ISNUMBER(K22),ISNUMBER(K23),ISNUMBER(K24),ISNUMBER(K25),ISNUMBER(K26)),K21-K22-K23-K24+K25-K26,"")</f>
        <v/>
      </c>
      <c r="L20" s="1112"/>
      <c r="M20" s="1112"/>
      <c r="N20" s="1173"/>
      <c r="O20" s="1108"/>
    </row>
    <row r="21" spans="1:15" s="1107" customFormat="1" ht="15" customHeight="1" x14ac:dyDescent="0.2">
      <c r="A21" s="1109"/>
      <c r="B21" s="1121">
        <v>24</v>
      </c>
      <c r="C21" s="1120" t="s">
        <v>995</v>
      </c>
      <c r="D21" s="1147"/>
      <c r="E21" s="1124"/>
      <c r="F21" s="1125"/>
      <c r="G21" s="1125"/>
      <c r="H21" s="1173"/>
      <c r="I21" s="1110"/>
      <c r="J21" s="1114"/>
      <c r="K21" s="1111"/>
      <c r="L21" s="1112"/>
      <c r="M21" s="1112"/>
      <c r="N21" s="1173"/>
      <c r="O21" s="1108"/>
    </row>
    <row r="22" spans="1:15" s="190" customFormat="1" ht="15" customHeight="1" x14ac:dyDescent="0.2">
      <c r="A22" s="192"/>
      <c r="B22" s="1121" t="s">
        <v>988</v>
      </c>
      <c r="C22" s="1120" t="s">
        <v>996</v>
      </c>
      <c r="D22" s="1125"/>
      <c r="E22" s="1172"/>
      <c r="F22" s="1125"/>
      <c r="G22" s="1125"/>
      <c r="H22" s="1129"/>
      <c r="I22" s="193"/>
      <c r="J22" s="1114"/>
      <c r="K22" s="219"/>
      <c r="L22" s="220"/>
      <c r="M22" s="220"/>
      <c r="N22" s="227"/>
      <c r="O22" s="191"/>
    </row>
    <row r="23" spans="1:15" s="1107" customFormat="1" ht="15" customHeight="1" x14ac:dyDescent="0.2">
      <c r="A23" s="1109"/>
      <c r="B23" s="1121">
        <v>27</v>
      </c>
      <c r="C23" s="1120" t="s">
        <v>997</v>
      </c>
      <c r="D23" s="1125"/>
      <c r="E23" s="1172"/>
      <c r="F23" s="1125"/>
      <c r="G23" s="1125"/>
      <c r="H23" s="1129"/>
      <c r="I23" s="1110"/>
      <c r="J23" s="1114"/>
      <c r="K23" s="1111"/>
      <c r="L23" s="1112"/>
      <c r="M23" s="1112"/>
      <c r="N23" s="1113"/>
      <c r="O23" s="1108"/>
    </row>
    <row r="24" spans="1:15" s="190" customFormat="1" ht="15" customHeight="1" x14ac:dyDescent="0.2">
      <c r="A24" s="192"/>
      <c r="B24" s="1121">
        <v>33</v>
      </c>
      <c r="C24" s="1120" t="s">
        <v>998</v>
      </c>
      <c r="D24" s="1125"/>
      <c r="E24" s="1172"/>
      <c r="F24" s="1125"/>
      <c r="G24" s="1125"/>
      <c r="H24" s="1129"/>
      <c r="I24" s="193"/>
      <c r="J24" s="1114"/>
      <c r="K24" s="219"/>
      <c r="L24" s="220"/>
      <c r="M24" s="220"/>
      <c r="N24" s="227"/>
      <c r="O24" s="191"/>
    </row>
    <row r="25" spans="1:15" s="1107" customFormat="1" ht="15" customHeight="1" x14ac:dyDescent="0.2">
      <c r="A25" s="1109"/>
      <c r="B25" s="1121">
        <v>34</v>
      </c>
      <c r="C25" s="1120" t="s">
        <v>999</v>
      </c>
      <c r="D25" s="1137"/>
      <c r="E25" s="1172"/>
      <c r="F25" s="1137"/>
      <c r="G25" s="1137"/>
      <c r="H25" s="1138"/>
      <c r="I25" s="1110"/>
      <c r="J25" s="1118"/>
      <c r="K25" s="1116"/>
      <c r="L25" s="1115"/>
      <c r="M25" s="1115"/>
      <c r="N25" s="1117"/>
      <c r="O25" s="1108"/>
    </row>
    <row r="26" spans="1:15" s="190" customFormat="1" ht="15" customHeight="1" x14ac:dyDescent="0.2">
      <c r="A26" s="192"/>
      <c r="B26" s="1121">
        <v>15</v>
      </c>
      <c r="C26" s="1123" t="s">
        <v>1000</v>
      </c>
      <c r="D26" s="1137"/>
      <c r="E26" s="1172"/>
      <c r="F26" s="1137"/>
      <c r="G26" s="1137"/>
      <c r="H26" s="1138"/>
      <c r="I26" s="193"/>
      <c r="J26" s="1118"/>
      <c r="K26" s="542"/>
      <c r="L26" s="541"/>
      <c r="M26" s="541"/>
      <c r="N26" s="543"/>
      <c r="O26" s="191"/>
    </row>
    <row r="27" spans="1:15" s="2" customFormat="1" ht="15" customHeight="1" x14ac:dyDescent="0.2">
      <c r="A27" s="6"/>
      <c r="B27" s="423"/>
      <c r="C27" s="545" t="s">
        <v>396</v>
      </c>
      <c r="D27" s="546" t="str">
        <f>IF(AND(ISNUMBER(D8),ISNUMBER(D15),ISNUMBER(D19)),SUM(D8,D15,D19),"")</f>
        <v/>
      </c>
      <c r="E27" s="546" t="str">
        <f>IF(AND(ISNUMBER(E8),ISNUMBER(E15),ISNUMBER(E18)),SUM(E8,E15,E18),"")</f>
        <v/>
      </c>
      <c r="F27" s="546" t="str">
        <f>IF(AND(ISNUMBER(F8),ISNUMBER(F15)),SUM(F8,F15),"")</f>
        <v/>
      </c>
      <c r="G27" s="546" t="str">
        <f>IF(ISNUMBER(G15),G15,"")</f>
        <v/>
      </c>
      <c r="H27" s="537"/>
      <c r="I27" s="95"/>
      <c r="J27" s="547" t="str">
        <f>IF(AND(ISNUMBER(J8),ISNUMBER(J15),ISNUMBER(J19)),SUM(J8,J15,J19),"")</f>
        <v/>
      </c>
      <c r="K27" s="546" t="str">
        <f>IF(AND(ISNUMBER(K8),ISNUMBER(K15),ISNUMBER(K18)),SUM(K8,K15,K18),"")</f>
        <v/>
      </c>
      <c r="L27" s="546" t="str">
        <f>IF(AND(ISNUMBER(L8),ISNUMBER(L15)),SUM(L8,L15),"")</f>
        <v/>
      </c>
      <c r="M27" s="546" t="str">
        <f>IF(ISNUMBER(M15),M15,"")</f>
        <v/>
      </c>
      <c r="N27" s="537"/>
      <c r="O27" s="4"/>
    </row>
    <row r="28" spans="1:15" s="2" customFormat="1" ht="15" customHeight="1" x14ac:dyDescent="0.2">
      <c r="A28" s="6"/>
      <c r="J28" s="1170"/>
      <c r="O28" s="4"/>
    </row>
    <row r="29" spans="1:15" s="2" customFormat="1" ht="15" customHeight="1" x14ac:dyDescent="0.2">
      <c r="A29" s="6"/>
      <c r="B29" s="1153"/>
      <c r="C29" s="1068" t="s">
        <v>871</v>
      </c>
      <c r="D29" s="1159"/>
      <c r="E29" s="1159"/>
      <c r="F29" s="1158"/>
      <c r="G29" s="1163"/>
      <c r="H29" s="1159"/>
      <c r="J29" s="549"/>
      <c r="K29" s="1159"/>
      <c r="L29" s="1158"/>
      <c r="M29" s="1163"/>
      <c r="N29" s="1159"/>
      <c r="O29" s="4"/>
    </row>
    <row r="30" spans="1:15" s="2" customFormat="1" ht="15" customHeight="1" x14ac:dyDescent="0.2">
      <c r="A30" s="6"/>
      <c r="C30" s="1069"/>
      <c r="E30" s="1280"/>
      <c r="J30" s="1170"/>
      <c r="K30" s="208"/>
      <c r="L30" s="208"/>
      <c r="M30" s="208"/>
      <c r="N30" s="208"/>
      <c r="O30" s="4"/>
    </row>
    <row r="31" spans="1:15" s="2" customFormat="1" ht="15" customHeight="1" x14ac:dyDescent="0.2">
      <c r="A31" s="6"/>
      <c r="B31" s="1153"/>
      <c r="C31" s="1167" t="s">
        <v>1042</v>
      </c>
      <c r="D31" s="1159"/>
      <c r="E31" s="540" t="str">
        <f>IF(SUM(E22:E24,E26)&lt;=E19,"Yes","No")</f>
        <v>Yes</v>
      </c>
      <c r="F31" s="1159"/>
      <c r="G31" s="1160"/>
      <c r="H31" s="1159"/>
      <c r="I31" s="95"/>
      <c r="J31" s="549"/>
      <c r="K31" s="540" t="str">
        <f>IF(SUM(K22:K24,K26)&lt;=K19,"Yes","No")</f>
        <v>Yes</v>
      </c>
      <c r="L31" s="1159"/>
      <c r="M31" s="1160"/>
      <c r="N31" s="1159"/>
      <c r="O31" s="4"/>
    </row>
    <row r="32" spans="1:15" s="2" customFormat="1" ht="15" customHeight="1" x14ac:dyDescent="0.2">
      <c r="A32" s="6"/>
      <c r="B32" s="96"/>
      <c r="C32" s="95"/>
      <c r="D32" s="95"/>
      <c r="E32" s="95"/>
      <c r="F32" s="95"/>
      <c r="G32" s="95"/>
      <c r="H32" s="3"/>
      <c r="I32" s="95"/>
      <c r="J32" s="95"/>
      <c r="K32" s="95"/>
      <c r="L32" s="95"/>
      <c r="M32" s="95"/>
      <c r="N32" s="95"/>
      <c r="O32" s="4"/>
    </row>
    <row r="33" spans="1:15" s="62" customFormat="1" ht="30" customHeight="1" x14ac:dyDescent="0.25">
      <c r="A33" s="1478" t="s">
        <v>453</v>
      </c>
      <c r="B33" s="52"/>
      <c r="C33" s="92"/>
      <c r="D33" s="92"/>
      <c r="E33" s="92"/>
      <c r="F33" s="92"/>
      <c r="G33" s="92"/>
      <c r="H33" s="92"/>
      <c r="I33" s="92"/>
      <c r="J33" s="92"/>
      <c r="K33" s="92"/>
      <c r="L33" s="92"/>
      <c r="M33" s="92"/>
      <c r="N33" s="92"/>
      <c r="O33" s="61"/>
    </row>
    <row r="34" spans="1:15" s="2" customFormat="1" ht="15" customHeight="1" x14ac:dyDescent="0.2">
      <c r="A34" s="6"/>
      <c r="B34" s="156"/>
      <c r="C34" s="95"/>
      <c r="D34" s="171"/>
      <c r="E34" s="171"/>
      <c r="F34" s="171"/>
      <c r="G34" s="56"/>
      <c r="H34" s="56"/>
      <c r="I34" s="95"/>
      <c r="J34" s="171"/>
      <c r="K34" s="171"/>
      <c r="L34" s="171"/>
      <c r="M34" s="56"/>
      <c r="N34" s="95"/>
      <c r="O34" s="4"/>
    </row>
    <row r="35" spans="1:15" s="2" customFormat="1" ht="15" customHeight="1" x14ac:dyDescent="0.2">
      <c r="A35" s="6"/>
      <c r="B35" s="1653" t="s">
        <v>880</v>
      </c>
      <c r="C35" s="1657"/>
      <c r="D35" s="1649" t="s">
        <v>472</v>
      </c>
      <c r="E35" s="1651"/>
      <c r="F35" s="1651"/>
      <c r="G35" s="1651"/>
      <c r="H35" s="208"/>
      <c r="I35" s="95"/>
      <c r="J35" s="1651" t="s">
        <v>88</v>
      </c>
      <c r="K35" s="1651"/>
      <c r="L35" s="1651"/>
      <c r="M35" s="1651"/>
      <c r="N35" s="208"/>
      <c r="O35" s="4"/>
    </row>
    <row r="36" spans="1:15" s="194" customFormat="1" ht="120" customHeight="1" x14ac:dyDescent="0.2">
      <c r="A36" s="196"/>
      <c r="B36" s="1654"/>
      <c r="C36" s="1658"/>
      <c r="D36" s="550" t="s">
        <v>286</v>
      </c>
      <c r="E36" s="550" t="s">
        <v>873</v>
      </c>
      <c r="F36" s="550" t="s">
        <v>397</v>
      </c>
      <c r="G36" s="551" t="s">
        <v>229</v>
      </c>
      <c r="I36" s="197"/>
      <c r="J36" s="552" t="s">
        <v>286</v>
      </c>
      <c r="K36" s="550" t="s">
        <v>873</v>
      </c>
      <c r="L36" s="550" t="s">
        <v>397</v>
      </c>
      <c r="M36" s="551" t="s">
        <v>229</v>
      </c>
      <c r="N36" s="208"/>
      <c r="O36" s="195"/>
    </row>
    <row r="37" spans="1:15" s="2" customFormat="1" ht="15" customHeight="1" x14ac:dyDescent="0.2">
      <c r="A37" s="6"/>
      <c r="B37" s="1181" t="s">
        <v>1004</v>
      </c>
      <c r="C37" s="1184" t="s">
        <v>398</v>
      </c>
      <c r="D37" s="526"/>
      <c r="E37" s="526"/>
      <c r="F37" s="526"/>
      <c r="G37" s="527"/>
      <c r="I37" s="95"/>
      <c r="J37" s="553"/>
      <c r="K37" s="526"/>
      <c r="L37" s="526"/>
      <c r="M37" s="527"/>
      <c r="N37" s="208"/>
      <c r="O37" s="4"/>
    </row>
    <row r="38" spans="1:15" s="1142" customFormat="1" ht="15" customHeight="1" x14ac:dyDescent="0.2">
      <c r="A38" s="1144"/>
      <c r="B38" s="1177"/>
      <c r="C38" s="1187" t="s">
        <v>1005</v>
      </c>
      <c r="D38" s="1149"/>
      <c r="E38" s="1174" t="str">
        <f>IF(AND(ISNUMBER(E39),ISNUMBER(E43)),E39-E43,"")</f>
        <v/>
      </c>
      <c r="F38" s="1149"/>
      <c r="G38" s="1150"/>
      <c r="I38" s="1145"/>
      <c r="J38" s="1166"/>
      <c r="K38" s="1174" t="str">
        <f>IF(AND(ISNUMBER(K39),ISNUMBER(K43)),K39-K43,"")</f>
        <v/>
      </c>
      <c r="L38" s="1149"/>
      <c r="M38" s="1150"/>
      <c r="O38" s="1143"/>
    </row>
    <row r="39" spans="1:15" s="2" customFormat="1" ht="15" customHeight="1" x14ac:dyDescent="0.2">
      <c r="A39" s="6"/>
      <c r="B39" s="1177"/>
      <c r="C39" s="1182" t="s">
        <v>392</v>
      </c>
      <c r="D39" s="286" t="str">
        <f>IF(AND(ISNUMBER(D40),ISNUMBER(D41),ISNUMBER(D42)),SUM(D40:D42),"")</f>
        <v/>
      </c>
      <c r="E39" s="219"/>
      <c r="F39" s="286" t="str">
        <f>IF(AND(ISNUMBER(F40),ISNUMBER(F41),ISNUMBER(F42)),SUM(F40:F42),"")</f>
        <v/>
      </c>
      <c r="G39" s="227"/>
      <c r="I39" s="95"/>
      <c r="J39" s="294" t="str">
        <f>IF(AND(ISNUMBER(J40),ISNUMBER(J41),ISNUMBER(J42)),SUM(J40:J42),"")</f>
        <v/>
      </c>
      <c r="K39" s="219"/>
      <c r="L39" s="286" t="str">
        <f>IF(AND(ISNUMBER(L40),ISNUMBER(L41),ISNUMBER(L42)),SUM(L40:L42),"")</f>
        <v/>
      </c>
      <c r="M39" s="227"/>
      <c r="N39" s="208"/>
      <c r="O39" s="4"/>
    </row>
    <row r="40" spans="1:15" s="2" customFormat="1" ht="15" customHeight="1" x14ac:dyDescent="0.2">
      <c r="A40" s="6"/>
      <c r="B40" s="1177"/>
      <c r="C40" s="1175" t="s">
        <v>393</v>
      </c>
      <c r="D40" s="523"/>
      <c r="E40" s="220"/>
      <c r="F40" s="523"/>
      <c r="G40" s="1155" t="str">
        <f>IF(F40&gt;=D10,"Yes","No")</f>
        <v>Yes</v>
      </c>
      <c r="I40" s="95"/>
      <c r="J40" s="534"/>
      <c r="K40" s="220"/>
      <c r="L40" s="523"/>
      <c r="M40" s="1155" t="str">
        <f>IF(L40&gt;=J10,"Yes","No")</f>
        <v>Yes</v>
      </c>
      <c r="N40" s="208"/>
      <c r="O40" s="4"/>
    </row>
    <row r="41" spans="1:15" s="2" customFormat="1" ht="15" customHeight="1" x14ac:dyDescent="0.2">
      <c r="A41" s="6"/>
      <c r="B41" s="1177"/>
      <c r="C41" s="1179" t="s">
        <v>394</v>
      </c>
      <c r="D41" s="523"/>
      <c r="E41" s="220"/>
      <c r="F41" s="523"/>
      <c r="G41" s="1155" t="str">
        <f>IF(F41&gt;=D11,"Yes","No")</f>
        <v>Yes</v>
      </c>
      <c r="I41" s="95"/>
      <c r="J41" s="534"/>
      <c r="K41" s="220"/>
      <c r="L41" s="523"/>
      <c r="M41" s="1155" t="str">
        <f>IF(L41&gt;=J11,"Yes","No")</f>
        <v>Yes</v>
      </c>
      <c r="N41" s="208"/>
      <c r="O41" s="4"/>
    </row>
    <row r="42" spans="1:15" s="2" customFormat="1" ht="15" customHeight="1" x14ac:dyDescent="0.2">
      <c r="A42" s="6"/>
      <c r="B42" s="1177"/>
      <c r="C42" s="1179" t="s">
        <v>395</v>
      </c>
      <c r="D42" s="523"/>
      <c r="E42" s="220"/>
      <c r="F42" s="523"/>
      <c r="G42" s="1155" t="str">
        <f>IF(F42&gt;=D12,"Yes","No")</f>
        <v>Yes</v>
      </c>
      <c r="I42" s="95"/>
      <c r="J42" s="534"/>
      <c r="K42" s="220"/>
      <c r="L42" s="523"/>
      <c r="M42" s="1155" t="str">
        <f>IF(L42&gt;=J12,"Yes","No")</f>
        <v>Yes</v>
      </c>
      <c r="N42" s="208"/>
      <c r="O42" s="4"/>
    </row>
    <row r="43" spans="1:15" s="1142" customFormat="1" ht="15" customHeight="1" x14ac:dyDescent="0.2">
      <c r="A43" s="1144"/>
      <c r="B43" s="1176">
        <v>27</v>
      </c>
      <c r="C43" s="1180" t="s">
        <v>1006</v>
      </c>
      <c r="D43" s="1154"/>
      <c r="E43" s="1172"/>
      <c r="F43" s="1154"/>
      <c r="G43" s="1173"/>
      <c r="I43" s="1145"/>
      <c r="J43" s="1157"/>
      <c r="K43" s="1172"/>
      <c r="L43" s="1154"/>
      <c r="M43" s="1173"/>
      <c r="O43" s="1143"/>
    </row>
    <row r="44" spans="1:15" s="2" customFormat="1" ht="15" customHeight="1" x14ac:dyDescent="0.2">
      <c r="A44" s="6"/>
      <c r="B44" s="1176">
        <v>39</v>
      </c>
      <c r="C44" s="1183" t="s">
        <v>399</v>
      </c>
      <c r="D44" s="220"/>
      <c r="E44" s="220"/>
      <c r="F44" s="220"/>
      <c r="G44" s="227"/>
      <c r="I44" s="95"/>
      <c r="J44" s="535"/>
      <c r="K44" s="220"/>
      <c r="L44" s="220"/>
      <c r="M44" s="227"/>
      <c r="N44" s="208"/>
      <c r="O44" s="4"/>
    </row>
    <row r="45" spans="1:15" s="2" customFormat="1" ht="15" customHeight="1" x14ac:dyDescent="0.2">
      <c r="A45" s="6"/>
      <c r="B45" s="405"/>
      <c r="C45" s="528" t="s">
        <v>400</v>
      </c>
      <c r="D45" s="220"/>
      <c r="E45" s="220"/>
      <c r="F45" s="219"/>
      <c r="G45" s="227"/>
      <c r="I45" s="95"/>
      <c r="J45" s="535"/>
      <c r="K45" s="220"/>
      <c r="L45" s="219"/>
      <c r="M45" s="227"/>
      <c r="N45" s="208"/>
      <c r="O45" s="4"/>
    </row>
    <row r="46" spans="1:15" s="2" customFormat="1" ht="15" customHeight="1" x14ac:dyDescent="0.2">
      <c r="A46" s="6"/>
      <c r="B46" s="405"/>
      <c r="C46" s="479" t="s">
        <v>401</v>
      </c>
      <c r="D46" s="220"/>
      <c r="E46" s="220"/>
      <c r="F46" s="523"/>
      <c r="G46" s="227"/>
      <c r="I46" s="95"/>
      <c r="J46" s="535"/>
      <c r="K46" s="220"/>
      <c r="L46" s="523"/>
      <c r="M46" s="227"/>
      <c r="N46" s="208"/>
      <c r="O46" s="4"/>
    </row>
    <row r="47" spans="1:15" s="2" customFormat="1" ht="15" customHeight="1" x14ac:dyDescent="0.2">
      <c r="A47" s="6"/>
      <c r="B47" s="405"/>
      <c r="C47" s="479" t="s">
        <v>404</v>
      </c>
      <c r="D47" s="220"/>
      <c r="E47" s="220"/>
      <c r="F47" s="523"/>
      <c r="G47" s="227"/>
      <c r="I47" s="95"/>
      <c r="J47" s="535"/>
      <c r="K47" s="220"/>
      <c r="L47" s="523"/>
      <c r="M47" s="227"/>
      <c r="N47" s="208"/>
      <c r="O47" s="4"/>
    </row>
    <row r="48" spans="1:15" s="2" customFormat="1" ht="15" customHeight="1" x14ac:dyDescent="0.2">
      <c r="A48" s="6"/>
      <c r="B48" s="405"/>
      <c r="C48" s="528" t="s">
        <v>405</v>
      </c>
      <c r="D48" s="220"/>
      <c r="E48" s="220"/>
      <c r="F48" s="219"/>
      <c r="G48" s="227"/>
      <c r="I48" s="95"/>
      <c r="J48" s="535"/>
      <c r="K48" s="220"/>
      <c r="L48" s="219"/>
      <c r="M48" s="227"/>
      <c r="N48" s="208"/>
      <c r="O48" s="4"/>
    </row>
    <row r="49" spans="1:15" s="2" customFormat="1" ht="15" customHeight="1" x14ac:dyDescent="0.2">
      <c r="A49" s="6"/>
      <c r="B49" s="405"/>
      <c r="C49" s="528" t="s">
        <v>454</v>
      </c>
      <c r="D49" s="220"/>
      <c r="E49" s="220"/>
      <c r="F49" s="219"/>
      <c r="G49" s="227"/>
      <c r="I49" s="95"/>
      <c r="J49" s="535"/>
      <c r="K49" s="220"/>
      <c r="L49" s="219"/>
      <c r="M49" s="227"/>
      <c r="N49" s="208"/>
      <c r="O49" s="4"/>
    </row>
    <row r="50" spans="1:15" s="2" customFormat="1" ht="15" customHeight="1" x14ac:dyDescent="0.2">
      <c r="A50" s="6"/>
      <c r="B50" s="422"/>
      <c r="C50" s="548" t="s">
        <v>455</v>
      </c>
      <c r="D50" s="541"/>
      <c r="E50" s="541"/>
      <c r="F50" s="542"/>
      <c r="G50" s="543"/>
      <c r="I50" s="95"/>
      <c r="J50" s="544"/>
      <c r="K50" s="541"/>
      <c r="L50" s="542"/>
      <c r="M50" s="543"/>
      <c r="N50" s="208"/>
      <c r="O50" s="4"/>
    </row>
    <row r="51" spans="1:15" s="2" customFormat="1" ht="15" customHeight="1" x14ac:dyDescent="0.2">
      <c r="A51" s="6"/>
      <c r="B51" s="423"/>
      <c r="C51" s="545" t="s">
        <v>406</v>
      </c>
      <c r="D51" s="536"/>
      <c r="E51" s="536"/>
      <c r="F51" s="546" t="str">
        <f>IF(AND(ISNUMBER(F45),ISNUMBER(F48),ISNUMBER(F49),ISNUMBER(F50)),SUM(F45,F48:F50),"")</f>
        <v/>
      </c>
      <c r="G51" s="537"/>
      <c r="I51" s="95"/>
      <c r="J51" s="549"/>
      <c r="K51" s="536"/>
      <c r="L51" s="546" t="str">
        <f>IF(AND(ISNUMBER(L45),ISNUMBER(L48),ISNUMBER(L49),ISNUMBER(L50)),SUM(L45,L48:L50),"")</f>
        <v/>
      </c>
      <c r="M51" s="537"/>
      <c r="N51" s="208"/>
      <c r="O51" s="4"/>
    </row>
    <row r="52" spans="1:15" s="2" customFormat="1" ht="15" customHeight="1" x14ac:dyDescent="0.2">
      <c r="A52" s="6"/>
      <c r="B52" s="94"/>
      <c r="C52" s="212"/>
      <c r="D52" s="212"/>
      <c r="E52" s="212"/>
      <c r="F52" s="212"/>
      <c r="G52" s="212"/>
      <c r="I52" s="95"/>
      <c r="J52" s="212"/>
      <c r="K52" s="212"/>
      <c r="L52" s="212"/>
      <c r="M52" s="212"/>
      <c r="N52" s="208"/>
      <c r="O52" s="4"/>
    </row>
    <row r="53" spans="1:15" s="2" customFormat="1" ht="15" customHeight="1" x14ac:dyDescent="0.2">
      <c r="A53" s="6"/>
      <c r="B53" s="145"/>
      <c r="C53" s="1652" t="s">
        <v>1043</v>
      </c>
      <c r="D53" s="1652"/>
      <c r="E53" s="1652"/>
      <c r="F53" s="540" t="str">
        <f>IF(F45&gt;=(F46+F47),"Yes","No")</f>
        <v>Yes</v>
      </c>
      <c r="G53" s="95"/>
      <c r="I53" s="95"/>
      <c r="K53" s="95"/>
      <c r="L53" s="540" t="str">
        <f>IF(L45&gt;=(L46+L47),"Yes","No")</f>
        <v>Yes</v>
      </c>
      <c r="M53" s="201"/>
      <c r="N53" s="95"/>
      <c r="O53" s="4"/>
    </row>
    <row r="54" spans="1:15" s="2" customFormat="1" ht="15" customHeight="1" x14ac:dyDescent="0.2">
      <c r="A54" s="6"/>
      <c r="B54" s="71"/>
      <c r="C54" s="3"/>
      <c r="D54" s="3"/>
      <c r="E54" s="3"/>
      <c r="F54" s="3"/>
      <c r="G54" s="3"/>
      <c r="H54" s="3"/>
      <c r="I54" s="3"/>
      <c r="J54" s="3"/>
      <c r="K54" s="3"/>
      <c r="L54" s="3"/>
      <c r="M54" s="3"/>
      <c r="N54" s="3"/>
      <c r="O54" s="4"/>
    </row>
    <row r="55" spans="1:15" s="62" customFormat="1" ht="30" customHeight="1" x14ac:dyDescent="0.25">
      <c r="A55" s="1478" t="s">
        <v>456</v>
      </c>
      <c r="B55" s="52"/>
      <c r="C55" s="92"/>
      <c r="D55" s="92"/>
      <c r="E55" s="92"/>
      <c r="F55" s="92"/>
      <c r="G55" s="92"/>
      <c r="H55" s="92"/>
      <c r="I55" s="92"/>
      <c r="J55" s="92"/>
      <c r="K55" s="92"/>
      <c r="L55" s="92"/>
      <c r="M55" s="92"/>
      <c r="N55" s="92"/>
      <c r="O55" s="61"/>
    </row>
    <row r="56" spans="1:15" s="2" customFormat="1" ht="15" customHeight="1" x14ac:dyDescent="0.2">
      <c r="A56" s="6"/>
      <c r="B56" s="94"/>
      <c r="C56" s="95"/>
      <c r="D56" s="95"/>
      <c r="E56" s="95"/>
      <c r="F56" s="95"/>
      <c r="G56" s="95"/>
      <c r="H56" s="95"/>
      <c r="I56" s="3"/>
      <c r="J56" s="95"/>
      <c r="K56" s="95"/>
      <c r="L56" s="95"/>
      <c r="M56" s="95"/>
      <c r="N56" s="3"/>
      <c r="O56" s="4"/>
    </row>
    <row r="57" spans="1:15" s="2" customFormat="1" ht="15" customHeight="1" x14ac:dyDescent="0.2">
      <c r="A57" s="6"/>
      <c r="B57" s="1659" t="s">
        <v>196</v>
      </c>
      <c r="C57" s="1661"/>
      <c r="D57" s="1648" t="s">
        <v>472</v>
      </c>
      <c r="E57" s="1649"/>
      <c r="F57" s="3"/>
      <c r="G57" s="3"/>
      <c r="H57" s="3"/>
      <c r="I57" s="95"/>
      <c r="J57" s="1650" t="s">
        <v>88</v>
      </c>
      <c r="K57" s="1649"/>
      <c r="L57" s="3"/>
      <c r="M57" s="3"/>
      <c r="N57" s="3"/>
      <c r="O57" s="4"/>
    </row>
    <row r="58" spans="1:15" s="2" customFormat="1" ht="75" customHeight="1" x14ac:dyDescent="0.2">
      <c r="A58" s="6"/>
      <c r="B58" s="1660"/>
      <c r="C58" s="1662"/>
      <c r="D58" s="559" t="s">
        <v>457</v>
      </c>
      <c r="E58" s="560" t="s">
        <v>459</v>
      </c>
      <c r="F58" s="3"/>
      <c r="G58" s="3"/>
      <c r="H58" s="3"/>
      <c r="I58" s="3"/>
      <c r="J58" s="561" t="s">
        <v>457</v>
      </c>
      <c r="K58" s="560" t="s">
        <v>459</v>
      </c>
      <c r="L58" s="3"/>
      <c r="M58" s="3"/>
      <c r="N58" s="3"/>
      <c r="O58" s="4"/>
    </row>
    <row r="59" spans="1:15" s="2" customFormat="1" ht="30" customHeight="1" x14ac:dyDescent="0.2">
      <c r="A59" s="6"/>
      <c r="B59" s="411">
        <v>165</v>
      </c>
      <c r="C59" s="557" t="s">
        <v>460</v>
      </c>
      <c r="D59" s="558" t="str">
        <f>IF(AND(ISNUMBER(D60),ISNUMBER(D61),ISNUMBER(D62),ISNUMBER(D63),ISNUMBER(D64),ISNUMBER(D65),ISNUMBER(D66),ISNUMBER(D67),ISNUMBER(D68)),SUM(D60,D61,D62,D63,D64,D65,D66,D67,D68),"")</f>
        <v/>
      </c>
      <c r="E59" s="378" t="str">
        <f>IF(AND(ISNUMBER(E60),ISNUMBER(E61),ISNUMBER(E62),ISNUMBER(E63),ISNUMBER(E64),ISNUMBER(E65),ISNUMBER(E66),ISNUMBER(E67),ISNUMBER(E68)),SUM(E60,E61,E62,E63,E64,E65,E66,E67,E68),"")</f>
        <v/>
      </c>
      <c r="F59" s="3"/>
      <c r="G59" s="3"/>
      <c r="H59" s="3"/>
      <c r="I59" s="3"/>
      <c r="J59" s="562" t="str">
        <f>IF(AND(ISNUMBER(J60),ISNUMBER(J61),ISNUMBER(J62),ISNUMBER(J63),ISNUMBER(J64),ISNUMBER(J65),ISNUMBER(J66),ISNUMBER(J67),ISNUMBER(J68)),SUM(J60,J61,J62,J63,J64,J65,J66,J67,J68),"")</f>
        <v/>
      </c>
      <c r="K59" s="378" t="str">
        <f>IF(AND(ISNUMBER(K60),ISNUMBER(K61),ISNUMBER(K62),ISNUMBER(K63),ISNUMBER(K64),ISNUMBER(K65),ISNUMBER(K66),ISNUMBER(K67),ISNUMBER(K68)),SUM(K60,K61,K62,K63,K64,K65,K66,K67,K68),"")</f>
        <v/>
      </c>
      <c r="L59" s="3"/>
      <c r="M59" s="3"/>
      <c r="N59" s="3"/>
      <c r="O59" s="4"/>
    </row>
    <row r="60" spans="1:15" s="2" customFormat="1" ht="15" customHeight="1" x14ac:dyDescent="0.2">
      <c r="A60" s="6"/>
      <c r="B60" s="405"/>
      <c r="C60" s="555" t="s">
        <v>461</v>
      </c>
      <c r="D60" s="523"/>
      <c r="E60" s="554"/>
      <c r="F60" s="3"/>
      <c r="G60" s="3"/>
      <c r="H60" s="3"/>
      <c r="I60" s="3"/>
      <c r="J60" s="534"/>
      <c r="K60" s="554"/>
      <c r="L60" s="3"/>
      <c r="M60" s="3"/>
      <c r="N60" s="3"/>
      <c r="O60" s="4"/>
    </row>
    <row r="61" spans="1:15" s="2" customFormat="1" ht="15" customHeight="1" x14ac:dyDescent="0.2">
      <c r="A61" s="6"/>
      <c r="B61" s="405"/>
      <c r="C61" s="528" t="s">
        <v>462</v>
      </c>
      <c r="D61" s="523"/>
      <c r="E61" s="554"/>
      <c r="F61" s="3"/>
      <c r="G61" s="3"/>
      <c r="H61" s="3"/>
      <c r="I61" s="3"/>
      <c r="J61" s="534"/>
      <c r="K61" s="554"/>
      <c r="L61" s="3"/>
      <c r="M61" s="3"/>
      <c r="N61" s="3"/>
      <c r="O61" s="4"/>
    </row>
    <row r="62" spans="1:15" s="2" customFormat="1" ht="15" customHeight="1" x14ac:dyDescent="0.2">
      <c r="A62" s="6"/>
      <c r="B62" s="405"/>
      <c r="C62" s="528" t="s">
        <v>463</v>
      </c>
      <c r="D62" s="523"/>
      <c r="E62" s="554"/>
      <c r="F62" s="3"/>
      <c r="G62" s="3"/>
      <c r="H62" s="3"/>
      <c r="I62" s="3"/>
      <c r="J62" s="534"/>
      <c r="K62" s="554"/>
      <c r="L62" s="3"/>
      <c r="M62" s="3"/>
      <c r="N62" s="3"/>
      <c r="O62" s="4"/>
    </row>
    <row r="63" spans="1:15" s="2" customFormat="1" ht="15" customHeight="1" x14ac:dyDescent="0.2">
      <c r="A63" s="6"/>
      <c r="B63" s="405"/>
      <c r="C63" s="528" t="s">
        <v>464</v>
      </c>
      <c r="D63" s="523"/>
      <c r="E63" s="554"/>
      <c r="F63" s="3"/>
      <c r="G63" s="3"/>
      <c r="H63" s="3"/>
      <c r="I63" s="3"/>
      <c r="J63" s="534"/>
      <c r="K63" s="554"/>
      <c r="L63" s="3"/>
      <c r="M63" s="3"/>
      <c r="N63" s="3"/>
      <c r="O63" s="4"/>
    </row>
    <row r="64" spans="1:15" s="2" customFormat="1" ht="15" customHeight="1" x14ac:dyDescent="0.2">
      <c r="A64" s="6"/>
      <c r="B64" s="405"/>
      <c r="C64" s="528" t="s">
        <v>465</v>
      </c>
      <c r="D64" s="523"/>
      <c r="E64" s="554"/>
      <c r="F64" s="3"/>
      <c r="G64" s="3"/>
      <c r="H64" s="3"/>
      <c r="I64" s="3"/>
      <c r="J64" s="534"/>
      <c r="K64" s="554"/>
      <c r="L64" s="3"/>
      <c r="M64" s="3"/>
      <c r="N64" s="3"/>
      <c r="O64" s="4"/>
    </row>
    <row r="65" spans="1:15" s="2" customFormat="1" ht="15" customHeight="1" x14ac:dyDescent="0.2">
      <c r="A65" s="6"/>
      <c r="B65" s="405"/>
      <c r="C65" s="528" t="s">
        <v>466</v>
      </c>
      <c r="D65" s="523"/>
      <c r="E65" s="554"/>
      <c r="F65" s="3"/>
      <c r="G65" s="3"/>
      <c r="H65" s="3"/>
      <c r="I65" s="3"/>
      <c r="J65" s="534"/>
      <c r="K65" s="554"/>
      <c r="L65" s="3"/>
      <c r="M65" s="3"/>
      <c r="N65" s="3"/>
      <c r="O65" s="4"/>
    </row>
    <row r="66" spans="1:15" s="2" customFormat="1" ht="15" customHeight="1" x14ac:dyDescent="0.2">
      <c r="A66" s="6"/>
      <c r="B66" s="405"/>
      <c r="C66" s="528" t="s">
        <v>467</v>
      </c>
      <c r="D66" s="523"/>
      <c r="E66" s="554"/>
      <c r="F66" s="3"/>
      <c r="G66" s="3"/>
      <c r="H66" s="3"/>
      <c r="I66" s="3"/>
      <c r="J66" s="534"/>
      <c r="K66" s="554"/>
      <c r="L66" s="3"/>
      <c r="M66" s="3"/>
      <c r="N66" s="3"/>
      <c r="O66" s="4"/>
    </row>
    <row r="67" spans="1:15" s="2" customFormat="1" ht="15" customHeight="1" x14ac:dyDescent="0.2">
      <c r="A67" s="6"/>
      <c r="B67" s="405"/>
      <c r="C67" s="528" t="s">
        <v>468</v>
      </c>
      <c r="D67" s="523"/>
      <c r="E67" s="554"/>
      <c r="F67" s="3"/>
      <c r="G67" s="3"/>
      <c r="H67" s="3"/>
      <c r="I67" s="3"/>
      <c r="J67" s="534"/>
      <c r="K67" s="554"/>
      <c r="L67" s="3"/>
      <c r="M67" s="3"/>
      <c r="N67" s="3"/>
      <c r="O67" s="4"/>
    </row>
    <row r="68" spans="1:15" s="2" customFormat="1" ht="15" customHeight="1" x14ac:dyDescent="0.2">
      <c r="A68" s="6"/>
      <c r="B68" s="410"/>
      <c r="C68" s="556" t="s">
        <v>231</v>
      </c>
      <c r="D68" s="530"/>
      <c r="E68" s="531"/>
      <c r="F68" s="3"/>
      <c r="G68" s="3"/>
      <c r="H68" s="3"/>
      <c r="I68" s="3"/>
      <c r="J68" s="563"/>
      <c r="K68" s="531"/>
      <c r="L68" s="3"/>
      <c r="M68" s="3"/>
      <c r="N68" s="3"/>
      <c r="O68" s="4"/>
    </row>
    <row r="69" spans="1:15" s="2" customFormat="1" ht="15" customHeight="1" x14ac:dyDescent="0.2">
      <c r="A69" s="6"/>
      <c r="B69" s="95"/>
      <c r="C69" s="95"/>
      <c r="D69" s="98"/>
      <c r="E69" s="98"/>
      <c r="F69" s="98"/>
      <c r="G69" s="98"/>
      <c r="H69" s="98"/>
      <c r="I69" s="95"/>
      <c r="J69" s="98"/>
      <c r="K69" s="98"/>
      <c r="L69" s="98"/>
      <c r="M69" s="98"/>
      <c r="N69" s="95"/>
      <c r="O69" s="4"/>
    </row>
    <row r="70" spans="1:15" s="62" customFormat="1" ht="30" customHeight="1" x14ac:dyDescent="0.25">
      <c r="A70" s="1478" t="s">
        <v>469</v>
      </c>
      <c r="B70" s="52"/>
      <c r="C70" s="92"/>
      <c r="D70" s="92"/>
      <c r="E70" s="92"/>
      <c r="F70" s="92"/>
      <c r="G70" s="92"/>
      <c r="H70" s="92"/>
      <c r="I70" s="92"/>
      <c r="J70" s="92"/>
      <c r="K70" s="92"/>
      <c r="L70" s="92"/>
      <c r="M70" s="92"/>
      <c r="N70" s="92"/>
      <c r="O70" s="61"/>
    </row>
    <row r="71" spans="1:15" s="2" customFormat="1" ht="15" customHeight="1" x14ac:dyDescent="0.2">
      <c r="A71" s="6"/>
      <c r="B71" s="155"/>
      <c r="C71" s="95"/>
      <c r="D71" s="56"/>
      <c r="E71" s="56"/>
      <c r="F71" s="56"/>
      <c r="G71" s="56"/>
      <c r="H71" s="56"/>
      <c r="I71" s="95"/>
      <c r="J71" s="56"/>
      <c r="K71" s="56"/>
      <c r="L71" s="56"/>
      <c r="M71" s="56"/>
      <c r="N71" s="95"/>
      <c r="O71" s="4"/>
    </row>
    <row r="72" spans="1:15" s="2" customFormat="1" ht="15" customHeight="1" x14ac:dyDescent="0.2">
      <c r="A72" s="6"/>
      <c r="B72" s="1659" t="s">
        <v>196</v>
      </c>
      <c r="C72" s="1667"/>
      <c r="D72" s="1648" t="s">
        <v>472</v>
      </c>
      <c r="E72" s="1649"/>
      <c r="F72" s="3"/>
      <c r="G72" s="3"/>
      <c r="H72" s="3"/>
      <c r="I72" s="212"/>
      <c r="J72" s="1650" t="s">
        <v>88</v>
      </c>
      <c r="K72" s="1649"/>
      <c r="L72" s="3"/>
      <c r="M72" s="3"/>
      <c r="N72" s="3"/>
      <c r="O72" s="4"/>
    </row>
    <row r="73" spans="1:15" s="2" customFormat="1" ht="15" customHeight="1" x14ac:dyDescent="0.2">
      <c r="A73" s="6"/>
      <c r="B73" s="1660"/>
      <c r="C73" s="1668"/>
      <c r="D73" s="538" t="s">
        <v>536</v>
      </c>
      <c r="E73" s="212"/>
      <c r="F73" s="95"/>
      <c r="G73" s="95"/>
      <c r="H73" s="95"/>
      <c r="I73" s="95"/>
      <c r="J73" s="216" t="s">
        <v>536</v>
      </c>
      <c r="K73" s="56"/>
      <c r="L73" s="95"/>
      <c r="M73" s="95"/>
      <c r="N73" s="95"/>
      <c r="O73" s="4"/>
    </row>
    <row r="74" spans="1:15" s="2" customFormat="1" ht="15" customHeight="1" x14ac:dyDescent="0.2">
      <c r="A74" s="6"/>
      <c r="B74" s="566"/>
      <c r="C74" s="567" t="s">
        <v>407</v>
      </c>
      <c r="D74" s="568"/>
      <c r="E74" s="212"/>
      <c r="F74" s="95"/>
      <c r="G74" s="95"/>
      <c r="H74" s="95"/>
      <c r="I74" s="95"/>
      <c r="J74" s="1267" t="str">
        <f>IF(ISNUMBER('General Info'!C54),'General Info'!C54,"")</f>
        <v/>
      </c>
      <c r="K74" s="98"/>
      <c r="L74" s="95"/>
      <c r="M74" s="95"/>
      <c r="N74" s="95"/>
      <c r="O74" s="4"/>
    </row>
    <row r="75" spans="1:15" s="2" customFormat="1" ht="15" customHeight="1" x14ac:dyDescent="0.2">
      <c r="A75" s="6"/>
      <c r="B75" s="405"/>
      <c r="C75" s="564" t="s">
        <v>1044</v>
      </c>
      <c r="D75" s="1155" t="str">
        <f>IF(D74=D27,"Yes","No")</f>
        <v>Yes</v>
      </c>
      <c r="E75" s="212"/>
      <c r="F75" s="95"/>
      <c r="G75" s="95"/>
      <c r="H75" s="95"/>
      <c r="I75" s="95"/>
      <c r="J75" s="1268" t="str">
        <f>IF(J74=J27,"Yes","No")</f>
        <v>Yes</v>
      </c>
      <c r="K75" s="98"/>
      <c r="L75" s="95"/>
      <c r="M75" s="95"/>
      <c r="N75" s="95"/>
      <c r="O75" s="4"/>
    </row>
    <row r="76" spans="1:15" s="2" customFormat="1" ht="15" customHeight="1" x14ac:dyDescent="0.2">
      <c r="A76" s="6"/>
      <c r="B76" s="405"/>
      <c r="C76" s="528" t="s">
        <v>408</v>
      </c>
      <c r="D76" s="554"/>
      <c r="E76" s="212"/>
      <c r="F76" s="95"/>
      <c r="G76" s="95"/>
      <c r="H76" s="95"/>
      <c r="I76" s="95"/>
      <c r="J76" s="1211"/>
      <c r="K76" s="98"/>
      <c r="L76" s="95"/>
      <c r="M76" s="95"/>
      <c r="N76" s="95"/>
      <c r="O76" s="4"/>
    </row>
    <row r="77" spans="1:15" s="2" customFormat="1" ht="15" customHeight="1" x14ac:dyDescent="0.2">
      <c r="A77" s="6"/>
      <c r="B77" s="405"/>
      <c r="C77" s="528" t="s">
        <v>409</v>
      </c>
      <c r="D77" s="554"/>
      <c r="E77" s="212"/>
      <c r="F77" s="98"/>
      <c r="G77" s="98"/>
      <c r="H77" s="98"/>
      <c r="I77" s="95"/>
      <c r="J77" s="569"/>
      <c r="K77" s="98"/>
      <c r="L77" s="98"/>
      <c r="M77" s="98"/>
      <c r="N77" s="95"/>
      <c r="O77" s="4"/>
    </row>
    <row r="78" spans="1:15" s="2" customFormat="1" ht="15" customHeight="1" x14ac:dyDescent="0.2">
      <c r="A78" s="6"/>
      <c r="B78" s="405"/>
      <c r="C78" s="528" t="s">
        <v>470</v>
      </c>
      <c r="D78" s="554"/>
      <c r="E78" s="212"/>
      <c r="F78" s="98"/>
      <c r="G78" s="98"/>
      <c r="H78" s="98"/>
      <c r="I78" s="95"/>
      <c r="J78" s="569"/>
      <c r="K78" s="98"/>
      <c r="L78" s="98"/>
      <c r="M78" s="98"/>
      <c r="N78" s="95"/>
      <c r="O78" s="4"/>
    </row>
    <row r="79" spans="1:15" s="2" customFormat="1" ht="15" customHeight="1" x14ac:dyDescent="0.2">
      <c r="A79" s="6"/>
      <c r="B79" s="422"/>
      <c r="C79" s="548" t="s">
        <v>471</v>
      </c>
      <c r="D79" s="570"/>
      <c r="E79" s="212"/>
      <c r="F79" s="98"/>
      <c r="G79" s="98"/>
      <c r="H79" s="98"/>
      <c r="I79" s="95"/>
      <c r="J79" s="569"/>
      <c r="K79" s="98"/>
      <c r="L79" s="98"/>
      <c r="M79" s="98"/>
      <c r="N79" s="95"/>
      <c r="O79" s="4"/>
    </row>
    <row r="80" spans="1:15" s="2" customFormat="1" ht="15" customHeight="1" x14ac:dyDescent="0.2">
      <c r="A80" s="6"/>
      <c r="B80" s="421"/>
      <c r="C80" s="571" t="s">
        <v>396</v>
      </c>
      <c r="D80" s="572" t="str">
        <f>IF(AND(ISNUMBER(D74),ISNUMBER(D76),ISNUMBER(D77),ISNUMBER(D78),ISNUMBER(D79)),SUM(D74,D76,D77,D78,D79),"")</f>
        <v/>
      </c>
      <c r="E80" s="212"/>
      <c r="F80" s="98"/>
      <c r="G80" s="98"/>
      <c r="H80" s="98"/>
      <c r="I80" s="95"/>
      <c r="J80" s="573" t="str">
        <f>IF(AND(ISNUMBER(J74),ISNUMBER(J76),ISNUMBER(J77),ISNUMBER(J78),ISNUMBER(J79)),SUM(J74,J76,J77,J78,J79),"")</f>
        <v/>
      </c>
      <c r="K80" s="98"/>
      <c r="L80" s="98"/>
      <c r="M80" s="98"/>
      <c r="N80" s="95"/>
      <c r="O80" s="4"/>
    </row>
    <row r="81" spans="1:15" s="2" customFormat="1" ht="15" customHeight="1" x14ac:dyDescent="0.2">
      <c r="A81" s="6"/>
      <c r="B81" s="410"/>
      <c r="C81" s="565" t="s">
        <v>1045</v>
      </c>
      <c r="D81" s="1185" t="str">
        <f>IF(D80=E27,"Yes","No")</f>
        <v>Yes</v>
      </c>
      <c r="E81" s="212"/>
      <c r="F81" s="3"/>
      <c r="G81" s="3"/>
      <c r="H81" s="3"/>
      <c r="I81" s="3"/>
      <c r="J81" s="1281" t="str">
        <f>IF(J80=K27,"Yes","No")</f>
        <v>Yes</v>
      </c>
      <c r="K81" s="3"/>
      <c r="L81" s="3"/>
      <c r="M81" s="3"/>
      <c r="N81" s="3"/>
      <c r="O81" s="4"/>
    </row>
    <row r="82" spans="1:15" s="2" customFormat="1" ht="15" customHeight="1" x14ac:dyDescent="0.2">
      <c r="A82" s="6"/>
      <c r="B82" s="97"/>
      <c r="C82" s="96"/>
      <c r="D82" s="96"/>
      <c r="E82" s="96"/>
      <c r="F82" s="96"/>
      <c r="G82" s="96"/>
      <c r="H82" s="96"/>
      <c r="I82" s="96"/>
      <c r="J82" s="96"/>
      <c r="K82" s="96"/>
      <c r="L82" s="96"/>
      <c r="M82" s="96"/>
      <c r="N82" s="96"/>
      <c r="O82" s="4"/>
    </row>
    <row r="83" spans="1:15" s="62" customFormat="1" ht="30" customHeight="1" x14ac:dyDescent="0.25">
      <c r="A83" s="1478" t="s">
        <v>1007</v>
      </c>
      <c r="B83" s="52"/>
      <c r="C83" s="92"/>
      <c r="D83" s="92"/>
      <c r="E83" s="92"/>
      <c r="F83" s="92"/>
      <c r="G83" s="92"/>
      <c r="H83" s="92"/>
      <c r="I83" s="92"/>
      <c r="J83" s="92"/>
      <c r="K83" s="92"/>
      <c r="L83" s="92"/>
      <c r="M83" s="92"/>
      <c r="N83" s="92"/>
      <c r="O83" s="61"/>
    </row>
    <row r="84" spans="1:15" s="2" customFormat="1" ht="15" customHeight="1" x14ac:dyDescent="0.2">
      <c r="A84" s="6"/>
      <c r="B84" s="94"/>
      <c r="C84" s="94"/>
      <c r="D84" s="94"/>
      <c r="E84" s="94"/>
      <c r="F84" s="94"/>
      <c r="G84" s="94"/>
      <c r="H84" s="94"/>
      <c r="I84" s="94"/>
      <c r="J84" s="94"/>
      <c r="K84" s="94"/>
      <c r="L84" s="94"/>
      <c r="M84" s="94"/>
      <c r="N84" s="94"/>
      <c r="O84" s="4"/>
    </row>
    <row r="85" spans="1:15" s="2" customFormat="1" ht="15" customHeight="1" x14ac:dyDescent="0.2">
      <c r="A85" s="6"/>
      <c r="B85" s="1669" t="s">
        <v>880</v>
      </c>
      <c r="C85" s="1655"/>
      <c r="D85" s="1648" t="s">
        <v>472</v>
      </c>
      <c r="E85" s="1648"/>
      <c r="F85" s="1649"/>
      <c r="G85" s="200"/>
      <c r="H85" s="200"/>
      <c r="J85" s="1650" t="s">
        <v>88</v>
      </c>
      <c r="K85" s="1648"/>
      <c r="L85" s="1649"/>
      <c r="M85" s="200"/>
      <c r="N85" s="200"/>
      <c r="O85" s="4"/>
    </row>
    <row r="86" spans="1:15" s="2" customFormat="1" ht="97.5" customHeight="1" x14ac:dyDescent="0.2">
      <c r="A86" s="6"/>
      <c r="B86" s="1670"/>
      <c r="C86" s="1656"/>
      <c r="D86" s="529" t="s">
        <v>882</v>
      </c>
      <c r="E86" s="529" t="s">
        <v>883</v>
      </c>
      <c r="F86" s="538" t="s">
        <v>884</v>
      </c>
      <c r="G86" s="200"/>
      <c r="H86" s="200"/>
      <c r="J86" s="533" t="s">
        <v>882</v>
      </c>
      <c r="K86" s="529" t="s">
        <v>883</v>
      </c>
      <c r="L86" s="538" t="s">
        <v>884</v>
      </c>
      <c r="M86" s="200"/>
      <c r="N86" s="200"/>
      <c r="O86" s="4"/>
    </row>
    <row r="87" spans="1:15" s="2" customFormat="1" ht="15" customHeight="1" x14ac:dyDescent="0.2">
      <c r="A87" s="6"/>
      <c r="B87" s="524" t="s">
        <v>1052</v>
      </c>
      <c r="C87" s="525" t="s">
        <v>410</v>
      </c>
      <c r="D87" s="280" t="str">
        <f>IF(ISNUMBER(D88),SUM(D88,D89),"")</f>
        <v/>
      </c>
      <c r="E87" s="526"/>
      <c r="F87" s="527"/>
      <c r="G87" s="200"/>
      <c r="H87" s="200"/>
      <c r="J87" s="293" t="str">
        <f>IF(ISNUMBER(J88),SUM(J88,J89),"")</f>
        <v/>
      </c>
      <c r="K87" s="526"/>
      <c r="L87" s="527"/>
      <c r="M87" s="200"/>
      <c r="N87" s="200"/>
      <c r="O87" s="4"/>
    </row>
    <row r="88" spans="1:15" s="2" customFormat="1" ht="15" customHeight="1" x14ac:dyDescent="0.2">
      <c r="A88" s="6"/>
      <c r="B88" s="405"/>
      <c r="C88" s="479" t="s">
        <v>393</v>
      </c>
      <c r="D88" s="219"/>
      <c r="E88" s="220"/>
      <c r="F88" s="227"/>
      <c r="G88" s="200"/>
      <c r="H88" s="200"/>
      <c r="J88" s="577"/>
      <c r="K88" s="220"/>
      <c r="L88" s="227"/>
      <c r="M88" s="200"/>
      <c r="N88" s="200"/>
      <c r="O88" s="4"/>
    </row>
    <row r="89" spans="1:15" s="2" customFormat="1" ht="15" customHeight="1" x14ac:dyDescent="0.2">
      <c r="A89" s="6"/>
      <c r="B89" s="405"/>
      <c r="C89" s="479" t="s">
        <v>394</v>
      </c>
      <c r="D89" s="523"/>
      <c r="E89" s="523"/>
      <c r="F89" s="228"/>
      <c r="G89" s="200"/>
      <c r="H89" s="200"/>
      <c r="J89" s="534"/>
      <c r="K89" s="523"/>
      <c r="L89" s="228"/>
      <c r="M89" s="200"/>
      <c r="N89" s="200"/>
      <c r="O89" s="4"/>
    </row>
    <row r="90" spans="1:15" s="2" customFormat="1" ht="15" customHeight="1" x14ac:dyDescent="0.2">
      <c r="A90" s="6"/>
      <c r="B90" s="410"/>
      <c r="C90" s="481" t="s">
        <v>411</v>
      </c>
      <c r="D90" s="221"/>
      <c r="E90" s="575" t="str">
        <f>IF(AND(ISNUMBER(D88),ISNUMBER(E89)),D88-E89,"")</f>
        <v/>
      </c>
      <c r="F90" s="576" t="str">
        <f>IF(AND(ISNUMBER(D88),ISNUMBER(F89)),D88-F89,"")</f>
        <v/>
      </c>
      <c r="G90" s="200"/>
      <c r="H90" s="200"/>
      <c r="J90" s="539"/>
      <c r="K90" s="575" t="str">
        <f>IF(AND(ISNUMBER(J88),ISNUMBER(K89)),J88-K89,"")</f>
        <v/>
      </c>
      <c r="L90" s="576" t="str">
        <f>IF(AND(ISNUMBER(J88),ISNUMBER(L89)),J88-L89,"")</f>
        <v/>
      </c>
      <c r="M90" s="200"/>
      <c r="N90" s="200"/>
      <c r="O90" s="4"/>
    </row>
    <row r="91" spans="1:15" s="2" customFormat="1" ht="15" customHeight="1" x14ac:dyDescent="0.2">
      <c r="A91" s="6"/>
      <c r="B91" s="212"/>
      <c r="C91" s="3"/>
      <c r="D91" s="212"/>
      <c r="E91" s="212"/>
      <c r="F91" s="200"/>
      <c r="G91" s="200"/>
      <c r="H91" s="200"/>
      <c r="J91" s="212"/>
      <c r="K91" s="212"/>
      <c r="L91" s="208"/>
      <c r="M91" s="198"/>
      <c r="N91" s="198"/>
      <c r="O91" s="4"/>
    </row>
    <row r="92" spans="1:15" s="2" customFormat="1" ht="12.75" x14ac:dyDescent="0.2">
      <c r="A92" s="6"/>
      <c r="B92" s="421"/>
      <c r="C92" s="1290" t="s">
        <v>1046</v>
      </c>
      <c r="D92" s="1291" t="str">
        <f>IF(D88&lt;=F40,"Yes","No")</f>
        <v>Yes</v>
      </c>
      <c r="E92" s="1135"/>
      <c r="F92" s="1136"/>
      <c r="G92" s="1170"/>
      <c r="J92" s="1292" t="str">
        <f>IF(J88&lt;=L40,"Yes","No")</f>
        <v>Yes</v>
      </c>
      <c r="K92" s="1135"/>
      <c r="L92" s="1136"/>
      <c r="M92" s="1168"/>
      <c r="N92" s="198"/>
      <c r="O92" s="4"/>
    </row>
    <row r="93" spans="1:15" s="2" customFormat="1" ht="12.75" x14ac:dyDescent="0.2">
      <c r="A93" s="6"/>
      <c r="B93" s="1177"/>
      <c r="C93" s="1283" t="s">
        <v>1047</v>
      </c>
      <c r="D93" s="1155" t="str">
        <f>IF(D89&lt;=F41,"Yes","No")</f>
        <v>Yes</v>
      </c>
      <c r="E93" s="1147"/>
      <c r="F93" s="1173"/>
      <c r="G93" s="1170"/>
      <c r="J93" s="578" t="str">
        <f>IF(J89&lt;=L41,"Yes","No")</f>
        <v>Yes</v>
      </c>
      <c r="K93" s="1147"/>
      <c r="L93" s="1173"/>
      <c r="M93" s="1168"/>
      <c r="N93" s="198"/>
      <c r="O93" s="4"/>
    </row>
    <row r="94" spans="1:15" s="2" customFormat="1" ht="30" customHeight="1" x14ac:dyDescent="0.2">
      <c r="A94" s="6"/>
      <c r="B94" s="410"/>
      <c r="C94" s="1284" t="s">
        <v>1048</v>
      </c>
      <c r="D94" s="1185" t="str">
        <f>IF(E89&lt;=D88,"Yes","No")</f>
        <v>Yes</v>
      </c>
      <c r="E94" s="1185" t="str">
        <f>IF(E89&lt;=D89,"Yes","No")</f>
        <v>Yes</v>
      </c>
      <c r="F94" s="1185" t="str">
        <f>IF(F89&lt;=E89,"Yes","No")</f>
        <v>Yes</v>
      </c>
      <c r="G94" s="198"/>
      <c r="H94" s="199"/>
      <c r="I94" s="200"/>
      <c r="J94" s="579" t="str">
        <f>IF(K89&lt;=J88,"Yes","No")</f>
        <v>Yes</v>
      </c>
      <c r="K94" s="1185" t="str">
        <f>IF(K89&lt;=J89,"Yes","No")</f>
        <v>Yes</v>
      </c>
      <c r="L94" s="1185" t="str">
        <f>IF(L89&lt;=K89,"Yes","No")</f>
        <v>Yes</v>
      </c>
      <c r="M94" s="200"/>
      <c r="N94" s="200"/>
      <c r="O94" s="4"/>
    </row>
    <row r="95" spans="1:15" s="2" customFormat="1" ht="15" customHeight="1" x14ac:dyDescent="0.2">
      <c r="A95" s="6"/>
      <c r="B95" s="96"/>
      <c r="C95" s="95"/>
      <c r="D95" s="95"/>
      <c r="E95" s="95"/>
      <c r="F95" s="95"/>
      <c r="G95" s="95"/>
      <c r="H95" s="95"/>
      <c r="I95" s="95"/>
      <c r="J95" s="95"/>
      <c r="K95" s="95"/>
      <c r="L95" s="95"/>
      <c r="M95" s="95"/>
      <c r="N95" s="95"/>
      <c r="O95" s="4"/>
    </row>
    <row r="96" spans="1:15" s="62" customFormat="1" ht="30" customHeight="1" x14ac:dyDescent="0.25">
      <c r="A96" s="1478" t="s">
        <v>874</v>
      </c>
      <c r="B96" s="52"/>
      <c r="C96" s="92"/>
      <c r="D96" s="92"/>
      <c r="E96" s="92"/>
      <c r="F96" s="92"/>
      <c r="G96" s="92"/>
      <c r="H96" s="92"/>
      <c r="I96" s="92"/>
      <c r="J96" s="92"/>
      <c r="K96" s="92"/>
      <c r="L96" s="92"/>
      <c r="M96" s="92"/>
      <c r="N96" s="92"/>
      <c r="O96" s="61"/>
    </row>
    <row r="97" spans="1:15" s="2" customFormat="1" ht="15" customHeight="1" x14ac:dyDescent="0.2">
      <c r="A97" s="6"/>
      <c r="B97" s="94"/>
      <c r="C97" s="94"/>
      <c r="D97" s="94"/>
      <c r="E97" s="94"/>
      <c r="F97" s="94"/>
      <c r="G97" s="94"/>
      <c r="H97" s="94"/>
      <c r="I97" s="94"/>
      <c r="J97" s="94"/>
      <c r="K97" s="94"/>
      <c r="L97" s="94"/>
      <c r="M97" s="94"/>
      <c r="N97" s="94"/>
      <c r="O97" s="4"/>
    </row>
    <row r="98" spans="1:15" s="2" customFormat="1" ht="15" customHeight="1" x14ac:dyDescent="0.2">
      <c r="A98" s="6"/>
      <c r="B98" s="1663" t="s">
        <v>880</v>
      </c>
      <c r="C98" s="1664"/>
      <c r="D98" s="1648" t="s">
        <v>472</v>
      </c>
      <c r="E98" s="1649"/>
      <c r="F98" s="3"/>
      <c r="G98" s="3"/>
      <c r="H98" s="3"/>
      <c r="I98" s="212"/>
      <c r="J98" s="1650" t="s">
        <v>88</v>
      </c>
      <c r="K98" s="1649"/>
      <c r="L98" s="3"/>
      <c r="M98" s="3"/>
      <c r="N98" s="3"/>
      <c r="O98" s="4"/>
    </row>
    <row r="99" spans="1:15" s="2" customFormat="1" ht="45" customHeight="1" x14ac:dyDescent="0.2">
      <c r="A99" s="6"/>
      <c r="B99" s="1663"/>
      <c r="C99" s="1664"/>
      <c r="D99" s="529" t="s">
        <v>412</v>
      </c>
      <c r="E99" s="538" t="s">
        <v>876</v>
      </c>
      <c r="F99" s="95"/>
      <c r="G99" s="95"/>
      <c r="H99" s="95"/>
      <c r="I99" s="95"/>
      <c r="J99" s="533" t="s">
        <v>412</v>
      </c>
      <c r="K99" s="538" t="s">
        <v>876</v>
      </c>
      <c r="L99" s="95"/>
      <c r="M99" s="95"/>
      <c r="N99" s="95"/>
      <c r="O99" s="4"/>
    </row>
    <row r="100" spans="1:15" s="2" customFormat="1" ht="15" customHeight="1" x14ac:dyDescent="0.2">
      <c r="A100" s="6"/>
      <c r="B100" s="411" t="s">
        <v>875</v>
      </c>
      <c r="C100" s="567" t="s">
        <v>120</v>
      </c>
      <c r="D100" s="581" t="str">
        <f>IF(ISNUMBER(DefCapB3!$D75),DefCapB3!$D75,"")</f>
        <v/>
      </c>
      <c r="E100" s="226"/>
      <c r="F100" s="95"/>
      <c r="G100" s="95"/>
      <c r="H100" s="95"/>
      <c r="I100" s="95"/>
      <c r="J100" s="584" t="str">
        <f>IF(ISNUMBER(DefCapB3!$D75),DefCapB3!$D75,"")</f>
        <v/>
      </c>
      <c r="K100" s="226"/>
      <c r="L100" s="95"/>
      <c r="M100" s="95"/>
      <c r="N100" s="95"/>
      <c r="O100" s="4"/>
    </row>
    <row r="101" spans="1:15" s="2" customFormat="1" ht="15" customHeight="1" x14ac:dyDescent="0.2">
      <c r="A101" s="6"/>
      <c r="B101" s="405"/>
      <c r="C101" s="528" t="s">
        <v>413</v>
      </c>
      <c r="D101" s="286" t="str">
        <f>IF(E101="Yes",SUM(F8,F15,G15,E18,E38,(0.1*F45),(0.2*F48),(0.5*F49),F50,F90),"")</f>
        <v/>
      </c>
      <c r="E101" s="1155" t="str">
        <f>IF(AND(ISNUMBER(F8),ISNUMBER(F15),ISNUMBER(G15),ISNUMBER(E18),ISNUMBER(E38),ISNUMBER(F45),ISNUMBER(F48),ISNUMBER(F49),ISNUMBER(F50),ISNUMBER(F90)),"Yes","No")</f>
        <v>No</v>
      </c>
      <c r="F101" s="95"/>
      <c r="G101" s="95"/>
      <c r="H101" s="95"/>
      <c r="I101" s="95"/>
      <c r="J101" s="294" t="str">
        <f>IF(K101="Yes",SUM(L8,L15,M15,K18,K38,(0.1*L45),(0.2*L48),(0.5*L49),L50,L90),"")</f>
        <v/>
      </c>
      <c r="K101" s="1155" t="str">
        <f>IF(AND(ISNUMBER(L8),ISNUMBER(L15),ISNUMBER(M15),ISNUMBER(K18),ISNUMBER(K38),ISNUMBER(L45),ISNUMBER(L48),ISNUMBER(L49),ISNUMBER(L50),ISNUMBER(L90)),"Yes","No")</f>
        <v>No</v>
      </c>
      <c r="L101" s="95"/>
      <c r="M101" s="95"/>
      <c r="N101" s="95"/>
      <c r="O101" s="4"/>
    </row>
    <row r="102" spans="1:15" s="2" customFormat="1" ht="15" customHeight="1" x14ac:dyDescent="0.2">
      <c r="A102" s="6"/>
      <c r="B102" s="403">
        <v>16</v>
      </c>
      <c r="C102" s="491" t="s">
        <v>329</v>
      </c>
      <c r="D102" s="580" t="str">
        <f>IF(AND(ISNUMBER(DefCapB3!$D43),ISNUMBER(DefCapB3!$D44),ISNUMBER(DefCapB3!$D45),ISNUMBER(DefCapB3!$D46),ISNUMBER(DefCapB3!$D47),ISNUMBER(DefCapB3!$D48),ISNUMBER(DefCapB3!$D49),ISNUMBER(DefCapB3!$D51),ISNUMBER(DefCapB3!$D52),ISNUMBER(DefCapB3!$D54),ISNUMBER(DefCapB3!$D56),ISNUMBER(DefCapB3!$D57),ISNUMBER(DefCapB3!$D58),ISNUMBER(DefCapB3!$D60),ISNUMBER(DefCapB3!$D62),ISNUMBER(DefCapB3!$D74)),SUM(DefCapB3!$D43:$D49,DefCapB3!$D51:$D52,DefCapB3!$D54,DefCapB3!$D56:$D58,DefCapB3!$D60,DefCapB3!$D62,DefCapB3!$D74),"")</f>
        <v/>
      </c>
      <c r="E102" s="227"/>
      <c r="F102" s="95"/>
      <c r="G102" s="95"/>
      <c r="H102" s="95"/>
      <c r="I102" s="95"/>
      <c r="J102" s="585" t="str">
        <f>IF(AND(ISNUMBER(DefCapB3!$D43),ISNUMBER(DefCapB3!$D44),ISNUMBER(DefCapB3!$D45),ISNUMBER(DefCapB3!$D46),ISNUMBER(DefCapB3!$D47),ISNUMBER(DefCapB3!$D48),ISNUMBER(DefCapB3!$D49),ISNUMBER(DefCapB3!$D51),ISNUMBER(DefCapB3!$D52),ISNUMBER(DefCapB3!$D54),ISNUMBER(DefCapB3!$D56),ISNUMBER(DefCapB3!$D57),ISNUMBER(DefCapB3!$D58),ISNUMBER(DefCapB3!$D60),ISNUMBER(DefCapB3!$D62),ISNUMBER(DefCapB3!$D74)),SUM(DefCapB3!$D43:$D49,DefCapB3!$D51:$D52,DefCapB3!$D54,DefCapB3!$D56:$D58,DefCapB3!$D60,DefCapB3!$D62,DefCapB3!$D74),"")</f>
        <v/>
      </c>
      <c r="K102" s="227"/>
      <c r="L102" s="95"/>
      <c r="M102" s="95"/>
      <c r="N102" s="95"/>
      <c r="O102" s="4"/>
    </row>
    <row r="103" spans="1:15" s="2" customFormat="1" ht="15" customHeight="1" x14ac:dyDescent="0.2">
      <c r="A103" s="6"/>
      <c r="B103" s="422"/>
      <c r="C103" s="548" t="s">
        <v>414</v>
      </c>
      <c r="D103" s="582" t="str">
        <f>IF(AND(ISNUMBER(D101),ISNUMBER(D102)),D101-D102,"")</f>
        <v/>
      </c>
      <c r="E103" s="543"/>
      <c r="F103" s="95"/>
      <c r="G103" s="95"/>
      <c r="H103" s="95"/>
      <c r="I103" s="95"/>
      <c r="J103" s="586" t="str">
        <f>IF(AND(ISNUMBER(J101),ISNUMBER(J102)),J101-J102,"")</f>
        <v/>
      </c>
      <c r="K103" s="543"/>
      <c r="L103" s="95"/>
      <c r="M103" s="95"/>
      <c r="N103" s="95"/>
      <c r="O103" s="4"/>
    </row>
    <row r="104" spans="1:15" s="2" customFormat="1" ht="15" customHeight="1" x14ac:dyDescent="0.2">
      <c r="A104" s="6"/>
      <c r="B104" s="574">
        <v>6</v>
      </c>
      <c r="C104" s="545" t="s">
        <v>535</v>
      </c>
      <c r="D104" s="583" t="str">
        <f>IF(AND(ISNUMBER(D100),ISNUMBER(D103),D103&lt;&gt;0),D100/D103,"")</f>
        <v/>
      </c>
      <c r="E104" s="537"/>
      <c r="F104" s="95"/>
      <c r="G104" s="95"/>
      <c r="H104" s="95"/>
      <c r="I104" s="95"/>
      <c r="J104" s="587" t="str">
        <f>IF(AND(ISNUMBER(J100),ISNUMBER(J103),J103&lt;&gt;0),J100/J103,"")</f>
        <v/>
      </c>
      <c r="K104" s="537"/>
      <c r="L104" s="95"/>
      <c r="M104" s="95"/>
      <c r="N104" s="95"/>
      <c r="O104" s="4"/>
    </row>
    <row r="105" spans="1:15" s="2" customFormat="1" ht="15" customHeight="1" x14ac:dyDescent="0.2">
      <c r="A105" s="154"/>
      <c r="B105" s="97"/>
      <c r="C105" s="96"/>
      <c r="D105" s="96"/>
      <c r="E105" s="96"/>
      <c r="F105" s="96"/>
      <c r="G105" s="96"/>
      <c r="H105" s="96"/>
      <c r="I105" s="96"/>
      <c r="J105" s="96"/>
      <c r="K105" s="96"/>
      <c r="L105" s="96"/>
      <c r="M105" s="96"/>
      <c r="N105" s="96"/>
      <c r="O105" s="93"/>
    </row>
    <row r="106" spans="1:15" s="62" customFormat="1" ht="30" customHeight="1" x14ac:dyDescent="0.25">
      <c r="A106" s="1478" t="s">
        <v>877</v>
      </c>
      <c r="B106" s="52"/>
      <c r="C106" s="92"/>
      <c r="D106" s="92"/>
      <c r="E106" s="92"/>
      <c r="F106" s="92"/>
      <c r="G106" s="92"/>
      <c r="H106" s="92"/>
      <c r="I106" s="92"/>
      <c r="J106" s="92"/>
      <c r="K106" s="92"/>
      <c r="L106" s="92"/>
      <c r="M106" s="92"/>
      <c r="N106" s="92"/>
      <c r="O106" s="61"/>
    </row>
    <row r="107" spans="1:15" s="2" customFormat="1" ht="15" customHeight="1" x14ac:dyDescent="0.2">
      <c r="A107" s="159"/>
      <c r="B107" s="73"/>
      <c r="C107" s="73"/>
      <c r="D107" s="73"/>
      <c r="E107" s="73"/>
      <c r="F107" s="73"/>
      <c r="G107" s="73"/>
      <c r="H107" s="73"/>
      <c r="I107" s="73"/>
      <c r="J107" s="73"/>
      <c r="K107" s="73"/>
      <c r="L107" s="73"/>
      <c r="M107" s="73"/>
      <c r="N107" s="73"/>
      <c r="O107" s="165"/>
    </row>
    <row r="108" spans="1:15" s="2" customFormat="1" ht="15" customHeight="1" x14ac:dyDescent="0.2">
      <c r="A108" s="6"/>
      <c r="B108" s="1665" t="s">
        <v>265</v>
      </c>
      <c r="C108" s="1665"/>
      <c r="D108" s="1665"/>
      <c r="E108" s="1665"/>
      <c r="F108" s="1665"/>
      <c r="G108" s="1665"/>
      <c r="H108" s="1665"/>
      <c r="I108" s="1665"/>
      <c r="J108" s="1648" t="s">
        <v>88</v>
      </c>
      <c r="K108" s="1649"/>
      <c r="L108" s="3"/>
      <c r="M108" s="3"/>
      <c r="N108" s="3"/>
      <c r="O108" s="4"/>
    </row>
    <row r="109" spans="1:15" s="2" customFormat="1" ht="15" customHeight="1" x14ac:dyDescent="0.2">
      <c r="A109" s="6"/>
      <c r="B109" s="1666"/>
      <c r="C109" s="1666"/>
      <c r="D109" s="1666"/>
      <c r="E109" s="1666"/>
      <c r="F109" s="1666"/>
      <c r="G109" s="1666"/>
      <c r="H109" s="1666"/>
      <c r="I109" s="1666"/>
      <c r="J109" s="538" t="s">
        <v>412</v>
      </c>
      <c r="K109" s="73"/>
      <c r="L109" s="5"/>
      <c r="M109" s="5"/>
      <c r="N109" s="5"/>
      <c r="O109" s="4"/>
    </row>
    <row r="110" spans="1:15" s="2" customFormat="1" ht="15" customHeight="1" x14ac:dyDescent="0.2">
      <c r="A110" s="6"/>
      <c r="B110" s="421"/>
      <c r="C110" s="591" t="s">
        <v>266</v>
      </c>
      <c r="D110" s="308"/>
      <c r="E110" s="308"/>
      <c r="F110" s="308"/>
      <c r="G110" s="308"/>
      <c r="H110" s="308"/>
      <c r="I110" s="306"/>
      <c r="J110" s="1186" t="str">
        <f>IF(AND(ISNUMBER(J111),ISNUMBER(J114),ISNUMBER(J140)),J111+J114+J140,"")</f>
        <v/>
      </c>
      <c r="K110" s="200"/>
      <c r="L110" s="5"/>
      <c r="M110" s="5"/>
      <c r="N110" s="5"/>
      <c r="O110" s="4"/>
    </row>
    <row r="111" spans="1:15" ht="15" customHeight="1" x14ac:dyDescent="0.2">
      <c r="A111" s="31"/>
      <c r="B111" s="405"/>
      <c r="C111" s="592" t="s">
        <v>276</v>
      </c>
      <c r="D111" s="593"/>
      <c r="E111" s="593"/>
      <c r="F111" s="593"/>
      <c r="G111" s="593"/>
      <c r="H111" s="593"/>
      <c r="I111" s="594"/>
      <c r="J111" s="595" t="str">
        <f>IF(AND(ISNUMBER(J112),ISNUMBER(J113)),SUM(J112:J113),"")</f>
        <v/>
      </c>
      <c r="K111" s="204"/>
      <c r="L111" s="26"/>
      <c r="M111" s="26"/>
      <c r="N111" s="26"/>
      <c r="O111" s="28"/>
    </row>
    <row r="112" spans="1:15" ht="15" customHeight="1" x14ac:dyDescent="0.2">
      <c r="A112" s="31"/>
      <c r="B112" s="405"/>
      <c r="C112" s="596" t="s">
        <v>614</v>
      </c>
      <c r="D112" s="593"/>
      <c r="E112" s="593"/>
      <c r="F112" s="593"/>
      <c r="G112" s="593"/>
      <c r="H112" s="593"/>
      <c r="I112" s="594"/>
      <c r="J112" s="554"/>
      <c r="K112" s="204"/>
      <c r="L112" s="26"/>
      <c r="M112" s="26"/>
      <c r="N112" s="26"/>
      <c r="O112" s="28"/>
    </row>
    <row r="113" spans="1:15" ht="15" customHeight="1" x14ac:dyDescent="0.2">
      <c r="A113" s="31"/>
      <c r="B113" s="405"/>
      <c r="C113" s="596" t="s">
        <v>421</v>
      </c>
      <c r="D113" s="593"/>
      <c r="E113" s="593"/>
      <c r="F113" s="593"/>
      <c r="G113" s="593"/>
      <c r="H113" s="593"/>
      <c r="I113" s="594"/>
      <c r="J113" s="554"/>
      <c r="K113" s="204"/>
      <c r="L113" s="26"/>
      <c r="M113" s="26"/>
      <c r="N113" s="26"/>
      <c r="O113" s="28"/>
    </row>
    <row r="114" spans="1:15" ht="15" customHeight="1" x14ac:dyDescent="0.2">
      <c r="A114" s="31"/>
      <c r="B114" s="405"/>
      <c r="C114" s="592" t="s">
        <v>277</v>
      </c>
      <c r="D114" s="593"/>
      <c r="E114" s="593"/>
      <c r="F114" s="593"/>
      <c r="G114" s="593"/>
      <c r="H114" s="593"/>
      <c r="I114" s="594"/>
      <c r="J114" s="595" t="str">
        <f>IF(AND(ISNUMBER(J115),ISNUMBER(J116),ISNUMBER(J117)),SUM(J115:J117),"")</f>
        <v/>
      </c>
      <c r="K114" s="204"/>
      <c r="L114" s="26"/>
      <c r="M114" s="26"/>
      <c r="N114" s="26"/>
      <c r="O114" s="28"/>
    </row>
    <row r="115" spans="1:15" ht="15" customHeight="1" x14ac:dyDescent="0.2">
      <c r="A115" s="31"/>
      <c r="B115" s="405"/>
      <c r="C115" s="596" t="s">
        <v>614</v>
      </c>
      <c r="D115" s="593"/>
      <c r="E115" s="593"/>
      <c r="F115" s="593"/>
      <c r="G115" s="593"/>
      <c r="H115" s="593"/>
      <c r="I115" s="594"/>
      <c r="J115" s="554"/>
      <c r="K115" s="204"/>
      <c r="L115" s="26"/>
      <c r="M115" s="26"/>
      <c r="N115" s="26"/>
      <c r="O115" s="28"/>
    </row>
    <row r="116" spans="1:15" ht="15" customHeight="1" x14ac:dyDescent="0.2">
      <c r="A116" s="31"/>
      <c r="B116" s="405"/>
      <c r="C116" s="596" t="s">
        <v>422</v>
      </c>
      <c r="D116" s="593"/>
      <c r="E116" s="593"/>
      <c r="F116" s="593"/>
      <c r="G116" s="593"/>
      <c r="H116" s="593"/>
      <c r="I116" s="594"/>
      <c r="J116" s="554"/>
      <c r="K116" s="204"/>
      <c r="L116" s="26"/>
      <c r="M116" s="26"/>
      <c r="N116" s="26"/>
      <c r="O116" s="28"/>
    </row>
    <row r="117" spans="1:15" ht="15" customHeight="1" x14ac:dyDescent="0.2">
      <c r="A117" s="31"/>
      <c r="B117" s="405"/>
      <c r="C117" s="596" t="s">
        <v>423</v>
      </c>
      <c r="D117" s="593"/>
      <c r="E117" s="593"/>
      <c r="F117" s="593"/>
      <c r="G117" s="593"/>
      <c r="H117" s="593"/>
      <c r="I117" s="594"/>
      <c r="J117" s="595" t="str">
        <f>IF(AND(ISNUMBER(J118),ISNUMBER(J125),ISNUMBER(J126),ISNUMBER(J131),ISNUMBER(J137)),SUM(J118,J125,J126,J131,J137),"")</f>
        <v/>
      </c>
      <c r="K117" s="204"/>
      <c r="L117" s="26"/>
      <c r="M117" s="26"/>
      <c r="N117" s="26"/>
      <c r="O117" s="28"/>
    </row>
    <row r="118" spans="1:15" ht="15" customHeight="1" x14ac:dyDescent="0.2">
      <c r="A118" s="31"/>
      <c r="B118" s="405"/>
      <c r="C118" s="597" t="s">
        <v>425</v>
      </c>
      <c r="D118" s="593"/>
      <c r="E118" s="593"/>
      <c r="F118" s="593"/>
      <c r="G118" s="593"/>
      <c r="H118" s="593"/>
      <c r="I118" s="594"/>
      <c r="J118" s="595" t="str">
        <f>IF(AND(ISNUMBER(J119),ISNUMBER(J123),ISNUMBER(J124)),SUM(J119,J123:J124),"")</f>
        <v/>
      </c>
      <c r="K118" s="204"/>
      <c r="L118" s="26"/>
      <c r="M118" s="26"/>
      <c r="N118" s="26"/>
      <c r="O118" s="28"/>
    </row>
    <row r="119" spans="1:15" ht="15" customHeight="1" x14ac:dyDescent="0.2">
      <c r="A119" s="31"/>
      <c r="B119" s="405"/>
      <c r="C119" s="598" t="s">
        <v>93</v>
      </c>
      <c r="D119" s="593"/>
      <c r="E119" s="593"/>
      <c r="F119" s="593"/>
      <c r="G119" s="593"/>
      <c r="H119" s="593"/>
      <c r="I119" s="594"/>
      <c r="J119" s="554"/>
      <c r="K119" s="204"/>
      <c r="L119" s="26"/>
      <c r="M119" s="26"/>
      <c r="N119" s="26"/>
      <c r="O119" s="28"/>
    </row>
    <row r="120" spans="1:15" ht="15" customHeight="1" x14ac:dyDescent="0.2">
      <c r="A120" s="31"/>
      <c r="B120" s="405"/>
      <c r="C120" s="599" t="s">
        <v>403</v>
      </c>
      <c r="D120" s="593"/>
      <c r="E120" s="593"/>
      <c r="F120" s="593"/>
      <c r="G120" s="593"/>
      <c r="H120" s="593"/>
      <c r="I120" s="594"/>
      <c r="J120" s="554"/>
      <c r="K120" s="204"/>
      <c r="L120" s="26"/>
      <c r="M120" s="26"/>
      <c r="N120" s="26"/>
      <c r="O120" s="28"/>
    </row>
    <row r="121" spans="1:15" ht="15" customHeight="1" x14ac:dyDescent="0.2">
      <c r="A121" s="31"/>
      <c r="B121" s="405"/>
      <c r="C121" s="1671" t="s">
        <v>402</v>
      </c>
      <c r="D121" s="1672"/>
      <c r="E121" s="1672"/>
      <c r="F121" s="1672"/>
      <c r="G121" s="1672"/>
      <c r="H121" s="1672"/>
      <c r="I121" s="1673"/>
      <c r="J121" s="554"/>
      <c r="K121" s="204"/>
      <c r="L121" s="26"/>
      <c r="M121" s="26"/>
      <c r="N121" s="26"/>
      <c r="O121" s="28"/>
    </row>
    <row r="122" spans="1:15" ht="15" customHeight="1" x14ac:dyDescent="0.2">
      <c r="A122" s="31"/>
      <c r="B122" s="405"/>
      <c r="C122" s="600" t="str">
        <f>CONCATENATE("Check: PSEs in rows ", ROW(C120), " and ", ROW(C121), " should be less than or equal to overall PSEs in row ", ROW(C119))</f>
        <v>Check: PSEs in rows 120 and 121 should be less than or equal to overall PSEs in row 119</v>
      </c>
      <c r="D122" s="593"/>
      <c r="E122" s="593"/>
      <c r="F122" s="593"/>
      <c r="G122" s="593"/>
      <c r="H122" s="593"/>
      <c r="I122" s="594"/>
      <c r="J122" s="1155" t="str">
        <f>IF(J120+J121&lt;=J119,"Yes","No")</f>
        <v>Yes</v>
      </c>
      <c r="K122" s="204"/>
      <c r="L122" s="26"/>
      <c r="M122" s="26"/>
      <c r="N122" s="26"/>
      <c r="O122" s="28"/>
    </row>
    <row r="123" spans="1:15" ht="15" customHeight="1" x14ac:dyDescent="0.2">
      <c r="A123" s="31"/>
      <c r="B123" s="405"/>
      <c r="C123" s="601" t="s">
        <v>426</v>
      </c>
      <c r="D123" s="593"/>
      <c r="E123" s="593"/>
      <c r="F123" s="593"/>
      <c r="G123" s="593"/>
      <c r="H123" s="593"/>
      <c r="I123" s="594"/>
      <c r="J123" s="554"/>
      <c r="K123" s="204"/>
      <c r="L123" s="26"/>
      <c r="M123" s="26"/>
      <c r="N123" s="26"/>
      <c r="O123" s="28"/>
    </row>
    <row r="124" spans="1:15" ht="15" customHeight="1" x14ac:dyDescent="0.2">
      <c r="A124" s="31"/>
      <c r="B124" s="405"/>
      <c r="C124" s="601" t="s">
        <v>615</v>
      </c>
      <c r="D124" s="593"/>
      <c r="E124" s="593"/>
      <c r="F124" s="593"/>
      <c r="G124" s="593"/>
      <c r="H124" s="593"/>
      <c r="I124" s="594"/>
      <c r="J124" s="554"/>
      <c r="K124" s="204"/>
      <c r="L124" s="26"/>
      <c r="M124" s="26"/>
      <c r="N124" s="26"/>
      <c r="O124" s="28"/>
    </row>
    <row r="125" spans="1:15" ht="15" customHeight="1" x14ac:dyDescent="0.2">
      <c r="A125" s="31"/>
      <c r="B125" s="405"/>
      <c r="C125" s="597" t="s">
        <v>430</v>
      </c>
      <c r="D125" s="593"/>
      <c r="E125" s="593"/>
      <c r="F125" s="593"/>
      <c r="G125" s="593"/>
      <c r="H125" s="593"/>
      <c r="I125" s="594"/>
      <c r="J125" s="554"/>
      <c r="K125" s="204"/>
      <c r="L125" s="26"/>
      <c r="M125" s="26"/>
      <c r="N125" s="26"/>
      <c r="O125" s="28"/>
    </row>
    <row r="126" spans="1:15" ht="15" customHeight="1" x14ac:dyDescent="0.2">
      <c r="A126" s="31"/>
      <c r="B126" s="405"/>
      <c r="C126" s="597" t="s">
        <v>427</v>
      </c>
      <c r="D126" s="593"/>
      <c r="E126" s="593"/>
      <c r="F126" s="593"/>
      <c r="G126" s="593"/>
      <c r="H126" s="593"/>
      <c r="I126" s="594"/>
      <c r="J126" s="595" t="str">
        <f>IF(AND(ISNUMBER(J127),ISNUMBER(J128),ISNUMBER(J129),ISNUMBER(J130)),SUM(J127:J130),"")</f>
        <v/>
      </c>
      <c r="K126" s="204"/>
      <c r="L126" s="26"/>
      <c r="M126" s="26"/>
      <c r="N126" s="26"/>
      <c r="O126" s="28"/>
    </row>
    <row r="127" spans="1:15" ht="15" customHeight="1" x14ac:dyDescent="0.2">
      <c r="A127" s="31"/>
      <c r="B127" s="405"/>
      <c r="C127" s="598" t="s">
        <v>273</v>
      </c>
      <c r="D127" s="593"/>
      <c r="E127" s="593"/>
      <c r="F127" s="593"/>
      <c r="G127" s="593"/>
      <c r="H127" s="593"/>
      <c r="I127" s="594"/>
      <c r="J127" s="554"/>
      <c r="K127" s="204"/>
      <c r="L127" s="26"/>
      <c r="M127" s="26"/>
      <c r="N127" s="26"/>
      <c r="O127" s="28"/>
    </row>
    <row r="128" spans="1:15" ht="15" customHeight="1" x14ac:dyDescent="0.2">
      <c r="A128" s="31"/>
      <c r="B128" s="405"/>
      <c r="C128" s="598" t="s">
        <v>272</v>
      </c>
      <c r="D128" s="593"/>
      <c r="E128" s="593"/>
      <c r="F128" s="593"/>
      <c r="G128" s="593"/>
      <c r="H128" s="593"/>
      <c r="I128" s="594"/>
      <c r="J128" s="554"/>
      <c r="K128" s="204"/>
      <c r="L128" s="26"/>
      <c r="M128" s="26"/>
      <c r="N128" s="26"/>
      <c r="O128" s="28"/>
    </row>
    <row r="129" spans="1:15" ht="15" customHeight="1" x14ac:dyDescent="0.2">
      <c r="A129" s="31"/>
      <c r="B129" s="405"/>
      <c r="C129" s="598" t="s">
        <v>429</v>
      </c>
      <c r="D129" s="593"/>
      <c r="E129" s="593"/>
      <c r="F129" s="593"/>
      <c r="G129" s="593"/>
      <c r="H129" s="593"/>
      <c r="I129" s="594"/>
      <c r="J129" s="554"/>
      <c r="K129" s="204"/>
      <c r="L129" s="26"/>
      <c r="M129" s="26"/>
      <c r="N129" s="26"/>
      <c r="O129" s="28"/>
    </row>
    <row r="130" spans="1:15" ht="15" customHeight="1" x14ac:dyDescent="0.2">
      <c r="A130" s="31"/>
      <c r="B130" s="405"/>
      <c r="C130" s="598" t="s">
        <v>267</v>
      </c>
      <c r="D130" s="593"/>
      <c r="E130" s="593"/>
      <c r="F130" s="593"/>
      <c r="G130" s="593"/>
      <c r="H130" s="593"/>
      <c r="I130" s="594"/>
      <c r="J130" s="554"/>
      <c r="K130" s="204"/>
      <c r="L130" s="26"/>
      <c r="M130" s="26"/>
      <c r="N130" s="26"/>
      <c r="O130" s="28"/>
    </row>
    <row r="131" spans="1:15" ht="15" customHeight="1" x14ac:dyDescent="0.2">
      <c r="A131" s="31"/>
      <c r="B131" s="405"/>
      <c r="C131" s="597" t="s">
        <v>424</v>
      </c>
      <c r="D131" s="593"/>
      <c r="E131" s="593"/>
      <c r="F131" s="593"/>
      <c r="G131" s="593"/>
      <c r="H131" s="593"/>
      <c r="I131" s="594"/>
      <c r="J131" s="595" t="str">
        <f>IF(AND(ISNUMBER(J132),ISNUMBER(J133)),SUM(J132:J133),"")</f>
        <v/>
      </c>
      <c r="K131" s="204"/>
      <c r="L131" s="26"/>
      <c r="M131" s="26"/>
      <c r="N131" s="26"/>
      <c r="O131" s="28"/>
    </row>
    <row r="132" spans="1:15" ht="15" customHeight="1" x14ac:dyDescent="0.2">
      <c r="A132" s="31"/>
      <c r="B132" s="405"/>
      <c r="C132" s="598" t="s">
        <v>428</v>
      </c>
      <c r="D132" s="593"/>
      <c r="E132" s="593"/>
      <c r="F132" s="593"/>
      <c r="G132" s="593"/>
      <c r="H132" s="593"/>
      <c r="I132" s="594"/>
      <c r="J132" s="554"/>
      <c r="K132" s="204"/>
      <c r="L132" s="26"/>
      <c r="M132" s="26"/>
      <c r="N132" s="26"/>
      <c r="O132" s="28"/>
    </row>
    <row r="133" spans="1:15" ht="15" customHeight="1" x14ac:dyDescent="0.2">
      <c r="A133" s="31"/>
      <c r="B133" s="405"/>
      <c r="C133" s="598" t="s">
        <v>94</v>
      </c>
      <c r="D133" s="593"/>
      <c r="E133" s="593"/>
      <c r="F133" s="593"/>
      <c r="G133" s="593"/>
      <c r="H133" s="593"/>
      <c r="I133" s="594"/>
      <c r="J133" s="595" t="str">
        <f>IF(AND(ISNUMBER(J134),ISNUMBER(J135),ISNUMBER(J136)),SUM(J134:J136),"")</f>
        <v/>
      </c>
      <c r="K133" s="204"/>
      <c r="L133" s="26"/>
      <c r="M133" s="26"/>
      <c r="N133" s="26"/>
      <c r="O133" s="28"/>
    </row>
    <row r="134" spans="1:15" ht="15" customHeight="1" x14ac:dyDescent="0.2">
      <c r="A134" s="31"/>
      <c r="B134" s="405"/>
      <c r="C134" s="599" t="s">
        <v>272</v>
      </c>
      <c r="D134" s="593"/>
      <c r="E134" s="593"/>
      <c r="F134" s="593"/>
      <c r="G134" s="593"/>
      <c r="H134" s="593"/>
      <c r="I134" s="594"/>
      <c r="J134" s="554"/>
      <c r="K134" s="204"/>
      <c r="L134" s="26"/>
      <c r="M134" s="26"/>
      <c r="N134" s="26"/>
      <c r="O134" s="28"/>
    </row>
    <row r="135" spans="1:15" ht="15" customHeight="1" x14ac:dyDescent="0.2">
      <c r="A135" s="31"/>
      <c r="B135" s="405"/>
      <c r="C135" s="599" t="s">
        <v>274</v>
      </c>
      <c r="D135" s="593"/>
      <c r="E135" s="593"/>
      <c r="F135" s="593"/>
      <c r="G135" s="593"/>
      <c r="H135" s="593"/>
      <c r="I135" s="594"/>
      <c r="J135" s="554"/>
      <c r="K135" s="204"/>
      <c r="L135" s="26"/>
      <c r="M135" s="26"/>
      <c r="N135" s="26"/>
      <c r="O135" s="28"/>
    </row>
    <row r="136" spans="1:15" ht="15" customHeight="1" x14ac:dyDescent="0.2">
      <c r="A136" s="31"/>
      <c r="B136" s="405"/>
      <c r="C136" s="599" t="s">
        <v>275</v>
      </c>
      <c r="D136" s="593"/>
      <c r="E136" s="593"/>
      <c r="F136" s="593"/>
      <c r="G136" s="593"/>
      <c r="H136" s="593"/>
      <c r="I136" s="594"/>
      <c r="J136" s="554"/>
      <c r="K136" s="204"/>
      <c r="L136" s="26"/>
      <c r="M136" s="26"/>
      <c r="N136" s="26"/>
      <c r="O136" s="28"/>
    </row>
    <row r="137" spans="1:15" ht="15" customHeight="1" x14ac:dyDescent="0.2">
      <c r="A137" s="31"/>
      <c r="B137" s="405"/>
      <c r="C137" s="602" t="s">
        <v>96</v>
      </c>
      <c r="D137" s="593"/>
      <c r="E137" s="593"/>
      <c r="F137" s="593"/>
      <c r="G137" s="593"/>
      <c r="H137" s="593"/>
      <c r="I137" s="594"/>
      <c r="J137" s="554"/>
      <c r="K137" s="204"/>
      <c r="L137" s="26"/>
      <c r="M137" s="26"/>
      <c r="N137" s="26"/>
      <c r="O137" s="28"/>
    </row>
    <row r="138" spans="1:15" ht="15" customHeight="1" x14ac:dyDescent="0.2">
      <c r="A138" s="31"/>
      <c r="B138" s="405"/>
      <c r="C138" s="601" t="s">
        <v>97</v>
      </c>
      <c r="D138" s="593"/>
      <c r="E138" s="593"/>
      <c r="F138" s="593"/>
      <c r="G138" s="593"/>
      <c r="H138" s="593"/>
      <c r="I138" s="594"/>
      <c r="J138" s="554"/>
      <c r="K138" s="204"/>
      <c r="L138" s="26"/>
      <c r="M138" s="26"/>
      <c r="N138" s="26"/>
      <c r="O138" s="28"/>
    </row>
    <row r="139" spans="1:15" ht="15" customHeight="1" x14ac:dyDescent="0.2">
      <c r="A139" s="31"/>
      <c r="B139" s="405"/>
      <c r="C139" s="603" t="s">
        <v>1049</v>
      </c>
      <c r="D139" s="593"/>
      <c r="E139" s="593"/>
      <c r="F139" s="593"/>
      <c r="G139" s="593"/>
      <c r="H139" s="593"/>
      <c r="I139" s="594"/>
      <c r="J139" s="1155" t="str">
        <f>IF(J138&lt;=J137,"Yes","No")</f>
        <v>Yes</v>
      </c>
      <c r="K139" s="204"/>
      <c r="L139" s="26"/>
      <c r="M139" s="26"/>
      <c r="N139" s="26"/>
      <c r="O139" s="28"/>
    </row>
    <row r="140" spans="1:15" s="202" customFormat="1" ht="15" customHeight="1" x14ac:dyDescent="0.2">
      <c r="A140" s="206"/>
      <c r="B140" s="405"/>
      <c r="C140" s="604" t="s">
        <v>1032</v>
      </c>
      <c r="D140" s="593"/>
      <c r="E140" s="593"/>
      <c r="F140" s="593"/>
      <c r="G140" s="593"/>
      <c r="H140" s="593"/>
      <c r="I140" s="594"/>
      <c r="J140" s="554"/>
      <c r="K140" s="204"/>
      <c r="L140" s="204"/>
      <c r="M140" s="204"/>
      <c r="N140" s="204"/>
      <c r="O140" s="205"/>
    </row>
    <row r="141" spans="1:15" ht="15" customHeight="1" x14ac:dyDescent="0.2">
      <c r="A141" s="31"/>
      <c r="B141" s="410"/>
      <c r="C141" s="605" t="str">
        <f>CONCATENATE("Check: total value in cell ", ADDRESS(ROW(J110), COLUMN(J110), 4), " should equal total exposures in panels A, B and E")</f>
        <v>Check: total value in cell J110 should equal total exposures in panels A, B and E</v>
      </c>
      <c r="D141" s="606"/>
      <c r="E141" s="606"/>
      <c r="F141" s="606"/>
      <c r="G141" s="606"/>
      <c r="H141" s="606"/>
      <c r="I141" s="607"/>
      <c r="J141" s="1185" t="str">
        <f>IF(AND(ISNUMBER(J110),SUM(L8,L15,M15,K18,K38,(0.1*L45),(0.2*L48),(0.5*L49),L50,L90)&lt;&gt;J110),"No","Yes")</f>
        <v>Yes</v>
      </c>
      <c r="K141" s="204"/>
      <c r="L141" s="26"/>
      <c r="M141" s="26"/>
      <c r="N141" s="26"/>
      <c r="O141" s="28"/>
    </row>
    <row r="142" spans="1:15" s="182" customFormat="1" ht="15" customHeight="1" x14ac:dyDescent="0.2">
      <c r="A142" s="211"/>
      <c r="B142" s="204"/>
      <c r="C142" s="204"/>
      <c r="D142" s="204"/>
      <c r="E142" s="204"/>
      <c r="F142" s="204"/>
      <c r="G142" s="204"/>
      <c r="H142" s="204"/>
      <c r="I142" s="204"/>
      <c r="J142" s="204"/>
      <c r="K142" s="204"/>
      <c r="L142" s="204"/>
      <c r="M142" s="204"/>
      <c r="N142" s="204"/>
      <c r="O142" s="1171"/>
    </row>
    <row r="143" spans="1:15" ht="15" customHeight="1" x14ac:dyDescent="0.2">
      <c r="A143" s="31"/>
      <c r="B143" s="423"/>
      <c r="C143" s="590" t="s">
        <v>278</v>
      </c>
      <c r="D143" s="203"/>
      <c r="E143" s="203"/>
      <c r="F143" s="203"/>
      <c r="G143" s="203"/>
      <c r="H143" s="203"/>
      <c r="I143" s="589"/>
      <c r="J143" s="588"/>
      <c r="K143" s="204"/>
      <c r="L143" s="26"/>
      <c r="M143" s="26"/>
      <c r="N143" s="26"/>
      <c r="O143" s="28"/>
    </row>
    <row r="144" spans="1:15" ht="15" customHeight="1" x14ac:dyDescent="0.2">
      <c r="A144" s="53"/>
      <c r="B144" s="29"/>
      <c r="C144" s="29"/>
      <c r="D144" s="29"/>
      <c r="E144" s="29"/>
      <c r="F144" s="29"/>
      <c r="G144" s="29"/>
      <c r="H144" s="29"/>
      <c r="I144" s="29"/>
      <c r="J144" s="29"/>
      <c r="K144" s="29"/>
      <c r="L144" s="29"/>
      <c r="M144" s="29"/>
      <c r="N144" s="29"/>
      <c r="O144" s="30"/>
    </row>
    <row r="145" spans="1:15" s="62" customFormat="1" ht="30" customHeight="1" x14ac:dyDescent="0.25">
      <c r="A145" s="1478" t="s">
        <v>1524</v>
      </c>
      <c r="B145" s="52"/>
      <c r="C145" s="92"/>
      <c r="D145" s="92"/>
      <c r="E145" s="92"/>
      <c r="F145" s="92"/>
      <c r="G145" s="92"/>
      <c r="H145" s="92"/>
      <c r="I145" s="92"/>
      <c r="J145" s="92"/>
      <c r="K145" s="92"/>
      <c r="L145" s="92"/>
      <c r="M145" s="92"/>
      <c r="N145" s="92"/>
      <c r="O145" s="61"/>
    </row>
    <row r="146" spans="1:15" ht="15" customHeight="1" x14ac:dyDescent="0.2">
      <c r="A146" s="1076"/>
      <c r="B146" s="1074"/>
      <c r="C146" s="1074"/>
      <c r="D146" s="1074"/>
      <c r="E146" s="1074"/>
      <c r="F146" s="1074"/>
      <c r="G146" s="1074"/>
      <c r="H146" s="1074"/>
      <c r="I146" s="1074"/>
      <c r="J146" s="1074"/>
      <c r="K146" s="1074"/>
      <c r="L146" s="1074"/>
      <c r="M146" s="1074"/>
      <c r="N146" s="1074"/>
      <c r="O146" s="1075"/>
    </row>
    <row r="147" spans="1:15" s="1168" customFormat="1" ht="15" customHeight="1" x14ac:dyDescent="0.2">
      <c r="A147" s="1144"/>
      <c r="B147" s="1170"/>
      <c r="C147" s="1170"/>
      <c r="D147" s="1170"/>
      <c r="E147" s="1170"/>
      <c r="F147" s="1170"/>
      <c r="G147" s="1170"/>
      <c r="H147" s="1170"/>
      <c r="I147" s="1613"/>
      <c r="J147" s="1648" t="s">
        <v>88</v>
      </c>
      <c r="K147" s="1649"/>
      <c r="L147" s="1169"/>
      <c r="M147" s="1169"/>
      <c r="N147" s="1169"/>
      <c r="O147" s="1143"/>
    </row>
    <row r="148" spans="1:15" s="1168" customFormat="1" ht="15" customHeight="1" x14ac:dyDescent="0.2">
      <c r="A148" s="1144"/>
      <c r="B148" s="1170"/>
      <c r="C148" s="1170"/>
      <c r="D148" s="1170"/>
      <c r="E148" s="1170"/>
      <c r="F148" s="1170"/>
      <c r="G148" s="1170"/>
      <c r="H148" s="1170"/>
      <c r="I148" s="1613"/>
      <c r="J148" s="1611" t="s">
        <v>412</v>
      </c>
      <c r="K148" s="73"/>
      <c r="L148" s="1170"/>
      <c r="M148" s="1170"/>
      <c r="N148" s="1170"/>
      <c r="O148" s="1143"/>
    </row>
    <row r="149" spans="1:15" ht="15" customHeight="1" x14ac:dyDescent="0.2">
      <c r="A149" s="1076"/>
      <c r="B149" s="421"/>
      <c r="C149" s="1056" t="s">
        <v>1519</v>
      </c>
      <c r="D149" s="1056"/>
      <c r="E149" s="1056"/>
      <c r="F149" s="1056"/>
      <c r="G149" s="1056"/>
      <c r="H149" s="1056"/>
      <c r="I149" s="1056"/>
      <c r="J149" s="1411"/>
      <c r="K149" s="1074"/>
      <c r="L149" s="1074"/>
      <c r="M149" s="1074"/>
      <c r="N149" s="1074"/>
      <c r="O149" s="1075"/>
    </row>
    <row r="150" spans="1:15" ht="15" customHeight="1" x14ac:dyDescent="0.2">
      <c r="A150" s="1076"/>
      <c r="B150" s="410"/>
      <c r="C150" s="605" t="s">
        <v>1520</v>
      </c>
      <c r="D150" s="1058"/>
      <c r="E150" s="1058"/>
      <c r="F150" s="1058"/>
      <c r="G150" s="1058"/>
      <c r="H150" s="1058"/>
      <c r="I150" s="1058"/>
      <c r="J150" s="1585" t="str">
        <f>IF(L39&gt;=J149,"Yes","No")</f>
        <v>Yes</v>
      </c>
      <c r="K150" s="1074"/>
      <c r="L150" s="1074"/>
      <c r="M150" s="1074"/>
      <c r="N150" s="1074"/>
      <c r="O150" s="1075"/>
    </row>
    <row r="151" spans="1:15" ht="15" customHeight="1" x14ac:dyDescent="0.2">
      <c r="A151" s="214"/>
      <c r="B151" s="1070"/>
      <c r="C151" s="1070"/>
      <c r="D151" s="1070"/>
      <c r="E151" s="1070"/>
      <c r="F151" s="1070"/>
      <c r="G151" s="1070"/>
      <c r="H151" s="1070"/>
      <c r="I151" s="1070"/>
      <c r="J151" s="1070"/>
      <c r="K151" s="1070"/>
      <c r="L151" s="1070"/>
      <c r="M151" s="1070"/>
      <c r="N151" s="1070"/>
      <c r="O151" s="1071"/>
    </row>
  </sheetData>
  <dataConsolidate/>
  <mergeCells count="29">
    <mergeCell ref="J147:K147"/>
    <mergeCell ref="B98:B99"/>
    <mergeCell ref="C98:C99"/>
    <mergeCell ref="B108:I109"/>
    <mergeCell ref="J72:K72"/>
    <mergeCell ref="D72:E72"/>
    <mergeCell ref="D98:E98"/>
    <mergeCell ref="J98:K98"/>
    <mergeCell ref="B72:B73"/>
    <mergeCell ref="C72:C73"/>
    <mergeCell ref="D85:F85"/>
    <mergeCell ref="J85:L85"/>
    <mergeCell ref="B85:B86"/>
    <mergeCell ref="C85:C86"/>
    <mergeCell ref="C121:I121"/>
    <mergeCell ref="B6:B7"/>
    <mergeCell ref="C6:C7"/>
    <mergeCell ref="C35:C36"/>
    <mergeCell ref="B35:B36"/>
    <mergeCell ref="B57:B58"/>
    <mergeCell ref="C57:C58"/>
    <mergeCell ref="D57:E57"/>
    <mergeCell ref="J57:K57"/>
    <mergeCell ref="J108:K108"/>
    <mergeCell ref="J6:N6"/>
    <mergeCell ref="D6:H6"/>
    <mergeCell ref="C53:E53"/>
    <mergeCell ref="D35:G35"/>
    <mergeCell ref="J35:M35"/>
  </mergeCells>
  <phoneticPr fontId="8" type="noConversion"/>
  <conditionalFormatting sqref="F9 D10:E12 F13:F14 D16:F16 D17:G17 D19 E19 E21:E26 E39 D40:F50 D60:E68 D74 D88 D89:F89 L9 J10:K12 L13:L14 J16:L16 J17:M17 J19 K19 K21:K26 K39 J40:L50 J60:K68 J74 J88 J89:L89 J112:J113 J115:J116 J119:J121 J123:J125 J127:J130 J132 J134:J138 J143">
    <cfRule type="cellIs" dxfId="1339" priority="4" stopIfTrue="1" operator="lessThan">
      <formula>0</formula>
    </cfRule>
  </conditionalFormatting>
  <conditionalFormatting sqref="H10:H12 N10:N12 H16:H17 N16:N17 H19 N19 E31 K31 G40:G42 M40:M42 F53 L53 D75 D81 J75 J81 D92:D94 E94:F94 J92:J94 K94:L94 E101 K101 J122 J139 J141">
    <cfRule type="cellIs" dxfId="1338" priority="25" stopIfTrue="1" operator="equal">
      <formula>"No"</formula>
    </cfRule>
    <cfRule type="cellIs" dxfId="1337" priority="520" stopIfTrue="1" operator="equal">
      <formula>"Yes"</formula>
    </cfRule>
  </conditionalFormatting>
  <conditionalFormatting sqref="F29:G29 L29:M29 J140">
    <cfRule type="cellIs" dxfId="1336" priority="20" stopIfTrue="1" operator="lessThan">
      <formula>0</formula>
    </cfRule>
  </conditionalFormatting>
  <conditionalFormatting sqref="J149">
    <cfRule type="cellIs" dxfId="1335" priority="3" stopIfTrue="1" operator="lessThan">
      <formula>0</formula>
    </cfRule>
  </conditionalFormatting>
  <conditionalFormatting sqref="J150">
    <cfRule type="cellIs" dxfId="1334" priority="1" stopIfTrue="1" operator="equal">
      <formula>"No"</formula>
    </cfRule>
    <cfRule type="cellIs" dxfId="1333" priority="2" stopIfTrue="1" operator="equal">
      <formula>"Yes"</formula>
    </cfRule>
  </conditionalFormatting>
  <printOptions headings="1"/>
  <pageMargins left="0.44" right="0.32" top="0.98425196850393704" bottom="0.98425196850393704" header="0.51181102362204722" footer="0.51181102362204722"/>
  <pageSetup paperSize="9" scale="50" fitToHeight="10" pageOrder="overThenDown" orientation="landscape" r:id="rId1"/>
  <headerFooter alignWithMargins="0">
    <oddHeader>&amp;L&amp;"Arial,Bold"&amp;14Basel Committee on Banking Supervision
Basel III monitoring template&amp;C&amp;14&amp;F
&amp;A&amp;R&amp;"Arial,Bold"&amp;14Confidential when completed</oddHeader>
    <oddFooter>&amp;L&amp;14&amp;D  &amp;T&amp;R&amp;14Page &amp;P of &amp;N</oddFooter>
  </headerFooter>
  <rowBreaks count="3" manualBreakCount="3">
    <brk id="32" max="14" man="1"/>
    <brk id="69" max="14" man="1"/>
    <brk id="105" max="14" man="1"/>
  </rowBreaks>
  <ignoredErrors>
    <ignoredError sqref="B8:N9 J110:J134 B27:N28 B22:D26 F22:N26 B76:N80 B74:J74 K74:N74 B20:G20 I20:N21 B19:C19 B18:G18 I18:N18 B11:N16 B10:C10 F10:N10 J136 J139 B32:N34 B31 D31:N31 B54:N73 B53 D53:N53 B75 D75:N75 B82:N84 B81 D81:N81 B95:N97 B92 D92:N92 B93 D93:N93 B94 D94:N94 B36:N52 C35:N35 B86:N86 C85:N85 B99:N101 C98:N98 B88:N91 C87:N87 J141 B30:N30 B29:E29 H29:N29 E19:N19 B21:D21 F21:G21 H17:N17 B103:N103 C102:N102" emptyCellReferenc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indexed="43"/>
  </sheetPr>
  <dimension ref="A1:S444"/>
  <sheetViews>
    <sheetView zoomScale="75" zoomScaleNormal="75" zoomScaleSheetLayoutView="75" workbookViewId="0"/>
  </sheetViews>
  <sheetFormatPr defaultColWidth="9.140625" defaultRowHeight="12.75" x14ac:dyDescent="0.2"/>
  <cols>
    <col min="1" max="1" width="1.7109375" style="8" customWidth="1"/>
    <col min="2" max="2" width="100.7109375" style="8" customWidth="1"/>
    <col min="3" max="3" width="20.7109375" style="8" customWidth="1"/>
    <col min="4" max="10" width="16.7109375" style="8" customWidth="1"/>
    <col min="11" max="11" width="1.7109375" style="8" customWidth="1"/>
    <col min="12" max="16384" width="9.140625" style="8"/>
  </cols>
  <sheetData>
    <row r="1" spans="1:19" s="114" customFormat="1" ht="30" customHeight="1" x14ac:dyDescent="0.4">
      <c r="A1" s="162" t="s">
        <v>565</v>
      </c>
      <c r="B1" s="113"/>
      <c r="C1" s="113"/>
      <c r="D1" s="113"/>
      <c r="E1" s="113"/>
      <c r="F1" s="113"/>
      <c r="G1" s="113"/>
      <c r="H1" s="113"/>
      <c r="I1" s="120"/>
      <c r="J1" s="120"/>
      <c r="K1" s="10"/>
    </row>
    <row r="2" spans="1:19" s="117" customFormat="1" ht="30" customHeight="1" x14ac:dyDescent="0.25">
      <c r="A2" s="1479" t="s">
        <v>812</v>
      </c>
      <c r="B2" s="115"/>
      <c r="C2" s="115"/>
      <c r="D2" s="115"/>
      <c r="E2" s="115"/>
      <c r="F2" s="115"/>
      <c r="G2" s="115"/>
      <c r="H2" s="115"/>
      <c r="I2" s="152"/>
      <c r="J2" s="152"/>
      <c r="K2" s="116"/>
    </row>
    <row r="3" spans="1:19" s="114" customFormat="1" ht="30" customHeight="1" x14ac:dyDescent="0.25">
      <c r="A3" s="49" t="s">
        <v>58</v>
      </c>
      <c r="B3" s="49"/>
      <c r="C3" s="118"/>
      <c r="D3" s="118"/>
      <c r="E3" s="119"/>
      <c r="F3" s="120"/>
      <c r="G3" s="120"/>
      <c r="H3" s="120"/>
      <c r="I3" s="120"/>
      <c r="J3" s="120"/>
      <c r="K3" s="10"/>
      <c r="L3" s="120"/>
      <c r="M3" s="120"/>
      <c r="N3" s="120"/>
      <c r="O3" s="120"/>
      <c r="P3" s="120"/>
      <c r="Q3" s="120"/>
      <c r="R3" s="120"/>
      <c r="S3" s="120"/>
    </row>
    <row r="4" spans="1:19" ht="15" customHeight="1" x14ac:dyDescent="0.2">
      <c r="A4" s="121"/>
      <c r="B4" s="122"/>
      <c r="C4" s="123"/>
      <c r="D4" s="124"/>
      <c r="E4" s="125"/>
      <c r="F4" s="125"/>
      <c r="G4" s="125"/>
      <c r="H4" s="125"/>
      <c r="I4" s="120"/>
      <c r="J4" s="120"/>
      <c r="K4" s="10"/>
    </row>
    <row r="5" spans="1:19" ht="30" customHeight="1" x14ac:dyDescent="0.2">
      <c r="A5" s="126"/>
      <c r="B5" s="627"/>
      <c r="C5" s="628" t="s">
        <v>813</v>
      </c>
      <c r="D5" s="628" t="s">
        <v>285</v>
      </c>
      <c r="E5" s="629"/>
      <c r="F5" s="629"/>
      <c r="G5" s="628" t="s">
        <v>566</v>
      </c>
      <c r="H5" s="630" t="s">
        <v>567</v>
      </c>
      <c r="I5" s="120"/>
      <c r="J5" s="120"/>
      <c r="K5" s="10"/>
    </row>
    <row r="6" spans="1:19" ht="15" customHeight="1" x14ac:dyDescent="0.2">
      <c r="A6" s="127"/>
      <c r="B6" s="638" t="s">
        <v>646</v>
      </c>
      <c r="C6" s="608" t="s">
        <v>675</v>
      </c>
      <c r="D6" s="609"/>
      <c r="E6" s="610"/>
      <c r="F6" s="610"/>
      <c r="G6" s="611">
        <v>1</v>
      </c>
      <c r="H6" s="612" t="str">
        <f>IF(AND(ISNUMBER(D6),ISNUMBER(G6)),D6*G6,"")</f>
        <v/>
      </c>
      <c r="I6" s="120"/>
      <c r="J6" s="120"/>
      <c r="K6" s="10"/>
    </row>
    <row r="7" spans="1:19" ht="15" customHeight="1" x14ac:dyDescent="0.2">
      <c r="A7" s="127"/>
      <c r="B7" s="639" t="s">
        <v>647</v>
      </c>
      <c r="C7" s="613"/>
      <c r="D7" s="614"/>
      <c r="E7" s="613"/>
      <c r="F7" s="613"/>
      <c r="G7" s="613"/>
      <c r="H7" s="615"/>
      <c r="I7" s="120"/>
      <c r="J7" s="120"/>
      <c r="K7" s="10"/>
    </row>
    <row r="8" spans="1:19" ht="15" customHeight="1" x14ac:dyDescent="0.2">
      <c r="A8" s="127"/>
      <c r="B8" s="640" t="s">
        <v>568</v>
      </c>
      <c r="C8" s="616" t="s">
        <v>814</v>
      </c>
      <c r="D8" s="614"/>
      <c r="E8" s="613"/>
      <c r="F8" s="613"/>
      <c r="G8" s="617">
        <v>1</v>
      </c>
      <c r="H8" s="618" t="str">
        <f>IF(AND(ISNUMBER(D8),ISNUMBER(G8)),D8*G8,"")</f>
        <v/>
      </c>
      <c r="I8" s="120"/>
      <c r="J8" s="120"/>
      <c r="K8" s="10"/>
    </row>
    <row r="9" spans="1:19" ht="15" customHeight="1" x14ac:dyDescent="0.2">
      <c r="A9" s="127"/>
      <c r="B9" s="703" t="str">
        <f>CONCATENATE("Check: row ", ROW(B8)," ≤ row ",ROW(B7))</f>
        <v>Check: row 8 ≤ row 7</v>
      </c>
      <c r="C9" s="613"/>
      <c r="D9" s="619" t="str">
        <f>IF(D8&lt;=D7,"Pass","Fail")</f>
        <v>Pass</v>
      </c>
      <c r="E9" s="613"/>
      <c r="F9" s="613"/>
      <c r="G9" s="613"/>
      <c r="H9" s="615"/>
      <c r="I9" s="120"/>
      <c r="J9" s="120"/>
      <c r="K9" s="10"/>
    </row>
    <row r="10" spans="1:19" ht="15" customHeight="1" x14ac:dyDescent="0.2">
      <c r="A10" s="127"/>
      <c r="B10" s="639" t="s">
        <v>438</v>
      </c>
      <c r="C10" s="616" t="s">
        <v>676</v>
      </c>
      <c r="D10" s="620"/>
      <c r="E10" s="613"/>
      <c r="F10" s="613"/>
      <c r="G10" s="613"/>
      <c r="H10" s="615"/>
      <c r="I10" s="120"/>
      <c r="J10" s="120"/>
      <c r="K10" s="10"/>
    </row>
    <row r="11" spans="1:19" ht="15" customHeight="1" x14ac:dyDescent="0.2">
      <c r="A11" s="127"/>
      <c r="B11" s="640" t="s">
        <v>521</v>
      </c>
      <c r="C11" s="616" t="s">
        <v>676</v>
      </c>
      <c r="D11" s="614"/>
      <c r="E11" s="613"/>
      <c r="F11" s="613"/>
      <c r="G11" s="617">
        <f>Parameters!F12</f>
        <v>1</v>
      </c>
      <c r="H11" s="618" t="str">
        <f>IF(AND(ISNUMBER(D11),ISNUMBER(G11)),D11*G11,"")</f>
        <v/>
      </c>
      <c r="I11" s="120"/>
      <c r="J11" s="120"/>
      <c r="K11" s="10"/>
    </row>
    <row r="12" spans="1:19" ht="15" customHeight="1" x14ac:dyDescent="0.2">
      <c r="A12" s="127"/>
      <c r="B12" s="640" t="s">
        <v>522</v>
      </c>
      <c r="C12" s="616" t="s">
        <v>676</v>
      </c>
      <c r="D12" s="614"/>
      <c r="E12" s="613"/>
      <c r="F12" s="613"/>
      <c r="G12" s="617">
        <f>Parameters!F13</f>
        <v>1</v>
      </c>
      <c r="H12" s="618" t="str">
        <f>IF(AND(ISNUMBER(D12),ISNUMBER(G12)),D12*G12,"")</f>
        <v/>
      </c>
      <c r="I12" s="120"/>
      <c r="J12" s="120"/>
      <c r="K12" s="10"/>
    </row>
    <row r="13" spans="1:19" ht="15" customHeight="1" x14ac:dyDescent="0.2">
      <c r="A13" s="127"/>
      <c r="B13" s="640" t="s">
        <v>523</v>
      </c>
      <c r="C13" s="616" t="s">
        <v>676</v>
      </c>
      <c r="D13" s="614"/>
      <c r="E13" s="613"/>
      <c r="F13" s="613"/>
      <c r="G13" s="617">
        <f>Parameters!F14</f>
        <v>1</v>
      </c>
      <c r="H13" s="618" t="str">
        <f>IF(AND(ISNUMBER(D13),ISNUMBER(G13)),D13*G13,"")</f>
        <v/>
      </c>
      <c r="I13" s="120"/>
      <c r="J13" s="120"/>
      <c r="K13" s="10"/>
    </row>
    <row r="14" spans="1:19" ht="15" customHeight="1" x14ac:dyDescent="0.2">
      <c r="A14" s="127"/>
      <c r="B14" s="640" t="s">
        <v>815</v>
      </c>
      <c r="C14" s="616" t="s">
        <v>676</v>
      </c>
      <c r="D14" s="614"/>
      <c r="E14" s="613"/>
      <c r="F14" s="613"/>
      <c r="G14" s="617">
        <f>Parameters!F15</f>
        <v>1</v>
      </c>
      <c r="H14" s="618" t="str">
        <f>IF(AND(ISNUMBER(D14),ISNUMBER(G14)),D14*G14,"")</f>
        <v/>
      </c>
      <c r="I14" s="120"/>
      <c r="J14" s="120"/>
      <c r="K14" s="10"/>
    </row>
    <row r="15" spans="1:19" ht="15" customHeight="1" x14ac:dyDescent="0.2">
      <c r="A15" s="127"/>
      <c r="B15" s="640" t="s">
        <v>648</v>
      </c>
      <c r="C15" s="616" t="s">
        <v>676</v>
      </c>
      <c r="D15" s="614"/>
      <c r="E15" s="613"/>
      <c r="F15" s="613"/>
      <c r="G15" s="617">
        <f>Parameters!F16</f>
        <v>1</v>
      </c>
      <c r="H15" s="618" t="str">
        <f>IF(AND(ISNUMBER(D15),ISNUMBER(G15)),D15*G15,"")</f>
        <v/>
      </c>
      <c r="I15" s="120"/>
      <c r="J15" s="120"/>
      <c r="K15" s="10"/>
    </row>
    <row r="16" spans="1:19" ht="15" customHeight="1" x14ac:dyDescent="0.2">
      <c r="A16" s="127"/>
      <c r="B16" s="641" t="s">
        <v>569</v>
      </c>
      <c r="C16" s="613"/>
      <c r="D16" s="613"/>
      <c r="E16" s="613"/>
      <c r="F16" s="613"/>
      <c r="G16" s="613"/>
      <c r="H16" s="615"/>
      <c r="I16" s="120"/>
      <c r="J16" s="120"/>
      <c r="K16" s="10"/>
    </row>
    <row r="17" spans="1:19" ht="30" customHeight="1" x14ac:dyDescent="0.2">
      <c r="A17" s="127"/>
      <c r="B17" s="640" t="s">
        <v>570</v>
      </c>
      <c r="C17" s="616" t="s">
        <v>677</v>
      </c>
      <c r="D17" s="614"/>
      <c r="E17" s="613"/>
      <c r="F17" s="613"/>
      <c r="G17" s="617">
        <f>Parameters!F18</f>
        <v>1</v>
      </c>
      <c r="H17" s="618" t="str">
        <f>IF(AND(ISNUMBER(D17),ISNUMBER(G17)),D17*G17,"")</f>
        <v/>
      </c>
      <c r="I17" s="120"/>
      <c r="J17" s="120"/>
      <c r="K17" s="10"/>
    </row>
    <row r="18" spans="1:19" ht="45" customHeight="1" x14ac:dyDescent="0.2">
      <c r="A18" s="127"/>
      <c r="B18" s="642" t="s">
        <v>649</v>
      </c>
      <c r="C18" s="631" t="s">
        <v>678</v>
      </c>
      <c r="D18" s="632"/>
      <c r="E18" s="633"/>
      <c r="F18" s="633"/>
      <c r="G18" s="634">
        <f>Parameters!F19</f>
        <v>1</v>
      </c>
      <c r="H18" s="635" t="str">
        <f>IF(AND(ISNUMBER(D18),ISNUMBER(G18)),D18*G18,"")</f>
        <v/>
      </c>
      <c r="I18" s="120"/>
      <c r="J18" s="120"/>
      <c r="K18" s="10"/>
    </row>
    <row r="19" spans="1:19" ht="15" customHeight="1" x14ac:dyDescent="0.2">
      <c r="A19" s="127"/>
      <c r="B19" s="643" t="s">
        <v>571</v>
      </c>
      <c r="C19" s="636">
        <v>49</v>
      </c>
      <c r="D19" s="610"/>
      <c r="E19" s="610"/>
      <c r="F19" s="610"/>
      <c r="G19" s="610"/>
      <c r="H19" s="637" t="str">
        <f>IF(AND(ISNUMBER(H6),ISNUMBER(H8),ISNUMBER(H11),ISNUMBER(H12),ISNUMBER(H13),ISNUMBER(H14),ISNUMBER(H15),ISNUMBER(H17),ISNUMBER(H18)),SUM(H6,H8,H11:H15,H17:H18),"")</f>
        <v/>
      </c>
      <c r="I19" s="120"/>
      <c r="J19" s="120"/>
      <c r="K19" s="10"/>
    </row>
    <row r="20" spans="1:19" ht="15" customHeight="1" x14ac:dyDescent="0.2">
      <c r="A20" s="127"/>
      <c r="B20" s="639" t="s">
        <v>573</v>
      </c>
      <c r="C20" s="616" t="s">
        <v>661</v>
      </c>
      <c r="D20" s="623" t="str">
        <f>IF(AND(ISNUMBER(D180),ISNUMBER(D183),ISNUMBER(D193),ISNUMBER(D196),ISNUMBER(E180),ISNUMBER(E193),ISNUMBER(D277),ISNUMBER(D280),ISNUMBER(E277),ISNUMBER(D434),ISNUMBER(E434)),-SUM(D180,D183,D186,D189,D193,D196,D199,D203,D206,E277,E434)+SUM(E180,E193,D277,D280,D283,D286,D434),"")</f>
        <v/>
      </c>
      <c r="E20" s="613"/>
      <c r="F20" s="613"/>
      <c r="G20" s="613"/>
      <c r="H20" s="615"/>
      <c r="I20" s="120"/>
      <c r="J20" s="120"/>
      <c r="K20" s="10"/>
    </row>
    <row r="21" spans="1:19" ht="15" customHeight="1" x14ac:dyDescent="0.2">
      <c r="A21" s="128"/>
      <c r="B21" s="644" t="s">
        <v>574</v>
      </c>
      <c r="C21" s="624" t="s">
        <v>661</v>
      </c>
      <c r="D21" s="625"/>
      <c r="E21" s="625"/>
      <c r="F21" s="625"/>
      <c r="G21" s="625"/>
      <c r="H21" s="626" t="str">
        <f>IF(AND(ISNUMBER(H19),ISNUMBER(D20)),MAX(H19+D20,0),"")</f>
        <v/>
      </c>
      <c r="I21" s="120"/>
      <c r="J21" s="120"/>
      <c r="K21" s="10"/>
    </row>
    <row r="22" spans="1:19" s="114" customFormat="1" ht="60" customHeight="1" x14ac:dyDescent="0.25">
      <c r="A22" s="1645" t="s">
        <v>904</v>
      </c>
      <c r="B22" s="1645"/>
      <c r="C22" s="1645"/>
      <c r="D22" s="1645"/>
      <c r="E22" s="1645"/>
      <c r="F22" s="1645"/>
      <c r="G22" s="1645"/>
      <c r="H22" s="1645"/>
      <c r="I22" s="120"/>
      <c r="J22" s="120"/>
      <c r="K22" s="10"/>
      <c r="L22" s="120"/>
      <c r="M22" s="120"/>
      <c r="N22" s="120"/>
      <c r="O22" s="120"/>
      <c r="P22" s="120"/>
      <c r="Q22" s="120"/>
      <c r="R22" s="120"/>
      <c r="S22" s="120"/>
    </row>
    <row r="23" spans="1:19" ht="30" customHeight="1" x14ac:dyDescent="0.2">
      <c r="A23" s="126"/>
      <c r="B23" s="681"/>
      <c r="C23" s="628" t="s">
        <v>813</v>
      </c>
      <c r="D23" s="628" t="s">
        <v>575</v>
      </c>
      <c r="E23" s="629"/>
      <c r="F23" s="629"/>
      <c r="G23" s="628" t="s">
        <v>566</v>
      </c>
      <c r="H23" s="630" t="s">
        <v>567</v>
      </c>
      <c r="I23" s="120"/>
      <c r="J23" s="120"/>
      <c r="K23" s="10"/>
    </row>
    <row r="24" spans="1:19" ht="15" customHeight="1" x14ac:dyDescent="0.2">
      <c r="A24" s="127"/>
      <c r="B24" s="638" t="s">
        <v>576</v>
      </c>
      <c r="C24" s="608" t="s">
        <v>679</v>
      </c>
      <c r="D24" s="645"/>
      <c r="E24" s="610"/>
      <c r="F24" s="610"/>
      <c r="G24" s="645"/>
      <c r="H24" s="646"/>
      <c r="I24" s="120"/>
      <c r="J24" s="120"/>
      <c r="K24" s="10"/>
    </row>
    <row r="25" spans="1:19" ht="15" customHeight="1" x14ac:dyDescent="0.2">
      <c r="A25" s="127"/>
      <c r="B25" s="640" t="s">
        <v>521</v>
      </c>
      <c r="C25" s="616" t="s">
        <v>679</v>
      </c>
      <c r="D25" s="647"/>
      <c r="E25" s="613"/>
      <c r="F25" s="613"/>
      <c r="G25" s="617">
        <f>Parameters!F22</f>
        <v>0.85</v>
      </c>
      <c r="H25" s="618" t="str">
        <f t="shared" ref="H25:H31" si="0">IF(AND(ISNUMBER(D25),ISNUMBER(G25)),D25*G25,"")</f>
        <v/>
      </c>
      <c r="I25" s="120"/>
      <c r="J25" s="120"/>
      <c r="K25" s="10"/>
    </row>
    <row r="26" spans="1:19" ht="15" customHeight="1" x14ac:dyDescent="0.2">
      <c r="A26" s="127"/>
      <c r="B26" s="640" t="s">
        <v>522</v>
      </c>
      <c r="C26" s="616" t="s">
        <v>679</v>
      </c>
      <c r="D26" s="647"/>
      <c r="E26" s="613"/>
      <c r="F26" s="613"/>
      <c r="G26" s="617">
        <f>Parameters!F23</f>
        <v>0.85</v>
      </c>
      <c r="H26" s="618" t="str">
        <f t="shared" si="0"/>
        <v/>
      </c>
      <c r="I26" s="120"/>
      <c r="J26" s="120"/>
      <c r="K26" s="10"/>
    </row>
    <row r="27" spans="1:19" ht="15" customHeight="1" x14ac:dyDescent="0.2">
      <c r="A27" s="127"/>
      <c r="B27" s="640" t="s">
        <v>523</v>
      </c>
      <c r="C27" s="616" t="s">
        <v>679</v>
      </c>
      <c r="D27" s="647"/>
      <c r="E27" s="613"/>
      <c r="F27" s="613"/>
      <c r="G27" s="617">
        <f>Parameters!F24</f>
        <v>0.85</v>
      </c>
      <c r="H27" s="618" t="str">
        <f t="shared" si="0"/>
        <v/>
      </c>
      <c r="I27" s="120"/>
      <c r="J27" s="120"/>
      <c r="K27" s="10"/>
    </row>
    <row r="28" spans="1:19" ht="15" customHeight="1" x14ac:dyDescent="0.2">
      <c r="A28" s="127"/>
      <c r="B28" s="640" t="s">
        <v>815</v>
      </c>
      <c r="C28" s="616" t="s">
        <v>679</v>
      </c>
      <c r="D28" s="647"/>
      <c r="E28" s="613"/>
      <c r="F28" s="613"/>
      <c r="G28" s="617">
        <f>Parameters!F25</f>
        <v>0.85</v>
      </c>
      <c r="H28" s="618" t="str">
        <f t="shared" si="0"/>
        <v/>
      </c>
      <c r="I28" s="120"/>
      <c r="J28" s="120"/>
      <c r="K28" s="10"/>
    </row>
    <row r="29" spans="1:19" ht="15" customHeight="1" x14ac:dyDescent="0.2">
      <c r="A29" s="129"/>
      <c r="B29" s="640" t="s">
        <v>577</v>
      </c>
      <c r="C29" s="616" t="s">
        <v>679</v>
      </c>
      <c r="D29" s="647"/>
      <c r="E29" s="613"/>
      <c r="F29" s="613"/>
      <c r="G29" s="617">
        <f>Parameters!F26</f>
        <v>0.85</v>
      </c>
      <c r="H29" s="618" t="str">
        <f t="shared" si="0"/>
        <v/>
      </c>
      <c r="I29" s="120"/>
      <c r="J29" s="120"/>
      <c r="K29" s="10"/>
    </row>
    <row r="30" spans="1:19" ht="15" customHeight="1" x14ac:dyDescent="0.2">
      <c r="A30" s="127"/>
      <c r="B30" s="639" t="s">
        <v>578</v>
      </c>
      <c r="C30" s="616" t="s">
        <v>680</v>
      </c>
      <c r="D30" s="647"/>
      <c r="E30" s="613"/>
      <c r="F30" s="613"/>
      <c r="G30" s="617">
        <f>Parameters!F27</f>
        <v>0.85</v>
      </c>
      <c r="H30" s="618" t="str">
        <f t="shared" si="0"/>
        <v/>
      </c>
      <c r="I30" s="120"/>
      <c r="J30" s="120"/>
      <c r="K30" s="10"/>
    </row>
    <row r="31" spans="1:19" ht="15" customHeight="1" x14ac:dyDescent="0.2">
      <c r="A31" s="127"/>
      <c r="B31" s="644" t="s">
        <v>579</v>
      </c>
      <c r="C31" s="624" t="s">
        <v>680</v>
      </c>
      <c r="D31" s="648"/>
      <c r="E31" s="625"/>
      <c r="F31" s="625"/>
      <c r="G31" s="649">
        <f>Parameters!F28</f>
        <v>0.85</v>
      </c>
      <c r="H31" s="626" t="str">
        <f t="shared" si="0"/>
        <v/>
      </c>
      <c r="I31" s="120"/>
      <c r="J31" s="120"/>
      <c r="K31" s="10"/>
    </row>
    <row r="32" spans="1:19" ht="15" customHeight="1" x14ac:dyDescent="0.2">
      <c r="A32" s="127"/>
      <c r="B32" s="643" t="s">
        <v>650</v>
      </c>
      <c r="C32" s="636" t="s">
        <v>681</v>
      </c>
      <c r="D32" s="650" t="str">
        <f>IF(AND(ISNUMBER(D25),ISNUMBER(D26),ISNUMBER(D27),ISNUMBER(D28),ISNUMBER(D29),ISNUMBER(D30),ISNUMBER(D31)),SUM(D25:D31),"")</f>
        <v/>
      </c>
      <c r="E32" s="610"/>
      <c r="F32" s="610"/>
      <c r="G32" s="651"/>
      <c r="H32" s="637" t="str">
        <f>IF(AND(ISNUMBER(H25),ISNUMBER(H26),ISNUMBER(H27),ISNUMBER(H28),ISNUMBER(H29), ISNUMBER(H30),ISNUMBER(H31)),SUM(H25:H31),"")</f>
        <v/>
      </c>
      <c r="I32" s="120"/>
      <c r="J32" s="120"/>
      <c r="K32" s="10"/>
    </row>
    <row r="33" spans="1:19" ht="15" customHeight="1" x14ac:dyDescent="0.2">
      <c r="A33" s="127"/>
      <c r="B33" s="639" t="s">
        <v>651</v>
      </c>
      <c r="C33" s="616" t="s">
        <v>661</v>
      </c>
      <c r="D33" s="652" t="str">
        <f>IF(AND(ISNUMBER(E183),ISNUMBER(E196),ISNUMBER(E280),ISNUMBER(D435),ISNUMBER(E435)),E183+E196-E280+D435-E435,"")</f>
        <v/>
      </c>
      <c r="E33" s="613"/>
      <c r="F33" s="613"/>
      <c r="G33" s="653"/>
      <c r="H33" s="654"/>
      <c r="I33" s="120"/>
      <c r="J33" s="120"/>
      <c r="K33" s="10"/>
    </row>
    <row r="34" spans="1:19" ht="15" customHeight="1" x14ac:dyDescent="0.2">
      <c r="A34" s="127"/>
      <c r="B34" s="644" t="s">
        <v>652</v>
      </c>
      <c r="C34" s="624" t="s">
        <v>661</v>
      </c>
      <c r="D34" s="655" t="str">
        <f>IF(AND(ISNUMBER(D32),ISNUMBER(D33)),D32+D33,"")</f>
        <v/>
      </c>
      <c r="E34" s="625"/>
      <c r="F34" s="625"/>
      <c r="G34" s="649">
        <f>Parameters!F29</f>
        <v>0.85</v>
      </c>
      <c r="H34" s="626" t="str">
        <f>IF(AND(ISNUMBER(D34),ISNUMBER(G34)),D34*G34,"")</f>
        <v/>
      </c>
      <c r="I34" s="120"/>
      <c r="J34" s="120"/>
      <c r="K34" s="10"/>
    </row>
    <row r="35" spans="1:19" s="114" customFormat="1" ht="60" customHeight="1" x14ac:dyDescent="0.25">
      <c r="A35" s="1645" t="s">
        <v>907</v>
      </c>
      <c r="B35" s="1645"/>
      <c r="C35" s="1645"/>
      <c r="D35" s="1645"/>
      <c r="E35" s="1645"/>
      <c r="F35" s="1645"/>
      <c r="G35" s="1645"/>
      <c r="H35" s="1645"/>
      <c r="I35" s="120"/>
      <c r="J35" s="120"/>
      <c r="K35" s="10"/>
      <c r="L35" s="120"/>
      <c r="M35" s="120"/>
      <c r="N35" s="120"/>
      <c r="O35" s="120"/>
      <c r="P35" s="120"/>
      <c r="Q35" s="120"/>
      <c r="R35" s="120"/>
      <c r="S35" s="120"/>
    </row>
    <row r="36" spans="1:19" ht="30" customHeight="1" x14ac:dyDescent="0.2">
      <c r="A36" s="126"/>
      <c r="B36" s="627"/>
      <c r="C36" s="628" t="s">
        <v>813</v>
      </c>
      <c r="D36" s="628" t="s">
        <v>575</v>
      </c>
      <c r="E36" s="629"/>
      <c r="F36" s="629"/>
      <c r="G36" s="628" t="s">
        <v>566</v>
      </c>
      <c r="H36" s="630" t="s">
        <v>567</v>
      </c>
      <c r="I36" s="120"/>
      <c r="J36" s="120"/>
      <c r="K36" s="10"/>
    </row>
    <row r="37" spans="1:19" ht="15" customHeight="1" x14ac:dyDescent="0.2">
      <c r="A37" s="127"/>
      <c r="B37" s="638" t="s">
        <v>653</v>
      </c>
      <c r="C37" s="608" t="s">
        <v>654</v>
      </c>
      <c r="D37" s="663"/>
      <c r="E37" s="610"/>
      <c r="F37" s="610"/>
      <c r="G37" s="611">
        <f>Parameters!F31</f>
        <v>0.75</v>
      </c>
      <c r="H37" s="664" t="str">
        <f>IF(AND(ISNUMBER(D37),ISNUMBER(G37)),D37*G37,"")</f>
        <v/>
      </c>
      <c r="I37" s="120"/>
      <c r="J37" s="120"/>
      <c r="K37" s="10"/>
    </row>
    <row r="38" spans="1:19" ht="15" customHeight="1" x14ac:dyDescent="0.2">
      <c r="A38" s="127"/>
      <c r="B38" s="639" t="s">
        <v>655</v>
      </c>
      <c r="C38" s="616" t="s">
        <v>656</v>
      </c>
      <c r="D38" s="657"/>
      <c r="E38" s="613"/>
      <c r="F38" s="613"/>
      <c r="G38" s="617">
        <f>Parameters!F32</f>
        <v>0.5</v>
      </c>
      <c r="H38" s="665" t="str">
        <f>IF(AND(ISNUMBER(D38),ISNUMBER(G38)),D38*G38,"")</f>
        <v/>
      </c>
      <c r="I38" s="120"/>
      <c r="J38" s="120"/>
      <c r="K38" s="10"/>
    </row>
    <row r="39" spans="1:19" ht="15" customHeight="1" x14ac:dyDescent="0.2">
      <c r="A39" s="127"/>
      <c r="B39" s="639" t="s">
        <v>657</v>
      </c>
      <c r="C39" s="666" t="s">
        <v>658</v>
      </c>
      <c r="D39" s="657"/>
      <c r="E39" s="613"/>
      <c r="F39" s="613"/>
      <c r="G39" s="617">
        <f>Parameters!F33</f>
        <v>0.5</v>
      </c>
      <c r="H39" s="665" t="str">
        <f>IF(AND(ISNUMBER(D39),ISNUMBER(G39)),D39*G39,"")</f>
        <v/>
      </c>
      <c r="I39" s="120"/>
      <c r="J39" s="120"/>
      <c r="K39" s="10"/>
    </row>
    <row r="40" spans="1:19" s="1293" customFormat="1" ht="15" customHeight="1" x14ac:dyDescent="0.2">
      <c r="A40" s="127"/>
      <c r="B40" s="639" t="s">
        <v>1398</v>
      </c>
      <c r="C40" s="666" t="s">
        <v>1399</v>
      </c>
      <c r="D40" s="1262"/>
      <c r="E40" s="1260"/>
      <c r="F40" s="1260"/>
      <c r="G40" s="617">
        <v>0.5</v>
      </c>
      <c r="H40" s="665" t="str">
        <f>IF(AND(ISNUMBER(D40),ISNUMBER(G40)),D40*G40,"")</f>
        <v/>
      </c>
      <c r="I40" s="1296"/>
      <c r="J40" s="1296"/>
      <c r="K40" s="1041"/>
    </row>
    <row r="41" spans="1:19" ht="15" customHeight="1" x14ac:dyDescent="0.2">
      <c r="A41" s="127"/>
      <c r="B41" s="667" t="s">
        <v>659</v>
      </c>
      <c r="C41" s="621" t="s">
        <v>654</v>
      </c>
      <c r="D41" s="668" t="str">
        <f>IF(ISNUMBER(D37),D37,"")</f>
        <v/>
      </c>
      <c r="E41" s="613"/>
      <c r="F41" s="613"/>
      <c r="G41" s="653"/>
      <c r="H41" s="669" t="str">
        <f>IF(ISNUMBER(H37),H37,"")</f>
        <v/>
      </c>
      <c r="I41" s="120"/>
      <c r="J41" s="120"/>
      <c r="K41" s="10"/>
    </row>
    <row r="42" spans="1:19" ht="15" customHeight="1" x14ac:dyDescent="0.2">
      <c r="A42" s="127"/>
      <c r="B42" s="639" t="s">
        <v>660</v>
      </c>
      <c r="C42" s="616" t="s">
        <v>661</v>
      </c>
      <c r="D42" s="623" t="str">
        <f>IF(OR(ISNUMBER(E186),ISNUMBER(E199),ISNUMBER(E283),ISNUMBER(D436),ISNUMBER(E436)),SUM(E186,E199,D436)-SUM(E283,E436),"")</f>
        <v/>
      </c>
      <c r="E42" s="613"/>
      <c r="F42" s="613"/>
      <c r="G42" s="653"/>
      <c r="H42" s="654"/>
      <c r="I42" s="120"/>
      <c r="J42" s="120"/>
      <c r="K42" s="10"/>
    </row>
    <row r="43" spans="1:19" ht="15" customHeight="1" x14ac:dyDescent="0.2">
      <c r="A43" s="127"/>
      <c r="B43" s="639" t="s">
        <v>662</v>
      </c>
      <c r="C43" s="616" t="s">
        <v>661</v>
      </c>
      <c r="D43" s="670" t="str">
        <f>IF(OR(ISNUMBER(D41),ISNUMBER(D42)),SUM(D41,D42),"")</f>
        <v/>
      </c>
      <c r="E43" s="613"/>
      <c r="F43" s="613"/>
      <c r="G43" s="671">
        <f>Parameters!F34</f>
        <v>0.75</v>
      </c>
      <c r="H43" s="672" t="str">
        <f>IF(AND(ISNUMBER(D43),ISNUMBER(G43)),D43*G43,"")</f>
        <v/>
      </c>
      <c r="I43" s="120"/>
      <c r="J43" s="120"/>
      <c r="K43" s="10"/>
    </row>
    <row r="44" spans="1:19" ht="15" customHeight="1" x14ac:dyDescent="0.2">
      <c r="A44" s="127"/>
      <c r="B44" s="667" t="s">
        <v>663</v>
      </c>
      <c r="C44" s="621" t="s">
        <v>664</v>
      </c>
      <c r="D44" s="668" t="str">
        <f>IF(OR(ISNUMBER(D38),ISNUMBER(D39),ISNUMBER(D40)),SUM(D38:D40),"")</f>
        <v/>
      </c>
      <c r="E44" s="613"/>
      <c r="F44" s="613"/>
      <c r="G44" s="653"/>
      <c r="H44" s="622" t="str">
        <f>IF(OR(ISNUMBER(H38),ISNUMBER(H39),ISNUMBER(H40)),SUM(H38:H40),"")</f>
        <v/>
      </c>
      <c r="I44" s="120"/>
      <c r="J44" s="120"/>
      <c r="K44" s="10"/>
    </row>
    <row r="45" spans="1:19" ht="15" customHeight="1" x14ac:dyDescent="0.2">
      <c r="A45" s="127"/>
      <c r="B45" s="639" t="s">
        <v>665</v>
      </c>
      <c r="C45" s="616" t="s">
        <v>661</v>
      </c>
      <c r="D45" s="623" t="str">
        <f>IF(OR(ISNUMBER(E189),ISNUMBER(E203),ISNUMBER(E206),ISNUMBER(E286),ISNUMBER(D437),ISNUMBER(E437)),SUM(E189,E203,E206,D437)-SUM(E286,E437),"")</f>
        <v/>
      </c>
      <c r="E45" s="613"/>
      <c r="F45" s="613"/>
      <c r="G45" s="653"/>
      <c r="H45" s="654"/>
      <c r="I45" s="120"/>
      <c r="J45" s="120"/>
      <c r="K45" s="10"/>
    </row>
    <row r="46" spans="1:19" ht="15" customHeight="1" x14ac:dyDescent="0.2">
      <c r="A46" s="127"/>
      <c r="B46" s="639" t="s">
        <v>666</v>
      </c>
      <c r="C46" s="616" t="s">
        <v>661</v>
      </c>
      <c r="D46" s="670" t="str">
        <f>IF(OR(ISNUMBER(D44),ISNUMBER(D45)),SUM(D44,D45),"")</f>
        <v/>
      </c>
      <c r="E46" s="613"/>
      <c r="F46" s="613"/>
      <c r="G46" s="671">
        <f>Parameters!F35</f>
        <v>0.5</v>
      </c>
      <c r="H46" s="673" t="str">
        <f>IF(AND(ISNUMBER(D46),ISNUMBER(G46)),D46*G46,"")</f>
        <v/>
      </c>
      <c r="I46" s="120"/>
      <c r="J46" s="120"/>
      <c r="K46" s="10"/>
    </row>
    <row r="47" spans="1:19" ht="15" customHeight="1" x14ac:dyDescent="0.2">
      <c r="A47" s="127"/>
      <c r="B47" s="644" t="s">
        <v>667</v>
      </c>
      <c r="C47" s="624" t="s">
        <v>661</v>
      </c>
      <c r="D47" s="674" t="str">
        <f>IF(OR(ISNUMBER(D43),ISNUMBER(D46)),SUM(D43,D46),"")</f>
        <v/>
      </c>
      <c r="E47" s="625"/>
      <c r="F47" s="625"/>
      <c r="G47" s="675"/>
      <c r="H47" s="676" t="str">
        <f>IF(OR(ISNUMBER(H43),ISNUMBER(H46)),SUM(H43,H46),"")</f>
        <v/>
      </c>
      <c r="I47" s="120"/>
      <c r="J47" s="120"/>
      <c r="K47" s="10"/>
    </row>
    <row r="48" spans="1:19" s="114" customFormat="1" ht="15" customHeight="1" x14ac:dyDescent="0.2">
      <c r="A48" s="148"/>
      <c r="B48" s="9"/>
      <c r="C48" s="9"/>
      <c r="D48" s="9"/>
      <c r="E48" s="9"/>
      <c r="F48" s="9"/>
      <c r="G48" s="9"/>
      <c r="H48" s="9"/>
      <c r="I48" s="120"/>
      <c r="J48" s="120"/>
      <c r="K48" s="10"/>
      <c r="L48" s="120"/>
      <c r="M48" s="120"/>
      <c r="N48" s="120"/>
      <c r="O48" s="120"/>
      <c r="P48" s="120"/>
      <c r="Q48" s="120"/>
      <c r="R48" s="120"/>
      <c r="S48" s="120"/>
    </row>
    <row r="49" spans="1:19" ht="15" customHeight="1" x14ac:dyDescent="0.2">
      <c r="A49" s="127"/>
      <c r="B49" s="677" t="s">
        <v>816</v>
      </c>
      <c r="C49" s="608" t="s">
        <v>668</v>
      </c>
      <c r="D49" s="651"/>
      <c r="E49" s="610"/>
      <c r="F49" s="610"/>
      <c r="G49" s="651"/>
      <c r="H49" s="678" t="str">
        <f>IF(AND(ISNUMBER(H21),ISNUMBER(H34)),MAX(SUM(H47)-15/85*(H21+H34),SUM(H47)-15/60*H21,0),"")</f>
        <v/>
      </c>
      <c r="I49" s="120"/>
      <c r="J49" s="120"/>
      <c r="K49" s="10"/>
    </row>
    <row r="50" spans="1:19" ht="15" customHeight="1" x14ac:dyDescent="0.2">
      <c r="A50" s="127"/>
      <c r="B50" s="679" t="s">
        <v>817</v>
      </c>
      <c r="C50" s="624" t="s">
        <v>669</v>
      </c>
      <c r="D50" s="675"/>
      <c r="E50" s="625"/>
      <c r="F50" s="625"/>
      <c r="G50" s="675"/>
      <c r="H50" s="680" t="str">
        <f>IF(AND(ISNUMBER(H34),ISNUMBER(H49)),MAX((SUM(H34,H47)-H49)-2/3*H21,0),"")</f>
        <v/>
      </c>
      <c r="I50" s="120"/>
      <c r="J50" s="120"/>
      <c r="K50" s="10"/>
    </row>
    <row r="51" spans="1:19" s="114" customFormat="1" ht="60" customHeight="1" x14ac:dyDescent="0.25">
      <c r="A51" s="1645" t="s">
        <v>908</v>
      </c>
      <c r="B51" s="1645"/>
      <c r="C51" s="1645"/>
      <c r="D51" s="1645"/>
      <c r="E51" s="1645"/>
      <c r="F51" s="1645"/>
      <c r="G51" s="1645"/>
      <c r="H51" s="1645"/>
      <c r="I51" s="120"/>
      <c r="J51" s="120"/>
      <c r="K51" s="10"/>
      <c r="L51" s="120"/>
      <c r="M51" s="120"/>
      <c r="N51" s="120"/>
      <c r="O51" s="120"/>
      <c r="P51" s="120"/>
      <c r="Q51" s="120"/>
      <c r="R51" s="120"/>
      <c r="S51" s="120"/>
    </row>
    <row r="52" spans="1:19" ht="30" customHeight="1" x14ac:dyDescent="0.2">
      <c r="A52" s="126"/>
      <c r="B52" s="627"/>
      <c r="C52" s="1677"/>
      <c r="D52" s="1678"/>
      <c r="E52" s="1678"/>
      <c r="F52" s="1678"/>
      <c r="G52" s="1679"/>
      <c r="H52" s="630" t="s">
        <v>567</v>
      </c>
      <c r="I52" s="120"/>
      <c r="J52" s="120"/>
      <c r="K52" s="10"/>
    </row>
    <row r="53" spans="1:19" ht="15" customHeight="1" x14ac:dyDescent="0.2">
      <c r="A53" s="127"/>
      <c r="B53" s="658" t="s">
        <v>818</v>
      </c>
      <c r="C53" s="660"/>
      <c r="D53" s="660"/>
      <c r="E53" s="536"/>
      <c r="F53" s="536"/>
      <c r="G53" s="660"/>
      <c r="H53" s="662" t="str">
        <f>IF(AND(ISNUMBER(H19),ISNUMBER(H32)),SUM(H19,H32,H41,H44)-SUM(H49,H50),"")</f>
        <v/>
      </c>
      <c r="I53" s="120"/>
      <c r="J53" s="120"/>
      <c r="K53" s="10"/>
    </row>
    <row r="54" spans="1:19" ht="15" customHeight="1" x14ac:dyDescent="0.2">
      <c r="A54" s="148"/>
      <c r="B54" s="9"/>
      <c r="C54" s="9"/>
      <c r="D54" s="9"/>
      <c r="E54" s="9"/>
      <c r="F54" s="9"/>
      <c r="G54" s="9"/>
      <c r="H54" s="9"/>
      <c r="I54" s="120"/>
      <c r="J54" s="120"/>
      <c r="K54" s="10"/>
    </row>
    <row r="55" spans="1:19" ht="15" customHeight="1" x14ac:dyDescent="0.2">
      <c r="A55" s="148"/>
      <c r="B55" s="1680"/>
      <c r="C55" s="1674" t="s">
        <v>813</v>
      </c>
      <c r="D55" s="1676" t="s">
        <v>575</v>
      </c>
      <c r="E55" s="1676"/>
      <c r="F55" s="1676"/>
      <c r="G55" s="1676"/>
      <c r="H55" s="661"/>
      <c r="I55" s="120"/>
      <c r="J55" s="120"/>
      <c r="K55" s="10"/>
    </row>
    <row r="56" spans="1:19" ht="30" customHeight="1" x14ac:dyDescent="0.2">
      <c r="A56" s="148"/>
      <c r="B56" s="1681"/>
      <c r="C56" s="1675"/>
      <c r="D56" s="628" t="s">
        <v>280</v>
      </c>
      <c r="E56" s="628" t="s">
        <v>670</v>
      </c>
      <c r="F56" s="628" t="s">
        <v>671</v>
      </c>
      <c r="G56" s="628" t="s">
        <v>672</v>
      </c>
      <c r="H56" s="661"/>
      <c r="I56" s="120"/>
      <c r="J56" s="120"/>
      <c r="K56" s="10"/>
    </row>
    <row r="57" spans="1:19" ht="15" customHeight="1" x14ac:dyDescent="0.2">
      <c r="A57" s="127"/>
      <c r="B57" s="638" t="s">
        <v>819</v>
      </c>
      <c r="C57" s="608" t="s">
        <v>682</v>
      </c>
      <c r="D57" s="682"/>
      <c r="E57" s="682"/>
      <c r="F57" s="683"/>
      <c r="G57" s="683"/>
      <c r="H57" s="684"/>
      <c r="I57" s="120"/>
      <c r="J57" s="120"/>
      <c r="K57" s="10"/>
    </row>
    <row r="58" spans="1:19" ht="15" customHeight="1" x14ac:dyDescent="0.2">
      <c r="A58" s="127"/>
      <c r="B58" s="640" t="s">
        <v>283</v>
      </c>
      <c r="C58" s="653"/>
      <c r="D58" s="647"/>
      <c r="E58" s="647"/>
      <c r="F58" s="685"/>
      <c r="G58" s="685"/>
      <c r="H58" s="654"/>
      <c r="I58" s="120"/>
      <c r="J58" s="120"/>
      <c r="K58" s="10"/>
    </row>
    <row r="59" spans="1:19" ht="15" customHeight="1" x14ac:dyDescent="0.2">
      <c r="A59" s="127"/>
      <c r="B59" s="703" t="str">
        <f>CONCATENATE("Check: row ", ROW(B58), " ≤ row ", ROW(B57))</f>
        <v>Check: row 58 ≤ row 57</v>
      </c>
      <c r="C59" s="653"/>
      <c r="D59" s="1266" t="str">
        <f>IF((D58&lt;=D57),"Pass","Fail")</f>
        <v>Pass</v>
      </c>
      <c r="E59" s="1266" t="str">
        <f>IF((E58&lt;=E57),"Pass","Fail")</f>
        <v>Pass</v>
      </c>
      <c r="F59" s="1266" t="str">
        <f>IF((F58&lt;=F57),"Pass","Fail")</f>
        <v>Pass</v>
      </c>
      <c r="G59" s="1266" t="str">
        <f>IF((G58&lt;=G57),"Pass","Fail")</f>
        <v>Pass</v>
      </c>
      <c r="H59" s="654"/>
      <c r="I59" s="120"/>
      <c r="J59" s="120"/>
      <c r="K59" s="10"/>
    </row>
    <row r="60" spans="1:19" ht="15" customHeight="1" x14ac:dyDescent="0.2">
      <c r="A60" s="127"/>
      <c r="B60" s="639" t="s">
        <v>673</v>
      </c>
      <c r="C60" s="616" t="s">
        <v>683</v>
      </c>
      <c r="D60" s="647"/>
      <c r="E60" s="647"/>
      <c r="F60" s="685"/>
      <c r="G60" s="685"/>
      <c r="H60" s="654"/>
      <c r="I60" s="120"/>
      <c r="J60" s="120"/>
      <c r="K60" s="10"/>
    </row>
    <row r="61" spans="1:19" ht="15" customHeight="1" x14ac:dyDescent="0.2">
      <c r="A61" s="127"/>
      <c r="B61" s="640" t="s">
        <v>284</v>
      </c>
      <c r="C61" s="653"/>
      <c r="D61" s="647"/>
      <c r="E61" s="647"/>
      <c r="F61" s="685"/>
      <c r="G61" s="685"/>
      <c r="H61" s="654"/>
      <c r="I61" s="120"/>
      <c r="J61" s="120"/>
      <c r="K61" s="10"/>
    </row>
    <row r="62" spans="1:19" ht="15" customHeight="1" x14ac:dyDescent="0.2">
      <c r="A62" s="127"/>
      <c r="B62" s="704" t="str">
        <f>CONCATENATE("Check: row ", ROW(B61), " ≤ row ", ROW(B60))</f>
        <v>Check: row 61 ≤ row 60</v>
      </c>
      <c r="C62" s="675"/>
      <c r="D62" s="686" t="str">
        <f>IF((D61&lt;=D60),"Pass","Fail")</f>
        <v>Pass</v>
      </c>
      <c r="E62" s="686" t="str">
        <f>IF((E61&lt;=E60),"Pass","Fail")</f>
        <v>Pass</v>
      </c>
      <c r="F62" s="686" t="str">
        <f>IF((F61&lt;=F60),"Pass","Fail")</f>
        <v>Pass</v>
      </c>
      <c r="G62" s="686" t="str">
        <f>IF((G61&lt;=G60),"Pass","Fail")</f>
        <v>Pass</v>
      </c>
      <c r="H62" s="687"/>
      <c r="I62" s="120"/>
      <c r="J62" s="120"/>
      <c r="K62" s="10"/>
    </row>
    <row r="63" spans="1:19" s="114" customFormat="1" ht="45" customHeight="1" x14ac:dyDescent="0.25">
      <c r="A63" s="49" t="s">
        <v>806</v>
      </c>
      <c r="B63" s="49"/>
      <c r="C63" s="118"/>
      <c r="D63" s="118"/>
      <c r="E63" s="119"/>
      <c r="F63" s="120"/>
      <c r="G63" s="120"/>
      <c r="H63" s="120"/>
      <c r="I63" s="120"/>
      <c r="J63" s="120"/>
      <c r="K63" s="10"/>
      <c r="L63" s="120"/>
      <c r="M63" s="120"/>
      <c r="N63" s="120"/>
      <c r="O63" s="120"/>
      <c r="P63" s="120"/>
      <c r="Q63" s="120"/>
      <c r="R63" s="120"/>
      <c r="S63" s="120"/>
    </row>
    <row r="64" spans="1:19" s="114" customFormat="1" ht="15" customHeight="1" x14ac:dyDescent="0.25">
      <c r="A64" s="49"/>
      <c r="B64" s="49"/>
      <c r="C64" s="118"/>
      <c r="D64" s="118"/>
      <c r="E64" s="119"/>
      <c r="F64" s="120"/>
      <c r="G64" s="120"/>
      <c r="H64" s="120"/>
      <c r="I64" s="120"/>
      <c r="J64" s="120"/>
      <c r="K64" s="10"/>
      <c r="L64" s="120"/>
      <c r="M64" s="120"/>
      <c r="N64" s="120"/>
      <c r="O64" s="120"/>
      <c r="P64" s="120"/>
      <c r="Q64" s="120"/>
      <c r="R64" s="120"/>
      <c r="S64" s="120"/>
    </row>
    <row r="65" spans="1:19" s="114" customFormat="1" ht="15" customHeight="1" x14ac:dyDescent="0.25">
      <c r="A65" s="49"/>
      <c r="B65" s="705" t="s">
        <v>820</v>
      </c>
      <c r="C65" s="706" t="str">
        <f>Parameters!F39</f>
        <v>No</v>
      </c>
      <c r="D65" s="118"/>
      <c r="E65" s="119"/>
      <c r="F65" s="120"/>
      <c r="G65" s="120"/>
      <c r="H65" s="120"/>
      <c r="I65" s="120"/>
      <c r="J65" s="120"/>
      <c r="K65" s="10"/>
      <c r="L65" s="120"/>
      <c r="M65" s="120"/>
      <c r="N65" s="120"/>
      <c r="O65" s="120"/>
      <c r="P65" s="120"/>
      <c r="Q65" s="120"/>
      <c r="R65" s="120"/>
      <c r="S65" s="120"/>
    </row>
    <row r="66" spans="1:19" s="114" customFormat="1" ht="15" customHeight="1" x14ac:dyDescent="0.25">
      <c r="A66" s="49"/>
      <c r="B66" s="49"/>
      <c r="C66" s="118"/>
      <c r="D66" s="118"/>
      <c r="E66" s="119"/>
      <c r="F66" s="120"/>
      <c r="G66" s="120"/>
      <c r="H66" s="120"/>
      <c r="I66" s="120"/>
      <c r="J66" s="120"/>
      <c r="K66" s="10"/>
      <c r="L66" s="120"/>
      <c r="M66" s="120"/>
      <c r="N66" s="120"/>
      <c r="O66" s="120"/>
      <c r="P66" s="120"/>
      <c r="Q66" s="120"/>
      <c r="R66" s="120"/>
      <c r="S66" s="120"/>
    </row>
    <row r="67" spans="1:19" ht="30" customHeight="1" x14ac:dyDescent="0.2">
      <c r="A67" s="126"/>
      <c r="B67" s="627"/>
      <c r="C67" s="628" t="s">
        <v>813</v>
      </c>
      <c r="D67" s="628" t="s">
        <v>536</v>
      </c>
      <c r="E67" s="536"/>
      <c r="F67" s="536"/>
      <c r="G67" s="628" t="s">
        <v>566</v>
      </c>
      <c r="H67" s="630" t="s">
        <v>567</v>
      </c>
      <c r="I67" s="120"/>
      <c r="J67" s="120"/>
      <c r="K67" s="10"/>
    </row>
    <row r="68" spans="1:19" ht="15" customHeight="1" x14ac:dyDescent="0.2">
      <c r="A68" s="127"/>
      <c r="B68" s="698" t="s">
        <v>25</v>
      </c>
      <c r="C68" s="699">
        <v>58</v>
      </c>
      <c r="D68" s="700"/>
      <c r="E68" s="223"/>
      <c r="F68" s="223"/>
      <c r="G68" s="701">
        <f>Parameters!F42</f>
        <v>0</v>
      </c>
      <c r="H68" s="702" t="str">
        <f>IF(AND(ISNUMBER(D68),ISNUMBER(G68)),D68*G68,"")</f>
        <v/>
      </c>
      <c r="I68" s="120"/>
      <c r="J68" s="120"/>
      <c r="K68" s="10"/>
    </row>
    <row r="69" spans="1:19" ht="15" customHeight="1" x14ac:dyDescent="0.2">
      <c r="A69" s="127"/>
      <c r="B69" s="688" t="s">
        <v>674</v>
      </c>
      <c r="C69" s="616">
        <v>59</v>
      </c>
      <c r="D69" s="689"/>
      <c r="E69" s="220"/>
      <c r="F69" s="220"/>
      <c r="G69" s="690"/>
      <c r="H69" s="691"/>
      <c r="I69" s="120"/>
      <c r="J69" s="120"/>
      <c r="K69" s="10"/>
    </row>
    <row r="70" spans="1:19" ht="15" customHeight="1" x14ac:dyDescent="0.2">
      <c r="A70" s="127"/>
      <c r="B70" s="692" t="s">
        <v>586</v>
      </c>
      <c r="C70" s="653"/>
      <c r="D70" s="657"/>
      <c r="E70" s="220"/>
      <c r="F70" s="220"/>
      <c r="G70" s="617">
        <f>Parameters!F44</f>
        <v>0</v>
      </c>
      <c r="H70" s="618" t="str">
        <f>IF(AND(ISNUMBER(D70),ISNUMBER(G70)),D70*G70,"")</f>
        <v/>
      </c>
      <c r="I70" s="120"/>
      <c r="J70" s="120"/>
      <c r="K70" s="10"/>
    </row>
    <row r="71" spans="1:19" ht="15" customHeight="1" x14ac:dyDescent="0.2">
      <c r="A71" s="127"/>
      <c r="B71" s="692" t="s">
        <v>587</v>
      </c>
      <c r="C71" s="653"/>
      <c r="D71" s="657"/>
      <c r="E71" s="220"/>
      <c r="F71" s="220"/>
      <c r="G71" s="617">
        <f>Parameters!F45</f>
        <v>0</v>
      </c>
      <c r="H71" s="618" t="str">
        <f>IF(AND(ISNUMBER(D71),ISNUMBER(G71)),D71*G71,"")</f>
        <v/>
      </c>
      <c r="I71" s="120"/>
      <c r="J71" s="120"/>
      <c r="K71" s="10"/>
    </row>
    <row r="72" spans="1:19" ht="15" customHeight="1" x14ac:dyDescent="0.2">
      <c r="A72" s="127"/>
      <c r="B72" s="688" t="s">
        <v>821</v>
      </c>
      <c r="C72" s="616">
        <v>62</v>
      </c>
      <c r="D72" s="657"/>
      <c r="E72" s="220"/>
      <c r="F72" s="220"/>
      <c r="G72" s="617">
        <f>Parameters!F46</f>
        <v>0</v>
      </c>
      <c r="H72" s="618" t="str">
        <f>IF(AND(ISNUMBER(D72),ISNUMBER(G72)),D72*G72,"")</f>
        <v/>
      </c>
      <c r="I72" s="120"/>
      <c r="J72" s="120"/>
      <c r="K72" s="10"/>
    </row>
    <row r="73" spans="1:19" ht="15" customHeight="1" x14ac:dyDescent="0.2">
      <c r="A73" s="127"/>
      <c r="B73" s="693" t="s">
        <v>588</v>
      </c>
      <c r="C73" s="653"/>
      <c r="D73" s="689"/>
      <c r="E73" s="220"/>
      <c r="F73" s="220"/>
      <c r="G73" s="690"/>
      <c r="H73" s="618" t="str">
        <f>IF(OR(ISNUMBER(H68),ISNUMBER(H70),ISNUMBER(H71),ISNUMBER(H72)),SUM(H68,H70:H72),"")</f>
        <v/>
      </c>
      <c r="I73" s="120"/>
      <c r="J73" s="120"/>
      <c r="K73" s="10"/>
    </row>
    <row r="74" spans="1:19" ht="15" customHeight="1" x14ac:dyDescent="0.2">
      <c r="A74" s="127"/>
      <c r="B74" s="693" t="s">
        <v>589</v>
      </c>
      <c r="C74" s="653"/>
      <c r="D74" s="689"/>
      <c r="E74" s="220"/>
      <c r="F74" s="220"/>
      <c r="G74" s="690"/>
      <c r="H74" s="694"/>
      <c r="I74" s="120"/>
      <c r="J74" s="120"/>
      <c r="K74" s="10"/>
    </row>
    <row r="75" spans="1:19" ht="15" customHeight="1" x14ac:dyDescent="0.2">
      <c r="A75" s="127"/>
      <c r="B75" s="695" t="s">
        <v>590</v>
      </c>
      <c r="C75" s="675"/>
      <c r="D75" s="696"/>
      <c r="E75" s="221"/>
      <c r="F75" s="221"/>
      <c r="G75" s="697"/>
      <c r="H75" s="626" t="str">
        <f>IF(AND(ISNUMBER(H73),ISNUMBER(H74)),MIN(H73,H74),"")</f>
        <v/>
      </c>
      <c r="I75" s="120"/>
      <c r="J75" s="120"/>
      <c r="K75" s="10"/>
    </row>
    <row r="76" spans="1:19" s="114" customFormat="1" ht="45" customHeight="1" x14ac:dyDescent="0.25">
      <c r="A76" s="49" t="s">
        <v>822</v>
      </c>
      <c r="B76" s="49"/>
      <c r="C76" s="118"/>
      <c r="D76" s="118"/>
      <c r="E76" s="119"/>
      <c r="F76" s="120"/>
      <c r="G76" s="120"/>
      <c r="H76" s="120"/>
      <c r="I76" s="120"/>
      <c r="J76" s="120"/>
      <c r="K76" s="10"/>
      <c r="L76" s="120"/>
      <c r="M76" s="120"/>
      <c r="N76" s="120"/>
      <c r="O76" s="120"/>
      <c r="P76" s="120"/>
      <c r="Q76" s="120"/>
      <c r="R76" s="120"/>
      <c r="S76" s="120"/>
    </row>
    <row r="77" spans="1:19" ht="15" customHeight="1" x14ac:dyDescent="0.2">
      <c r="A77" s="127"/>
      <c r="B77" s="109"/>
      <c r="C77" s="107"/>
      <c r="D77" s="130"/>
      <c r="E77" s="131"/>
      <c r="F77" s="132"/>
      <c r="G77" s="125"/>
      <c r="H77" s="125"/>
      <c r="I77" s="120"/>
      <c r="J77" s="120"/>
      <c r="K77" s="10"/>
    </row>
    <row r="78" spans="1:19" ht="15" customHeight="1" x14ac:dyDescent="0.2">
      <c r="A78" s="127"/>
      <c r="B78" s="111" t="s">
        <v>823</v>
      </c>
      <c r="C78" s="111"/>
      <c r="D78" s="133"/>
      <c r="E78" s="133"/>
      <c r="F78" s="133"/>
      <c r="G78" s="133"/>
      <c r="H78" s="707" t="str">
        <f>IF(C65="Yes",SUM(H53,H75),H53)</f>
        <v/>
      </c>
      <c r="I78" s="120"/>
      <c r="J78" s="120"/>
      <c r="K78" s="10"/>
    </row>
    <row r="79" spans="1:19" ht="15" customHeight="1" x14ac:dyDescent="0.2">
      <c r="A79" s="127"/>
      <c r="B79" s="109"/>
      <c r="C79" s="123"/>
      <c r="D79" s="124"/>
      <c r="E79" s="125"/>
      <c r="F79" s="134"/>
      <c r="G79" s="125"/>
      <c r="H79" s="125"/>
      <c r="I79" s="120"/>
      <c r="J79" s="120"/>
      <c r="K79" s="10"/>
    </row>
    <row r="80" spans="1:19" s="117" customFormat="1" ht="30" customHeight="1" x14ac:dyDescent="0.25">
      <c r="A80" s="1479" t="s">
        <v>59</v>
      </c>
      <c r="B80" s="115"/>
      <c r="C80" s="115"/>
      <c r="D80" s="115"/>
      <c r="E80" s="115"/>
      <c r="F80" s="115"/>
      <c r="G80" s="115"/>
      <c r="H80" s="115"/>
      <c r="I80" s="152"/>
      <c r="J80" s="152"/>
      <c r="K80" s="116"/>
    </row>
    <row r="81" spans="1:19" s="114" customFormat="1" ht="30" customHeight="1" x14ac:dyDescent="0.25">
      <c r="A81" s="49" t="s">
        <v>502</v>
      </c>
      <c r="B81" s="49"/>
      <c r="C81" s="118"/>
      <c r="D81" s="118"/>
      <c r="E81" s="135"/>
      <c r="F81" s="120"/>
      <c r="G81" s="120"/>
      <c r="H81" s="120"/>
      <c r="I81" s="120"/>
      <c r="J81" s="120"/>
      <c r="K81" s="10"/>
      <c r="L81" s="120"/>
      <c r="M81" s="120"/>
      <c r="N81" s="120"/>
      <c r="O81" s="120"/>
      <c r="P81" s="120"/>
      <c r="Q81" s="120"/>
      <c r="R81" s="120"/>
      <c r="S81" s="120"/>
    </row>
    <row r="82" spans="1:19" s="114" customFormat="1" ht="45" customHeight="1" x14ac:dyDescent="0.25">
      <c r="A82" s="1645" t="s">
        <v>909</v>
      </c>
      <c r="B82" s="1645"/>
      <c r="C82" s="1645"/>
      <c r="D82" s="1645"/>
      <c r="E82" s="1645"/>
      <c r="F82" s="1645"/>
      <c r="G82" s="1645"/>
      <c r="H82" s="1645"/>
      <c r="I82" s="1645"/>
      <c r="J82" s="1645"/>
      <c r="K82" s="1682"/>
      <c r="L82" s="120"/>
      <c r="M82" s="120"/>
      <c r="N82" s="120"/>
      <c r="O82" s="120"/>
      <c r="P82" s="120"/>
      <c r="Q82" s="120"/>
      <c r="R82" s="120"/>
      <c r="S82" s="120"/>
    </row>
    <row r="83" spans="1:19" ht="30" customHeight="1" x14ac:dyDescent="0.2">
      <c r="A83" s="126"/>
      <c r="B83" s="627"/>
      <c r="C83" s="628" t="s">
        <v>813</v>
      </c>
      <c r="D83" s="628" t="s">
        <v>536</v>
      </c>
      <c r="E83" s="629"/>
      <c r="F83" s="629"/>
      <c r="G83" s="628" t="s">
        <v>566</v>
      </c>
      <c r="H83" s="630" t="s">
        <v>567</v>
      </c>
      <c r="I83" s="120"/>
      <c r="J83" s="120"/>
      <c r="K83" s="10"/>
    </row>
    <row r="84" spans="1:19" ht="15" customHeight="1" x14ac:dyDescent="0.2">
      <c r="A84" s="126"/>
      <c r="B84" s="638" t="s">
        <v>531</v>
      </c>
      <c r="C84" s="717"/>
      <c r="D84" s="718"/>
      <c r="E84" s="719"/>
      <c r="F84" s="719"/>
      <c r="G84" s="720" t="s">
        <v>592</v>
      </c>
      <c r="H84" s="721"/>
      <c r="I84" s="120"/>
      <c r="J84" s="120"/>
      <c r="K84" s="10"/>
    </row>
    <row r="85" spans="1:19" ht="15" customHeight="1" x14ac:dyDescent="0.2">
      <c r="A85" s="126"/>
      <c r="B85" s="640" t="s">
        <v>593</v>
      </c>
      <c r="C85" s="722"/>
      <c r="D85" s="723"/>
      <c r="E85" s="724"/>
      <c r="F85" s="724"/>
      <c r="G85" s="725"/>
      <c r="H85" s="726"/>
      <c r="I85" s="120"/>
      <c r="J85" s="120"/>
      <c r="K85" s="10"/>
    </row>
    <row r="86" spans="1:19" ht="15" customHeight="1" x14ac:dyDescent="0.2">
      <c r="A86" s="126"/>
      <c r="B86" s="727" t="s">
        <v>702</v>
      </c>
      <c r="C86" s="616" t="s">
        <v>807</v>
      </c>
      <c r="D86" s="723"/>
      <c r="E86" s="724"/>
      <c r="F86" s="724"/>
      <c r="G86" s="725"/>
      <c r="H86" s="726"/>
      <c r="I86" s="120"/>
      <c r="J86" s="120"/>
      <c r="K86" s="10"/>
    </row>
    <row r="87" spans="1:19" ht="15" customHeight="1" x14ac:dyDescent="0.2">
      <c r="A87" s="126"/>
      <c r="B87" s="728" t="s">
        <v>684</v>
      </c>
      <c r="C87" s="616">
        <v>78</v>
      </c>
      <c r="D87" s="729"/>
      <c r="E87" s="724"/>
      <c r="F87" s="724"/>
      <c r="G87" s="730"/>
      <c r="H87" s="726"/>
      <c r="I87" s="120"/>
      <c r="J87" s="120"/>
      <c r="K87" s="10"/>
    </row>
    <row r="88" spans="1:19" ht="15" customHeight="1" x14ac:dyDescent="0.2">
      <c r="A88" s="126"/>
      <c r="B88" s="731" t="s">
        <v>685</v>
      </c>
      <c r="C88" s="616">
        <v>78</v>
      </c>
      <c r="D88" s="657"/>
      <c r="E88" s="732"/>
      <c r="F88" s="732"/>
      <c r="G88" s="733">
        <v>0.03</v>
      </c>
      <c r="H88" s="734" t="str">
        <f>IF(AND(ISNUMBER(D88),ISNUMBER(G88)),D88*G88,"")</f>
        <v/>
      </c>
      <c r="I88" s="120"/>
      <c r="J88" s="120"/>
      <c r="K88" s="10"/>
    </row>
    <row r="89" spans="1:19" ht="15" customHeight="1" x14ac:dyDescent="0.2">
      <c r="A89" s="126"/>
      <c r="B89" s="731" t="s">
        <v>686</v>
      </c>
      <c r="C89" s="616">
        <v>78</v>
      </c>
      <c r="D89" s="657"/>
      <c r="E89" s="732"/>
      <c r="F89" s="732"/>
      <c r="G89" s="733">
        <v>0.03</v>
      </c>
      <c r="H89" s="734" t="str">
        <f>IF(AND(ISNUMBER(D89),ISNUMBER(G89)),D89*G89,"")</f>
        <v/>
      </c>
      <c r="I89" s="120"/>
      <c r="J89" s="120"/>
      <c r="K89" s="10"/>
    </row>
    <row r="90" spans="1:19" ht="15" customHeight="1" x14ac:dyDescent="0.2">
      <c r="A90" s="126"/>
      <c r="B90" s="728" t="s">
        <v>687</v>
      </c>
      <c r="C90" s="616">
        <v>75</v>
      </c>
      <c r="D90" s="735"/>
      <c r="E90" s="732"/>
      <c r="F90" s="732"/>
      <c r="G90" s="736"/>
      <c r="H90" s="726"/>
      <c r="I90" s="120"/>
      <c r="J90" s="120"/>
      <c r="K90" s="10"/>
    </row>
    <row r="91" spans="1:19" ht="15" customHeight="1" x14ac:dyDescent="0.2">
      <c r="A91" s="126"/>
      <c r="B91" s="731" t="s">
        <v>685</v>
      </c>
      <c r="C91" s="616">
        <v>75</v>
      </c>
      <c r="D91" s="647"/>
      <c r="E91" s="732"/>
      <c r="F91" s="732"/>
      <c r="G91" s="733">
        <v>0.05</v>
      </c>
      <c r="H91" s="734" t="str">
        <f>IF(AND(ISNUMBER(D91),ISNUMBER(G91)),D91*G91,"")</f>
        <v/>
      </c>
      <c r="I91" s="120"/>
      <c r="J91" s="120"/>
      <c r="K91" s="10"/>
    </row>
    <row r="92" spans="1:19" ht="15" customHeight="1" x14ac:dyDescent="0.2">
      <c r="A92" s="126"/>
      <c r="B92" s="731" t="s">
        <v>686</v>
      </c>
      <c r="C92" s="616">
        <v>75</v>
      </c>
      <c r="D92" s="647"/>
      <c r="E92" s="732"/>
      <c r="F92" s="732"/>
      <c r="G92" s="733">
        <v>0.05</v>
      </c>
      <c r="H92" s="734" t="str">
        <f>IF(AND(ISNUMBER(D92),ISNUMBER(G92)),D92*G92,"")</f>
        <v/>
      </c>
      <c r="I92" s="120"/>
      <c r="J92" s="120"/>
      <c r="K92" s="10"/>
    </row>
    <row r="93" spans="1:19" ht="29.25" customHeight="1" x14ac:dyDescent="0.2">
      <c r="A93" s="126"/>
      <c r="B93" s="727" t="s">
        <v>703</v>
      </c>
      <c r="C93" s="616" t="s">
        <v>807</v>
      </c>
      <c r="D93" s="737"/>
      <c r="E93" s="732"/>
      <c r="F93" s="732"/>
      <c r="G93" s="725"/>
      <c r="H93" s="726"/>
      <c r="I93" s="120"/>
      <c r="J93" s="120"/>
      <c r="K93" s="10"/>
    </row>
    <row r="94" spans="1:19" ht="15" customHeight="1" x14ac:dyDescent="0.2">
      <c r="A94" s="126"/>
      <c r="B94" s="728" t="s">
        <v>684</v>
      </c>
      <c r="C94" s="616">
        <v>78</v>
      </c>
      <c r="D94" s="735"/>
      <c r="E94" s="732"/>
      <c r="F94" s="732"/>
      <c r="G94" s="730"/>
      <c r="H94" s="726"/>
      <c r="I94" s="120"/>
      <c r="J94" s="120"/>
      <c r="K94" s="10"/>
    </row>
    <row r="95" spans="1:19" ht="15" customHeight="1" x14ac:dyDescent="0.2">
      <c r="A95" s="126"/>
      <c r="B95" s="731" t="s">
        <v>685</v>
      </c>
      <c r="C95" s="738"/>
      <c r="D95" s="657"/>
      <c r="E95" s="732"/>
      <c r="F95" s="732"/>
      <c r="G95" s="733">
        <v>0.03</v>
      </c>
      <c r="H95" s="734" t="str">
        <f>IF(AND(ISNUMBER(D95),ISNUMBER(G95)),D95*G95,"")</f>
        <v/>
      </c>
      <c r="I95" s="120"/>
      <c r="J95" s="120"/>
      <c r="K95" s="10"/>
    </row>
    <row r="96" spans="1:19" ht="15" customHeight="1" x14ac:dyDescent="0.2">
      <c r="A96" s="126"/>
      <c r="B96" s="731" t="s">
        <v>686</v>
      </c>
      <c r="C96" s="738"/>
      <c r="D96" s="657"/>
      <c r="E96" s="732"/>
      <c r="F96" s="732"/>
      <c r="G96" s="733">
        <v>0.03</v>
      </c>
      <c r="H96" s="734" t="str">
        <f>IF(AND(ISNUMBER(D96),ISNUMBER(G96)),D96*G96,"")</f>
        <v/>
      </c>
      <c r="I96" s="120"/>
      <c r="J96" s="120"/>
      <c r="K96" s="10"/>
    </row>
    <row r="97" spans="1:19" ht="15" customHeight="1" x14ac:dyDescent="0.2">
      <c r="A97" s="126"/>
      <c r="B97" s="728" t="s">
        <v>687</v>
      </c>
      <c r="C97" s="616">
        <v>75</v>
      </c>
      <c r="D97" s="735"/>
      <c r="E97" s="732"/>
      <c r="F97" s="732"/>
      <c r="G97" s="730"/>
      <c r="H97" s="726"/>
      <c r="I97" s="120"/>
      <c r="J97" s="120"/>
      <c r="K97" s="10"/>
    </row>
    <row r="98" spans="1:19" ht="15" customHeight="1" x14ac:dyDescent="0.2">
      <c r="A98" s="126"/>
      <c r="B98" s="731" t="s">
        <v>685</v>
      </c>
      <c r="C98" s="738"/>
      <c r="D98" s="647"/>
      <c r="E98" s="732"/>
      <c r="F98" s="732"/>
      <c r="G98" s="733">
        <v>0.05</v>
      </c>
      <c r="H98" s="734" t="str">
        <f>IF(AND(ISNUMBER(D98),ISNUMBER(G98)),D98*G98,"")</f>
        <v/>
      </c>
      <c r="I98" s="120"/>
      <c r="J98" s="120"/>
      <c r="K98" s="10"/>
    </row>
    <row r="99" spans="1:19" ht="15" customHeight="1" x14ac:dyDescent="0.2">
      <c r="A99" s="126"/>
      <c r="B99" s="731" t="s">
        <v>686</v>
      </c>
      <c r="C99" s="738"/>
      <c r="D99" s="647"/>
      <c r="E99" s="732"/>
      <c r="F99" s="732"/>
      <c r="G99" s="733">
        <v>0.05</v>
      </c>
      <c r="H99" s="734" t="str">
        <f>IF(AND(ISNUMBER(D99),ISNUMBER(G99)),D99*G99,"")</f>
        <v/>
      </c>
      <c r="I99" s="120"/>
      <c r="J99" s="120"/>
      <c r="K99" s="10"/>
    </row>
    <row r="100" spans="1:19" ht="15" customHeight="1" x14ac:dyDescent="0.2">
      <c r="A100" s="126"/>
      <c r="B100" s="727" t="s">
        <v>594</v>
      </c>
      <c r="C100" s="616">
        <v>79</v>
      </c>
      <c r="D100" s="647"/>
      <c r="E100" s="732"/>
      <c r="F100" s="732"/>
      <c r="G100" s="733">
        <v>0.1</v>
      </c>
      <c r="H100" s="734" t="str">
        <f>IF(AND(ISNUMBER(D100),ISNUMBER(G100)),D100*G100,"")</f>
        <v/>
      </c>
      <c r="I100" s="120"/>
      <c r="J100" s="120"/>
      <c r="K100" s="10"/>
    </row>
    <row r="101" spans="1:19" ht="15" customHeight="1" x14ac:dyDescent="0.2">
      <c r="A101" s="126"/>
      <c r="B101" s="640" t="s">
        <v>595</v>
      </c>
      <c r="C101" s="616">
        <v>79</v>
      </c>
      <c r="D101" s="647"/>
      <c r="E101" s="732"/>
      <c r="F101" s="732"/>
      <c r="G101" s="733">
        <v>0.1</v>
      </c>
      <c r="H101" s="734" t="str">
        <f>IF(AND(ISNUMBER(D101),ISNUMBER(G101)),D101*G101,"")</f>
        <v/>
      </c>
      <c r="I101" s="120"/>
      <c r="J101" s="120"/>
      <c r="K101" s="10"/>
    </row>
    <row r="102" spans="1:19" ht="15" customHeight="1" x14ac:dyDescent="0.2">
      <c r="A102" s="126"/>
      <c r="B102" s="640" t="s">
        <v>596</v>
      </c>
      <c r="C102" s="616">
        <v>79</v>
      </c>
      <c r="D102" s="723"/>
      <c r="E102" s="732"/>
      <c r="F102" s="732"/>
      <c r="G102" s="739"/>
      <c r="H102" s="740"/>
      <c r="I102" s="120"/>
      <c r="J102" s="120"/>
      <c r="K102" s="10"/>
    </row>
    <row r="103" spans="1:19" ht="15" customHeight="1" x14ac:dyDescent="0.2">
      <c r="A103" s="126"/>
      <c r="B103" s="741" t="str">
        <f>Parameters!B50</f>
        <v>Category 1</v>
      </c>
      <c r="C103" s="742"/>
      <c r="D103" s="657"/>
      <c r="E103" s="732"/>
      <c r="F103" s="732"/>
      <c r="G103" s="733">
        <f>Parameters!F50</f>
        <v>0</v>
      </c>
      <c r="H103" s="734" t="str">
        <f>IF(AND(ISNUMBER(D103),ISNUMBER(G103)),D103*G103,"")</f>
        <v/>
      </c>
      <c r="I103" s="120"/>
      <c r="J103" s="120"/>
      <c r="K103" s="10"/>
    </row>
    <row r="104" spans="1:19" ht="15" customHeight="1" x14ac:dyDescent="0.2">
      <c r="A104" s="126"/>
      <c r="B104" s="741" t="str">
        <f>Parameters!B51</f>
        <v>Category 2</v>
      </c>
      <c r="C104" s="742"/>
      <c r="D104" s="657"/>
      <c r="E104" s="732"/>
      <c r="F104" s="732"/>
      <c r="G104" s="733">
        <f>Parameters!F51</f>
        <v>0</v>
      </c>
      <c r="H104" s="734" t="str">
        <f>IF(AND(ISNUMBER(D104),ISNUMBER(G104)),D104*G104,"")</f>
        <v/>
      </c>
      <c r="I104" s="120"/>
      <c r="J104" s="120"/>
      <c r="K104" s="10"/>
    </row>
    <row r="105" spans="1:19" ht="15" customHeight="1" x14ac:dyDescent="0.2">
      <c r="A105" s="126"/>
      <c r="B105" s="741" t="str">
        <f>Parameters!B52</f>
        <v>Category 3</v>
      </c>
      <c r="C105" s="742"/>
      <c r="D105" s="657"/>
      <c r="E105" s="732"/>
      <c r="F105" s="732"/>
      <c r="G105" s="733">
        <f>Parameters!F52</f>
        <v>0</v>
      </c>
      <c r="H105" s="734" t="str">
        <f>IF(AND(ISNUMBER(D105),ISNUMBER(G105)),D105*G105,"")</f>
        <v/>
      </c>
      <c r="I105" s="120"/>
      <c r="J105" s="120"/>
      <c r="K105" s="10"/>
    </row>
    <row r="106" spans="1:19" ht="15" customHeight="1" x14ac:dyDescent="0.2">
      <c r="A106" s="126"/>
      <c r="B106" s="640" t="s">
        <v>688</v>
      </c>
      <c r="C106" s="616" t="s">
        <v>808</v>
      </c>
      <c r="D106" s="723"/>
      <c r="E106" s="732"/>
      <c r="F106" s="732"/>
      <c r="G106" s="739"/>
      <c r="H106" s="740"/>
      <c r="I106" s="120"/>
      <c r="J106" s="120"/>
      <c r="K106" s="10"/>
    </row>
    <row r="107" spans="1:19" ht="15" customHeight="1" x14ac:dyDescent="0.2">
      <c r="A107" s="126"/>
      <c r="B107" s="727" t="s">
        <v>600</v>
      </c>
      <c r="C107" s="616">
        <v>84</v>
      </c>
      <c r="D107" s="657"/>
      <c r="E107" s="732"/>
      <c r="F107" s="732"/>
      <c r="G107" s="733">
        <f>Parameters!F53</f>
        <v>0</v>
      </c>
      <c r="H107" s="734" t="str">
        <f>IF(AND(ISNUMBER(D107),ISNUMBER(G107)),D107*G107,"")</f>
        <v/>
      </c>
      <c r="I107" s="120"/>
      <c r="J107" s="120"/>
      <c r="K107" s="10"/>
    </row>
    <row r="108" spans="1:19" ht="15" customHeight="1" x14ac:dyDescent="0.2">
      <c r="A108" s="126"/>
      <c r="B108" s="743" t="s">
        <v>601</v>
      </c>
      <c r="C108" s="624">
        <v>82</v>
      </c>
      <c r="D108" s="648"/>
      <c r="E108" s="744"/>
      <c r="F108" s="744"/>
      <c r="G108" s="745">
        <v>0</v>
      </c>
      <c r="H108" s="746" t="str">
        <f>IF(AND(ISNUMBER(D108),ISNUMBER(G108)),D108*G108,"")</f>
        <v/>
      </c>
      <c r="I108" s="120"/>
      <c r="J108" s="120"/>
      <c r="K108" s="10"/>
    </row>
    <row r="109" spans="1:19" ht="15" customHeight="1" x14ac:dyDescent="0.2">
      <c r="A109" s="126"/>
      <c r="B109" s="658" t="s">
        <v>602</v>
      </c>
      <c r="C109" s="715"/>
      <c r="D109" s="711"/>
      <c r="E109" s="710"/>
      <c r="F109" s="710"/>
      <c r="G109" s="712"/>
      <c r="H109" s="716" t="str">
        <f>IF(AND(ISNUMBER(H91),ISNUMBER(H92),ISNUMBER(H98),ISNUMBER(H99),ISNUMBER(H100),ISNUMBER(H101),ISNUMBER(H108)),SUM(H88:H89,H91:H92,H95:H96,H98:H101,H103:H105,H107:H108),"")</f>
        <v/>
      </c>
      <c r="I109" s="120"/>
      <c r="J109" s="120"/>
      <c r="K109" s="10"/>
    </row>
    <row r="110" spans="1:19" s="114" customFormat="1" ht="60" customHeight="1" x14ac:dyDescent="0.25">
      <c r="A110" s="1645" t="s">
        <v>910</v>
      </c>
      <c r="B110" s="1645"/>
      <c r="C110" s="1645"/>
      <c r="D110" s="1645"/>
      <c r="E110" s="1645"/>
      <c r="F110" s="1645"/>
      <c r="G110" s="1645"/>
      <c r="H110" s="1645"/>
      <c r="I110" s="1645"/>
      <c r="J110" s="1645"/>
      <c r="K110" s="1682"/>
      <c r="L110" s="120"/>
      <c r="M110" s="120"/>
      <c r="N110" s="120"/>
      <c r="O110" s="120"/>
      <c r="P110" s="120"/>
      <c r="Q110" s="120"/>
      <c r="R110" s="120"/>
      <c r="S110" s="120"/>
    </row>
    <row r="111" spans="1:19" ht="30" customHeight="1" x14ac:dyDescent="0.2">
      <c r="A111" s="126"/>
      <c r="B111" s="627"/>
      <c r="C111" s="628" t="s">
        <v>813</v>
      </c>
      <c r="D111" s="628" t="s">
        <v>536</v>
      </c>
      <c r="E111" s="629"/>
      <c r="F111" s="629"/>
      <c r="G111" s="628" t="s">
        <v>566</v>
      </c>
      <c r="H111" s="630" t="s">
        <v>567</v>
      </c>
      <c r="I111" s="120"/>
      <c r="J111" s="120"/>
      <c r="K111" s="10"/>
    </row>
    <row r="112" spans="1:19" ht="15" customHeight="1" x14ac:dyDescent="0.2">
      <c r="A112" s="126"/>
      <c r="B112" s="677" t="s">
        <v>603</v>
      </c>
      <c r="C112" s="608" t="s">
        <v>689</v>
      </c>
      <c r="D112" s="747"/>
      <c r="E112" s="748"/>
      <c r="F112" s="748"/>
      <c r="G112" s="747"/>
      <c r="H112" s="749"/>
      <c r="I112" s="120"/>
      <c r="J112" s="120"/>
      <c r="K112" s="10"/>
    </row>
    <row r="113" spans="1:11" ht="15" customHeight="1" x14ac:dyDescent="0.2">
      <c r="A113" s="126"/>
      <c r="B113" s="640" t="s">
        <v>604</v>
      </c>
      <c r="C113" s="750" t="s">
        <v>690</v>
      </c>
      <c r="D113" s="751"/>
      <c r="E113" s="732"/>
      <c r="F113" s="732"/>
      <c r="G113" s="751" t="s">
        <v>592</v>
      </c>
      <c r="H113" s="752"/>
      <c r="I113" s="120"/>
      <c r="J113" s="120"/>
      <c r="K113" s="10"/>
    </row>
    <row r="114" spans="1:11" ht="15" customHeight="1" x14ac:dyDescent="0.2">
      <c r="A114" s="126"/>
      <c r="B114" s="727" t="s">
        <v>593</v>
      </c>
      <c r="C114" s="750" t="s">
        <v>691</v>
      </c>
      <c r="D114" s="751"/>
      <c r="E114" s="732"/>
      <c r="F114" s="732"/>
      <c r="G114" s="751"/>
      <c r="H114" s="752"/>
      <c r="I114" s="120"/>
      <c r="J114" s="120"/>
      <c r="K114" s="10"/>
    </row>
    <row r="115" spans="1:11" ht="15" customHeight="1" x14ac:dyDescent="0.2">
      <c r="A115" s="126"/>
      <c r="B115" s="753" t="s">
        <v>702</v>
      </c>
      <c r="C115" s="616" t="s">
        <v>692</v>
      </c>
      <c r="D115" s="735"/>
      <c r="E115" s="732"/>
      <c r="F115" s="732"/>
      <c r="G115" s="736"/>
      <c r="H115" s="726"/>
      <c r="I115" s="120"/>
      <c r="J115" s="120"/>
      <c r="K115" s="10"/>
    </row>
    <row r="116" spans="1:11" ht="15" customHeight="1" x14ac:dyDescent="0.2">
      <c r="A116" s="126"/>
      <c r="B116" s="754" t="s">
        <v>684</v>
      </c>
      <c r="C116" s="616" t="s">
        <v>693</v>
      </c>
      <c r="D116" s="735"/>
      <c r="E116" s="732"/>
      <c r="F116" s="732"/>
      <c r="G116" s="736"/>
      <c r="H116" s="726"/>
      <c r="I116" s="120"/>
      <c r="J116" s="120"/>
      <c r="K116" s="10"/>
    </row>
    <row r="117" spans="1:11" ht="15" customHeight="1" x14ac:dyDescent="0.2">
      <c r="A117" s="126"/>
      <c r="B117" s="755" t="s">
        <v>685</v>
      </c>
      <c r="C117" s="616" t="s">
        <v>693</v>
      </c>
      <c r="D117" s="657"/>
      <c r="E117" s="732"/>
      <c r="F117" s="732"/>
      <c r="G117" s="733">
        <v>0.03</v>
      </c>
      <c r="H117" s="734" t="str">
        <f>IF(AND(ISNUMBER(D117),ISNUMBER(G117)),D117*G117,"")</f>
        <v/>
      </c>
      <c r="I117" s="120"/>
      <c r="J117" s="120"/>
      <c r="K117" s="10"/>
    </row>
    <row r="118" spans="1:11" ht="15" customHeight="1" x14ac:dyDescent="0.2">
      <c r="A118" s="126"/>
      <c r="B118" s="755" t="s">
        <v>686</v>
      </c>
      <c r="C118" s="616" t="s">
        <v>693</v>
      </c>
      <c r="D118" s="657"/>
      <c r="E118" s="732"/>
      <c r="F118" s="732"/>
      <c r="G118" s="733">
        <v>0.03</v>
      </c>
      <c r="H118" s="734" t="str">
        <f>IF(AND(ISNUMBER(D118),ISNUMBER(G118)),D118*G118,"")</f>
        <v/>
      </c>
      <c r="I118" s="120"/>
      <c r="J118" s="120"/>
      <c r="K118" s="10"/>
    </row>
    <row r="119" spans="1:11" ht="15" customHeight="1" x14ac:dyDescent="0.2">
      <c r="A119" s="126"/>
      <c r="B119" s="754" t="s">
        <v>687</v>
      </c>
      <c r="C119" s="616" t="s">
        <v>694</v>
      </c>
      <c r="D119" s="735"/>
      <c r="E119" s="732"/>
      <c r="F119" s="732"/>
      <c r="G119" s="736"/>
      <c r="H119" s="726"/>
      <c r="I119" s="120"/>
      <c r="J119" s="120"/>
      <c r="K119" s="10"/>
    </row>
    <row r="120" spans="1:11" ht="15" customHeight="1" x14ac:dyDescent="0.2">
      <c r="A120" s="126"/>
      <c r="B120" s="755" t="s">
        <v>685</v>
      </c>
      <c r="C120" s="616" t="s">
        <v>694</v>
      </c>
      <c r="D120" s="647"/>
      <c r="E120" s="732"/>
      <c r="F120" s="732"/>
      <c r="G120" s="733">
        <v>0.05</v>
      </c>
      <c r="H120" s="734" t="str">
        <f>IF(AND(ISNUMBER(D120),ISNUMBER(G120)),D120*G120,"")</f>
        <v/>
      </c>
      <c r="I120" s="120"/>
      <c r="J120" s="120"/>
      <c r="K120" s="10"/>
    </row>
    <row r="121" spans="1:11" ht="15" customHeight="1" x14ac:dyDescent="0.2">
      <c r="A121" s="126"/>
      <c r="B121" s="755" t="s">
        <v>686</v>
      </c>
      <c r="C121" s="616" t="s">
        <v>694</v>
      </c>
      <c r="D121" s="647"/>
      <c r="E121" s="732"/>
      <c r="F121" s="732"/>
      <c r="G121" s="733">
        <v>0.05</v>
      </c>
      <c r="H121" s="734" t="str">
        <f>IF(AND(ISNUMBER(D121),ISNUMBER(G121)),D121*G121,"")</f>
        <v/>
      </c>
      <c r="I121" s="120"/>
      <c r="J121" s="120"/>
      <c r="K121" s="10"/>
    </row>
    <row r="122" spans="1:11" ht="30" customHeight="1" x14ac:dyDescent="0.2">
      <c r="A122" s="126"/>
      <c r="B122" s="753" t="s">
        <v>703</v>
      </c>
      <c r="C122" s="616" t="s">
        <v>692</v>
      </c>
      <c r="D122" s="735"/>
      <c r="E122" s="732"/>
      <c r="F122" s="732"/>
      <c r="G122" s="736"/>
      <c r="H122" s="726"/>
      <c r="I122" s="120"/>
      <c r="J122" s="120"/>
      <c r="K122" s="10"/>
    </row>
    <row r="123" spans="1:11" ht="15" customHeight="1" x14ac:dyDescent="0.2">
      <c r="A123" s="126"/>
      <c r="B123" s="754" t="s">
        <v>684</v>
      </c>
      <c r="C123" s="616" t="s">
        <v>693</v>
      </c>
      <c r="D123" s="735"/>
      <c r="E123" s="732"/>
      <c r="F123" s="732"/>
      <c r="G123" s="736"/>
      <c r="H123" s="726"/>
      <c r="I123" s="120"/>
      <c r="J123" s="120"/>
      <c r="K123" s="10"/>
    </row>
    <row r="124" spans="1:11" ht="15" customHeight="1" x14ac:dyDescent="0.2">
      <c r="A124" s="126"/>
      <c r="B124" s="755" t="s">
        <v>685</v>
      </c>
      <c r="C124" s="616" t="s">
        <v>693</v>
      </c>
      <c r="D124" s="657"/>
      <c r="E124" s="732"/>
      <c r="F124" s="732"/>
      <c r="G124" s="733">
        <v>0.03</v>
      </c>
      <c r="H124" s="734" t="str">
        <f>IF(AND(ISNUMBER(D124),ISNUMBER(G124)),D124*G124,"")</f>
        <v/>
      </c>
      <c r="I124" s="120"/>
      <c r="J124" s="120"/>
      <c r="K124" s="10"/>
    </row>
    <row r="125" spans="1:11" ht="15" customHeight="1" x14ac:dyDescent="0.2">
      <c r="A125" s="126"/>
      <c r="B125" s="755" t="s">
        <v>686</v>
      </c>
      <c r="C125" s="616" t="s">
        <v>693</v>
      </c>
      <c r="D125" s="657"/>
      <c r="E125" s="732"/>
      <c r="F125" s="732"/>
      <c r="G125" s="733">
        <v>0.03</v>
      </c>
      <c r="H125" s="734" t="str">
        <f>IF(AND(ISNUMBER(D125),ISNUMBER(G125)),D125*G125,"")</f>
        <v/>
      </c>
      <c r="I125" s="120"/>
      <c r="J125" s="120"/>
      <c r="K125" s="10"/>
    </row>
    <row r="126" spans="1:11" ht="15" customHeight="1" x14ac:dyDescent="0.2">
      <c r="A126" s="126"/>
      <c r="B126" s="754" t="s">
        <v>687</v>
      </c>
      <c r="C126" s="616" t="s">
        <v>694</v>
      </c>
      <c r="D126" s="735"/>
      <c r="E126" s="732"/>
      <c r="F126" s="732"/>
      <c r="G126" s="736"/>
      <c r="H126" s="726"/>
      <c r="I126" s="120"/>
      <c r="J126" s="120"/>
      <c r="K126" s="10"/>
    </row>
    <row r="127" spans="1:11" ht="15" customHeight="1" x14ac:dyDescent="0.2">
      <c r="A127" s="126"/>
      <c r="B127" s="755" t="s">
        <v>685</v>
      </c>
      <c r="C127" s="616" t="s">
        <v>694</v>
      </c>
      <c r="D127" s="647"/>
      <c r="E127" s="732"/>
      <c r="F127" s="732"/>
      <c r="G127" s="733">
        <v>0.05</v>
      </c>
      <c r="H127" s="734" t="str">
        <f>IF(AND(ISNUMBER(D127),ISNUMBER(G127)),D127*G127,"")</f>
        <v/>
      </c>
      <c r="I127" s="120"/>
      <c r="J127" s="120"/>
      <c r="K127" s="10"/>
    </row>
    <row r="128" spans="1:11" ht="15" customHeight="1" x14ac:dyDescent="0.2">
      <c r="A128" s="126"/>
      <c r="B128" s="755" t="s">
        <v>686</v>
      </c>
      <c r="C128" s="616" t="s">
        <v>694</v>
      </c>
      <c r="D128" s="647"/>
      <c r="E128" s="732"/>
      <c r="F128" s="732"/>
      <c r="G128" s="733">
        <v>0.05</v>
      </c>
      <c r="H128" s="734" t="str">
        <f>IF(AND(ISNUMBER(D128),ISNUMBER(G128)),D128*G128,"")</f>
        <v/>
      </c>
      <c r="I128" s="120"/>
      <c r="J128" s="120"/>
      <c r="K128" s="10"/>
    </row>
    <row r="129" spans="1:11" ht="15" customHeight="1" x14ac:dyDescent="0.2">
      <c r="A129" s="126"/>
      <c r="B129" s="753" t="s">
        <v>594</v>
      </c>
      <c r="C129" s="616" t="s">
        <v>695</v>
      </c>
      <c r="D129" s="756"/>
      <c r="E129" s="732"/>
      <c r="F129" s="732"/>
      <c r="G129" s="733">
        <v>0.1</v>
      </c>
      <c r="H129" s="734" t="str">
        <f>IF(AND(ISNUMBER(D129),ISNUMBER(G129)),D129*G129,"")</f>
        <v/>
      </c>
      <c r="I129" s="120"/>
      <c r="J129" s="120"/>
      <c r="K129" s="10"/>
    </row>
    <row r="130" spans="1:11" ht="15" customHeight="1" x14ac:dyDescent="0.2">
      <c r="A130" s="126"/>
      <c r="B130" s="727" t="s">
        <v>595</v>
      </c>
      <c r="C130" s="616" t="s">
        <v>695</v>
      </c>
      <c r="D130" s="756"/>
      <c r="E130" s="732"/>
      <c r="F130" s="732"/>
      <c r="G130" s="733">
        <v>0.1</v>
      </c>
      <c r="H130" s="734" t="str">
        <f>IF(AND(ISNUMBER(D130),ISNUMBER(G130)),D130*G130,"")</f>
        <v/>
      </c>
      <c r="I130" s="120"/>
      <c r="J130" s="120"/>
      <c r="K130" s="10"/>
    </row>
    <row r="131" spans="1:11" ht="15" customHeight="1" x14ac:dyDescent="0.2">
      <c r="A131" s="126"/>
      <c r="B131" s="727" t="s">
        <v>596</v>
      </c>
      <c r="C131" s="616" t="s">
        <v>695</v>
      </c>
      <c r="D131" s="751"/>
      <c r="E131" s="732"/>
      <c r="F131" s="732"/>
      <c r="G131" s="751"/>
      <c r="H131" s="752"/>
      <c r="I131" s="120"/>
      <c r="J131" s="120"/>
      <c r="K131" s="10"/>
    </row>
    <row r="132" spans="1:11" ht="15" customHeight="1" x14ac:dyDescent="0.2">
      <c r="A132" s="126"/>
      <c r="B132" s="757" t="str">
        <f>Parameters!B50</f>
        <v>Category 1</v>
      </c>
      <c r="C132" s="742"/>
      <c r="D132" s="657"/>
      <c r="E132" s="732"/>
      <c r="F132" s="732"/>
      <c r="G132" s="733">
        <f>Parameters!G50</f>
        <v>0</v>
      </c>
      <c r="H132" s="734" t="str">
        <f>IF(AND(ISNUMBER(D132),ISNUMBER(G132)),D132*G132,"")</f>
        <v/>
      </c>
      <c r="I132" s="120"/>
      <c r="J132" s="120"/>
      <c r="K132" s="10"/>
    </row>
    <row r="133" spans="1:11" ht="15" customHeight="1" x14ac:dyDescent="0.2">
      <c r="A133" s="126"/>
      <c r="B133" s="757" t="str">
        <f>Parameters!B51</f>
        <v>Category 2</v>
      </c>
      <c r="C133" s="742"/>
      <c r="D133" s="657"/>
      <c r="E133" s="732"/>
      <c r="F133" s="732"/>
      <c r="G133" s="733">
        <f>Parameters!G51</f>
        <v>0</v>
      </c>
      <c r="H133" s="734" t="str">
        <f>IF(AND(ISNUMBER(D133),ISNUMBER(G133)),D133*G133,"")</f>
        <v/>
      </c>
      <c r="I133" s="120"/>
      <c r="J133" s="120"/>
      <c r="K133" s="10"/>
    </row>
    <row r="134" spans="1:11" ht="15" customHeight="1" x14ac:dyDescent="0.2">
      <c r="A134" s="126"/>
      <c r="B134" s="757" t="str">
        <f>Parameters!B52</f>
        <v>Category 3</v>
      </c>
      <c r="C134" s="742"/>
      <c r="D134" s="657"/>
      <c r="E134" s="732"/>
      <c r="F134" s="732"/>
      <c r="G134" s="733">
        <f>Parameters!G52</f>
        <v>0</v>
      </c>
      <c r="H134" s="734" t="str">
        <f>IF(AND(ISNUMBER(D134),ISNUMBER(G134)),D134*G134,"")</f>
        <v/>
      </c>
      <c r="I134" s="120"/>
      <c r="J134" s="120"/>
      <c r="K134" s="10"/>
    </row>
    <row r="135" spans="1:11" ht="15" customHeight="1" x14ac:dyDescent="0.2">
      <c r="A135" s="126"/>
      <c r="B135" s="727" t="s">
        <v>704</v>
      </c>
      <c r="C135" s="616" t="s">
        <v>696</v>
      </c>
      <c r="D135" s="751"/>
      <c r="E135" s="732"/>
      <c r="F135" s="732"/>
      <c r="G135" s="751"/>
      <c r="H135" s="752"/>
      <c r="I135" s="120"/>
      <c r="J135" s="120"/>
      <c r="K135" s="10"/>
    </row>
    <row r="136" spans="1:11" ht="15" customHeight="1" x14ac:dyDescent="0.2">
      <c r="A136" s="126"/>
      <c r="B136" s="753" t="s">
        <v>600</v>
      </c>
      <c r="C136" s="616" t="s">
        <v>697</v>
      </c>
      <c r="D136" s="657"/>
      <c r="E136" s="732"/>
      <c r="F136" s="732"/>
      <c r="G136" s="733">
        <f>Parameters!G53</f>
        <v>0</v>
      </c>
      <c r="H136" s="734" t="str">
        <f>IF(AND(ISNUMBER(D136),ISNUMBER(G136)),D136*G136,"")</f>
        <v/>
      </c>
      <c r="I136" s="120"/>
      <c r="J136" s="120"/>
      <c r="K136" s="10"/>
    </row>
    <row r="137" spans="1:11" ht="15" customHeight="1" x14ac:dyDescent="0.2">
      <c r="A137" s="126"/>
      <c r="B137" s="753" t="s">
        <v>30</v>
      </c>
      <c r="C137" s="616" t="s">
        <v>698</v>
      </c>
      <c r="D137" s="756"/>
      <c r="E137" s="732"/>
      <c r="F137" s="732"/>
      <c r="G137" s="733">
        <v>0</v>
      </c>
      <c r="H137" s="734" t="str">
        <f>IF(AND(ISNUMBER(D137),ISNUMBER(G137)),D137*G137,"")</f>
        <v/>
      </c>
      <c r="I137" s="120"/>
      <c r="J137" s="120"/>
      <c r="K137" s="10"/>
    </row>
    <row r="138" spans="1:11" ht="15" customHeight="1" x14ac:dyDescent="0.2">
      <c r="A138" s="126"/>
      <c r="B138" s="640" t="s">
        <v>605</v>
      </c>
      <c r="C138" s="616" t="s">
        <v>699</v>
      </c>
      <c r="D138" s="751"/>
      <c r="E138" s="732"/>
      <c r="F138" s="732"/>
      <c r="G138" s="751"/>
      <c r="H138" s="758"/>
      <c r="I138" s="120"/>
      <c r="J138" s="120"/>
      <c r="K138" s="10"/>
    </row>
    <row r="139" spans="1:11" ht="15" customHeight="1" x14ac:dyDescent="0.2">
      <c r="A139" s="126"/>
      <c r="B139" s="727" t="s">
        <v>606</v>
      </c>
      <c r="C139" s="616" t="s">
        <v>699</v>
      </c>
      <c r="D139" s="751"/>
      <c r="E139" s="732"/>
      <c r="F139" s="732"/>
      <c r="G139" s="751"/>
      <c r="H139" s="758"/>
      <c r="I139" s="120"/>
      <c r="J139" s="120"/>
      <c r="K139" s="10"/>
    </row>
    <row r="140" spans="1:11" ht="15" customHeight="1" x14ac:dyDescent="0.2">
      <c r="A140" s="126"/>
      <c r="B140" s="753" t="s">
        <v>842</v>
      </c>
      <c r="C140" s="616">
        <v>104</v>
      </c>
      <c r="D140" s="657"/>
      <c r="E140" s="732"/>
      <c r="F140" s="732"/>
      <c r="G140" s="733">
        <v>0.03</v>
      </c>
      <c r="H140" s="734" t="str">
        <f>IF(AND(ISNUMBER(D140),ISNUMBER(G140)),D140*G140,"")</f>
        <v/>
      </c>
      <c r="I140" s="120"/>
      <c r="J140" s="120"/>
      <c r="K140" s="10"/>
    </row>
    <row r="141" spans="1:11" ht="15" customHeight="1" x14ac:dyDescent="0.2">
      <c r="A141" s="126"/>
      <c r="B141" s="753" t="s">
        <v>843</v>
      </c>
      <c r="C141" s="616">
        <v>104</v>
      </c>
      <c r="D141" s="756"/>
      <c r="E141" s="732"/>
      <c r="F141" s="732"/>
      <c r="G141" s="733">
        <v>0.05</v>
      </c>
      <c r="H141" s="734" t="str">
        <f>IF(AND(ISNUMBER(D141),ISNUMBER(G141)),D141*G141,"")</f>
        <v/>
      </c>
      <c r="I141" s="120"/>
      <c r="J141" s="120"/>
      <c r="K141" s="10"/>
    </row>
    <row r="142" spans="1:11" ht="15" customHeight="1" x14ac:dyDescent="0.2">
      <c r="A142" s="126"/>
      <c r="B142" s="753" t="s">
        <v>607</v>
      </c>
      <c r="C142" s="616" t="s">
        <v>700</v>
      </c>
      <c r="D142" s="756"/>
      <c r="E142" s="732"/>
      <c r="F142" s="732"/>
      <c r="G142" s="733">
        <v>0.25</v>
      </c>
      <c r="H142" s="734" t="str">
        <f>IF(AND(ISNUMBER(D142),ISNUMBER(G142)),D142*G142,"")</f>
        <v/>
      </c>
      <c r="I142" s="120"/>
      <c r="J142" s="120"/>
      <c r="K142" s="10"/>
    </row>
    <row r="143" spans="1:11" ht="15" customHeight="1" x14ac:dyDescent="0.2">
      <c r="A143" s="126"/>
      <c r="B143" s="727" t="s">
        <v>299</v>
      </c>
      <c r="C143" s="616" t="s">
        <v>699</v>
      </c>
      <c r="D143" s="751"/>
      <c r="E143" s="732"/>
      <c r="F143" s="732"/>
      <c r="G143" s="739"/>
      <c r="H143" s="740"/>
      <c r="I143" s="120"/>
      <c r="J143" s="120"/>
      <c r="K143" s="10"/>
    </row>
    <row r="144" spans="1:11" ht="15" customHeight="1" x14ac:dyDescent="0.2">
      <c r="A144" s="126"/>
      <c r="B144" s="753" t="s">
        <v>842</v>
      </c>
      <c r="C144" s="616">
        <v>104</v>
      </c>
      <c r="D144" s="657"/>
      <c r="E144" s="732"/>
      <c r="F144" s="732"/>
      <c r="G144" s="733">
        <v>0.03</v>
      </c>
      <c r="H144" s="734" t="str">
        <f>IF(AND(ISNUMBER(D144),ISNUMBER(G144)),D144*G144,"")</f>
        <v/>
      </c>
      <c r="I144" s="120"/>
      <c r="J144" s="120"/>
      <c r="K144" s="10"/>
    </row>
    <row r="145" spans="1:11" ht="15" customHeight="1" x14ac:dyDescent="0.2">
      <c r="A145" s="126"/>
      <c r="B145" s="753" t="s">
        <v>843</v>
      </c>
      <c r="C145" s="616">
        <v>104</v>
      </c>
      <c r="D145" s="756"/>
      <c r="E145" s="732"/>
      <c r="F145" s="732"/>
      <c r="G145" s="733">
        <v>0.05</v>
      </c>
      <c r="H145" s="734" t="str">
        <f>IF(AND(ISNUMBER(D145),ISNUMBER(G145)),D145*G145,"")</f>
        <v/>
      </c>
      <c r="I145" s="120"/>
      <c r="J145" s="120"/>
      <c r="K145" s="10"/>
    </row>
    <row r="146" spans="1:11" ht="15" customHeight="1" x14ac:dyDescent="0.2">
      <c r="A146" s="126"/>
      <c r="B146" s="753" t="s">
        <v>607</v>
      </c>
      <c r="C146" s="616" t="s">
        <v>700</v>
      </c>
      <c r="D146" s="756"/>
      <c r="E146" s="732"/>
      <c r="F146" s="732"/>
      <c r="G146" s="733">
        <v>0.25</v>
      </c>
      <c r="H146" s="734" t="str">
        <f>IF(AND(ISNUMBER(D146),ISNUMBER(G146)),D146*G146,"")</f>
        <v/>
      </c>
      <c r="I146" s="120"/>
      <c r="J146" s="120"/>
      <c r="K146" s="10"/>
    </row>
    <row r="147" spans="1:11" ht="15" customHeight="1" x14ac:dyDescent="0.2">
      <c r="A147" s="126"/>
      <c r="B147" s="727" t="s">
        <v>608</v>
      </c>
      <c r="C147" s="616" t="s">
        <v>699</v>
      </c>
      <c r="D147" s="751"/>
      <c r="E147" s="732"/>
      <c r="F147" s="732"/>
      <c r="G147" s="739"/>
      <c r="H147" s="740"/>
      <c r="I147" s="120"/>
      <c r="J147" s="120"/>
      <c r="K147" s="10"/>
    </row>
    <row r="148" spans="1:11" ht="15" customHeight="1" x14ac:dyDescent="0.2">
      <c r="A148" s="126"/>
      <c r="B148" s="753" t="s">
        <v>842</v>
      </c>
      <c r="C148" s="616">
        <v>104</v>
      </c>
      <c r="D148" s="657"/>
      <c r="E148" s="732"/>
      <c r="F148" s="732"/>
      <c r="G148" s="733">
        <v>0.03</v>
      </c>
      <c r="H148" s="734" t="str">
        <f>IF(AND(ISNUMBER(D148),ISNUMBER(G148)),D148*G148,"")</f>
        <v/>
      </c>
      <c r="I148" s="120"/>
      <c r="J148" s="120"/>
      <c r="K148" s="10"/>
    </row>
    <row r="149" spans="1:11" ht="15" customHeight="1" x14ac:dyDescent="0.2">
      <c r="A149" s="126"/>
      <c r="B149" s="753" t="s">
        <v>843</v>
      </c>
      <c r="C149" s="616">
        <v>104</v>
      </c>
      <c r="D149" s="756"/>
      <c r="E149" s="732"/>
      <c r="F149" s="732"/>
      <c r="G149" s="733">
        <v>0.05</v>
      </c>
      <c r="H149" s="734" t="str">
        <f>IF(AND(ISNUMBER(D149),ISNUMBER(G149)),D149*G149,"")</f>
        <v/>
      </c>
      <c r="I149" s="120"/>
      <c r="J149" s="120"/>
      <c r="K149" s="10"/>
    </row>
    <row r="150" spans="1:11" ht="15" customHeight="1" x14ac:dyDescent="0.2">
      <c r="A150" s="126"/>
      <c r="B150" s="753" t="s">
        <v>607</v>
      </c>
      <c r="C150" s="616" t="s">
        <v>700</v>
      </c>
      <c r="D150" s="756"/>
      <c r="E150" s="732"/>
      <c r="F150" s="732"/>
      <c r="G150" s="733">
        <v>0.25</v>
      </c>
      <c r="H150" s="734" t="str">
        <f>IF(AND(ISNUMBER(D150),ISNUMBER(G150)),D150*G150,"")</f>
        <v/>
      </c>
      <c r="I150" s="120"/>
      <c r="J150" s="120"/>
      <c r="K150" s="10"/>
    </row>
    <row r="151" spans="1:11" ht="15" customHeight="1" x14ac:dyDescent="0.2">
      <c r="A151" s="126"/>
      <c r="B151" s="727" t="s">
        <v>204</v>
      </c>
      <c r="C151" s="616" t="s">
        <v>699</v>
      </c>
      <c r="D151" s="751"/>
      <c r="E151" s="732"/>
      <c r="F151" s="732"/>
      <c r="G151" s="739"/>
      <c r="H151" s="740"/>
      <c r="I151" s="120"/>
      <c r="J151" s="120"/>
      <c r="K151" s="10"/>
    </row>
    <row r="152" spans="1:11" ht="15" customHeight="1" x14ac:dyDescent="0.2">
      <c r="A152" s="126"/>
      <c r="B152" s="753" t="s">
        <v>842</v>
      </c>
      <c r="C152" s="616">
        <v>104</v>
      </c>
      <c r="D152" s="657"/>
      <c r="E152" s="732"/>
      <c r="F152" s="732"/>
      <c r="G152" s="733">
        <v>0.03</v>
      </c>
      <c r="H152" s="734" t="str">
        <f>IF(AND(ISNUMBER(D152),ISNUMBER(G152)),D152*G152,"")</f>
        <v/>
      </c>
      <c r="I152" s="120"/>
      <c r="J152" s="120"/>
      <c r="K152" s="10"/>
    </row>
    <row r="153" spans="1:11" ht="15" customHeight="1" x14ac:dyDescent="0.2">
      <c r="A153" s="126"/>
      <c r="B153" s="753" t="s">
        <v>843</v>
      </c>
      <c r="C153" s="616">
        <v>104</v>
      </c>
      <c r="D153" s="756"/>
      <c r="E153" s="732"/>
      <c r="F153" s="732"/>
      <c r="G153" s="733">
        <v>0.05</v>
      </c>
      <c r="H153" s="734" t="str">
        <f>IF(AND(ISNUMBER(D153),ISNUMBER(G153)),D153*G153,"")</f>
        <v/>
      </c>
      <c r="I153" s="120"/>
      <c r="J153" s="120"/>
      <c r="K153" s="10"/>
    </row>
    <row r="154" spans="1:11" ht="15" customHeight="1" x14ac:dyDescent="0.2">
      <c r="A154" s="126"/>
      <c r="B154" s="753" t="s">
        <v>607</v>
      </c>
      <c r="C154" s="616" t="s">
        <v>700</v>
      </c>
      <c r="D154" s="756"/>
      <c r="E154" s="732"/>
      <c r="F154" s="732"/>
      <c r="G154" s="733">
        <v>0.25</v>
      </c>
      <c r="H154" s="734" t="str">
        <f>IF(AND(ISNUMBER(D154),ISNUMBER(G154)),D154*G154,"")</f>
        <v/>
      </c>
      <c r="I154" s="120"/>
      <c r="J154" s="120"/>
      <c r="K154" s="10"/>
    </row>
    <row r="155" spans="1:11" ht="15" customHeight="1" x14ac:dyDescent="0.2">
      <c r="A155" s="126"/>
      <c r="B155" s="640" t="s">
        <v>203</v>
      </c>
      <c r="C155" s="616" t="s">
        <v>824</v>
      </c>
      <c r="D155" s="751"/>
      <c r="E155" s="732"/>
      <c r="F155" s="732"/>
      <c r="G155" s="751"/>
      <c r="H155" s="752"/>
      <c r="I155" s="120"/>
      <c r="J155" s="120"/>
      <c r="K155" s="10"/>
    </row>
    <row r="156" spans="1:11" ht="15" customHeight="1" x14ac:dyDescent="0.2">
      <c r="A156" s="126"/>
      <c r="B156" s="727" t="s">
        <v>705</v>
      </c>
      <c r="C156" s="616" t="s">
        <v>701</v>
      </c>
      <c r="D156" s="751"/>
      <c r="E156" s="732"/>
      <c r="F156" s="732"/>
      <c r="G156" s="751"/>
      <c r="H156" s="752"/>
      <c r="I156" s="120"/>
      <c r="J156" s="120"/>
      <c r="K156" s="10"/>
    </row>
    <row r="157" spans="1:11" ht="15" customHeight="1" x14ac:dyDescent="0.2">
      <c r="A157" s="126"/>
      <c r="B157" s="753" t="s">
        <v>706</v>
      </c>
      <c r="C157" s="616">
        <v>108</v>
      </c>
      <c r="D157" s="756"/>
      <c r="E157" s="732"/>
      <c r="F157" s="732"/>
      <c r="G157" s="733">
        <v>0.2</v>
      </c>
      <c r="H157" s="734" t="str">
        <f>IF(AND(ISNUMBER(D157),ISNUMBER(G157)),D157*G157,"")</f>
        <v/>
      </c>
      <c r="I157" s="120"/>
      <c r="J157" s="120"/>
      <c r="K157" s="10"/>
    </row>
    <row r="158" spans="1:11" ht="15" customHeight="1" x14ac:dyDescent="0.2">
      <c r="A158" s="126"/>
      <c r="B158" s="753" t="s">
        <v>707</v>
      </c>
      <c r="C158" s="616">
        <v>107</v>
      </c>
      <c r="D158" s="756"/>
      <c r="E158" s="732"/>
      <c r="F158" s="732"/>
      <c r="G158" s="733">
        <v>0.4</v>
      </c>
      <c r="H158" s="734" t="str">
        <f>IF(AND(ISNUMBER(D158),ISNUMBER(G158)),D158*G158,"")</f>
        <v/>
      </c>
      <c r="I158" s="120"/>
      <c r="J158" s="120"/>
      <c r="K158" s="10"/>
    </row>
    <row r="159" spans="1:11" ht="15" customHeight="1" x14ac:dyDescent="0.2">
      <c r="A159" s="126"/>
      <c r="B159" s="727" t="s">
        <v>708</v>
      </c>
      <c r="C159" s="616" t="s">
        <v>701</v>
      </c>
      <c r="D159" s="751"/>
      <c r="E159" s="732"/>
      <c r="F159" s="732"/>
      <c r="G159" s="751"/>
      <c r="H159" s="752"/>
      <c r="I159" s="120"/>
      <c r="J159" s="120"/>
      <c r="K159" s="10"/>
    </row>
    <row r="160" spans="1:11" ht="15" customHeight="1" x14ac:dyDescent="0.2">
      <c r="A160" s="126"/>
      <c r="B160" s="753" t="s">
        <v>706</v>
      </c>
      <c r="C160" s="616">
        <v>108</v>
      </c>
      <c r="D160" s="756"/>
      <c r="E160" s="732"/>
      <c r="F160" s="732"/>
      <c r="G160" s="733">
        <v>0.2</v>
      </c>
      <c r="H160" s="734" t="str">
        <f t="shared" ref="H160:H166" si="1">IF(AND(ISNUMBER(D160),ISNUMBER(G160)),D160*G160,"")</f>
        <v/>
      </c>
      <c r="I160" s="120"/>
      <c r="J160" s="120"/>
      <c r="K160" s="10"/>
    </row>
    <row r="161" spans="1:19" ht="15" customHeight="1" x14ac:dyDescent="0.2">
      <c r="A161" s="126"/>
      <c r="B161" s="753" t="s">
        <v>707</v>
      </c>
      <c r="C161" s="616">
        <v>107</v>
      </c>
      <c r="D161" s="756"/>
      <c r="E161" s="732"/>
      <c r="F161" s="732"/>
      <c r="G161" s="733">
        <v>0.4</v>
      </c>
      <c r="H161" s="734" t="str">
        <f t="shared" si="1"/>
        <v/>
      </c>
      <c r="I161" s="120"/>
      <c r="J161" s="120"/>
      <c r="K161" s="10"/>
    </row>
    <row r="162" spans="1:19" ht="15" customHeight="1" x14ac:dyDescent="0.2">
      <c r="A162" s="126"/>
      <c r="B162" s="727" t="s">
        <v>585</v>
      </c>
      <c r="C162" s="616">
        <v>105</v>
      </c>
      <c r="D162" s="756"/>
      <c r="E162" s="732"/>
      <c r="F162" s="732"/>
      <c r="G162" s="733">
        <v>0.25</v>
      </c>
      <c r="H162" s="734" t="str">
        <f t="shared" si="1"/>
        <v/>
      </c>
      <c r="I162" s="120"/>
      <c r="J162" s="120"/>
      <c r="K162" s="10"/>
    </row>
    <row r="163" spans="1:19" ht="15" customHeight="1" x14ac:dyDescent="0.2">
      <c r="A163" s="126"/>
      <c r="B163" s="727" t="s">
        <v>634</v>
      </c>
      <c r="C163" s="616">
        <v>109</v>
      </c>
      <c r="D163" s="756"/>
      <c r="E163" s="732"/>
      <c r="F163" s="732"/>
      <c r="G163" s="733">
        <v>1</v>
      </c>
      <c r="H163" s="734" t="str">
        <f t="shared" si="1"/>
        <v/>
      </c>
      <c r="I163" s="120"/>
      <c r="J163" s="120"/>
      <c r="K163" s="10"/>
    </row>
    <row r="164" spans="1:19" ht="15" customHeight="1" x14ac:dyDescent="0.2">
      <c r="A164" s="126"/>
      <c r="B164" s="727" t="s">
        <v>204</v>
      </c>
      <c r="C164" s="616">
        <v>109</v>
      </c>
      <c r="D164" s="756"/>
      <c r="E164" s="732"/>
      <c r="F164" s="732"/>
      <c r="G164" s="733">
        <v>1</v>
      </c>
      <c r="H164" s="734" t="str">
        <f t="shared" si="1"/>
        <v/>
      </c>
      <c r="I164" s="120"/>
      <c r="J164" s="120"/>
      <c r="K164" s="10"/>
    </row>
    <row r="165" spans="1:19" ht="15" customHeight="1" x14ac:dyDescent="0.2">
      <c r="A165" s="126"/>
      <c r="B165" s="640" t="s">
        <v>444</v>
      </c>
      <c r="C165" s="616">
        <v>110</v>
      </c>
      <c r="D165" s="756"/>
      <c r="E165" s="732"/>
      <c r="F165" s="732"/>
      <c r="G165" s="733">
        <v>1</v>
      </c>
      <c r="H165" s="734" t="str">
        <f t="shared" si="1"/>
        <v/>
      </c>
      <c r="I165" s="120"/>
      <c r="J165" s="120"/>
      <c r="K165" s="10"/>
    </row>
    <row r="166" spans="1:19" ht="15" customHeight="1" x14ac:dyDescent="0.2">
      <c r="A166" s="126"/>
      <c r="B166" s="759" t="s">
        <v>635</v>
      </c>
      <c r="C166" s="760"/>
      <c r="D166" s="761"/>
      <c r="E166" s="744"/>
      <c r="F166" s="744"/>
      <c r="G166" s="745">
        <v>1</v>
      </c>
      <c r="H166" s="746" t="str">
        <f t="shared" si="1"/>
        <v/>
      </c>
      <c r="I166" s="120"/>
      <c r="J166" s="120"/>
      <c r="K166" s="10"/>
    </row>
    <row r="167" spans="1:19" ht="15" customHeight="1" x14ac:dyDescent="0.2">
      <c r="A167" s="126"/>
      <c r="B167" s="762" t="s">
        <v>636</v>
      </c>
      <c r="C167" s="763"/>
      <c r="D167" s="709"/>
      <c r="E167" s="710"/>
      <c r="F167" s="710"/>
      <c r="G167" s="714"/>
      <c r="H167" s="716" t="str">
        <f>IF(AND(ISNUMBER(H120),ISNUMBER(H121),ISNUMBER(H127),ISNUMBER(H128),ISNUMBER(H129), ISNUMBER(H130), ISNUMBER(H137), ISNUMBER(H141), ISNUMBER(H142), ISNUMBER(H145), ISNUMBER(H146), ISNUMBER(H149), ISNUMBER(H150),ISNUMBER(H153),ISNUMBER(H154), ISNUMBER(H157), ISNUMBER(H158), ISNUMBER(H160), ISNUMBER(H161), ISNUMBER(H162), ISNUMBER(H163), ISNUMBER(H164), ISNUMBER(H165), ISNUMBER(H166)),SUM(H117:H118,H120:H121,H124:H125,H127:H130,H132:H134,H136:H137,H140:H142,H144:H146,H148:H150,H152:H154,H157:H158,H160:H166),"")</f>
        <v/>
      </c>
      <c r="I167" s="120"/>
      <c r="J167" s="120"/>
      <c r="K167" s="10"/>
    </row>
    <row r="168" spans="1:19" ht="15" customHeight="1" x14ac:dyDescent="0.2">
      <c r="A168" s="160"/>
      <c r="B168" s="161"/>
      <c r="C168" s="107"/>
      <c r="D168" s="107"/>
      <c r="E168" s="107"/>
      <c r="F168" s="107"/>
      <c r="G168" s="107"/>
      <c r="H168" s="107"/>
      <c r="I168" s="120"/>
      <c r="J168" s="120"/>
      <c r="K168" s="10"/>
    </row>
    <row r="169" spans="1:19" ht="30" customHeight="1" x14ac:dyDescent="0.2">
      <c r="A169" s="160"/>
      <c r="B169" s="677" t="s">
        <v>825</v>
      </c>
      <c r="C169" s="764"/>
      <c r="D169" s="610"/>
      <c r="E169" s="610"/>
      <c r="F169" s="610"/>
      <c r="G169" s="651"/>
      <c r="H169" s="684"/>
      <c r="I169" s="120"/>
      <c r="J169" s="120"/>
      <c r="K169" s="10"/>
    </row>
    <row r="170" spans="1:19" ht="15" customHeight="1" x14ac:dyDescent="0.2">
      <c r="A170" s="160"/>
      <c r="B170" s="640" t="s">
        <v>281</v>
      </c>
      <c r="C170" s="616" t="s">
        <v>826</v>
      </c>
      <c r="D170" s="614"/>
      <c r="E170" s="613"/>
      <c r="F170" s="613"/>
      <c r="G170" s="653"/>
      <c r="H170" s="654"/>
      <c r="I170" s="120"/>
      <c r="J170" s="120"/>
      <c r="K170" s="10"/>
    </row>
    <row r="171" spans="1:19" ht="15" customHeight="1" x14ac:dyDescent="0.2">
      <c r="A171" s="160"/>
      <c r="B171" s="703" t="str">
        <f>CONCATENATE("Check: row ", ROW(B170), " ≤ sum of rows ", ROW(B163), " and ", ROW(B164))</f>
        <v>Check: row 170 ≤ sum of rows 163 and 164</v>
      </c>
      <c r="C171" s="742"/>
      <c r="D171" s="1266" t="str">
        <f>IF((D170&lt;=D163+D164),"Pass","Fail")</f>
        <v>Pass</v>
      </c>
      <c r="E171" s="613"/>
      <c r="F171" s="613"/>
      <c r="G171" s="653"/>
      <c r="H171" s="654"/>
      <c r="I171" s="120"/>
      <c r="J171" s="120"/>
      <c r="K171" s="10"/>
    </row>
    <row r="172" spans="1:19" ht="15" customHeight="1" x14ac:dyDescent="0.2">
      <c r="A172" s="160"/>
      <c r="B172" s="640" t="s">
        <v>279</v>
      </c>
      <c r="C172" s="616" t="s">
        <v>826</v>
      </c>
      <c r="D172" s="614"/>
      <c r="E172" s="613"/>
      <c r="F172" s="613"/>
      <c r="G172" s="653"/>
      <c r="H172" s="654"/>
      <c r="I172" s="120"/>
      <c r="J172" s="120"/>
      <c r="K172" s="10"/>
    </row>
    <row r="173" spans="1:19" ht="15" customHeight="1" x14ac:dyDescent="0.2">
      <c r="A173" s="160"/>
      <c r="B173" s="703" t="str">
        <f>CONCATENATE("Check: row ", ROW(B172), " ≤ sum of rows ", ROW(B163), " and ", ROW(B164))</f>
        <v>Check: row 172 ≤ sum of rows 163 and 164</v>
      </c>
      <c r="C173" s="742"/>
      <c r="D173" s="1266" t="str">
        <f>IF((D172&lt;=D163+D164),"Pass","Fail")</f>
        <v>Pass</v>
      </c>
      <c r="E173" s="613"/>
      <c r="F173" s="613"/>
      <c r="G173" s="653"/>
      <c r="H173" s="654"/>
      <c r="I173" s="120"/>
      <c r="J173" s="120"/>
      <c r="K173" s="10"/>
    </row>
    <row r="174" spans="1:19" ht="30" customHeight="1" x14ac:dyDescent="0.2">
      <c r="A174" s="160"/>
      <c r="B174" s="640" t="s">
        <v>709</v>
      </c>
      <c r="C174" s="616">
        <v>96</v>
      </c>
      <c r="D174" s="614"/>
      <c r="E174" s="613"/>
      <c r="F174" s="613"/>
      <c r="G174" s="653"/>
      <c r="H174" s="654"/>
      <c r="I174" s="120"/>
      <c r="J174" s="120"/>
      <c r="K174" s="10"/>
    </row>
    <row r="175" spans="1:19" ht="15" customHeight="1" x14ac:dyDescent="0.2">
      <c r="A175" s="160"/>
      <c r="B175" s="704" t="str">
        <f>CONCATENATE("Check: row ", ROW(B174), " ≤ sum of rows ", ROW(B156), " to ", ROW(B164))</f>
        <v>Check: row 174 ≤ sum of rows 156 to 164</v>
      </c>
      <c r="C175" s="765"/>
      <c r="D175" s="686" t="str">
        <f>IF((D174&lt;=SUM(D156:D164)),"Pass","Fail")</f>
        <v>Pass</v>
      </c>
      <c r="E175" s="625"/>
      <c r="F175" s="625"/>
      <c r="G175" s="675"/>
      <c r="H175" s="687"/>
      <c r="I175" s="120"/>
      <c r="J175" s="120"/>
      <c r="K175" s="10"/>
    </row>
    <row r="176" spans="1:19" s="114" customFormat="1" ht="60" customHeight="1" x14ac:dyDescent="0.25">
      <c r="A176" s="1645" t="s">
        <v>911</v>
      </c>
      <c r="B176" s="1645"/>
      <c r="C176" s="1645"/>
      <c r="D176" s="1645"/>
      <c r="E176" s="1645"/>
      <c r="F176" s="1645"/>
      <c r="G176" s="1645"/>
      <c r="H176" s="1645"/>
      <c r="I176" s="1645"/>
      <c r="J176" s="1645"/>
      <c r="K176" s="1682"/>
      <c r="L176" s="120"/>
      <c r="M176" s="120"/>
      <c r="N176" s="120"/>
      <c r="O176" s="120"/>
      <c r="P176" s="120"/>
      <c r="Q176" s="120"/>
      <c r="R176" s="120"/>
      <c r="S176" s="120"/>
    </row>
    <row r="177" spans="1:11" ht="45" customHeight="1" x14ac:dyDescent="0.2">
      <c r="A177" s="126"/>
      <c r="B177" s="776"/>
      <c r="C177" s="628" t="s">
        <v>813</v>
      </c>
      <c r="D177" s="628" t="s">
        <v>637</v>
      </c>
      <c r="E177" s="628" t="s">
        <v>638</v>
      </c>
      <c r="F177" s="708"/>
      <c r="G177" s="628" t="s">
        <v>566</v>
      </c>
      <c r="H177" s="630" t="s">
        <v>567</v>
      </c>
      <c r="I177" s="120"/>
      <c r="J177" s="120"/>
      <c r="K177" s="10"/>
    </row>
    <row r="178" spans="1:11" ht="15" customHeight="1" x14ac:dyDescent="0.2">
      <c r="A178" s="126"/>
      <c r="B178" s="766" t="s">
        <v>827</v>
      </c>
      <c r="C178" s="608" t="s">
        <v>710</v>
      </c>
      <c r="D178" s="747"/>
      <c r="E178" s="747"/>
      <c r="F178" s="718"/>
      <c r="G178" s="767"/>
      <c r="H178" s="768"/>
      <c r="I178" s="120"/>
      <c r="J178" s="120"/>
      <c r="K178" s="10"/>
    </row>
    <row r="179" spans="1:11" ht="15" customHeight="1" x14ac:dyDescent="0.2">
      <c r="A179" s="126"/>
      <c r="B179" s="769" t="s">
        <v>711</v>
      </c>
      <c r="C179" s="616" t="s">
        <v>710</v>
      </c>
      <c r="D179" s="756"/>
      <c r="E179" s="756"/>
      <c r="F179" s="723"/>
      <c r="G179" s="733">
        <v>0</v>
      </c>
      <c r="H179" s="734" t="str">
        <f>IF(AND(ISNUMBER(D179),ISNUMBER(G179)),D179*G179,"")</f>
        <v/>
      </c>
      <c r="I179" s="120"/>
      <c r="J179" s="120"/>
      <c r="K179" s="10"/>
    </row>
    <row r="180" spans="1:11" ht="15" customHeight="1" x14ac:dyDescent="0.2">
      <c r="A180" s="126"/>
      <c r="B180" s="770" t="s">
        <v>140</v>
      </c>
      <c r="C180" s="616" t="s">
        <v>710</v>
      </c>
      <c r="D180" s="756"/>
      <c r="E180" s="756"/>
      <c r="F180" s="723"/>
      <c r="G180" s="729"/>
      <c r="H180" s="740"/>
      <c r="I180" s="120"/>
      <c r="J180" s="120"/>
      <c r="K180" s="10"/>
    </row>
    <row r="181" spans="1:11" ht="15" customHeight="1" x14ac:dyDescent="0.2">
      <c r="A181" s="126"/>
      <c r="B181" s="778" t="str">
        <f>CONCATENATE("Check: row ", ROW(B180), " ≤ row ", ROW(LCR!B179),)</f>
        <v>Check: row 180 ≤ row 179</v>
      </c>
      <c r="C181" s="742"/>
      <c r="D181" s="1266" t="str">
        <f>IF((D180&lt;=D179),"Pass","Fail")</f>
        <v>Pass</v>
      </c>
      <c r="E181" s="1266" t="str">
        <f>IF((E180&lt;=E179),"Pass","Fail")</f>
        <v>Pass</v>
      </c>
      <c r="F181" s="723"/>
      <c r="G181" s="729"/>
      <c r="H181" s="740"/>
      <c r="I181" s="120"/>
      <c r="J181" s="120"/>
      <c r="K181" s="10"/>
    </row>
    <row r="182" spans="1:11" ht="15" customHeight="1" x14ac:dyDescent="0.2">
      <c r="A182" s="126"/>
      <c r="B182" s="769" t="s">
        <v>712</v>
      </c>
      <c r="C182" s="616" t="s">
        <v>710</v>
      </c>
      <c r="D182" s="614"/>
      <c r="E182" s="614"/>
      <c r="F182" s="723"/>
      <c r="G182" s="733">
        <v>0</v>
      </c>
      <c r="H182" s="734" t="str">
        <f>IF(AND(ISNUMBER(D182),ISNUMBER(G182)),D182*G182,"")</f>
        <v/>
      </c>
      <c r="I182" s="120"/>
      <c r="J182" s="120"/>
      <c r="K182" s="10"/>
    </row>
    <row r="183" spans="1:11" ht="15" customHeight="1" x14ac:dyDescent="0.2">
      <c r="A183" s="126"/>
      <c r="B183" s="770" t="s">
        <v>140</v>
      </c>
      <c r="C183" s="616" t="s">
        <v>710</v>
      </c>
      <c r="D183" s="614"/>
      <c r="E183" s="614"/>
      <c r="F183" s="723"/>
      <c r="G183" s="729"/>
      <c r="H183" s="740"/>
      <c r="I183" s="120"/>
      <c r="J183" s="120"/>
      <c r="K183" s="10"/>
    </row>
    <row r="184" spans="1:11" ht="15" customHeight="1" x14ac:dyDescent="0.2">
      <c r="A184" s="126"/>
      <c r="B184" s="778" t="str">
        <f>CONCATENATE("Check: row ", ROW(B183), " ≤ row ", ROW(LCR!B182),)</f>
        <v>Check: row 183 ≤ row 182</v>
      </c>
      <c r="C184" s="742"/>
      <c r="D184" s="1266" t="str">
        <f>IF((D183&lt;=D182),"Pass","Fail")</f>
        <v>Pass</v>
      </c>
      <c r="E184" s="1266" t="str">
        <f>IF((E183&lt;=E182),"Pass","Fail")</f>
        <v>Pass</v>
      </c>
      <c r="F184" s="723"/>
      <c r="G184" s="729"/>
      <c r="H184" s="740"/>
      <c r="I184" s="120"/>
      <c r="J184" s="120"/>
      <c r="K184" s="10"/>
    </row>
    <row r="185" spans="1:11" ht="15" customHeight="1" x14ac:dyDescent="0.2">
      <c r="A185" s="126"/>
      <c r="B185" s="769" t="s">
        <v>713</v>
      </c>
      <c r="C185" s="616" t="s">
        <v>710</v>
      </c>
      <c r="D185" s="657"/>
      <c r="E185" s="657"/>
      <c r="F185" s="723"/>
      <c r="G185" s="733">
        <v>0</v>
      </c>
      <c r="H185" s="734" t="str">
        <f>IF(AND(ISNUMBER(D185),ISNUMBER(G185)),D185*G185,"")</f>
        <v/>
      </c>
      <c r="I185" s="120"/>
      <c r="J185" s="120"/>
      <c r="K185" s="10"/>
    </row>
    <row r="186" spans="1:11" ht="15" customHeight="1" x14ac:dyDescent="0.2">
      <c r="A186" s="126"/>
      <c r="B186" s="770" t="s">
        <v>140</v>
      </c>
      <c r="C186" s="616" t="s">
        <v>710</v>
      </c>
      <c r="D186" s="657"/>
      <c r="E186" s="657"/>
      <c r="F186" s="723"/>
      <c r="G186" s="729"/>
      <c r="H186" s="740"/>
      <c r="I186" s="120"/>
      <c r="J186" s="120"/>
      <c r="K186" s="10"/>
    </row>
    <row r="187" spans="1:11" ht="15" customHeight="1" x14ac:dyDescent="0.2">
      <c r="A187" s="126"/>
      <c r="B187" s="778" t="str">
        <f>CONCATENATE("Check: row ", ROW(B186), " ≤ row ", ROW(LCR!B185),)</f>
        <v>Check: row 186 ≤ row 185</v>
      </c>
      <c r="C187" s="742"/>
      <c r="D187" s="1266" t="str">
        <f>IF((D186&lt;=D185),"Pass","Fail")</f>
        <v>Pass</v>
      </c>
      <c r="E187" s="1266" t="str">
        <f>IF((E186&lt;=E185),"Pass","Fail")</f>
        <v>Pass</v>
      </c>
      <c r="F187" s="723"/>
      <c r="G187" s="729"/>
      <c r="H187" s="740"/>
      <c r="I187" s="120"/>
      <c r="J187" s="120"/>
      <c r="K187" s="10"/>
    </row>
    <row r="188" spans="1:11" ht="15" customHeight="1" x14ac:dyDescent="0.2">
      <c r="A188" s="126"/>
      <c r="B188" s="769" t="s">
        <v>714</v>
      </c>
      <c r="C188" s="616" t="s">
        <v>710</v>
      </c>
      <c r="D188" s="657"/>
      <c r="E188" s="657"/>
      <c r="F188" s="723"/>
      <c r="G188" s="733">
        <v>0</v>
      </c>
      <c r="H188" s="734" t="str">
        <f>IF(AND(ISNUMBER(D188),ISNUMBER(G188)),D188*G188,"")</f>
        <v/>
      </c>
      <c r="I188" s="120"/>
      <c r="J188" s="120"/>
      <c r="K188" s="10"/>
    </row>
    <row r="189" spans="1:11" ht="15" customHeight="1" x14ac:dyDescent="0.2">
      <c r="A189" s="126"/>
      <c r="B189" s="770" t="s">
        <v>140</v>
      </c>
      <c r="C189" s="616" t="s">
        <v>710</v>
      </c>
      <c r="D189" s="657"/>
      <c r="E189" s="657"/>
      <c r="F189" s="723"/>
      <c r="G189" s="729"/>
      <c r="H189" s="740"/>
      <c r="I189" s="120"/>
      <c r="J189" s="120"/>
      <c r="K189" s="10"/>
    </row>
    <row r="190" spans="1:11" ht="15" customHeight="1" x14ac:dyDescent="0.2">
      <c r="A190" s="126"/>
      <c r="B190" s="778" t="str">
        <f>CONCATENATE("Check: row ", ROW(B189), " ≤ row ", ROW(LCR!B188),)</f>
        <v>Check: row 189 ≤ row 188</v>
      </c>
      <c r="C190" s="742"/>
      <c r="D190" s="1266" t="str">
        <f>IF((D189&lt;=D188),"Pass","Fail")</f>
        <v>Pass</v>
      </c>
      <c r="E190" s="1266" t="str">
        <f>IF((E189&lt;=E188),"Pass","Fail")</f>
        <v>Pass</v>
      </c>
      <c r="F190" s="723"/>
      <c r="G190" s="729"/>
      <c r="H190" s="740"/>
      <c r="I190" s="120"/>
      <c r="J190" s="120"/>
      <c r="K190" s="10"/>
    </row>
    <row r="191" spans="1:11" ht="15" customHeight="1" x14ac:dyDescent="0.2">
      <c r="A191" s="126"/>
      <c r="B191" s="769" t="s">
        <v>715</v>
      </c>
      <c r="C191" s="616" t="s">
        <v>710</v>
      </c>
      <c r="D191" s="614"/>
      <c r="E191" s="614"/>
      <c r="F191" s="723"/>
      <c r="G191" s="733">
        <v>0</v>
      </c>
      <c r="H191" s="734" t="str">
        <f>IF(AND(ISNUMBER(D191),ISNUMBER(G191)),D191*G191,"")</f>
        <v/>
      </c>
      <c r="I191" s="120"/>
      <c r="J191" s="120"/>
      <c r="K191" s="10"/>
    </row>
    <row r="192" spans="1:11" ht="15" customHeight="1" x14ac:dyDescent="0.2">
      <c r="A192" s="126"/>
      <c r="B192" s="771" t="s">
        <v>828</v>
      </c>
      <c r="C192" s="616" t="s">
        <v>710</v>
      </c>
      <c r="D192" s="614"/>
      <c r="E192" s="614"/>
      <c r="F192" s="723"/>
      <c r="G192" s="733">
        <v>0</v>
      </c>
      <c r="H192" s="734" t="str">
        <f>IF(AND(ISNUMBER(D192),ISNUMBER(G192)),D192*G192,"")</f>
        <v/>
      </c>
      <c r="I192" s="120"/>
      <c r="J192" s="120"/>
      <c r="K192" s="10"/>
    </row>
    <row r="193" spans="1:11" ht="15" customHeight="1" x14ac:dyDescent="0.2">
      <c r="A193" s="126"/>
      <c r="B193" s="769" t="s">
        <v>140</v>
      </c>
      <c r="C193" s="616" t="s">
        <v>710</v>
      </c>
      <c r="D193" s="614"/>
      <c r="E193" s="614"/>
      <c r="F193" s="723"/>
      <c r="G193" s="729"/>
      <c r="H193" s="740"/>
      <c r="I193" s="9"/>
      <c r="J193" s="9"/>
      <c r="K193" s="10"/>
    </row>
    <row r="194" spans="1:11" ht="15" customHeight="1" x14ac:dyDescent="0.2">
      <c r="A194" s="126"/>
      <c r="B194" s="703" t="str">
        <f>CONCATENATE("Check: row ", ROW(B193), " ≤ row ", ROW(LCR!B192),)</f>
        <v>Check: row 193 ≤ row 192</v>
      </c>
      <c r="C194" s="742"/>
      <c r="D194" s="1266" t="str">
        <f>IF((D193&lt;=D192),"Pass","Fail")</f>
        <v>Pass</v>
      </c>
      <c r="E194" s="1266" t="str">
        <f>IF((E193&lt;=E192),"Pass","Fail")</f>
        <v>Pass</v>
      </c>
      <c r="F194" s="723"/>
      <c r="G194" s="729"/>
      <c r="H194" s="740"/>
      <c r="I194" s="9"/>
      <c r="J194" s="9"/>
      <c r="K194" s="10"/>
    </row>
    <row r="195" spans="1:11" ht="15" customHeight="1" x14ac:dyDescent="0.2">
      <c r="A195" s="126"/>
      <c r="B195" s="771" t="s">
        <v>829</v>
      </c>
      <c r="C195" s="616" t="s">
        <v>710</v>
      </c>
      <c r="D195" s="614"/>
      <c r="E195" s="614"/>
      <c r="F195" s="723"/>
      <c r="G195" s="733">
        <v>0.15</v>
      </c>
      <c r="H195" s="734" t="str">
        <f>IF(AND(ISNUMBER(D195),ISNUMBER(G195)),D195*G195,"")</f>
        <v/>
      </c>
      <c r="I195" s="120"/>
      <c r="J195" s="120"/>
      <c r="K195" s="10"/>
    </row>
    <row r="196" spans="1:11" ht="15" customHeight="1" x14ac:dyDescent="0.2">
      <c r="A196" s="126"/>
      <c r="B196" s="769" t="s">
        <v>140</v>
      </c>
      <c r="C196" s="616" t="s">
        <v>710</v>
      </c>
      <c r="D196" s="614"/>
      <c r="E196" s="614"/>
      <c r="F196" s="723"/>
      <c r="G196" s="729"/>
      <c r="H196" s="740"/>
      <c r="I196" s="9"/>
      <c r="J196" s="9"/>
      <c r="K196" s="10"/>
    </row>
    <row r="197" spans="1:11" ht="15" customHeight="1" x14ac:dyDescent="0.2">
      <c r="A197" s="126"/>
      <c r="B197" s="703" t="str">
        <f>CONCATENATE("Check: row ", ROW(B196), " ≤ row ", ROW(LCR!B195),)</f>
        <v>Check: row 196 ≤ row 195</v>
      </c>
      <c r="C197" s="742"/>
      <c r="D197" s="1266" t="str">
        <f>IF((D196&lt;=D195),"Pass","Fail")</f>
        <v>Pass</v>
      </c>
      <c r="E197" s="1266" t="str">
        <f>IF((E196&lt;=E195),"Pass","Fail")</f>
        <v>Pass</v>
      </c>
      <c r="F197" s="723"/>
      <c r="G197" s="729"/>
      <c r="H197" s="740"/>
      <c r="I197" s="9"/>
      <c r="J197" s="9"/>
      <c r="K197" s="10"/>
    </row>
    <row r="198" spans="1:11" ht="15" customHeight="1" x14ac:dyDescent="0.2">
      <c r="A198" s="126"/>
      <c r="B198" s="771" t="s">
        <v>830</v>
      </c>
      <c r="C198" s="616" t="s">
        <v>710</v>
      </c>
      <c r="D198" s="657"/>
      <c r="E198" s="657"/>
      <c r="F198" s="723"/>
      <c r="G198" s="733">
        <v>0.25</v>
      </c>
      <c r="H198" s="734" t="str">
        <f>IF(AND(ISNUMBER(D198),ISNUMBER(G198)),D198*G198,"")</f>
        <v/>
      </c>
      <c r="I198" s="9"/>
      <c r="J198" s="9"/>
      <c r="K198" s="10"/>
    </row>
    <row r="199" spans="1:11" ht="15" customHeight="1" x14ac:dyDescent="0.2">
      <c r="A199" s="126"/>
      <c r="B199" s="769" t="s">
        <v>140</v>
      </c>
      <c r="C199" s="616" t="s">
        <v>710</v>
      </c>
      <c r="D199" s="657"/>
      <c r="E199" s="657"/>
      <c r="F199" s="723"/>
      <c r="G199" s="729"/>
      <c r="H199" s="740"/>
      <c r="I199" s="9"/>
      <c r="J199" s="9"/>
      <c r="K199" s="10"/>
    </row>
    <row r="200" spans="1:11" ht="15" customHeight="1" x14ac:dyDescent="0.2">
      <c r="A200" s="126"/>
      <c r="B200" s="703" t="str">
        <f>CONCATENATE("Check: row ", ROW(B199), " ≤ row ", ROW(LCR!B198),)</f>
        <v>Check: row 199 ≤ row 198</v>
      </c>
      <c r="C200" s="742"/>
      <c r="D200" s="1266" t="str">
        <f>IF((D199&lt;=D198),"Pass","Fail")</f>
        <v>Pass</v>
      </c>
      <c r="E200" s="1266" t="str">
        <f>IF((E199&lt;=E198),"Pass","Fail")</f>
        <v>Pass</v>
      </c>
      <c r="F200" s="723"/>
      <c r="G200" s="729"/>
      <c r="H200" s="740"/>
      <c r="I200" s="9"/>
      <c r="J200" s="9"/>
      <c r="K200" s="10"/>
    </row>
    <row r="201" spans="1:11" ht="33" customHeight="1" x14ac:dyDescent="0.2">
      <c r="A201" s="126"/>
      <c r="B201" s="641" t="s">
        <v>841</v>
      </c>
      <c r="C201" s="616" t="s">
        <v>710</v>
      </c>
      <c r="D201" s="751"/>
      <c r="E201" s="751"/>
      <c r="F201" s="723"/>
      <c r="G201" s="729"/>
      <c r="H201" s="740"/>
      <c r="I201" s="9"/>
      <c r="J201" s="9"/>
      <c r="K201" s="10"/>
    </row>
    <row r="202" spans="1:11" ht="15" customHeight="1" x14ac:dyDescent="0.2">
      <c r="A202" s="126"/>
      <c r="B202" s="772" t="s">
        <v>831</v>
      </c>
      <c r="C202" s="616" t="s">
        <v>710</v>
      </c>
      <c r="D202" s="685"/>
      <c r="E202" s="685"/>
      <c r="F202" s="723"/>
      <c r="G202" s="733">
        <v>0.25</v>
      </c>
      <c r="H202" s="734" t="str">
        <f>IF(AND(ISNUMBER(D202),ISNUMBER(G202)),D202*G202,"")</f>
        <v/>
      </c>
      <c r="I202" s="9"/>
      <c r="J202" s="9"/>
      <c r="K202" s="10"/>
    </row>
    <row r="203" spans="1:11" ht="15" customHeight="1" x14ac:dyDescent="0.2">
      <c r="A203" s="126"/>
      <c r="B203" s="770" t="s">
        <v>140</v>
      </c>
      <c r="C203" s="616" t="s">
        <v>710</v>
      </c>
      <c r="D203" s="685"/>
      <c r="E203" s="685"/>
      <c r="F203" s="723"/>
      <c r="G203" s="729"/>
      <c r="H203" s="740"/>
      <c r="I203" s="9"/>
      <c r="J203" s="9"/>
      <c r="K203" s="10"/>
    </row>
    <row r="204" spans="1:11" ht="15" customHeight="1" x14ac:dyDescent="0.2">
      <c r="A204" s="126"/>
      <c r="B204" s="778" t="str">
        <f>CONCATENATE("Check: row ", ROW(B203), " ≤ row ", ROW(LCR!B202),)</f>
        <v>Check: row 203 ≤ row 202</v>
      </c>
      <c r="C204" s="742"/>
      <c r="D204" s="1266" t="str">
        <f>IF((D203&lt;=D202),"Pass","Fail")</f>
        <v>Pass</v>
      </c>
      <c r="E204" s="1266" t="str">
        <f>IF((E203&lt;=E202),"Pass","Fail")</f>
        <v>Pass</v>
      </c>
      <c r="F204" s="723"/>
      <c r="G204" s="729"/>
      <c r="H204" s="740"/>
      <c r="I204" s="9"/>
      <c r="J204" s="9"/>
      <c r="K204" s="10"/>
    </row>
    <row r="205" spans="1:11" ht="15" customHeight="1" x14ac:dyDescent="0.2">
      <c r="A205" s="126"/>
      <c r="B205" s="772" t="s">
        <v>832</v>
      </c>
      <c r="C205" s="616" t="s">
        <v>710</v>
      </c>
      <c r="D205" s="657"/>
      <c r="E205" s="657"/>
      <c r="F205" s="723"/>
      <c r="G205" s="733">
        <v>0.5</v>
      </c>
      <c r="H205" s="734" t="str">
        <f>IF(AND(ISNUMBER(D205),ISNUMBER(G205)),D205*G205,"")</f>
        <v/>
      </c>
      <c r="I205" s="9"/>
      <c r="J205" s="9"/>
      <c r="K205" s="10"/>
    </row>
    <row r="206" spans="1:11" ht="15" customHeight="1" x14ac:dyDescent="0.2">
      <c r="A206" s="126"/>
      <c r="B206" s="770" t="s">
        <v>140</v>
      </c>
      <c r="C206" s="616" t="s">
        <v>710</v>
      </c>
      <c r="D206" s="657"/>
      <c r="E206" s="657"/>
      <c r="F206" s="723"/>
      <c r="G206" s="729"/>
      <c r="H206" s="740"/>
      <c r="I206" s="9"/>
      <c r="J206" s="9"/>
      <c r="K206" s="10"/>
    </row>
    <row r="207" spans="1:11" ht="15" customHeight="1" x14ac:dyDescent="0.2">
      <c r="A207" s="126"/>
      <c r="B207" s="778" t="str">
        <f>CONCATENATE("Check: row ", ROW(B206), " ≤ row ", ROW(LCR!B205),)</f>
        <v>Check: row 206 ≤ row 205</v>
      </c>
      <c r="C207" s="742"/>
      <c r="D207" s="1266" t="str">
        <f>IF((D206&lt;=D205),"Pass","Fail")</f>
        <v>Pass</v>
      </c>
      <c r="E207" s="1266" t="str">
        <f>IF((E206&lt;=E205),"Pass","Fail")</f>
        <v>Pass</v>
      </c>
      <c r="F207" s="723"/>
      <c r="G207" s="729"/>
      <c r="H207" s="740"/>
      <c r="I207" s="9"/>
      <c r="J207" s="9"/>
      <c r="K207" s="10"/>
    </row>
    <row r="208" spans="1:11" ht="15" customHeight="1" x14ac:dyDescent="0.2">
      <c r="A208" s="126"/>
      <c r="B208" s="771" t="s">
        <v>833</v>
      </c>
      <c r="C208" s="616" t="s">
        <v>710</v>
      </c>
      <c r="D208" s="751"/>
      <c r="E208" s="751"/>
      <c r="F208" s="723"/>
      <c r="G208" s="729"/>
      <c r="H208" s="740"/>
      <c r="I208" s="120"/>
      <c r="J208" s="120"/>
      <c r="K208" s="10"/>
    </row>
    <row r="209" spans="1:19" ht="15" customHeight="1" x14ac:dyDescent="0.2">
      <c r="A209" s="126"/>
      <c r="B209" s="772" t="s">
        <v>834</v>
      </c>
      <c r="C209" s="616" t="s">
        <v>710</v>
      </c>
      <c r="D209" s="756"/>
      <c r="E209" s="756"/>
      <c r="F209" s="723"/>
      <c r="G209" s="733">
        <v>0.25</v>
      </c>
      <c r="H209" s="734" t="str">
        <f>IF(AND(ISNUMBER(D209),ISNUMBER(G209)),D209*G209,"")</f>
        <v/>
      </c>
      <c r="I209" s="120"/>
      <c r="J209" s="120"/>
      <c r="K209" s="10"/>
    </row>
    <row r="210" spans="1:19" ht="15" customHeight="1" x14ac:dyDescent="0.2">
      <c r="A210" s="126"/>
      <c r="B210" s="773" t="s">
        <v>835</v>
      </c>
      <c r="C210" s="624" t="s">
        <v>710</v>
      </c>
      <c r="D210" s="774"/>
      <c r="E210" s="761"/>
      <c r="F210" s="775"/>
      <c r="G210" s="745">
        <v>1</v>
      </c>
      <c r="H210" s="746" t="str">
        <f>IF(AND(ISNUMBER(D210),ISNUMBER(G210)),D210*G210,"")</f>
        <v/>
      </c>
      <c r="I210" s="120"/>
      <c r="J210" s="120"/>
      <c r="K210" s="10"/>
    </row>
    <row r="211" spans="1:19" ht="15" customHeight="1" x14ac:dyDescent="0.2">
      <c r="A211" s="126"/>
      <c r="B211" s="762" t="s">
        <v>639</v>
      </c>
      <c r="C211" s="715"/>
      <c r="D211" s="777"/>
      <c r="E211" s="777"/>
      <c r="F211" s="709"/>
      <c r="G211" s="777"/>
      <c r="H211" s="716" t="str">
        <f>IF(AND(ISNUMBER(H179),ISNUMBER(H182),ISNUMBER(H191),ISNUMBER(H192),ISNUMBER(H195),ISNUMBER(H209),ISNUMBER(H210)),SUM(H179,H182,H185,H188,H191:H192,H195,H198,H202,H205,H209:H210),"")</f>
        <v/>
      </c>
      <c r="I211" s="120"/>
      <c r="J211" s="120"/>
      <c r="K211" s="10"/>
    </row>
    <row r="212" spans="1:19" s="114" customFormat="1" ht="60" customHeight="1" x14ac:dyDescent="0.25">
      <c r="A212" s="1645" t="s">
        <v>913</v>
      </c>
      <c r="B212" s="1645"/>
      <c r="C212" s="1645"/>
      <c r="D212" s="1645"/>
      <c r="E212" s="1645"/>
      <c r="F212" s="1645"/>
      <c r="G212" s="1645"/>
      <c r="H212" s="1645"/>
      <c r="I212" s="1645"/>
      <c r="J212" s="1645"/>
      <c r="K212" s="1682"/>
      <c r="L212" s="120"/>
      <c r="M212" s="120"/>
      <c r="N212" s="120"/>
      <c r="O212" s="120"/>
      <c r="P212" s="120"/>
      <c r="Q212" s="120"/>
      <c r="R212" s="120"/>
      <c r="S212" s="120"/>
    </row>
    <row r="213" spans="1:19" ht="30" customHeight="1" x14ac:dyDescent="0.2">
      <c r="A213" s="126"/>
      <c r="B213" s="776"/>
      <c r="C213" s="628" t="s">
        <v>813</v>
      </c>
      <c r="D213" s="628" t="s">
        <v>536</v>
      </c>
      <c r="E213" s="536"/>
      <c r="F213" s="536"/>
      <c r="G213" s="628" t="s">
        <v>566</v>
      </c>
      <c r="H213" s="630" t="s">
        <v>567</v>
      </c>
      <c r="I213" s="120"/>
      <c r="J213" s="120"/>
      <c r="K213" s="10"/>
    </row>
    <row r="214" spans="1:19" ht="15" customHeight="1" x14ac:dyDescent="0.2">
      <c r="A214" s="126"/>
      <c r="B214" s="784" t="s">
        <v>719</v>
      </c>
      <c r="C214" s="699" t="s">
        <v>739</v>
      </c>
      <c r="D214" s="785"/>
      <c r="E214" s="786"/>
      <c r="F214" s="786"/>
      <c r="G214" s="787">
        <v>1</v>
      </c>
      <c r="H214" s="788" t="str">
        <f>IF(AND(ISNUMBER(D214),ISNUMBER(G214)),D214*G214,"")</f>
        <v/>
      </c>
      <c r="I214" s="120"/>
      <c r="J214" s="120"/>
      <c r="K214" s="10"/>
    </row>
    <row r="215" spans="1:19" ht="15" customHeight="1" x14ac:dyDescent="0.2">
      <c r="A215" s="126"/>
      <c r="B215" s="641" t="s">
        <v>836</v>
      </c>
      <c r="C215" s="616">
        <v>118</v>
      </c>
      <c r="D215" s="756"/>
      <c r="E215" s="724"/>
      <c r="F215" s="724"/>
      <c r="G215" s="733">
        <v>1</v>
      </c>
      <c r="H215" s="734" t="str">
        <f>IF(AND(ISNUMBER(D215),ISNUMBER(G215)),D215*G215,"")</f>
        <v/>
      </c>
      <c r="I215" s="120"/>
      <c r="J215" s="120"/>
      <c r="K215" s="10"/>
    </row>
    <row r="216" spans="1:19" ht="30" customHeight="1" x14ac:dyDescent="0.2">
      <c r="A216" s="126"/>
      <c r="B216" s="641" t="s">
        <v>640</v>
      </c>
      <c r="C216" s="616">
        <v>119</v>
      </c>
      <c r="D216" s="735"/>
      <c r="E216" s="724"/>
      <c r="F216" s="724"/>
      <c r="G216" s="779"/>
      <c r="H216" s="780"/>
      <c r="I216" s="120"/>
      <c r="J216" s="120"/>
      <c r="K216" s="10"/>
    </row>
    <row r="217" spans="1:19" ht="15" customHeight="1" x14ac:dyDescent="0.2">
      <c r="A217" s="126"/>
      <c r="B217" s="640" t="s">
        <v>720</v>
      </c>
      <c r="C217" s="742"/>
      <c r="D217" s="756"/>
      <c r="E217" s="724"/>
      <c r="F217" s="724"/>
      <c r="G217" s="733">
        <v>0</v>
      </c>
      <c r="H217" s="734" t="str">
        <f t="shared" ref="H217:H223" si="2">IF(AND(ISNUMBER(D217),ISNUMBER(G217)),D217*G217,"")</f>
        <v/>
      </c>
      <c r="I217" s="120"/>
      <c r="J217" s="120"/>
      <c r="K217" s="10"/>
    </row>
    <row r="218" spans="1:19" ht="15" customHeight="1" x14ac:dyDescent="0.2">
      <c r="A218" s="126"/>
      <c r="B218" s="640" t="s">
        <v>70</v>
      </c>
      <c r="C218" s="742"/>
      <c r="D218" s="756"/>
      <c r="E218" s="724"/>
      <c r="F218" s="724"/>
      <c r="G218" s="733">
        <v>0.2</v>
      </c>
      <c r="H218" s="734" t="str">
        <f t="shared" si="2"/>
        <v/>
      </c>
      <c r="I218" s="120"/>
      <c r="J218" s="120"/>
      <c r="K218" s="10"/>
    </row>
    <row r="219" spans="1:19" ht="30" customHeight="1" x14ac:dyDescent="0.2">
      <c r="A219" s="126"/>
      <c r="B219" s="641" t="s">
        <v>721</v>
      </c>
      <c r="C219" s="750">
        <v>120</v>
      </c>
      <c r="D219" s="756"/>
      <c r="E219" s="724"/>
      <c r="F219" s="724"/>
      <c r="G219" s="733">
        <v>1</v>
      </c>
      <c r="H219" s="734" t="str">
        <f t="shared" si="2"/>
        <v/>
      </c>
      <c r="I219" s="9"/>
      <c r="J219" s="9"/>
      <c r="K219" s="10"/>
    </row>
    <row r="220" spans="1:19" ht="30" customHeight="1" x14ac:dyDescent="0.2">
      <c r="A220" s="126"/>
      <c r="B220" s="641" t="s">
        <v>722</v>
      </c>
      <c r="C220" s="750">
        <v>121</v>
      </c>
      <c r="D220" s="756"/>
      <c r="E220" s="724"/>
      <c r="F220" s="724"/>
      <c r="G220" s="733">
        <v>1</v>
      </c>
      <c r="H220" s="734" t="str">
        <f t="shared" si="2"/>
        <v/>
      </c>
      <c r="I220" s="9"/>
      <c r="J220" s="9"/>
      <c r="K220" s="10"/>
    </row>
    <row r="221" spans="1:19" ht="15" customHeight="1" x14ac:dyDescent="0.2">
      <c r="A221" s="148"/>
      <c r="B221" s="641" t="s">
        <v>723</v>
      </c>
      <c r="C221" s="750">
        <v>122</v>
      </c>
      <c r="D221" s="756"/>
      <c r="E221" s="724"/>
      <c r="F221" s="724"/>
      <c r="G221" s="733">
        <v>1</v>
      </c>
      <c r="H221" s="734" t="str">
        <f t="shared" si="2"/>
        <v/>
      </c>
      <c r="I221" s="9"/>
      <c r="J221" s="9"/>
      <c r="K221" s="10"/>
    </row>
    <row r="222" spans="1:19" ht="15" customHeight="1" x14ac:dyDescent="0.2">
      <c r="A222" s="148"/>
      <c r="B222" s="641" t="s">
        <v>724</v>
      </c>
      <c r="C222" s="750">
        <v>123</v>
      </c>
      <c r="D222" s="756"/>
      <c r="E222" s="724"/>
      <c r="F222" s="724"/>
      <c r="G222" s="733">
        <v>1</v>
      </c>
      <c r="H222" s="734" t="str">
        <f t="shared" si="2"/>
        <v/>
      </c>
      <c r="I222" s="9"/>
      <c r="J222" s="9"/>
      <c r="K222" s="10"/>
    </row>
    <row r="223" spans="1:19" ht="15" customHeight="1" x14ac:dyDescent="0.2">
      <c r="A223" s="126"/>
      <c r="B223" s="641" t="s">
        <v>580</v>
      </c>
      <c r="C223" s="616">
        <v>124</v>
      </c>
      <c r="D223" s="756"/>
      <c r="E223" s="724"/>
      <c r="F223" s="724"/>
      <c r="G223" s="733">
        <v>1</v>
      </c>
      <c r="H223" s="734" t="str">
        <f t="shared" si="2"/>
        <v/>
      </c>
      <c r="I223" s="120"/>
      <c r="J223" s="120"/>
      <c r="K223" s="10"/>
    </row>
    <row r="224" spans="1:19" ht="15" customHeight="1" x14ac:dyDescent="0.2">
      <c r="A224" s="126"/>
      <c r="B224" s="641" t="s">
        <v>581</v>
      </c>
      <c r="C224" s="616">
        <v>125</v>
      </c>
      <c r="D224" s="735"/>
      <c r="E224" s="724"/>
      <c r="F224" s="724"/>
      <c r="G224" s="779"/>
      <c r="H224" s="780"/>
      <c r="I224" s="120"/>
      <c r="J224" s="120"/>
      <c r="K224" s="10"/>
    </row>
    <row r="225" spans="1:11" ht="15" customHeight="1" x14ac:dyDescent="0.2">
      <c r="A225" s="126"/>
      <c r="B225" s="781" t="s">
        <v>582</v>
      </c>
      <c r="C225" s="616">
        <v>125</v>
      </c>
      <c r="D225" s="756"/>
      <c r="E225" s="724"/>
      <c r="F225" s="724"/>
      <c r="G225" s="733">
        <v>1</v>
      </c>
      <c r="H225" s="734" t="str">
        <f>IF(AND(ISNUMBER(D225),ISNUMBER(G225)),D225*G225,"")</f>
        <v/>
      </c>
      <c r="I225" s="120"/>
      <c r="J225" s="120"/>
      <c r="K225" s="10"/>
    </row>
    <row r="226" spans="1:11" ht="15" customHeight="1" x14ac:dyDescent="0.2">
      <c r="A226" s="126"/>
      <c r="B226" s="640" t="s">
        <v>641</v>
      </c>
      <c r="C226" s="616">
        <v>125</v>
      </c>
      <c r="D226" s="756"/>
      <c r="E226" s="724"/>
      <c r="F226" s="724"/>
      <c r="G226" s="733">
        <v>1</v>
      </c>
      <c r="H226" s="734" t="str">
        <f>IF(AND(ISNUMBER(D226),ISNUMBER(G226)),D226*G226,"")</f>
        <v/>
      </c>
      <c r="I226" s="120"/>
      <c r="J226" s="120"/>
      <c r="K226" s="10"/>
    </row>
    <row r="227" spans="1:11" ht="15" customHeight="1" x14ac:dyDescent="0.2">
      <c r="A227" s="126"/>
      <c r="B227" s="640" t="s">
        <v>642</v>
      </c>
      <c r="C227" s="616">
        <v>125</v>
      </c>
      <c r="D227" s="756"/>
      <c r="E227" s="724"/>
      <c r="F227" s="724"/>
      <c r="G227" s="733">
        <v>1</v>
      </c>
      <c r="H227" s="734" t="str">
        <f>IF(AND(ISNUMBER(D227),ISNUMBER(G227)),D227*G227,"")</f>
        <v/>
      </c>
      <c r="I227" s="120"/>
      <c r="J227" s="120"/>
      <c r="K227" s="10"/>
    </row>
    <row r="228" spans="1:11" ht="15" customHeight="1" x14ac:dyDescent="0.2">
      <c r="A228" s="126"/>
      <c r="B228" s="641" t="s">
        <v>0</v>
      </c>
      <c r="C228" s="616">
        <v>124</v>
      </c>
      <c r="D228" s="756"/>
      <c r="E228" s="724"/>
      <c r="F228" s="724"/>
      <c r="G228" s="733">
        <v>1</v>
      </c>
      <c r="H228" s="734" t="str">
        <f>IF(AND(ISNUMBER(D228),ISNUMBER(G228)),D228*G228,"")</f>
        <v/>
      </c>
      <c r="I228" s="120"/>
      <c r="J228" s="120"/>
      <c r="K228" s="10"/>
    </row>
    <row r="229" spans="1:11" ht="15" customHeight="1" x14ac:dyDescent="0.2">
      <c r="A229" s="126"/>
      <c r="B229" s="688" t="s">
        <v>1</v>
      </c>
      <c r="C229" s="616" t="s">
        <v>740</v>
      </c>
      <c r="D229" s="756"/>
      <c r="E229" s="724"/>
      <c r="F229" s="724"/>
      <c r="G229" s="733">
        <v>0.05</v>
      </c>
      <c r="H229" s="734" t="str">
        <f>IF(AND(ISNUMBER(D229),ISNUMBER(G229)),D229*G229,"")</f>
        <v/>
      </c>
      <c r="I229" s="120"/>
      <c r="J229" s="120"/>
      <c r="K229" s="10"/>
    </row>
    <row r="230" spans="1:11" ht="15" customHeight="1" x14ac:dyDescent="0.2">
      <c r="A230" s="126"/>
      <c r="B230" s="641" t="s">
        <v>2</v>
      </c>
      <c r="C230" s="742"/>
      <c r="D230" s="735"/>
      <c r="E230" s="724"/>
      <c r="F230" s="724"/>
      <c r="G230" s="779"/>
      <c r="H230" s="780"/>
      <c r="I230" s="120"/>
      <c r="J230" s="120"/>
      <c r="K230" s="10"/>
    </row>
    <row r="231" spans="1:11" ht="15" customHeight="1" x14ac:dyDescent="0.2">
      <c r="A231" s="126"/>
      <c r="B231" s="640" t="s">
        <v>530</v>
      </c>
      <c r="C231" s="616" t="s">
        <v>741</v>
      </c>
      <c r="D231" s="756"/>
      <c r="E231" s="724"/>
      <c r="F231" s="724"/>
      <c r="G231" s="733">
        <v>0.1</v>
      </c>
      <c r="H231" s="734" t="str">
        <f>IF(AND(ISNUMBER(D231),ISNUMBER(G231)),D231*G231,"")</f>
        <v/>
      </c>
      <c r="I231" s="120"/>
      <c r="J231" s="120"/>
      <c r="K231" s="10"/>
    </row>
    <row r="232" spans="1:11" ht="15" customHeight="1" x14ac:dyDescent="0.2">
      <c r="A232" s="126"/>
      <c r="B232" s="640" t="s">
        <v>3</v>
      </c>
      <c r="C232" s="616" t="s">
        <v>741</v>
      </c>
      <c r="D232" s="756"/>
      <c r="E232" s="724"/>
      <c r="F232" s="724"/>
      <c r="G232" s="733">
        <v>0.1</v>
      </c>
      <c r="H232" s="734" t="str">
        <f>IF(AND(ISNUMBER(D232),ISNUMBER(G232)),D232*G232,"")</f>
        <v/>
      </c>
      <c r="I232" s="120"/>
      <c r="J232" s="120"/>
      <c r="K232" s="10"/>
    </row>
    <row r="233" spans="1:11" ht="15" customHeight="1" x14ac:dyDescent="0.2">
      <c r="A233" s="126"/>
      <c r="B233" s="641" t="s">
        <v>4</v>
      </c>
      <c r="C233" s="742"/>
      <c r="D233" s="735"/>
      <c r="E233" s="724"/>
      <c r="F233" s="724"/>
      <c r="G233" s="779"/>
      <c r="H233" s="780"/>
      <c r="I233" s="120"/>
      <c r="J233" s="120"/>
      <c r="K233" s="10"/>
    </row>
    <row r="234" spans="1:11" ht="15" customHeight="1" x14ac:dyDescent="0.2">
      <c r="A234" s="126"/>
      <c r="B234" s="640" t="s">
        <v>530</v>
      </c>
      <c r="C234" s="616" t="s">
        <v>742</v>
      </c>
      <c r="D234" s="756"/>
      <c r="E234" s="724"/>
      <c r="F234" s="724"/>
      <c r="G234" s="733">
        <v>0.3</v>
      </c>
      <c r="H234" s="734" t="str">
        <f t="shared" ref="H234:H239" si="3">IF(AND(ISNUMBER(D234),ISNUMBER(G234)),D234*G234,"")</f>
        <v/>
      </c>
      <c r="I234" s="120"/>
      <c r="J234" s="120"/>
      <c r="K234" s="10"/>
    </row>
    <row r="235" spans="1:11" ht="15" customHeight="1" x14ac:dyDescent="0.2">
      <c r="A235" s="126"/>
      <c r="B235" s="640" t="s">
        <v>3</v>
      </c>
      <c r="C235" s="616" t="s">
        <v>742</v>
      </c>
      <c r="D235" s="756"/>
      <c r="E235" s="724"/>
      <c r="F235" s="724"/>
      <c r="G235" s="733">
        <v>0.3</v>
      </c>
      <c r="H235" s="734" t="str">
        <f t="shared" si="3"/>
        <v/>
      </c>
      <c r="I235" s="120"/>
      <c r="J235" s="120"/>
      <c r="K235" s="10"/>
    </row>
    <row r="236" spans="1:11" ht="15" customHeight="1" x14ac:dyDescent="0.2">
      <c r="A236" s="126"/>
      <c r="B236" s="641" t="s">
        <v>725</v>
      </c>
      <c r="C236" s="616" t="s">
        <v>726</v>
      </c>
      <c r="D236" s="756"/>
      <c r="E236" s="724"/>
      <c r="F236" s="724"/>
      <c r="G236" s="733">
        <v>0.4</v>
      </c>
      <c r="H236" s="734" t="str">
        <f t="shared" si="3"/>
        <v/>
      </c>
      <c r="I236" s="120"/>
      <c r="J236" s="120"/>
      <c r="K236" s="10"/>
    </row>
    <row r="237" spans="1:11" ht="15" customHeight="1" x14ac:dyDescent="0.2">
      <c r="A237" s="126"/>
      <c r="B237" s="641" t="s">
        <v>727</v>
      </c>
      <c r="C237" s="616" t="s">
        <v>728</v>
      </c>
      <c r="D237" s="756"/>
      <c r="E237" s="724"/>
      <c r="F237" s="724"/>
      <c r="G237" s="733">
        <v>0.4</v>
      </c>
      <c r="H237" s="734" t="str">
        <f t="shared" si="3"/>
        <v/>
      </c>
      <c r="I237" s="120"/>
      <c r="J237" s="120"/>
      <c r="K237" s="10"/>
    </row>
    <row r="238" spans="1:11" ht="15" customHeight="1" x14ac:dyDescent="0.2">
      <c r="A238" s="126"/>
      <c r="B238" s="641" t="s">
        <v>729</v>
      </c>
      <c r="C238" s="616" t="s">
        <v>730</v>
      </c>
      <c r="D238" s="756"/>
      <c r="E238" s="724"/>
      <c r="F238" s="724"/>
      <c r="G238" s="733">
        <v>1</v>
      </c>
      <c r="H238" s="734" t="str">
        <f t="shared" si="3"/>
        <v/>
      </c>
      <c r="I238" s="120"/>
      <c r="J238" s="120"/>
      <c r="K238" s="10"/>
    </row>
    <row r="239" spans="1:11" ht="15" customHeight="1" x14ac:dyDescent="0.2">
      <c r="A239" s="126"/>
      <c r="B239" s="782" t="s">
        <v>809</v>
      </c>
      <c r="C239" s="624" t="s">
        <v>743</v>
      </c>
      <c r="D239" s="761"/>
      <c r="E239" s="783"/>
      <c r="F239" s="783"/>
      <c r="G239" s="745">
        <v>1</v>
      </c>
      <c r="H239" s="746" t="str">
        <f t="shared" si="3"/>
        <v/>
      </c>
      <c r="I239" s="120"/>
      <c r="J239" s="120"/>
      <c r="K239" s="10"/>
    </row>
    <row r="240" spans="1:11" ht="30" customHeight="1" x14ac:dyDescent="0.2">
      <c r="A240" s="127"/>
      <c r="B240" s="103"/>
      <c r="C240" s="104"/>
      <c r="D240" s="104"/>
      <c r="E240" s="136"/>
      <c r="F240" s="125"/>
      <c r="G240" s="125"/>
      <c r="H240" s="125"/>
      <c r="I240" s="120"/>
      <c r="J240" s="120"/>
      <c r="K240" s="10"/>
    </row>
    <row r="241" spans="1:11" ht="30" customHeight="1" x14ac:dyDescent="0.2">
      <c r="A241" s="126"/>
      <c r="B241" s="793" t="s">
        <v>5</v>
      </c>
      <c r="C241" s="794" t="s">
        <v>813</v>
      </c>
      <c r="D241" s="794" t="s">
        <v>536</v>
      </c>
      <c r="E241" s="794" t="s">
        <v>6</v>
      </c>
      <c r="F241" s="794" t="s">
        <v>7</v>
      </c>
      <c r="G241" s="794" t="s">
        <v>566</v>
      </c>
      <c r="H241" s="795" t="s">
        <v>567</v>
      </c>
      <c r="I241" s="120"/>
      <c r="J241" s="120"/>
      <c r="K241" s="10"/>
    </row>
    <row r="242" spans="1:11" ht="15" customHeight="1" x14ac:dyDescent="0.2">
      <c r="A242" s="126"/>
      <c r="B242" s="800" t="s">
        <v>135</v>
      </c>
      <c r="C242" s="608">
        <v>132</v>
      </c>
      <c r="D242" s="801"/>
      <c r="E242" s="748"/>
      <c r="F242" s="802"/>
      <c r="G242" s="803">
        <v>1</v>
      </c>
      <c r="H242" s="664" t="str">
        <f>IF(AND(ISNUMBER(D242),ISNUMBER(G242)),D242*G242,"")</f>
        <v/>
      </c>
      <c r="I242" s="120"/>
      <c r="J242" s="120"/>
      <c r="K242" s="10"/>
    </row>
    <row r="243" spans="1:11" ht="15" customHeight="1" x14ac:dyDescent="0.2">
      <c r="A243" s="126"/>
      <c r="B243" s="640" t="s">
        <v>529</v>
      </c>
      <c r="C243" s="616">
        <v>133</v>
      </c>
      <c r="D243" s="756"/>
      <c r="E243" s="790" t="str">
        <f>IF(AND(ISNUMBER(D302),ISNUMBER(H302)),D302-H302,"")</f>
        <v/>
      </c>
      <c r="F243" s="789"/>
      <c r="G243" s="791"/>
      <c r="H243" s="792"/>
      <c r="I243" s="120"/>
      <c r="J243" s="120"/>
      <c r="K243" s="10"/>
    </row>
    <row r="244" spans="1:11" ht="15" customHeight="1" x14ac:dyDescent="0.2">
      <c r="A244" s="126"/>
      <c r="B244" s="640" t="s">
        <v>8</v>
      </c>
      <c r="C244" s="616">
        <v>133</v>
      </c>
      <c r="D244" s="756"/>
      <c r="E244" s="790" t="str">
        <f>IF(AND(ISNUMBER(D303),ISNUMBER(H303)),D303-H303,"")</f>
        <v/>
      </c>
      <c r="F244" s="789"/>
      <c r="G244" s="791"/>
      <c r="H244" s="792"/>
      <c r="I244" s="120"/>
      <c r="J244" s="120"/>
      <c r="K244" s="10"/>
    </row>
    <row r="245" spans="1:11" ht="15" customHeight="1" x14ac:dyDescent="0.2">
      <c r="A245" s="126"/>
      <c r="B245" s="640" t="s">
        <v>530</v>
      </c>
      <c r="C245" s="616">
        <v>133</v>
      </c>
      <c r="D245" s="756"/>
      <c r="E245" s="790" t="str">
        <f>IF(AND(ISNUMBER(D304),ISNUMBER(H304)),D304-H304,"")</f>
        <v/>
      </c>
      <c r="F245" s="789"/>
      <c r="G245" s="791"/>
      <c r="H245" s="792"/>
      <c r="I245" s="120"/>
      <c r="J245" s="120"/>
      <c r="K245" s="10"/>
    </row>
    <row r="246" spans="1:11" ht="15" customHeight="1" x14ac:dyDescent="0.2">
      <c r="A246" s="126"/>
      <c r="B246" s="640" t="s">
        <v>9</v>
      </c>
      <c r="C246" s="616">
        <v>133</v>
      </c>
      <c r="D246" s="756"/>
      <c r="E246" s="790" t="str">
        <f>IF(AND(ISNUMBER(D305),ISNUMBER(H305),ISNUMBER(D310),ISNUMBER(H310)),((D310-H310)+(D305-H305)),"")</f>
        <v/>
      </c>
      <c r="F246" s="789"/>
      <c r="G246" s="791"/>
      <c r="H246" s="792"/>
      <c r="I246" s="120"/>
      <c r="J246" s="120"/>
      <c r="K246" s="10"/>
    </row>
    <row r="247" spans="1:11" ht="15" customHeight="1" x14ac:dyDescent="0.2">
      <c r="A247" s="126"/>
      <c r="B247" s="759" t="s">
        <v>60</v>
      </c>
      <c r="C247" s="765"/>
      <c r="D247" s="655" t="str">
        <f>IF(AND(ISNUMBER(D243),ISNUMBER(D244),ISNUMBER(D245),ISNUMBER(D246)),SUM(D243:D246),"")</f>
        <v/>
      </c>
      <c r="E247" s="655" t="str">
        <f>IF(AND(ISNUMBER(E243),ISNUMBER(E244),ISNUMBER(E245),ISNUMBER(E246)),SUM(E243:E246),"")</f>
        <v/>
      </c>
      <c r="F247" s="804" t="str">
        <f>IF(AND(ISNUMBER(D247),ISNUMBER(E247)),MAX(D247-E247,0),"")</f>
        <v/>
      </c>
      <c r="G247" s="745">
        <v>1</v>
      </c>
      <c r="H247" s="805" t="str">
        <f>IF(AND(ISNUMBER(F247),ISNUMBER(G247)),F247*G247,"")</f>
        <v/>
      </c>
      <c r="I247" s="120"/>
      <c r="J247" s="120"/>
      <c r="K247" s="10"/>
    </row>
    <row r="248" spans="1:11" ht="30" customHeight="1" x14ac:dyDescent="0.2">
      <c r="A248" s="126"/>
      <c r="B248" s="796" t="s">
        <v>10</v>
      </c>
      <c r="C248" s="797"/>
      <c r="D248" s="798"/>
      <c r="E248" s="798"/>
      <c r="F248" s="798"/>
      <c r="G248" s="798"/>
      <c r="H248" s="799" t="str">
        <f>IF(AND(ISNUMBER(H242),ISNUMBER(H247)),H242+H247,"")</f>
        <v/>
      </c>
      <c r="I248" s="120"/>
      <c r="J248" s="120"/>
      <c r="K248" s="10"/>
    </row>
    <row r="249" spans="1:11" ht="30" customHeight="1" x14ac:dyDescent="0.2">
      <c r="A249" s="127"/>
      <c r="B249" s="105"/>
      <c r="C249" s="106"/>
      <c r="D249" s="105"/>
      <c r="E249" s="9"/>
      <c r="F249" s="9"/>
      <c r="G249" s="137"/>
      <c r="H249" s="137"/>
      <c r="I249" s="120"/>
      <c r="J249" s="120"/>
      <c r="K249" s="10"/>
    </row>
    <row r="250" spans="1:11" ht="30" customHeight="1" x14ac:dyDescent="0.2">
      <c r="A250" s="127"/>
      <c r="B250" s="806"/>
      <c r="C250" s="807"/>
      <c r="D250" s="807"/>
      <c r="E250" s="807"/>
      <c r="F250" s="115"/>
      <c r="G250" s="809"/>
      <c r="H250" s="630" t="s">
        <v>567</v>
      </c>
      <c r="I250" s="120"/>
      <c r="J250" s="120"/>
      <c r="K250" s="10"/>
    </row>
    <row r="251" spans="1:11" ht="15" customHeight="1" x14ac:dyDescent="0.2">
      <c r="A251" s="126"/>
      <c r="B251" s="808" t="s">
        <v>61</v>
      </c>
      <c r="C251" s="715"/>
      <c r="D251" s="629"/>
      <c r="E251" s="629"/>
      <c r="F251" s="629"/>
      <c r="G251" s="629"/>
      <c r="H251" s="305" t="str">
        <f>IF(AND(ISNUMBER(H214),ISNUMBER(H215),ISNUMBER(H217),ISNUMBER(H218),ISNUMBER(H219),ISNUMBER(H220),ISNUMBER(H221),ISNUMBER(H222),ISNUMBER(H223),ISNUMBER(H225),ISNUMBER(H226),ISNUMBER(H227),ISNUMBER(H228),ISNUMBER(H229),ISNUMBER(H231),ISNUMBER(H232),ISNUMBER(H234),ISNUMBER(H235),ISNUMBER(H236),ISNUMBER(H237),ISNUMBER(H238),ISNUMBER(H239),ISNUMBER(H248)),H214+H215+SUM(H217:H223)+SUM(H225:H229)+SUM(H231:H232)+SUM(H234:H239)+H248,"")</f>
        <v/>
      </c>
      <c r="I251" s="120"/>
      <c r="J251" s="120"/>
      <c r="K251" s="10"/>
    </row>
    <row r="252" spans="1:11" ht="30" customHeight="1" x14ac:dyDescent="0.2">
      <c r="A252" s="126"/>
      <c r="B252" s="105"/>
      <c r="C252" s="125"/>
      <c r="D252" s="124"/>
      <c r="E252" s="125"/>
      <c r="F252" s="138"/>
      <c r="G252" s="125"/>
      <c r="H252" s="125"/>
      <c r="I252" s="120"/>
      <c r="J252" s="120"/>
      <c r="K252" s="10"/>
    </row>
    <row r="253" spans="1:11" ht="30" customHeight="1" x14ac:dyDescent="0.2">
      <c r="A253" s="126"/>
      <c r="B253" s="810" t="s">
        <v>315</v>
      </c>
      <c r="C253" s="628" t="s">
        <v>813</v>
      </c>
      <c r="D253" s="628" t="s">
        <v>536</v>
      </c>
      <c r="E253" s="629"/>
      <c r="F253" s="629"/>
      <c r="G253" s="628" t="s">
        <v>566</v>
      </c>
      <c r="H253" s="217" t="s">
        <v>567</v>
      </c>
      <c r="I253" s="120"/>
      <c r="J253" s="120"/>
      <c r="K253" s="10"/>
    </row>
    <row r="254" spans="1:11" ht="15" customHeight="1" x14ac:dyDescent="0.2">
      <c r="A254" s="126"/>
      <c r="B254" s="814" t="s">
        <v>731</v>
      </c>
      <c r="C254" s="815">
        <v>137</v>
      </c>
      <c r="D254" s="682"/>
      <c r="E254" s="748"/>
      <c r="F254" s="748"/>
      <c r="G254" s="803">
        <f>Parameters!F57</f>
        <v>0</v>
      </c>
      <c r="H254" s="816" t="str">
        <f>IF(AND(ISNUMBER(D254),ISNUMBER(G254)),D254*G254,"")</f>
        <v/>
      </c>
      <c r="I254" s="120"/>
      <c r="J254" s="120"/>
      <c r="K254" s="10"/>
    </row>
    <row r="255" spans="1:11" ht="15" customHeight="1" x14ac:dyDescent="0.2">
      <c r="A255" s="126"/>
      <c r="B255" s="817" t="s">
        <v>446</v>
      </c>
      <c r="C255" s="616">
        <v>140</v>
      </c>
      <c r="D255" s="647"/>
      <c r="E255" s="732"/>
      <c r="F255" s="732"/>
      <c r="G255" s="733">
        <f>Parameters!F58</f>
        <v>0</v>
      </c>
      <c r="H255" s="818" t="str">
        <f>IF(AND(ISNUMBER(D255),ISNUMBER(G255)),D255*G255,"")</f>
        <v/>
      </c>
      <c r="I255" s="120"/>
      <c r="J255" s="120"/>
      <c r="K255" s="10"/>
    </row>
    <row r="256" spans="1:11" ht="15" customHeight="1" x14ac:dyDescent="0.2">
      <c r="A256" s="126"/>
      <c r="B256" s="817" t="s">
        <v>732</v>
      </c>
      <c r="C256" s="616" t="s">
        <v>737</v>
      </c>
      <c r="D256" s="647"/>
      <c r="E256" s="732"/>
      <c r="F256" s="732"/>
      <c r="G256" s="733">
        <f>Parameters!F59</f>
        <v>0</v>
      </c>
      <c r="H256" s="818" t="str">
        <f>IF(AND(ISNUMBER(D256),ISNUMBER(G256)),D256*G256,"")</f>
        <v/>
      </c>
      <c r="I256" s="120"/>
      <c r="J256" s="120"/>
      <c r="K256" s="10"/>
    </row>
    <row r="257" spans="1:19" ht="15" customHeight="1" x14ac:dyDescent="0.2">
      <c r="A257" s="126"/>
      <c r="B257" s="817" t="s">
        <v>733</v>
      </c>
      <c r="C257" s="616">
        <v>140</v>
      </c>
      <c r="D257" s="647"/>
      <c r="E257" s="732"/>
      <c r="F257" s="732"/>
      <c r="G257" s="733">
        <f>Parameters!F60</f>
        <v>0</v>
      </c>
      <c r="H257" s="818" t="str">
        <f>IF(AND(ISNUMBER(D257),ISNUMBER(G257)),D257*G257,"")</f>
        <v/>
      </c>
      <c r="I257" s="120"/>
      <c r="J257" s="120"/>
      <c r="K257" s="10"/>
    </row>
    <row r="258" spans="1:19" ht="15" customHeight="1" x14ac:dyDescent="0.2">
      <c r="A258" s="126"/>
      <c r="B258" s="817" t="s">
        <v>11</v>
      </c>
      <c r="C258" s="738"/>
      <c r="D258" s="735"/>
      <c r="E258" s="732"/>
      <c r="F258" s="732"/>
      <c r="G258" s="779"/>
      <c r="H258" s="819"/>
      <c r="I258" s="120"/>
      <c r="J258" s="120"/>
      <c r="K258" s="10"/>
    </row>
    <row r="259" spans="1:19" ht="15" customHeight="1" x14ac:dyDescent="0.2">
      <c r="A259" s="126"/>
      <c r="B259" s="820" t="s">
        <v>445</v>
      </c>
      <c r="C259" s="616">
        <v>140</v>
      </c>
      <c r="D259" s="647"/>
      <c r="E259" s="732"/>
      <c r="F259" s="732"/>
      <c r="G259" s="733">
        <f>Parameters!F62</f>
        <v>0</v>
      </c>
      <c r="H259" s="818" t="str">
        <f t="shared" ref="H259:H266" si="4">IF(AND(ISNUMBER(D259),ISNUMBER(G259)),D259*G259,"")</f>
        <v/>
      </c>
      <c r="I259" s="120"/>
      <c r="J259" s="120"/>
      <c r="K259" s="10"/>
    </row>
    <row r="260" spans="1:19" ht="15" customHeight="1" x14ac:dyDescent="0.2">
      <c r="A260" s="126"/>
      <c r="B260" s="820" t="s">
        <v>13</v>
      </c>
      <c r="C260" s="616">
        <v>140</v>
      </c>
      <c r="D260" s="647"/>
      <c r="E260" s="732"/>
      <c r="F260" s="732"/>
      <c r="G260" s="733">
        <f>Parameters!F63</f>
        <v>0</v>
      </c>
      <c r="H260" s="818" t="str">
        <f t="shared" si="4"/>
        <v/>
      </c>
      <c r="I260" s="120"/>
      <c r="J260" s="120"/>
      <c r="K260" s="10"/>
    </row>
    <row r="261" spans="1:19" ht="15" customHeight="1" x14ac:dyDescent="0.2">
      <c r="A261" s="126"/>
      <c r="B261" s="820" t="s">
        <v>633</v>
      </c>
      <c r="C261" s="616">
        <v>140</v>
      </c>
      <c r="D261" s="647"/>
      <c r="E261" s="732"/>
      <c r="F261" s="732"/>
      <c r="G261" s="733">
        <f>Parameters!F64</f>
        <v>0</v>
      </c>
      <c r="H261" s="818" t="str">
        <f t="shared" si="4"/>
        <v/>
      </c>
      <c r="I261" s="120"/>
      <c r="J261" s="120"/>
      <c r="K261" s="10"/>
    </row>
    <row r="262" spans="1:19" ht="15" customHeight="1" x14ac:dyDescent="0.2">
      <c r="A262" s="126"/>
      <c r="B262" s="820" t="s">
        <v>14</v>
      </c>
      <c r="C262" s="616">
        <v>140</v>
      </c>
      <c r="D262" s="647"/>
      <c r="E262" s="732"/>
      <c r="F262" s="732"/>
      <c r="G262" s="733">
        <f>Parameters!F65</f>
        <v>0</v>
      </c>
      <c r="H262" s="818" t="str">
        <f t="shared" si="4"/>
        <v/>
      </c>
      <c r="I262" s="120"/>
      <c r="J262" s="120"/>
      <c r="K262" s="10"/>
    </row>
    <row r="263" spans="1:19" ht="15" customHeight="1" x14ac:dyDescent="0.2">
      <c r="A263" s="126"/>
      <c r="B263" s="817" t="s">
        <v>15</v>
      </c>
      <c r="C263" s="616">
        <v>140</v>
      </c>
      <c r="D263" s="647"/>
      <c r="E263" s="732"/>
      <c r="F263" s="732"/>
      <c r="G263" s="733">
        <f>Parameters!F66</f>
        <v>0</v>
      </c>
      <c r="H263" s="818" t="str">
        <f t="shared" si="4"/>
        <v/>
      </c>
      <c r="I263" s="120"/>
      <c r="J263" s="120"/>
      <c r="K263" s="10"/>
    </row>
    <row r="264" spans="1:19" ht="15" customHeight="1" x14ac:dyDescent="0.2">
      <c r="A264" s="126"/>
      <c r="B264" s="817" t="s">
        <v>734</v>
      </c>
      <c r="C264" s="616">
        <v>140</v>
      </c>
      <c r="D264" s="647"/>
      <c r="E264" s="732"/>
      <c r="F264" s="732"/>
      <c r="G264" s="733">
        <f>Parameters!F67</f>
        <v>0.5</v>
      </c>
      <c r="H264" s="818" t="str">
        <f t="shared" si="4"/>
        <v/>
      </c>
      <c r="I264" s="120"/>
      <c r="J264" s="120"/>
      <c r="K264" s="10"/>
    </row>
    <row r="265" spans="1:19" ht="15" customHeight="1" x14ac:dyDescent="0.2">
      <c r="A265" s="126"/>
      <c r="B265" s="817" t="s">
        <v>735</v>
      </c>
      <c r="C265" s="616">
        <v>147</v>
      </c>
      <c r="D265" s="647"/>
      <c r="E265" s="732"/>
      <c r="F265" s="732"/>
      <c r="G265" s="733">
        <v>0</v>
      </c>
      <c r="H265" s="818" t="str">
        <f t="shared" si="4"/>
        <v/>
      </c>
      <c r="I265" s="120"/>
      <c r="J265" s="120"/>
      <c r="K265" s="10"/>
    </row>
    <row r="266" spans="1:19" ht="30" customHeight="1" x14ac:dyDescent="0.2">
      <c r="A266" s="126"/>
      <c r="B266" s="821" t="s">
        <v>736</v>
      </c>
      <c r="C266" s="624" t="s">
        <v>738</v>
      </c>
      <c r="D266" s="648"/>
      <c r="E266" s="744"/>
      <c r="F266" s="744"/>
      <c r="G266" s="745">
        <v>1</v>
      </c>
      <c r="H266" s="822" t="str">
        <f t="shared" si="4"/>
        <v/>
      </c>
      <c r="I266" s="120"/>
      <c r="J266" s="120"/>
      <c r="K266" s="10"/>
    </row>
    <row r="267" spans="1:19" ht="15" customHeight="1" x14ac:dyDescent="0.2">
      <c r="A267" s="126"/>
      <c r="B267" s="811" t="s">
        <v>572</v>
      </c>
      <c r="C267" s="715"/>
      <c r="D267" s="711"/>
      <c r="E267" s="710"/>
      <c r="F267" s="710"/>
      <c r="G267" s="813"/>
      <c r="H267" s="812" t="str">
        <f>IF(AND(ISNUMBER(H254),ISNUMBER(H255),ISNUMBER(H256),ISNUMBER(H257),ISNUMBER(H259),ISNUMBER(H260),ISNUMBER(H261),ISNUMBER(H262),ISNUMBER(H263),ISNUMBER(H264),ISNUMBER(H265),ISNUMBER(H266)),SUM(H254:H257,H259:H266),"")</f>
        <v/>
      </c>
      <c r="I267" s="120"/>
      <c r="J267" s="120"/>
      <c r="K267" s="10"/>
    </row>
    <row r="268" spans="1:19" s="114" customFormat="1" ht="45" customHeight="1" x14ac:dyDescent="0.25">
      <c r="A268" s="49" t="s">
        <v>458</v>
      </c>
      <c r="B268" s="49"/>
      <c r="C268" s="118"/>
      <c r="D268" s="118"/>
      <c r="E268" s="119"/>
      <c r="F268" s="120"/>
      <c r="G268" s="120"/>
      <c r="H268" s="120"/>
      <c r="I268" s="120"/>
      <c r="J268" s="120"/>
      <c r="K268" s="10"/>
      <c r="L268" s="120"/>
      <c r="M268" s="120"/>
      <c r="N268" s="120"/>
      <c r="O268" s="120"/>
      <c r="P268" s="120"/>
      <c r="Q268" s="120"/>
      <c r="R268" s="120"/>
      <c r="S268" s="120"/>
    </row>
    <row r="269" spans="1:19" s="114" customFormat="1" ht="15" customHeight="1" x14ac:dyDescent="0.25">
      <c r="A269" s="49"/>
      <c r="B269" s="49"/>
      <c r="C269" s="118"/>
      <c r="D269" s="118"/>
      <c r="E269" s="119"/>
      <c r="F269" s="120"/>
      <c r="G269" s="120"/>
      <c r="H269" s="120"/>
      <c r="I269" s="120"/>
      <c r="J269" s="120"/>
      <c r="K269" s="10"/>
      <c r="L269" s="120"/>
      <c r="M269" s="120"/>
      <c r="N269" s="120"/>
      <c r="O269" s="120"/>
      <c r="P269" s="120"/>
      <c r="Q269" s="120"/>
      <c r="R269" s="120"/>
      <c r="S269" s="120"/>
    </row>
    <row r="270" spans="1:19" ht="15" customHeight="1" x14ac:dyDescent="0.2">
      <c r="A270" s="127"/>
      <c r="B270" s="111" t="s">
        <v>62</v>
      </c>
      <c r="C270" s="111"/>
      <c r="D270" s="111"/>
      <c r="E270" s="111"/>
      <c r="F270" s="111"/>
      <c r="G270" s="823"/>
      <c r="H270" s="707" t="str">
        <f>IF(AND(ISNUMBER(H109),ISNUMBER(H167),ISNUMBER(H211),ISNUMBER(H251),ISNUMBER(H267),ISNUMBER(H431)),H109+H167+H211+H251+H267+H431,"")</f>
        <v/>
      </c>
      <c r="I270" s="120"/>
      <c r="J270" s="120"/>
      <c r="K270" s="10"/>
    </row>
    <row r="271" spans="1:19" s="114" customFormat="1" ht="45" customHeight="1" x14ac:dyDescent="0.25">
      <c r="A271" s="49" t="s">
        <v>316</v>
      </c>
      <c r="B271" s="49"/>
      <c r="C271" s="118"/>
      <c r="D271" s="118"/>
      <c r="E271" s="135"/>
      <c r="F271" s="120"/>
      <c r="G271" s="120"/>
      <c r="H271" s="120"/>
      <c r="I271" s="120"/>
      <c r="J271" s="120"/>
      <c r="K271" s="10"/>
      <c r="L271" s="120"/>
      <c r="M271" s="120"/>
      <c r="N271" s="120"/>
      <c r="O271" s="120"/>
      <c r="P271" s="120"/>
      <c r="Q271" s="120"/>
      <c r="R271" s="120"/>
      <c r="S271" s="120"/>
    </row>
    <row r="272" spans="1:19" s="114" customFormat="1" ht="45" customHeight="1" x14ac:dyDescent="0.25">
      <c r="A272" s="1645" t="s">
        <v>912</v>
      </c>
      <c r="B272" s="1645"/>
      <c r="C272" s="1645"/>
      <c r="D272" s="1645"/>
      <c r="E272" s="1645"/>
      <c r="F272" s="1645"/>
      <c r="G272" s="1645"/>
      <c r="H272" s="1645"/>
      <c r="I272" s="1645"/>
      <c r="J272" s="1645"/>
      <c r="K272" s="1682"/>
      <c r="L272" s="120"/>
      <c r="M272" s="120"/>
      <c r="N272" s="120"/>
      <c r="O272" s="120"/>
      <c r="P272" s="120"/>
      <c r="Q272" s="120"/>
      <c r="R272" s="120"/>
      <c r="S272" s="120"/>
    </row>
    <row r="273" spans="1:11" ht="45" customHeight="1" x14ac:dyDescent="0.2">
      <c r="A273" s="126"/>
      <c r="B273" s="776"/>
      <c r="C273" s="628" t="s">
        <v>813</v>
      </c>
      <c r="D273" s="628" t="s">
        <v>16</v>
      </c>
      <c r="E273" s="628" t="s">
        <v>17</v>
      </c>
      <c r="F273" s="833"/>
      <c r="G273" s="628" t="s">
        <v>566</v>
      </c>
      <c r="H273" s="630" t="s">
        <v>567</v>
      </c>
      <c r="I273" s="120"/>
      <c r="J273" s="120"/>
      <c r="K273" s="10"/>
    </row>
    <row r="274" spans="1:11" ht="15" customHeight="1" x14ac:dyDescent="0.2">
      <c r="A274" s="126"/>
      <c r="B274" s="829" t="s">
        <v>18</v>
      </c>
      <c r="C274" s="699" t="s">
        <v>745</v>
      </c>
      <c r="D274" s="830"/>
      <c r="E274" s="830"/>
      <c r="F274" s="831"/>
      <c r="G274" s="830"/>
      <c r="H274" s="832"/>
      <c r="I274" s="120"/>
      <c r="J274" s="120"/>
      <c r="K274" s="10"/>
    </row>
    <row r="275" spans="1:11" ht="30" customHeight="1" x14ac:dyDescent="0.2">
      <c r="A275" s="126"/>
      <c r="B275" s="640" t="s">
        <v>837</v>
      </c>
      <c r="C275" s="616" t="s">
        <v>745</v>
      </c>
      <c r="D275" s="735"/>
      <c r="E275" s="735"/>
      <c r="F275" s="789"/>
      <c r="G275" s="735"/>
      <c r="H275" s="825"/>
      <c r="I275" s="120"/>
      <c r="J275" s="120"/>
      <c r="K275" s="10"/>
    </row>
    <row r="276" spans="1:11" ht="15" customHeight="1" x14ac:dyDescent="0.2">
      <c r="A276" s="126"/>
      <c r="B276" s="727" t="s">
        <v>139</v>
      </c>
      <c r="C276" s="616" t="s">
        <v>745</v>
      </c>
      <c r="D276" s="647"/>
      <c r="E276" s="647"/>
      <c r="F276" s="789"/>
      <c r="G276" s="733">
        <v>0</v>
      </c>
      <c r="H276" s="665" t="str">
        <f>IF(AND(ISNUMBER(D276),ISNUMBER(G276)),D276*G276,"")</f>
        <v/>
      </c>
      <c r="I276" s="120"/>
      <c r="J276" s="120"/>
      <c r="K276" s="10"/>
    </row>
    <row r="277" spans="1:11" ht="15" customHeight="1" x14ac:dyDescent="0.2">
      <c r="A277" s="126"/>
      <c r="B277" s="753" t="s">
        <v>140</v>
      </c>
      <c r="C277" s="616" t="s">
        <v>745</v>
      </c>
      <c r="D277" s="647"/>
      <c r="E277" s="647"/>
      <c r="F277" s="789"/>
      <c r="G277" s="735"/>
      <c r="H277" s="825"/>
      <c r="I277" s="9"/>
      <c r="J277" s="9"/>
      <c r="K277" s="10"/>
    </row>
    <row r="278" spans="1:11" ht="15" customHeight="1" x14ac:dyDescent="0.2">
      <c r="A278" s="126"/>
      <c r="B278" s="1282" t="str">
        <f>CONCATENATE("Check: row ", ROW(B277), " ≤ row ", ROW(LCR!B276),)</f>
        <v>Check: row 277 ≤ row 276</v>
      </c>
      <c r="C278" s="742"/>
      <c r="D278" s="1266" t="str">
        <f>IF((D277&lt;=D276),"Pass","Fail")</f>
        <v>Pass</v>
      </c>
      <c r="E278" s="1266" t="str">
        <f>IF((E277&lt;=E276),"Pass","Fail")</f>
        <v>Pass</v>
      </c>
      <c r="F278" s="826"/>
      <c r="G278" s="738"/>
      <c r="H278" s="827"/>
      <c r="I278" s="9"/>
      <c r="J278" s="9"/>
      <c r="K278" s="10"/>
    </row>
    <row r="279" spans="1:11" ht="15" customHeight="1" x14ac:dyDescent="0.2">
      <c r="A279" s="126"/>
      <c r="B279" s="727" t="s">
        <v>716</v>
      </c>
      <c r="C279" s="616" t="s">
        <v>745</v>
      </c>
      <c r="D279" s="647"/>
      <c r="E279" s="647"/>
      <c r="F279" s="285"/>
      <c r="G279" s="733">
        <v>0.15</v>
      </c>
      <c r="H279" s="665" t="str">
        <f>IF(AND(ISNUMBER(D279),ISNUMBER(G279)),D279*G279,"")</f>
        <v/>
      </c>
      <c r="I279" s="120"/>
      <c r="J279" s="120"/>
      <c r="K279" s="10"/>
    </row>
    <row r="280" spans="1:11" s="176" customFormat="1" ht="15" customHeight="1" x14ac:dyDescent="0.2">
      <c r="A280" s="127"/>
      <c r="B280" s="753" t="s">
        <v>140</v>
      </c>
      <c r="C280" s="616" t="s">
        <v>745</v>
      </c>
      <c r="D280" s="647"/>
      <c r="E280" s="647"/>
      <c r="F280" s="285"/>
      <c r="G280" s="735"/>
      <c r="H280" s="825"/>
      <c r="I280" s="174"/>
      <c r="J280" s="174"/>
      <c r="K280" s="175"/>
    </row>
    <row r="281" spans="1:11" s="176" customFormat="1" ht="15" customHeight="1" x14ac:dyDescent="0.2">
      <c r="A281" s="127"/>
      <c r="B281" s="1282" t="str">
        <f>CONCATENATE("Check: row ", ROW(B280), " ≤ row ", ROW(LCR!B279),)</f>
        <v>Check: row 280 ≤ row 279</v>
      </c>
      <c r="C281" s="828"/>
      <c r="D281" s="1266" t="str">
        <f>IF((D280&lt;=D279),"Pass","Fail")</f>
        <v>Pass</v>
      </c>
      <c r="E281" s="1266" t="str">
        <f>IF((E280&lt;=E279),"Pass","Fail")</f>
        <v>Pass</v>
      </c>
      <c r="F281" s="826"/>
      <c r="G281" s="738"/>
      <c r="H281" s="827"/>
      <c r="I281" s="174"/>
      <c r="J281" s="174"/>
      <c r="K281" s="175"/>
    </row>
    <row r="282" spans="1:11" s="176" customFormat="1" ht="15" customHeight="1" x14ac:dyDescent="0.2">
      <c r="A282" s="127"/>
      <c r="B282" s="727" t="s">
        <v>717</v>
      </c>
      <c r="C282" s="616" t="s">
        <v>745</v>
      </c>
      <c r="D282" s="685"/>
      <c r="E282" s="685"/>
      <c r="F282" s="285"/>
      <c r="G282" s="733">
        <v>0.25</v>
      </c>
      <c r="H282" s="665" t="str">
        <f>IF(AND(ISNUMBER(D282),ISNUMBER(G282)),D282*G282,"")</f>
        <v/>
      </c>
      <c r="I282" s="174"/>
      <c r="J282" s="174"/>
      <c r="K282" s="175"/>
    </row>
    <row r="283" spans="1:11" s="176" customFormat="1" ht="15" customHeight="1" x14ac:dyDescent="0.2">
      <c r="A283" s="127"/>
      <c r="B283" s="753" t="s">
        <v>140</v>
      </c>
      <c r="C283" s="616" t="s">
        <v>745</v>
      </c>
      <c r="D283" s="685"/>
      <c r="E283" s="685"/>
      <c r="F283" s="285"/>
      <c r="G283" s="735"/>
      <c r="H283" s="825"/>
      <c r="I283" s="174"/>
      <c r="J283" s="174"/>
      <c r="K283" s="175"/>
    </row>
    <row r="284" spans="1:11" s="176" customFormat="1" ht="15" customHeight="1" x14ac:dyDescent="0.2">
      <c r="A284" s="127"/>
      <c r="B284" s="1282" t="str">
        <f>CONCATENATE("Check: row ", ROW(B283), " ≤ row ", ROW(LCR!B282),)</f>
        <v>Check: row 283 ≤ row 282</v>
      </c>
      <c r="C284" s="828"/>
      <c r="D284" s="1266" t="str">
        <f>IF((D283&lt;=D282),"Pass","Fail")</f>
        <v>Pass</v>
      </c>
      <c r="E284" s="1266" t="str">
        <f>IF((E283&lt;=E282),"Pass","Fail")</f>
        <v>Pass</v>
      </c>
      <c r="F284" s="826"/>
      <c r="G284" s="738"/>
      <c r="H284" s="827"/>
      <c r="I284" s="174"/>
      <c r="J284" s="174"/>
      <c r="K284" s="175"/>
    </row>
    <row r="285" spans="1:11" s="176" customFormat="1" ht="15" customHeight="1" x14ac:dyDescent="0.2">
      <c r="A285" s="127"/>
      <c r="B285" s="727" t="s">
        <v>718</v>
      </c>
      <c r="C285" s="616" t="s">
        <v>745</v>
      </c>
      <c r="D285" s="657"/>
      <c r="E285" s="657"/>
      <c r="F285" s="826"/>
      <c r="G285" s="617">
        <v>0.5</v>
      </c>
      <c r="H285" s="618" t="str">
        <f>IF(AND(ISNUMBER(D285),ISNUMBER(G285)),D285*G285,"")</f>
        <v/>
      </c>
      <c r="I285" s="174"/>
      <c r="J285" s="174"/>
      <c r="K285" s="175"/>
    </row>
    <row r="286" spans="1:11" s="176" customFormat="1" ht="15" customHeight="1" x14ac:dyDescent="0.2">
      <c r="A286" s="127"/>
      <c r="B286" s="753" t="s">
        <v>140</v>
      </c>
      <c r="C286" s="616" t="s">
        <v>745</v>
      </c>
      <c r="D286" s="657"/>
      <c r="E286" s="657"/>
      <c r="F286" s="826"/>
      <c r="G286" s="738"/>
      <c r="H286" s="827"/>
      <c r="I286" s="174"/>
      <c r="J286" s="174"/>
      <c r="K286" s="175"/>
    </row>
    <row r="287" spans="1:11" s="176" customFormat="1" ht="15" customHeight="1" x14ac:dyDescent="0.2">
      <c r="A287" s="127"/>
      <c r="B287" s="1282" t="str">
        <f>CONCATENATE("Check: row ", ROW(B286), " ≤ row ", ROW(LCR!B285),)</f>
        <v>Check: row 286 ≤ row 285</v>
      </c>
      <c r="C287" s="828"/>
      <c r="D287" s="1266" t="str">
        <f>IF((D286&lt;=D285),"Pass","Fail")</f>
        <v>Pass</v>
      </c>
      <c r="E287" s="1266" t="str">
        <f>IF((E286&lt;=E285),"Pass","Fail")</f>
        <v>Pass</v>
      </c>
      <c r="F287" s="826"/>
      <c r="G287" s="738"/>
      <c r="H287" s="827"/>
      <c r="I287" s="174"/>
      <c r="J287" s="174"/>
      <c r="K287" s="175"/>
    </row>
    <row r="288" spans="1:11" s="176" customFormat="1" ht="15" customHeight="1" x14ac:dyDescent="0.2">
      <c r="A288" s="127"/>
      <c r="B288" s="727" t="s">
        <v>746</v>
      </c>
      <c r="C288" s="616" t="s">
        <v>745</v>
      </c>
      <c r="D288" s="647"/>
      <c r="E288" s="647"/>
      <c r="F288" s="285"/>
      <c r="G288" s="733">
        <v>0.5</v>
      </c>
      <c r="H288" s="665" t="str">
        <f>IF(AND(ISNUMBER(D288),ISNUMBER(G288)),D288*G288,"")</f>
        <v/>
      </c>
      <c r="I288" s="174"/>
      <c r="J288" s="174"/>
      <c r="K288" s="175"/>
    </row>
    <row r="289" spans="1:19" ht="15" customHeight="1" x14ac:dyDescent="0.2">
      <c r="A289" s="126"/>
      <c r="B289" s="727" t="s">
        <v>32</v>
      </c>
      <c r="C289" s="616" t="s">
        <v>745</v>
      </c>
      <c r="D289" s="647"/>
      <c r="E289" s="647"/>
      <c r="F289" s="285"/>
      <c r="G289" s="733">
        <v>1</v>
      </c>
      <c r="H289" s="665" t="str">
        <f>IF(AND(ISNUMBER(D289),ISNUMBER(G289)),D289*G289,"")</f>
        <v/>
      </c>
      <c r="I289" s="120"/>
      <c r="J289" s="120"/>
      <c r="K289" s="10"/>
    </row>
    <row r="290" spans="1:19" ht="30" customHeight="1" x14ac:dyDescent="0.2">
      <c r="A290" s="126"/>
      <c r="B290" s="640" t="s">
        <v>838</v>
      </c>
      <c r="C290" s="616" t="s">
        <v>745</v>
      </c>
      <c r="D290" s="735"/>
      <c r="E290" s="735"/>
      <c r="F290" s="285"/>
      <c r="G290" s="735"/>
      <c r="H290" s="825"/>
      <c r="I290" s="120"/>
      <c r="J290" s="120"/>
      <c r="K290" s="10"/>
    </row>
    <row r="291" spans="1:19" ht="15" customHeight="1" x14ac:dyDescent="0.2">
      <c r="A291" s="126"/>
      <c r="B291" s="727" t="s">
        <v>31</v>
      </c>
      <c r="C291" s="616" t="s">
        <v>745</v>
      </c>
      <c r="D291" s="647"/>
      <c r="E291" s="647"/>
      <c r="F291" s="285"/>
      <c r="G291" s="733">
        <v>0</v>
      </c>
      <c r="H291" s="665" t="str">
        <f t="shared" ref="H291:H296" si="5">IF(AND(ISNUMBER(D291),ISNUMBER(G291)),D291*G291,"")</f>
        <v/>
      </c>
      <c r="I291" s="120"/>
      <c r="J291" s="120"/>
      <c r="K291" s="10"/>
    </row>
    <row r="292" spans="1:19" ht="15" customHeight="1" x14ac:dyDescent="0.2">
      <c r="A292" s="126"/>
      <c r="B292" s="727" t="s">
        <v>744</v>
      </c>
      <c r="C292" s="616" t="s">
        <v>745</v>
      </c>
      <c r="D292" s="647"/>
      <c r="E292" s="647"/>
      <c r="F292" s="285"/>
      <c r="G292" s="733">
        <v>0</v>
      </c>
      <c r="H292" s="665" t="str">
        <f t="shared" si="5"/>
        <v/>
      </c>
      <c r="I292" s="120"/>
      <c r="J292" s="120"/>
      <c r="K292" s="10"/>
    </row>
    <row r="293" spans="1:19" ht="15" customHeight="1" x14ac:dyDescent="0.2">
      <c r="A293" s="126"/>
      <c r="B293" s="727" t="s">
        <v>747</v>
      </c>
      <c r="C293" s="616" t="s">
        <v>745</v>
      </c>
      <c r="D293" s="685"/>
      <c r="E293" s="685"/>
      <c r="F293" s="285"/>
      <c r="G293" s="733">
        <v>0</v>
      </c>
      <c r="H293" s="665" t="str">
        <f t="shared" si="5"/>
        <v/>
      </c>
      <c r="I293" s="120"/>
      <c r="J293" s="120"/>
      <c r="K293" s="10"/>
    </row>
    <row r="294" spans="1:19" ht="15" customHeight="1" x14ac:dyDescent="0.2">
      <c r="A294" s="126"/>
      <c r="B294" s="727" t="s">
        <v>748</v>
      </c>
      <c r="C294" s="616" t="s">
        <v>745</v>
      </c>
      <c r="D294" s="685"/>
      <c r="E294" s="685"/>
      <c r="F294" s="285"/>
      <c r="G294" s="733">
        <v>0</v>
      </c>
      <c r="H294" s="665" t="str">
        <f t="shared" si="5"/>
        <v/>
      </c>
      <c r="I294" s="120"/>
      <c r="J294" s="120"/>
      <c r="K294" s="10"/>
    </row>
    <row r="295" spans="1:19" ht="15" customHeight="1" x14ac:dyDescent="0.2">
      <c r="A295" s="126"/>
      <c r="B295" s="727" t="s">
        <v>746</v>
      </c>
      <c r="C295" s="616" t="s">
        <v>745</v>
      </c>
      <c r="D295" s="647"/>
      <c r="E295" s="647"/>
      <c r="F295" s="285"/>
      <c r="G295" s="733">
        <v>0</v>
      </c>
      <c r="H295" s="665" t="str">
        <f t="shared" si="5"/>
        <v/>
      </c>
      <c r="I295" s="120"/>
      <c r="J295" s="120"/>
      <c r="K295" s="10"/>
    </row>
    <row r="296" spans="1:19" ht="15" customHeight="1" x14ac:dyDescent="0.2">
      <c r="A296" s="126"/>
      <c r="B296" s="834" t="s">
        <v>32</v>
      </c>
      <c r="C296" s="631" t="s">
        <v>745</v>
      </c>
      <c r="D296" s="835"/>
      <c r="E296" s="835"/>
      <c r="F296" s="298"/>
      <c r="G296" s="836">
        <v>0</v>
      </c>
      <c r="H296" s="837" t="str">
        <f t="shared" si="5"/>
        <v/>
      </c>
      <c r="I296" s="120"/>
      <c r="J296" s="120"/>
      <c r="K296" s="10"/>
    </row>
    <row r="297" spans="1:19" ht="15" customHeight="1" x14ac:dyDescent="0.2">
      <c r="A297" s="126"/>
      <c r="B297" s="658" t="s">
        <v>19</v>
      </c>
      <c r="C297" s="838"/>
      <c r="D297" s="711"/>
      <c r="E297" s="711"/>
      <c r="F297" s="302"/>
      <c r="G297" s="711"/>
      <c r="H297" s="839" t="str">
        <f>IF(AND(ISNUMBER(H276),ISNUMBER(H279),ISNUMBER(H288),ISNUMBER(H289),ISNUMBER(H291),ISNUMBER(H292),ISNUMBER(H295),ISNUMBER(H296)),SUM(H276,H279,H282,H285,H288:H289,H291:H296),"")</f>
        <v/>
      </c>
      <c r="I297" s="120"/>
      <c r="J297" s="120"/>
      <c r="K297" s="10"/>
    </row>
    <row r="298" spans="1:19" s="114" customFormat="1" ht="45" customHeight="1" x14ac:dyDescent="0.25">
      <c r="A298" s="49" t="s">
        <v>63</v>
      </c>
      <c r="B298" s="49"/>
      <c r="C298" s="118"/>
      <c r="D298" s="118"/>
      <c r="E298" s="119"/>
      <c r="F298" s="120"/>
      <c r="G298" s="120"/>
      <c r="H298" s="120"/>
      <c r="I298" s="120"/>
      <c r="J298" s="120"/>
      <c r="K298" s="10"/>
      <c r="L298" s="120"/>
      <c r="M298" s="120"/>
      <c r="N298" s="120"/>
      <c r="O298" s="120"/>
      <c r="P298" s="120"/>
      <c r="Q298" s="120"/>
      <c r="R298" s="120"/>
      <c r="S298" s="120"/>
    </row>
    <row r="299" spans="1:19" ht="15" customHeight="1" x14ac:dyDescent="0.25">
      <c r="A299" s="127"/>
      <c r="B299" s="99"/>
      <c r="C299" s="100"/>
      <c r="D299" s="101"/>
      <c r="E299" s="125"/>
      <c r="F299" s="102"/>
      <c r="G299" s="125"/>
      <c r="H299" s="125"/>
      <c r="I299" s="120"/>
      <c r="J299" s="120"/>
      <c r="K299" s="10"/>
    </row>
    <row r="300" spans="1:19" ht="30" customHeight="1" x14ac:dyDescent="0.2">
      <c r="A300" s="126"/>
      <c r="B300" s="776"/>
      <c r="C300" s="628" t="s">
        <v>813</v>
      </c>
      <c r="D300" s="628" t="s">
        <v>536</v>
      </c>
      <c r="E300" s="629"/>
      <c r="F300" s="629"/>
      <c r="G300" s="628" t="s">
        <v>566</v>
      </c>
      <c r="H300" s="630" t="s">
        <v>567</v>
      </c>
      <c r="I300" s="120"/>
      <c r="J300" s="120"/>
      <c r="K300" s="10"/>
    </row>
    <row r="301" spans="1:19" ht="15" customHeight="1" x14ac:dyDescent="0.2">
      <c r="A301" s="126"/>
      <c r="B301" s="638" t="str">
        <f>CONCATENATE("Contractual inflows due in ≤ 30 days from fully performing loans, not reported in lines ", ROW(B276), " to ", ROW(B296), ", from:")</f>
        <v>Contractual inflows due in ≤ 30 days from fully performing loans, not reported in lines 276 to 296, from:</v>
      </c>
      <c r="C301" s="764"/>
      <c r="D301" s="841"/>
      <c r="E301" s="842"/>
      <c r="F301" s="842"/>
      <c r="G301" s="841"/>
      <c r="H301" s="843"/>
      <c r="I301" s="120"/>
      <c r="J301" s="120"/>
      <c r="K301" s="10"/>
    </row>
    <row r="302" spans="1:19" ht="15" customHeight="1" x14ac:dyDescent="0.2">
      <c r="A302" s="126"/>
      <c r="B302" s="640" t="s">
        <v>20</v>
      </c>
      <c r="C302" s="616">
        <v>153</v>
      </c>
      <c r="D302" s="647"/>
      <c r="E302" s="844"/>
      <c r="F302" s="844"/>
      <c r="G302" s="733">
        <v>0.5</v>
      </c>
      <c r="H302" s="665" t="str">
        <f>IF(AND(ISNUMBER(D302),ISNUMBER(G302)),D302*G302,"")</f>
        <v/>
      </c>
      <c r="I302" s="120"/>
      <c r="J302" s="120"/>
      <c r="K302" s="10"/>
    </row>
    <row r="303" spans="1:19" ht="15" customHeight="1" x14ac:dyDescent="0.2">
      <c r="A303" s="126"/>
      <c r="B303" s="640" t="s">
        <v>21</v>
      </c>
      <c r="C303" s="616">
        <v>153</v>
      </c>
      <c r="D303" s="647"/>
      <c r="E303" s="844"/>
      <c r="F303" s="844"/>
      <c r="G303" s="733">
        <v>0.5</v>
      </c>
      <c r="H303" s="665" t="str">
        <f>IF(AND(ISNUMBER(D303),ISNUMBER(G303)),D303*G303,"")</f>
        <v/>
      </c>
      <c r="I303" s="120"/>
      <c r="J303" s="120"/>
      <c r="K303" s="10"/>
    </row>
    <row r="304" spans="1:19" ht="15" customHeight="1" x14ac:dyDescent="0.2">
      <c r="A304" s="126"/>
      <c r="B304" s="640" t="s">
        <v>44</v>
      </c>
      <c r="C304" s="616">
        <v>154</v>
      </c>
      <c r="D304" s="647"/>
      <c r="E304" s="844"/>
      <c r="F304" s="844"/>
      <c r="G304" s="733">
        <v>0.5</v>
      </c>
      <c r="H304" s="665" t="str">
        <f>IF(AND(ISNUMBER(D304),ISNUMBER(G304)),D304*G304,"")</f>
        <v/>
      </c>
      <c r="I304" s="120"/>
      <c r="J304" s="120"/>
      <c r="K304" s="10"/>
    </row>
    <row r="305" spans="1:19" ht="15" customHeight="1" x14ac:dyDescent="0.2">
      <c r="A305" s="126"/>
      <c r="B305" s="640" t="s">
        <v>415</v>
      </c>
      <c r="C305" s="616">
        <v>154</v>
      </c>
      <c r="D305" s="647"/>
      <c r="E305" s="844"/>
      <c r="F305" s="844"/>
      <c r="G305" s="733">
        <v>1</v>
      </c>
      <c r="H305" s="665" t="str">
        <f>IF(AND(ISNUMBER(D305),ISNUMBER(G305)),D305*G305,"")</f>
        <v/>
      </c>
      <c r="I305" s="120"/>
      <c r="J305" s="120"/>
      <c r="K305" s="10"/>
    </row>
    <row r="306" spans="1:19" ht="15" customHeight="1" x14ac:dyDescent="0.2">
      <c r="A306" s="126"/>
      <c r="B306" s="640" t="s">
        <v>45</v>
      </c>
      <c r="C306" s="616">
        <v>154</v>
      </c>
      <c r="D306" s="735"/>
      <c r="E306" s="844"/>
      <c r="F306" s="844"/>
      <c r="G306" s="735"/>
      <c r="H306" s="825"/>
      <c r="I306" s="120"/>
      <c r="J306" s="120"/>
      <c r="K306" s="10"/>
    </row>
    <row r="307" spans="1:19" ht="15" customHeight="1" x14ac:dyDescent="0.2">
      <c r="A307" s="126"/>
      <c r="B307" s="727" t="s">
        <v>810</v>
      </c>
      <c r="C307" s="616">
        <v>156</v>
      </c>
      <c r="D307" s="647"/>
      <c r="E307" s="844"/>
      <c r="F307" s="844"/>
      <c r="G307" s="733">
        <v>0</v>
      </c>
      <c r="H307" s="665" t="str">
        <f>IF(AND(ISNUMBER(D307),ISNUMBER(G307)),D307*G307,"")</f>
        <v/>
      </c>
      <c r="I307" s="120"/>
      <c r="J307" s="120"/>
      <c r="K307" s="10"/>
    </row>
    <row r="308" spans="1:19" ht="15" customHeight="1" x14ac:dyDescent="0.2">
      <c r="A308" s="126"/>
      <c r="B308" s="727" t="s">
        <v>46</v>
      </c>
      <c r="C308" s="616">
        <v>157</v>
      </c>
      <c r="D308" s="647"/>
      <c r="E308" s="844"/>
      <c r="F308" s="844"/>
      <c r="G308" s="733">
        <v>0</v>
      </c>
      <c r="H308" s="665" t="str">
        <f>IF(AND(ISNUMBER(D308),ISNUMBER(G308)),D308*G308,"")</f>
        <v/>
      </c>
      <c r="I308" s="120"/>
      <c r="J308" s="120"/>
      <c r="K308" s="10"/>
    </row>
    <row r="309" spans="1:19" ht="15" customHeight="1" x14ac:dyDescent="0.2">
      <c r="A309" s="126"/>
      <c r="B309" s="727" t="s">
        <v>811</v>
      </c>
      <c r="C309" s="616">
        <v>154</v>
      </c>
      <c r="D309" s="647"/>
      <c r="E309" s="844"/>
      <c r="F309" s="844"/>
      <c r="G309" s="733">
        <v>1</v>
      </c>
      <c r="H309" s="665" t="str">
        <f>IF(AND(ISNUMBER(D309),ISNUMBER(G309)),D309*G309,"")</f>
        <v/>
      </c>
      <c r="I309" s="120"/>
      <c r="J309" s="120"/>
      <c r="K309" s="10"/>
    </row>
    <row r="310" spans="1:19" ht="15" customHeight="1" x14ac:dyDescent="0.2">
      <c r="A310" s="126"/>
      <c r="B310" s="759" t="s">
        <v>47</v>
      </c>
      <c r="C310" s="624">
        <v>154</v>
      </c>
      <c r="D310" s="648"/>
      <c r="E310" s="845"/>
      <c r="F310" s="845"/>
      <c r="G310" s="745">
        <v>0.5</v>
      </c>
      <c r="H310" s="805" t="str">
        <f>IF(AND(ISNUMBER(D310),ISNUMBER(G310)),D310*G310,"")</f>
        <v/>
      </c>
      <c r="I310" s="120"/>
      <c r="J310" s="120"/>
      <c r="K310" s="10"/>
    </row>
    <row r="311" spans="1:19" ht="15" customHeight="1" x14ac:dyDescent="0.2">
      <c r="A311" s="126"/>
      <c r="B311" s="658" t="s">
        <v>48</v>
      </c>
      <c r="C311" s="715"/>
      <c r="D311" s="711"/>
      <c r="E311" s="840"/>
      <c r="F311" s="840"/>
      <c r="G311" s="711"/>
      <c r="H311" s="839" t="str">
        <f>IF(AND(ISNUMBER(H302),ISNUMBER(H303),ISNUMBER(H304),ISNUMBER(H305),ISNUMBER(H307),ISNUMBER(H308),ISNUMBER(H309),ISNUMBER(H310)),SUM(H302:H305,H307:H310),"")</f>
        <v/>
      </c>
      <c r="I311" s="120"/>
      <c r="J311" s="120"/>
      <c r="K311" s="10"/>
    </row>
    <row r="312" spans="1:19" s="114" customFormat="1" ht="45" customHeight="1" x14ac:dyDescent="0.25">
      <c r="A312" s="49" t="s">
        <v>64</v>
      </c>
      <c r="B312" s="49"/>
      <c r="C312" s="118"/>
      <c r="D312" s="118"/>
      <c r="E312" s="119"/>
      <c r="F312" s="120"/>
      <c r="G312" s="120"/>
      <c r="H312" s="120"/>
      <c r="I312" s="120"/>
      <c r="J312" s="120"/>
      <c r="K312" s="10"/>
      <c r="L312" s="120"/>
      <c r="M312" s="120"/>
      <c r="N312" s="120"/>
      <c r="O312" s="120"/>
      <c r="P312" s="120"/>
      <c r="Q312" s="120"/>
      <c r="R312" s="120"/>
      <c r="S312" s="120"/>
    </row>
    <row r="313" spans="1:19" ht="15" customHeight="1" x14ac:dyDescent="0.2">
      <c r="A313" s="127"/>
      <c r="B313" s="105"/>
      <c r="C313" s="106"/>
      <c r="D313" s="124"/>
      <c r="E313" s="125"/>
      <c r="F313" s="125"/>
      <c r="G313" s="125"/>
      <c r="H313" s="125"/>
      <c r="I313" s="120"/>
      <c r="J313" s="120"/>
      <c r="K313" s="10"/>
    </row>
    <row r="314" spans="1:19" ht="30" customHeight="1" x14ac:dyDescent="0.2">
      <c r="A314" s="127"/>
      <c r="B314" s="776"/>
      <c r="C314" s="628" t="s">
        <v>813</v>
      </c>
      <c r="D314" s="628" t="s">
        <v>536</v>
      </c>
      <c r="E314" s="629"/>
      <c r="F314" s="629"/>
      <c r="G314" s="628" t="s">
        <v>566</v>
      </c>
      <c r="H314" s="630" t="s">
        <v>567</v>
      </c>
      <c r="I314" s="120"/>
      <c r="J314" s="120"/>
      <c r="K314" s="10"/>
    </row>
    <row r="315" spans="1:19" ht="15" customHeight="1" x14ac:dyDescent="0.2">
      <c r="A315" s="126"/>
      <c r="B315" s="677" t="s">
        <v>49</v>
      </c>
      <c r="C315" s="764"/>
      <c r="D315" s="841"/>
      <c r="E315" s="842"/>
      <c r="F315" s="842"/>
      <c r="G315" s="841"/>
      <c r="H315" s="843"/>
      <c r="I315" s="120"/>
      <c r="J315" s="120"/>
      <c r="K315" s="10"/>
    </row>
    <row r="316" spans="1:19" ht="15" customHeight="1" x14ac:dyDescent="0.2">
      <c r="A316" s="126"/>
      <c r="B316" s="640" t="s">
        <v>749</v>
      </c>
      <c r="C316" s="616" t="s">
        <v>750</v>
      </c>
      <c r="D316" s="647"/>
      <c r="E316" s="844"/>
      <c r="F316" s="844"/>
      <c r="G316" s="733">
        <v>1</v>
      </c>
      <c r="H316" s="665" t="str">
        <f>IF(AND(ISNUMBER(D316),ISNUMBER(G316)),D316*G316,"")</f>
        <v/>
      </c>
      <c r="I316" s="120"/>
      <c r="J316" s="120"/>
      <c r="K316" s="10"/>
    </row>
    <row r="317" spans="1:19" ht="15" customHeight="1" x14ac:dyDescent="0.2">
      <c r="A317" s="126"/>
      <c r="B317" s="640" t="s">
        <v>50</v>
      </c>
      <c r="C317" s="616">
        <v>155</v>
      </c>
      <c r="D317" s="647"/>
      <c r="E317" s="844"/>
      <c r="F317" s="844"/>
      <c r="G317" s="733">
        <v>1</v>
      </c>
      <c r="H317" s="665" t="str">
        <f>IF(AND(ISNUMBER(D317),ISNUMBER(G317)),D317*G317,"")</f>
        <v/>
      </c>
      <c r="I317" s="120"/>
      <c r="J317" s="120"/>
      <c r="K317" s="10"/>
    </row>
    <row r="318" spans="1:19" ht="15" customHeight="1" x14ac:dyDescent="0.2">
      <c r="A318" s="126"/>
      <c r="B318" s="759" t="s">
        <v>51</v>
      </c>
      <c r="C318" s="624">
        <v>160</v>
      </c>
      <c r="D318" s="648"/>
      <c r="E318" s="845"/>
      <c r="F318" s="845"/>
      <c r="G318" s="745">
        <f>Parameters!F71</f>
        <v>0</v>
      </c>
      <c r="H318" s="805" t="str">
        <f>IF(AND(ISNUMBER(D318),ISNUMBER(G318)),D318*G318,"")</f>
        <v/>
      </c>
      <c r="I318" s="120"/>
      <c r="J318" s="120"/>
      <c r="K318" s="10"/>
    </row>
    <row r="319" spans="1:19" ht="15" customHeight="1" x14ac:dyDescent="0.2">
      <c r="A319" s="126"/>
      <c r="B319" s="658" t="s">
        <v>65</v>
      </c>
      <c r="C319" s="715"/>
      <c r="D319" s="711"/>
      <c r="E319" s="840"/>
      <c r="F319" s="840"/>
      <c r="G319" s="711"/>
      <c r="H319" s="839" t="str">
        <f>IF(AND(ISNUMBER(H316),ISNUMBER(H317),ISNUMBER(H318)),H316+H317+H318,"")</f>
        <v/>
      </c>
      <c r="I319" s="120"/>
      <c r="J319" s="120"/>
      <c r="K319" s="10"/>
    </row>
    <row r="320" spans="1:19" s="114" customFormat="1" ht="45" customHeight="1" x14ac:dyDescent="0.25">
      <c r="A320" s="49" t="s">
        <v>282</v>
      </c>
      <c r="B320" s="49"/>
      <c r="C320" s="118"/>
      <c r="D320" s="118"/>
      <c r="E320" s="119"/>
      <c r="F320" s="120"/>
      <c r="G320" s="120"/>
      <c r="H320" s="120"/>
      <c r="I320" s="120"/>
      <c r="J320" s="120"/>
      <c r="K320" s="10"/>
      <c r="L320" s="120"/>
      <c r="M320" s="120"/>
      <c r="N320" s="120"/>
      <c r="O320" s="120"/>
      <c r="P320" s="120"/>
      <c r="Q320" s="120"/>
      <c r="R320" s="120"/>
      <c r="S320" s="120"/>
    </row>
    <row r="321" spans="1:19" s="114" customFormat="1" ht="15" customHeight="1" x14ac:dyDescent="0.25">
      <c r="A321" s="157"/>
      <c r="B321" s="157"/>
      <c r="C321" s="157"/>
      <c r="D321" s="157"/>
      <c r="E321" s="157"/>
      <c r="F321" s="157"/>
      <c r="G321" s="157"/>
      <c r="H321" s="157"/>
      <c r="I321" s="157"/>
      <c r="J321" s="157"/>
      <c r="K321" s="158"/>
      <c r="L321" s="120"/>
      <c r="M321" s="120"/>
      <c r="N321" s="120"/>
      <c r="O321" s="120"/>
      <c r="P321" s="120"/>
      <c r="Q321" s="120"/>
      <c r="R321" s="120"/>
      <c r="S321" s="120"/>
    </row>
    <row r="322" spans="1:19" s="114" customFormat="1" ht="30" customHeight="1" x14ac:dyDescent="0.25">
      <c r="A322" s="157"/>
      <c r="B322" s="846"/>
      <c r="C322" s="628" t="s">
        <v>813</v>
      </c>
      <c r="D322" s="628" t="s">
        <v>536</v>
      </c>
      <c r="E322" s="629"/>
      <c r="F322" s="629"/>
      <c r="G322" s="628" t="s">
        <v>566</v>
      </c>
      <c r="H322" s="630" t="s">
        <v>567</v>
      </c>
      <c r="I322" s="157"/>
      <c r="J322" s="157"/>
      <c r="K322" s="158"/>
      <c r="L322" s="120"/>
      <c r="M322" s="120"/>
      <c r="N322" s="120"/>
      <c r="O322" s="120"/>
      <c r="P322" s="120"/>
      <c r="Q322" s="120"/>
      <c r="R322" s="120"/>
      <c r="S322" s="120"/>
    </row>
    <row r="323" spans="1:19" ht="15" customHeight="1" x14ac:dyDescent="0.2">
      <c r="A323" s="126"/>
      <c r="B323" s="638" t="s">
        <v>52</v>
      </c>
      <c r="C323" s="608">
        <v>144</v>
      </c>
      <c r="D323" s="841"/>
      <c r="E323" s="842"/>
      <c r="F323" s="842"/>
      <c r="G323" s="841"/>
      <c r="H323" s="664" t="str">
        <f>IF(AND(ISNUMBER(H297),ISNUMBER(H311),ISNUMBER(H319),ISNUMBER(J431)),H297+H311+H319+J431,"")</f>
        <v/>
      </c>
      <c r="I323" s="120"/>
      <c r="J323" s="120"/>
      <c r="K323" s="10"/>
    </row>
    <row r="324" spans="1:19" ht="15" customHeight="1" x14ac:dyDescent="0.2">
      <c r="A324" s="126"/>
      <c r="B324" s="644" t="s">
        <v>53</v>
      </c>
      <c r="C324" s="624" t="s">
        <v>751</v>
      </c>
      <c r="D324" s="655" t="str">
        <f>H270</f>
        <v/>
      </c>
      <c r="E324" s="845"/>
      <c r="F324" s="845"/>
      <c r="G324" s="745">
        <v>0.75</v>
      </c>
      <c r="H324" s="805" t="str">
        <f>IF(AND(ISNUMBER(D324),ISNUMBER(G324)),D324*G324,"")</f>
        <v/>
      </c>
      <c r="I324" s="120"/>
      <c r="J324" s="120"/>
      <c r="K324" s="10"/>
    </row>
    <row r="325" spans="1:19" ht="15" customHeight="1" x14ac:dyDescent="0.2">
      <c r="A325" s="126"/>
      <c r="B325" s="823" t="s">
        <v>54</v>
      </c>
      <c r="C325" s="847" t="s">
        <v>751</v>
      </c>
      <c r="D325" s="848"/>
      <c r="E325" s="848"/>
      <c r="F325" s="848"/>
      <c r="G325" s="848"/>
      <c r="H325" s="849" t="str">
        <f>IF(AND(ISNUMBER(H323),ISNUMBER(H324)),MIN(H323,H324),"")</f>
        <v/>
      </c>
      <c r="I325" s="120"/>
      <c r="J325" s="120"/>
      <c r="K325" s="10"/>
    </row>
    <row r="326" spans="1:19" ht="15" customHeight="1" x14ac:dyDescent="0.2">
      <c r="A326" s="127"/>
      <c r="B326" s="112"/>
      <c r="C326" s="104"/>
      <c r="D326" s="139"/>
      <c r="E326" s="140"/>
      <c r="F326" s="141"/>
      <c r="G326" s="125"/>
      <c r="H326" s="125"/>
      <c r="I326" s="120"/>
      <c r="J326" s="120"/>
      <c r="K326" s="10"/>
    </row>
    <row r="327" spans="1:19" s="117" customFormat="1" ht="30" customHeight="1" x14ac:dyDescent="0.25">
      <c r="A327" s="1479" t="s">
        <v>205</v>
      </c>
      <c r="B327" s="115"/>
      <c r="C327" s="115"/>
      <c r="D327" s="115"/>
      <c r="E327" s="115"/>
      <c r="F327" s="115"/>
      <c r="G327" s="115"/>
      <c r="H327" s="115"/>
      <c r="I327" s="152"/>
      <c r="J327" s="152"/>
      <c r="K327" s="116"/>
    </row>
    <row r="328" spans="1:19" ht="15" customHeight="1" x14ac:dyDescent="0.2">
      <c r="A328" s="127"/>
      <c r="B328" s="112"/>
      <c r="C328" s="104"/>
      <c r="D328" s="139"/>
      <c r="E328" s="140"/>
      <c r="F328" s="141"/>
      <c r="G328" s="125"/>
      <c r="H328" s="125"/>
      <c r="I328" s="120"/>
      <c r="J328" s="120"/>
      <c r="K328" s="10"/>
    </row>
    <row r="329" spans="1:19" ht="45" customHeight="1" x14ac:dyDescent="0.2">
      <c r="A329" s="127"/>
      <c r="B329" s="776"/>
      <c r="C329" s="628" t="s">
        <v>813</v>
      </c>
      <c r="D329" s="628" t="s">
        <v>206</v>
      </c>
      <c r="E329" s="628" t="s">
        <v>207</v>
      </c>
      <c r="F329" s="708"/>
      <c r="G329" s="628" t="s">
        <v>208</v>
      </c>
      <c r="H329" s="628" t="s">
        <v>209</v>
      </c>
      <c r="I329" s="628" t="s">
        <v>210</v>
      </c>
      <c r="J329" s="630" t="s">
        <v>211</v>
      </c>
      <c r="K329" s="10"/>
    </row>
    <row r="330" spans="1:19" ht="15" customHeight="1" x14ac:dyDescent="0.2">
      <c r="A330" s="127"/>
      <c r="B330" s="829" t="s">
        <v>583</v>
      </c>
      <c r="C330" s="872"/>
      <c r="D330" s="872"/>
      <c r="E330" s="872"/>
      <c r="F330" s="872"/>
      <c r="G330" s="872"/>
      <c r="H330" s="872"/>
      <c r="I330" s="873"/>
      <c r="J330" s="874"/>
      <c r="K330" s="10"/>
    </row>
    <row r="331" spans="1:19" ht="15" customHeight="1" x14ac:dyDescent="0.2">
      <c r="A331" s="127"/>
      <c r="B331" s="640" t="s">
        <v>839</v>
      </c>
      <c r="C331" s="722"/>
      <c r="D331" s="852"/>
      <c r="E331" s="852"/>
      <c r="F331" s="315"/>
      <c r="G331" s="722"/>
      <c r="H331" s="722"/>
      <c r="I331" s="850"/>
      <c r="J331" s="851"/>
      <c r="K331" s="10"/>
    </row>
    <row r="332" spans="1:19" ht="15" customHeight="1" x14ac:dyDescent="0.2">
      <c r="A332" s="127"/>
      <c r="B332" s="727" t="s">
        <v>141</v>
      </c>
      <c r="C332" s="616" t="s">
        <v>752</v>
      </c>
      <c r="D332" s="756"/>
      <c r="E332" s="756"/>
      <c r="F332" s="853"/>
      <c r="G332" s="733">
        <v>0</v>
      </c>
      <c r="H332" s="790" t="str">
        <f>IF(AND(ISNUMBER(G332),ISNUMBER(E332)),G332*E332,"")</f>
        <v/>
      </c>
      <c r="I332" s="854">
        <v>0</v>
      </c>
      <c r="J332" s="734" t="str">
        <f>IF(AND(ISNUMBER(I332),ISNUMBER(D332)),I332*D332,"")</f>
        <v/>
      </c>
      <c r="K332" s="10"/>
    </row>
    <row r="333" spans="1:19" ht="15" customHeight="1" x14ac:dyDescent="0.2">
      <c r="A333" s="127"/>
      <c r="B333" s="753" t="s">
        <v>144</v>
      </c>
      <c r="C333" s="616" t="s">
        <v>752</v>
      </c>
      <c r="D333" s="756"/>
      <c r="E333" s="756"/>
      <c r="F333" s="855"/>
      <c r="G333" s="856"/>
      <c r="H333" s="853"/>
      <c r="I333" s="857"/>
      <c r="J333" s="858"/>
      <c r="K333" s="10"/>
    </row>
    <row r="334" spans="1:19" ht="15" customHeight="1" x14ac:dyDescent="0.2">
      <c r="A334" s="126"/>
      <c r="B334" s="882" t="str">
        <f>CONCATENATE("Check: row ", ROW(B333), " ≤ row ", ROW(LCR!B332),)</f>
        <v>Check: row 333 ≤ row 332</v>
      </c>
      <c r="C334" s="742"/>
      <c r="D334" s="1266" t="str">
        <f>IF((D333&lt;=D332),"Pass","Fail")</f>
        <v>Pass</v>
      </c>
      <c r="E334" s="1266" t="str">
        <f>IF((E333&lt;=E332),"Pass","Fail")</f>
        <v>Pass</v>
      </c>
      <c r="F334" s="315"/>
      <c r="G334" s="653"/>
      <c r="H334" s="722"/>
      <c r="I334" s="850"/>
      <c r="J334" s="851"/>
      <c r="K334" s="10"/>
    </row>
    <row r="335" spans="1:19" ht="15" customHeight="1" x14ac:dyDescent="0.2">
      <c r="A335" s="127"/>
      <c r="B335" s="727" t="s">
        <v>753</v>
      </c>
      <c r="C335" s="616" t="s">
        <v>752</v>
      </c>
      <c r="D335" s="614"/>
      <c r="E335" s="614"/>
      <c r="F335" s="722"/>
      <c r="G335" s="653"/>
      <c r="H335" s="859"/>
      <c r="I335" s="854">
        <v>0.15</v>
      </c>
      <c r="J335" s="860" t="str">
        <f>IF(AND(ISNUMBER(I335),ISNUMBER(D335)),I335*D335,"")</f>
        <v/>
      </c>
      <c r="K335" s="10"/>
    </row>
    <row r="336" spans="1:19" ht="15" customHeight="1" x14ac:dyDescent="0.2">
      <c r="A336" s="127"/>
      <c r="B336" s="753" t="s">
        <v>144</v>
      </c>
      <c r="C336" s="616" t="s">
        <v>752</v>
      </c>
      <c r="D336" s="614"/>
      <c r="E336" s="614"/>
      <c r="F336" s="315"/>
      <c r="G336" s="653"/>
      <c r="H336" s="722"/>
      <c r="I336" s="850"/>
      <c r="J336" s="851"/>
      <c r="K336" s="10"/>
    </row>
    <row r="337" spans="1:11" ht="15" customHeight="1" x14ac:dyDescent="0.2">
      <c r="A337" s="127"/>
      <c r="B337" s="882" t="str">
        <f>CONCATENATE("Check: row ", ROW(B336), " ≤ row ", ROW(LCR!B335),)</f>
        <v>Check: row 336 ≤ row 335</v>
      </c>
      <c r="C337" s="742"/>
      <c r="D337" s="1266" t="str">
        <f>IF((D336&lt;=D335),"Pass","Fail")</f>
        <v>Pass</v>
      </c>
      <c r="E337" s="1266" t="str">
        <f>IF((E336&lt;=E335),"Pass","Fail")</f>
        <v>Pass</v>
      </c>
      <c r="F337" s="315"/>
      <c r="G337" s="653"/>
      <c r="H337" s="722"/>
      <c r="I337" s="850"/>
      <c r="J337" s="851"/>
      <c r="K337" s="10"/>
    </row>
    <row r="338" spans="1:11" ht="15" customHeight="1" x14ac:dyDescent="0.2">
      <c r="A338" s="127"/>
      <c r="B338" s="727" t="s">
        <v>754</v>
      </c>
      <c r="C338" s="616" t="s">
        <v>752</v>
      </c>
      <c r="D338" s="657"/>
      <c r="E338" s="657"/>
      <c r="F338" s="722"/>
      <c r="G338" s="653"/>
      <c r="H338" s="859"/>
      <c r="I338" s="854">
        <v>0.25</v>
      </c>
      <c r="J338" s="860" t="str">
        <f>IF(AND(ISNUMBER(I338),ISNUMBER(D338)),I338*D338,"")</f>
        <v/>
      </c>
      <c r="K338" s="10"/>
    </row>
    <row r="339" spans="1:11" ht="15" customHeight="1" x14ac:dyDescent="0.2">
      <c r="A339" s="127"/>
      <c r="B339" s="753" t="s">
        <v>144</v>
      </c>
      <c r="C339" s="616" t="s">
        <v>752</v>
      </c>
      <c r="D339" s="657"/>
      <c r="E339" s="657"/>
      <c r="F339" s="315"/>
      <c r="G339" s="653"/>
      <c r="H339" s="722"/>
      <c r="I339" s="850"/>
      <c r="J339" s="851"/>
      <c r="K339" s="10"/>
    </row>
    <row r="340" spans="1:11" ht="15" customHeight="1" x14ac:dyDescent="0.2">
      <c r="A340" s="127"/>
      <c r="B340" s="882" t="str">
        <f>CONCATENATE("Check: row ", ROW(B339), " ≤ row ", ROW(LCR!B338),)</f>
        <v>Check: row 339 ≤ row 338</v>
      </c>
      <c r="C340" s="742"/>
      <c r="D340" s="1266" t="str">
        <f>IF((D339&lt;=D338),"Pass","Fail")</f>
        <v>Pass</v>
      </c>
      <c r="E340" s="1266" t="str">
        <f>IF((E339&lt;=E338),"Pass","Fail")</f>
        <v>Pass</v>
      </c>
      <c r="F340" s="315"/>
      <c r="G340" s="653"/>
      <c r="H340" s="722"/>
      <c r="I340" s="850"/>
      <c r="J340" s="851"/>
      <c r="K340" s="10"/>
    </row>
    <row r="341" spans="1:11" ht="15" customHeight="1" x14ac:dyDescent="0.2">
      <c r="A341" s="127"/>
      <c r="B341" s="727" t="s">
        <v>755</v>
      </c>
      <c r="C341" s="616" t="s">
        <v>752</v>
      </c>
      <c r="D341" s="657"/>
      <c r="E341" s="657"/>
      <c r="F341" s="722"/>
      <c r="G341" s="653"/>
      <c r="H341" s="859"/>
      <c r="I341" s="854">
        <v>0.5</v>
      </c>
      <c r="J341" s="860" t="str">
        <f>IF(AND(ISNUMBER(I341),ISNUMBER(D341)),I341*D341,"")</f>
        <v/>
      </c>
      <c r="K341" s="10"/>
    </row>
    <row r="342" spans="1:11" ht="15" customHeight="1" x14ac:dyDescent="0.2">
      <c r="A342" s="127"/>
      <c r="B342" s="753" t="s">
        <v>144</v>
      </c>
      <c r="C342" s="616" t="s">
        <v>752</v>
      </c>
      <c r="D342" s="657"/>
      <c r="E342" s="657"/>
      <c r="F342" s="315"/>
      <c r="G342" s="653"/>
      <c r="H342" s="722"/>
      <c r="I342" s="861"/>
      <c r="J342" s="862"/>
      <c r="K342" s="10"/>
    </row>
    <row r="343" spans="1:11" ht="15" customHeight="1" x14ac:dyDescent="0.2">
      <c r="A343" s="127"/>
      <c r="B343" s="882" t="str">
        <f>CONCATENATE("Check: row ", ROW(B342), " ≤ row ", ROW(LCR!B341),)</f>
        <v>Check: row 342 ≤ row 341</v>
      </c>
      <c r="C343" s="742"/>
      <c r="D343" s="1266" t="str">
        <f>IF((D342&lt;=D341),"Pass","Fail")</f>
        <v>Pass</v>
      </c>
      <c r="E343" s="1266" t="str">
        <f>IF((E342&lt;=E341),"Pass","Fail")</f>
        <v>Pass</v>
      </c>
      <c r="F343" s="315"/>
      <c r="G343" s="653"/>
      <c r="H343" s="722"/>
      <c r="I343" s="861"/>
      <c r="J343" s="862"/>
      <c r="K343" s="10"/>
    </row>
    <row r="344" spans="1:11" ht="15" customHeight="1" x14ac:dyDescent="0.2">
      <c r="A344" s="127"/>
      <c r="B344" s="727" t="s">
        <v>142</v>
      </c>
      <c r="C344" s="616" t="s">
        <v>752</v>
      </c>
      <c r="D344" s="614"/>
      <c r="E344" s="614"/>
      <c r="F344" s="722"/>
      <c r="G344" s="653"/>
      <c r="H344" s="859"/>
      <c r="I344" s="854">
        <v>1</v>
      </c>
      <c r="J344" s="860" t="str">
        <f>IF(AND(ISNUMBER(I344),ISNUMBER(D344)),I344*D344,"")</f>
        <v/>
      </c>
      <c r="K344" s="10"/>
    </row>
    <row r="345" spans="1:11" ht="15" customHeight="1" x14ac:dyDescent="0.2">
      <c r="A345" s="127"/>
      <c r="B345" s="753" t="s">
        <v>144</v>
      </c>
      <c r="C345" s="616" t="s">
        <v>752</v>
      </c>
      <c r="D345" s="614"/>
      <c r="E345" s="614"/>
      <c r="F345" s="315"/>
      <c r="G345" s="653"/>
      <c r="H345" s="722"/>
      <c r="I345" s="850"/>
      <c r="J345" s="851"/>
      <c r="K345" s="10"/>
    </row>
    <row r="346" spans="1:11" ht="15" customHeight="1" x14ac:dyDescent="0.2">
      <c r="A346" s="127"/>
      <c r="B346" s="882" t="str">
        <f>CONCATENATE("Check: row ", ROW(B345), " ≤ row ", ROW(LCR!B344),)</f>
        <v>Check: row 345 ≤ row 344</v>
      </c>
      <c r="C346" s="742"/>
      <c r="D346" s="1266" t="str">
        <f>IF((D345&lt;=D344),"Pass","Fail")</f>
        <v>Pass</v>
      </c>
      <c r="E346" s="1266" t="str">
        <f>IF((E345&lt;=E344),"Pass","Fail")</f>
        <v>Pass</v>
      </c>
      <c r="F346" s="315"/>
      <c r="G346" s="653"/>
      <c r="H346" s="722"/>
      <c r="I346" s="850"/>
      <c r="J346" s="851"/>
      <c r="K346" s="10"/>
    </row>
    <row r="347" spans="1:11" ht="15" customHeight="1" x14ac:dyDescent="0.2">
      <c r="A347" s="127"/>
      <c r="B347" s="727" t="s">
        <v>756</v>
      </c>
      <c r="C347" s="616" t="s">
        <v>752</v>
      </c>
      <c r="D347" s="614"/>
      <c r="E347" s="614"/>
      <c r="F347" s="722"/>
      <c r="G347" s="733">
        <v>0.15</v>
      </c>
      <c r="H347" s="670" t="str">
        <f>IF(AND(ISNUMBER(G347),ISNUMBER(E347)),G347*E347,"")</f>
        <v/>
      </c>
      <c r="I347" s="850"/>
      <c r="J347" s="863"/>
      <c r="K347" s="10"/>
    </row>
    <row r="348" spans="1:11" ht="15" customHeight="1" x14ac:dyDescent="0.2">
      <c r="A348" s="127"/>
      <c r="B348" s="753" t="s">
        <v>144</v>
      </c>
      <c r="C348" s="616" t="s">
        <v>752</v>
      </c>
      <c r="D348" s="614"/>
      <c r="E348" s="614"/>
      <c r="F348" s="315"/>
      <c r="G348" s="653"/>
      <c r="H348" s="722"/>
      <c r="I348" s="850"/>
      <c r="J348" s="851"/>
      <c r="K348" s="10"/>
    </row>
    <row r="349" spans="1:11" ht="15" customHeight="1" x14ac:dyDescent="0.2">
      <c r="A349" s="127"/>
      <c r="B349" s="882" t="str">
        <f>CONCATENATE("Check: row ", ROW(B348), " ≤ row ", ROW(LCR!B347),)</f>
        <v>Check: row 348 ≤ row 347</v>
      </c>
      <c r="C349" s="742"/>
      <c r="D349" s="1266" t="str">
        <f>IF((D348&lt;=D347),"Pass","Fail")</f>
        <v>Pass</v>
      </c>
      <c r="E349" s="1266" t="str">
        <f>IF((E348&lt;=E347),"Pass","Fail")</f>
        <v>Pass</v>
      </c>
      <c r="F349" s="315"/>
      <c r="G349" s="653"/>
      <c r="H349" s="722"/>
      <c r="I349" s="850"/>
      <c r="J349" s="851"/>
      <c r="K349" s="10"/>
    </row>
    <row r="350" spans="1:11" ht="15" customHeight="1" x14ac:dyDescent="0.2">
      <c r="A350" s="127"/>
      <c r="B350" s="727" t="s">
        <v>757</v>
      </c>
      <c r="C350" s="616" t="s">
        <v>752</v>
      </c>
      <c r="D350" s="614"/>
      <c r="E350" s="614"/>
      <c r="F350" s="722"/>
      <c r="G350" s="733">
        <v>0</v>
      </c>
      <c r="H350" s="670" t="str">
        <f>IF(AND(ISNUMBER(G350),ISNUMBER(E350)),G350*E350,"")</f>
        <v/>
      </c>
      <c r="I350" s="854">
        <v>0</v>
      </c>
      <c r="J350" s="860" t="str">
        <f>IF(AND(ISNUMBER(I350),ISNUMBER(D350)),I350*D350,"")</f>
        <v/>
      </c>
      <c r="K350" s="10"/>
    </row>
    <row r="351" spans="1:11" ht="15" customHeight="1" x14ac:dyDescent="0.2">
      <c r="A351" s="127"/>
      <c r="B351" s="753" t="s">
        <v>144</v>
      </c>
      <c r="C351" s="616" t="s">
        <v>752</v>
      </c>
      <c r="D351" s="614"/>
      <c r="E351" s="614"/>
      <c r="F351" s="315"/>
      <c r="G351" s="653"/>
      <c r="H351" s="722"/>
      <c r="I351" s="850"/>
      <c r="J351" s="851"/>
      <c r="K351" s="10"/>
    </row>
    <row r="352" spans="1:11" ht="15" customHeight="1" x14ac:dyDescent="0.2">
      <c r="A352" s="127"/>
      <c r="B352" s="882" t="str">
        <f>CONCATENATE("Check: row ", ROW(B351), " ≤ row ", ROW(LCR!B350),)</f>
        <v>Check: row 351 ≤ row 350</v>
      </c>
      <c r="C352" s="742"/>
      <c r="D352" s="1266" t="str">
        <f>IF((D351&lt;=D350),"Pass","Fail")</f>
        <v>Pass</v>
      </c>
      <c r="E352" s="1266" t="str">
        <f>IF((E351&lt;=E350),"Pass","Fail")</f>
        <v>Pass</v>
      </c>
      <c r="F352" s="315"/>
      <c r="G352" s="653"/>
      <c r="H352" s="722"/>
      <c r="I352" s="850"/>
      <c r="J352" s="851"/>
      <c r="K352" s="10"/>
    </row>
    <row r="353" spans="1:11" ht="15" customHeight="1" x14ac:dyDescent="0.2">
      <c r="A353" s="127"/>
      <c r="B353" s="727" t="s">
        <v>758</v>
      </c>
      <c r="C353" s="616" t="s">
        <v>752</v>
      </c>
      <c r="D353" s="657"/>
      <c r="E353" s="657"/>
      <c r="F353" s="722"/>
      <c r="G353" s="653"/>
      <c r="H353" s="859"/>
      <c r="I353" s="864">
        <v>0.1</v>
      </c>
      <c r="J353" s="860" t="str">
        <f>IF(AND(ISNUMBER(I353),ISNUMBER(D353)),I353*D353,"")</f>
        <v/>
      </c>
      <c r="K353" s="10"/>
    </row>
    <row r="354" spans="1:11" ht="15" customHeight="1" x14ac:dyDescent="0.2">
      <c r="A354" s="127"/>
      <c r="B354" s="753" t="s">
        <v>144</v>
      </c>
      <c r="C354" s="616" t="s">
        <v>752</v>
      </c>
      <c r="D354" s="657"/>
      <c r="E354" s="657"/>
      <c r="F354" s="315"/>
      <c r="G354" s="653"/>
      <c r="H354" s="722"/>
      <c r="I354" s="850"/>
      <c r="J354" s="851"/>
      <c r="K354" s="10"/>
    </row>
    <row r="355" spans="1:11" ht="15" customHeight="1" x14ac:dyDescent="0.2">
      <c r="A355" s="127"/>
      <c r="B355" s="882" t="str">
        <f>CONCATENATE("Check: row ", ROW(B354), " ≤ row ", ROW(LCR!B353),)</f>
        <v>Check: row 354 ≤ row 353</v>
      </c>
      <c r="C355" s="742"/>
      <c r="D355" s="1266" t="str">
        <f>IF((D354&lt;=D353),"Pass","Fail")</f>
        <v>Pass</v>
      </c>
      <c r="E355" s="1266" t="str">
        <f>IF((E354&lt;=E353),"Pass","Fail")</f>
        <v>Pass</v>
      </c>
      <c r="F355" s="315"/>
      <c r="G355" s="653"/>
      <c r="H355" s="722"/>
      <c r="I355" s="850"/>
      <c r="J355" s="851"/>
      <c r="K355" s="10"/>
    </row>
    <row r="356" spans="1:11" ht="15" customHeight="1" x14ac:dyDescent="0.2">
      <c r="A356" s="127"/>
      <c r="B356" s="727" t="s">
        <v>759</v>
      </c>
      <c r="C356" s="616" t="s">
        <v>752</v>
      </c>
      <c r="D356" s="657"/>
      <c r="E356" s="657"/>
      <c r="F356" s="722"/>
      <c r="G356" s="653"/>
      <c r="H356" s="859"/>
      <c r="I356" s="864">
        <v>0.35</v>
      </c>
      <c r="J356" s="860" t="str">
        <f>IF(AND(ISNUMBER(I356),ISNUMBER(D356)),I356*D356,"")</f>
        <v/>
      </c>
      <c r="K356" s="10"/>
    </row>
    <row r="357" spans="1:11" ht="15" customHeight="1" x14ac:dyDescent="0.2">
      <c r="A357" s="127"/>
      <c r="B357" s="753" t="s">
        <v>144</v>
      </c>
      <c r="C357" s="616" t="s">
        <v>752</v>
      </c>
      <c r="D357" s="657"/>
      <c r="E357" s="657"/>
      <c r="F357" s="315"/>
      <c r="G357" s="653"/>
      <c r="H357" s="722"/>
      <c r="I357" s="850"/>
      <c r="J357" s="851"/>
      <c r="K357" s="10"/>
    </row>
    <row r="358" spans="1:11" ht="15" customHeight="1" x14ac:dyDescent="0.2">
      <c r="A358" s="127"/>
      <c r="B358" s="882" t="str">
        <f>CONCATENATE("Check: row ", ROW(B357), " ≤ row ", ROW(LCR!B356),)</f>
        <v>Check: row 357 ≤ row 356</v>
      </c>
      <c r="C358" s="742"/>
      <c r="D358" s="1266" t="str">
        <f>IF((D357&lt;=D356),"Pass","Fail")</f>
        <v>Pass</v>
      </c>
      <c r="E358" s="1266" t="str">
        <f>IF((E357&lt;=E356),"Pass","Fail")</f>
        <v>Pass</v>
      </c>
      <c r="F358" s="315"/>
      <c r="G358" s="653"/>
      <c r="H358" s="722"/>
      <c r="I358" s="850"/>
      <c r="J358" s="851"/>
      <c r="K358" s="10"/>
    </row>
    <row r="359" spans="1:11" ht="15" customHeight="1" x14ac:dyDescent="0.2">
      <c r="A359" s="127"/>
      <c r="B359" s="727" t="s">
        <v>760</v>
      </c>
      <c r="C359" s="616" t="s">
        <v>752</v>
      </c>
      <c r="D359" s="614"/>
      <c r="E359" s="614"/>
      <c r="F359" s="722"/>
      <c r="G359" s="653"/>
      <c r="H359" s="859"/>
      <c r="I359" s="854">
        <v>0.85</v>
      </c>
      <c r="J359" s="860" t="str">
        <f>IF(AND(ISNUMBER(I359),ISNUMBER(D359)),I359*D359,"")</f>
        <v/>
      </c>
      <c r="K359" s="10"/>
    </row>
    <row r="360" spans="1:11" ht="15" customHeight="1" x14ac:dyDescent="0.2">
      <c r="A360" s="127"/>
      <c r="B360" s="753" t="s">
        <v>144</v>
      </c>
      <c r="C360" s="616" t="s">
        <v>752</v>
      </c>
      <c r="D360" s="614"/>
      <c r="E360" s="614"/>
      <c r="F360" s="315"/>
      <c r="G360" s="653"/>
      <c r="H360" s="722"/>
      <c r="I360" s="850"/>
      <c r="J360" s="851"/>
      <c r="K360" s="10"/>
    </row>
    <row r="361" spans="1:11" ht="15" customHeight="1" x14ac:dyDescent="0.2">
      <c r="A361" s="127"/>
      <c r="B361" s="882" t="str">
        <f>CONCATENATE("Check: row ", ROW(B360), " ≤ row ", ROW(LCR!B359),)</f>
        <v>Check: row 360 ≤ row 359</v>
      </c>
      <c r="C361" s="742"/>
      <c r="D361" s="1266" t="str">
        <f>IF((D360&lt;=D359),"Pass","Fail")</f>
        <v>Pass</v>
      </c>
      <c r="E361" s="1266" t="str">
        <f>IF((E360&lt;=E359),"Pass","Fail")</f>
        <v>Pass</v>
      </c>
      <c r="F361" s="315"/>
      <c r="G361" s="653"/>
      <c r="H361" s="722"/>
      <c r="I361" s="850"/>
      <c r="J361" s="851"/>
      <c r="K361" s="10"/>
    </row>
    <row r="362" spans="1:11" ht="15" customHeight="1" x14ac:dyDescent="0.2">
      <c r="A362" s="127"/>
      <c r="B362" s="727" t="s">
        <v>761</v>
      </c>
      <c r="C362" s="616" t="s">
        <v>752</v>
      </c>
      <c r="D362" s="657"/>
      <c r="E362" s="657"/>
      <c r="F362" s="315"/>
      <c r="G362" s="865">
        <v>0.25</v>
      </c>
      <c r="H362" s="670" t="str">
        <f>IF(AND(ISNUMBER(G362),ISNUMBER(E362)),G362*E362,"")</f>
        <v/>
      </c>
      <c r="I362" s="850"/>
      <c r="J362" s="863"/>
      <c r="K362" s="10"/>
    </row>
    <row r="363" spans="1:11" ht="15" customHeight="1" x14ac:dyDescent="0.2">
      <c r="A363" s="127"/>
      <c r="B363" s="753" t="s">
        <v>144</v>
      </c>
      <c r="C363" s="616" t="s">
        <v>752</v>
      </c>
      <c r="D363" s="657"/>
      <c r="E363" s="657"/>
      <c r="F363" s="315"/>
      <c r="G363" s="653"/>
      <c r="H363" s="722"/>
      <c r="I363" s="850"/>
      <c r="J363" s="851"/>
      <c r="K363" s="10"/>
    </row>
    <row r="364" spans="1:11" ht="15" customHeight="1" x14ac:dyDescent="0.2">
      <c r="A364" s="127"/>
      <c r="B364" s="882" t="str">
        <f>CONCATENATE("Check: row ", ROW(B363), " ≤ row ", ROW(LCR!B362),)</f>
        <v>Check: row 363 ≤ row 362</v>
      </c>
      <c r="C364" s="742"/>
      <c r="D364" s="1266" t="str">
        <f>IF((D363&lt;=D362),"Pass","Fail")</f>
        <v>Pass</v>
      </c>
      <c r="E364" s="1266" t="str">
        <f>IF((E363&lt;=E362),"Pass","Fail")</f>
        <v>Pass</v>
      </c>
      <c r="F364" s="315"/>
      <c r="G364" s="653"/>
      <c r="H364" s="722"/>
      <c r="I364" s="850"/>
      <c r="J364" s="851"/>
      <c r="K364" s="10"/>
    </row>
    <row r="365" spans="1:11" ht="15" customHeight="1" x14ac:dyDescent="0.2">
      <c r="A365" s="127"/>
      <c r="B365" s="727" t="s">
        <v>762</v>
      </c>
      <c r="C365" s="616" t="s">
        <v>752</v>
      </c>
      <c r="D365" s="657"/>
      <c r="E365" s="657"/>
      <c r="F365" s="315"/>
      <c r="G365" s="865">
        <v>0.1</v>
      </c>
      <c r="H365" s="670" t="str">
        <f>IF(AND(ISNUMBER(G365),ISNUMBER(E365)),G365*E365,"")</f>
        <v/>
      </c>
      <c r="I365" s="850"/>
      <c r="J365" s="863"/>
      <c r="K365" s="10"/>
    </row>
    <row r="366" spans="1:11" ht="15" customHeight="1" x14ac:dyDescent="0.2">
      <c r="A366" s="127"/>
      <c r="B366" s="753" t="s">
        <v>144</v>
      </c>
      <c r="C366" s="616" t="s">
        <v>752</v>
      </c>
      <c r="D366" s="657"/>
      <c r="E366" s="657"/>
      <c r="F366" s="315"/>
      <c r="G366" s="653"/>
      <c r="H366" s="722"/>
      <c r="I366" s="850"/>
      <c r="J366" s="851"/>
      <c r="K366" s="10"/>
    </row>
    <row r="367" spans="1:11" ht="15" customHeight="1" x14ac:dyDescent="0.2">
      <c r="A367" s="127"/>
      <c r="B367" s="882" t="str">
        <f>CONCATENATE("Check: row ", ROW(B366), " ≤ row ", ROW(LCR!B365),)</f>
        <v>Check: row 366 ≤ row 365</v>
      </c>
      <c r="C367" s="742"/>
      <c r="D367" s="1266" t="str">
        <f>IF((D366&lt;=D365),"Pass","Fail")</f>
        <v>Pass</v>
      </c>
      <c r="E367" s="1266" t="str">
        <f>IF((E366&lt;=E365),"Pass","Fail")</f>
        <v>Pass</v>
      </c>
      <c r="F367" s="315"/>
      <c r="G367" s="653"/>
      <c r="H367" s="722"/>
      <c r="I367" s="850"/>
      <c r="J367" s="851"/>
      <c r="K367" s="10"/>
    </row>
    <row r="368" spans="1:11" ht="15" customHeight="1" x14ac:dyDescent="0.2">
      <c r="A368" s="127"/>
      <c r="B368" s="727" t="s">
        <v>763</v>
      </c>
      <c r="C368" s="616" t="s">
        <v>752</v>
      </c>
      <c r="D368" s="657"/>
      <c r="E368" s="657"/>
      <c r="F368" s="315"/>
      <c r="G368" s="733">
        <v>0</v>
      </c>
      <c r="H368" s="670" t="str">
        <f>IF(AND(ISNUMBER(G368),ISNUMBER(E368)),G368*E368,"")</f>
        <v/>
      </c>
      <c r="I368" s="854">
        <v>0</v>
      </c>
      <c r="J368" s="860" t="str">
        <f>IF(AND(ISNUMBER(I368),ISNUMBER(D368)),I368*D368,"")</f>
        <v/>
      </c>
      <c r="K368" s="10"/>
    </row>
    <row r="369" spans="1:11" ht="15" customHeight="1" x14ac:dyDescent="0.2">
      <c r="A369" s="127"/>
      <c r="B369" s="753" t="s">
        <v>144</v>
      </c>
      <c r="C369" s="616" t="s">
        <v>752</v>
      </c>
      <c r="D369" s="657"/>
      <c r="E369" s="657"/>
      <c r="F369" s="315"/>
      <c r="G369" s="653"/>
      <c r="H369" s="722"/>
      <c r="I369" s="850"/>
      <c r="J369" s="851"/>
      <c r="K369" s="10"/>
    </row>
    <row r="370" spans="1:11" ht="15" customHeight="1" x14ac:dyDescent="0.2">
      <c r="A370" s="127"/>
      <c r="B370" s="882" t="str">
        <f>CONCATENATE("Check: row ", ROW(B369), " ≤ row ", ROW(LCR!B368),)</f>
        <v>Check: row 369 ≤ row 368</v>
      </c>
      <c r="C370" s="742"/>
      <c r="D370" s="1266" t="str">
        <f>IF((D369&lt;=D368),"Pass","Fail")</f>
        <v>Pass</v>
      </c>
      <c r="E370" s="1266" t="str">
        <f>IF((E369&lt;=E368),"Pass","Fail")</f>
        <v>Pass</v>
      </c>
      <c r="F370" s="315"/>
      <c r="G370" s="653"/>
      <c r="H370" s="722"/>
      <c r="I370" s="850"/>
      <c r="J370" s="851"/>
      <c r="K370" s="10"/>
    </row>
    <row r="371" spans="1:11" ht="15" customHeight="1" x14ac:dyDescent="0.2">
      <c r="A371" s="127"/>
      <c r="B371" s="727" t="s">
        <v>764</v>
      </c>
      <c r="C371" s="616" t="s">
        <v>752</v>
      </c>
      <c r="D371" s="657"/>
      <c r="E371" s="657"/>
      <c r="F371" s="315"/>
      <c r="G371" s="653"/>
      <c r="H371" s="859"/>
      <c r="I371" s="866">
        <v>0.25</v>
      </c>
      <c r="J371" s="860" t="str">
        <f>IF(AND(ISNUMBER(I371),ISNUMBER(D371)),I371*D371,"")</f>
        <v/>
      </c>
      <c r="K371" s="10"/>
    </row>
    <row r="372" spans="1:11" ht="15" customHeight="1" x14ac:dyDescent="0.2">
      <c r="A372" s="127"/>
      <c r="B372" s="753" t="s">
        <v>144</v>
      </c>
      <c r="C372" s="616" t="s">
        <v>752</v>
      </c>
      <c r="D372" s="657"/>
      <c r="E372" s="657"/>
      <c r="F372" s="315"/>
      <c r="G372" s="653"/>
      <c r="H372" s="722"/>
      <c r="I372" s="850"/>
      <c r="J372" s="851"/>
      <c r="K372" s="10"/>
    </row>
    <row r="373" spans="1:11" ht="15" customHeight="1" x14ac:dyDescent="0.2">
      <c r="A373" s="127"/>
      <c r="B373" s="882" t="str">
        <f>CONCATENATE("Check: row ", ROW(B372), " ≤ row ", ROW(LCR!B371),)</f>
        <v>Check: row 372 ≤ row 371</v>
      </c>
      <c r="C373" s="742"/>
      <c r="D373" s="1266" t="str">
        <f>IF((D372&lt;=D371),"Pass","Fail")</f>
        <v>Pass</v>
      </c>
      <c r="E373" s="1266" t="str">
        <f>IF((E372&lt;=E371),"Pass","Fail")</f>
        <v>Pass</v>
      </c>
      <c r="F373" s="315"/>
      <c r="G373" s="653"/>
      <c r="H373" s="722"/>
      <c r="I373" s="850"/>
      <c r="J373" s="851"/>
      <c r="K373" s="10"/>
    </row>
    <row r="374" spans="1:11" ht="15" customHeight="1" x14ac:dyDescent="0.2">
      <c r="A374" s="127"/>
      <c r="B374" s="727" t="s">
        <v>765</v>
      </c>
      <c r="C374" s="616" t="s">
        <v>752</v>
      </c>
      <c r="D374" s="657"/>
      <c r="E374" s="657"/>
      <c r="F374" s="315"/>
      <c r="G374" s="653"/>
      <c r="H374" s="859"/>
      <c r="I374" s="866">
        <v>0.75</v>
      </c>
      <c r="J374" s="860" t="str">
        <f>IF(AND(ISNUMBER(I374),ISNUMBER(D374)),I374*D374,"")</f>
        <v/>
      </c>
      <c r="K374" s="10"/>
    </row>
    <row r="375" spans="1:11" ht="15" customHeight="1" x14ac:dyDescent="0.2">
      <c r="A375" s="127"/>
      <c r="B375" s="753" t="s">
        <v>144</v>
      </c>
      <c r="C375" s="616" t="s">
        <v>752</v>
      </c>
      <c r="D375" s="657"/>
      <c r="E375" s="657"/>
      <c r="F375" s="315"/>
      <c r="G375" s="653"/>
      <c r="H375" s="722"/>
      <c r="I375" s="850"/>
      <c r="J375" s="851"/>
      <c r="K375" s="10"/>
    </row>
    <row r="376" spans="1:11" ht="15" customHeight="1" x14ac:dyDescent="0.2">
      <c r="A376" s="127"/>
      <c r="B376" s="882" t="str">
        <f>CONCATENATE("Check: row ", ROW(B375), " ≤ row ", ROW(LCR!B374),)</f>
        <v>Check: row 375 ≤ row 374</v>
      </c>
      <c r="C376" s="742"/>
      <c r="D376" s="1266" t="str">
        <f>IF((D375&lt;=D374),"Pass","Fail")</f>
        <v>Pass</v>
      </c>
      <c r="E376" s="1266" t="str">
        <f>IF((E375&lt;=E374),"Pass","Fail")</f>
        <v>Pass</v>
      </c>
      <c r="F376" s="315"/>
      <c r="G376" s="653"/>
      <c r="H376" s="722"/>
      <c r="I376" s="850"/>
      <c r="J376" s="851"/>
      <c r="K376" s="10"/>
    </row>
    <row r="377" spans="1:11" ht="15" customHeight="1" x14ac:dyDescent="0.2">
      <c r="A377" s="127"/>
      <c r="B377" s="727" t="s">
        <v>766</v>
      </c>
      <c r="C377" s="616" t="s">
        <v>752</v>
      </c>
      <c r="D377" s="657"/>
      <c r="E377" s="657"/>
      <c r="F377" s="315"/>
      <c r="G377" s="865">
        <v>0.5</v>
      </c>
      <c r="H377" s="670" t="str">
        <f>IF(AND(ISNUMBER(G377),ISNUMBER(E377)),G377*E377,"")</f>
        <v/>
      </c>
      <c r="I377" s="850"/>
      <c r="J377" s="863"/>
      <c r="K377" s="10"/>
    </row>
    <row r="378" spans="1:11" ht="15" customHeight="1" x14ac:dyDescent="0.2">
      <c r="A378" s="127"/>
      <c r="B378" s="753" t="s">
        <v>144</v>
      </c>
      <c r="C378" s="616" t="s">
        <v>752</v>
      </c>
      <c r="D378" s="657"/>
      <c r="E378" s="657"/>
      <c r="F378" s="315"/>
      <c r="G378" s="653"/>
      <c r="H378" s="722"/>
      <c r="I378" s="850"/>
      <c r="J378" s="851"/>
      <c r="K378" s="10"/>
    </row>
    <row r="379" spans="1:11" ht="15" customHeight="1" x14ac:dyDescent="0.2">
      <c r="A379" s="127"/>
      <c r="B379" s="882" t="str">
        <f>CONCATENATE("Check: row ", ROW(B378), " ≤ row ", ROW(LCR!B377),)</f>
        <v>Check: row 378 ≤ row 377</v>
      </c>
      <c r="C379" s="742"/>
      <c r="D379" s="1266" t="str">
        <f>IF((D378&lt;=D377),"Pass","Fail")</f>
        <v>Pass</v>
      </c>
      <c r="E379" s="1266" t="str">
        <f>IF((E378&lt;=E377),"Pass","Fail")</f>
        <v>Pass</v>
      </c>
      <c r="F379" s="315"/>
      <c r="G379" s="653"/>
      <c r="H379" s="722"/>
      <c r="I379" s="850"/>
      <c r="J379" s="851"/>
      <c r="K379" s="10"/>
    </row>
    <row r="380" spans="1:11" ht="15" customHeight="1" x14ac:dyDescent="0.2">
      <c r="A380" s="127"/>
      <c r="B380" s="727" t="s">
        <v>767</v>
      </c>
      <c r="C380" s="616" t="s">
        <v>752</v>
      </c>
      <c r="D380" s="657"/>
      <c r="E380" s="657"/>
      <c r="F380" s="315"/>
      <c r="G380" s="865">
        <v>0.35</v>
      </c>
      <c r="H380" s="670" t="str">
        <f>IF(AND(ISNUMBER(G380),ISNUMBER(E380)),G380*E380,"")</f>
        <v/>
      </c>
      <c r="I380" s="850"/>
      <c r="J380" s="863"/>
      <c r="K380" s="10"/>
    </row>
    <row r="381" spans="1:11" ht="15" customHeight="1" x14ac:dyDescent="0.2">
      <c r="A381" s="127"/>
      <c r="B381" s="753" t="s">
        <v>144</v>
      </c>
      <c r="C381" s="616" t="s">
        <v>752</v>
      </c>
      <c r="D381" s="657"/>
      <c r="E381" s="657"/>
      <c r="F381" s="315"/>
      <c r="G381" s="653"/>
      <c r="H381" s="722"/>
      <c r="I381" s="850"/>
      <c r="J381" s="851"/>
      <c r="K381" s="10"/>
    </row>
    <row r="382" spans="1:11" ht="15" customHeight="1" x14ac:dyDescent="0.2">
      <c r="A382" s="127"/>
      <c r="B382" s="882" t="str">
        <f>CONCATENATE("Check: row ", ROW(B381), " ≤ row ", ROW(LCR!B380),)</f>
        <v>Check: row 381 ≤ row 380</v>
      </c>
      <c r="C382" s="742"/>
      <c r="D382" s="1266" t="str">
        <f>IF((D381&lt;=D380),"Pass","Fail")</f>
        <v>Pass</v>
      </c>
      <c r="E382" s="1266" t="str">
        <f>IF((E381&lt;=E380),"Pass","Fail")</f>
        <v>Pass</v>
      </c>
      <c r="F382" s="315"/>
      <c r="G382" s="653"/>
      <c r="H382" s="722"/>
      <c r="I382" s="850"/>
      <c r="J382" s="851"/>
      <c r="K382" s="10"/>
    </row>
    <row r="383" spans="1:11" ht="15" customHeight="1" x14ac:dyDescent="0.2">
      <c r="A383" s="127"/>
      <c r="B383" s="727" t="s">
        <v>768</v>
      </c>
      <c r="C383" s="616" t="s">
        <v>752</v>
      </c>
      <c r="D383" s="657"/>
      <c r="E383" s="657"/>
      <c r="F383" s="315"/>
      <c r="G383" s="865">
        <v>0.25</v>
      </c>
      <c r="H383" s="670" t="str">
        <f>IF(AND(ISNUMBER(G383),ISNUMBER(E383)),G383*E383,"")</f>
        <v/>
      </c>
      <c r="I383" s="850"/>
      <c r="J383" s="863"/>
      <c r="K383" s="10"/>
    </row>
    <row r="384" spans="1:11" ht="15" customHeight="1" x14ac:dyDescent="0.2">
      <c r="A384" s="127"/>
      <c r="B384" s="753" t="s">
        <v>144</v>
      </c>
      <c r="C384" s="616" t="s">
        <v>752</v>
      </c>
      <c r="D384" s="657"/>
      <c r="E384" s="657"/>
      <c r="F384" s="315"/>
      <c r="G384" s="653"/>
      <c r="H384" s="722"/>
      <c r="I384" s="850"/>
      <c r="J384" s="851"/>
      <c r="K384" s="10"/>
    </row>
    <row r="385" spans="1:11" ht="15" customHeight="1" x14ac:dyDescent="0.2">
      <c r="A385" s="127"/>
      <c r="B385" s="882" t="str">
        <f>CONCATENATE("Check: row ", ROW(B384), " ≤ row ", ROW(LCR!B383),)</f>
        <v>Check: row 384 ≤ row 383</v>
      </c>
      <c r="C385" s="742"/>
      <c r="D385" s="1266" t="str">
        <f>IF((D384&lt;=D383),"Pass","Fail")</f>
        <v>Pass</v>
      </c>
      <c r="E385" s="1266" t="str">
        <f>IF((E384&lt;=E383),"Pass","Fail")</f>
        <v>Pass</v>
      </c>
      <c r="F385" s="315"/>
      <c r="G385" s="653"/>
      <c r="H385" s="722"/>
      <c r="I385" s="850"/>
      <c r="J385" s="851"/>
      <c r="K385" s="10"/>
    </row>
    <row r="386" spans="1:11" ht="15" customHeight="1" x14ac:dyDescent="0.2">
      <c r="A386" s="127"/>
      <c r="B386" s="727" t="s">
        <v>769</v>
      </c>
      <c r="C386" s="616" t="s">
        <v>752</v>
      </c>
      <c r="D386" s="657"/>
      <c r="E386" s="657"/>
      <c r="F386" s="315"/>
      <c r="G386" s="733">
        <v>0</v>
      </c>
      <c r="H386" s="670" t="str">
        <f>IF(AND(ISNUMBER(G386),ISNUMBER(E386)),G386*E386,"")</f>
        <v/>
      </c>
      <c r="I386" s="854">
        <v>0</v>
      </c>
      <c r="J386" s="860" t="str">
        <f>IF(AND(ISNUMBER(I386),ISNUMBER(D386)),I386*D386,"")</f>
        <v/>
      </c>
      <c r="K386" s="10"/>
    </row>
    <row r="387" spans="1:11" ht="15" customHeight="1" x14ac:dyDescent="0.2">
      <c r="A387" s="127"/>
      <c r="B387" s="753" t="s">
        <v>144</v>
      </c>
      <c r="C387" s="616" t="s">
        <v>752</v>
      </c>
      <c r="D387" s="657"/>
      <c r="E387" s="657"/>
      <c r="F387" s="315"/>
      <c r="G387" s="653"/>
      <c r="H387" s="722"/>
      <c r="I387" s="850"/>
      <c r="J387" s="851"/>
      <c r="K387" s="10"/>
    </row>
    <row r="388" spans="1:11" ht="15" customHeight="1" x14ac:dyDescent="0.2">
      <c r="A388" s="127"/>
      <c r="B388" s="882" t="str">
        <f>CONCATENATE("Check: row ", ROW(B387), " ≤ row ", ROW(LCR!B386),)</f>
        <v>Check: row 387 ≤ row 386</v>
      </c>
      <c r="C388" s="742"/>
      <c r="D388" s="1266" t="str">
        <f>IF((D387&lt;=D386),"Pass","Fail")</f>
        <v>Pass</v>
      </c>
      <c r="E388" s="1266" t="str">
        <f>IF((E387&lt;=E386),"Pass","Fail")</f>
        <v>Pass</v>
      </c>
      <c r="F388" s="315"/>
      <c r="G388" s="653"/>
      <c r="H388" s="722"/>
      <c r="I388" s="850"/>
      <c r="J388" s="851"/>
      <c r="K388" s="10"/>
    </row>
    <row r="389" spans="1:11" ht="15" customHeight="1" x14ac:dyDescent="0.2">
      <c r="A389" s="127"/>
      <c r="B389" s="727" t="s">
        <v>770</v>
      </c>
      <c r="C389" s="616" t="s">
        <v>752</v>
      </c>
      <c r="D389" s="657"/>
      <c r="E389" s="657"/>
      <c r="F389" s="315"/>
      <c r="G389" s="653"/>
      <c r="H389" s="859"/>
      <c r="I389" s="866">
        <v>0.5</v>
      </c>
      <c r="J389" s="860" t="str">
        <f>IF(AND(ISNUMBER(I389),ISNUMBER(D389)),I389*D389,"")</f>
        <v/>
      </c>
      <c r="K389" s="10"/>
    </row>
    <row r="390" spans="1:11" ht="15" customHeight="1" x14ac:dyDescent="0.2">
      <c r="A390" s="127"/>
      <c r="B390" s="753" t="s">
        <v>144</v>
      </c>
      <c r="C390" s="616" t="s">
        <v>752</v>
      </c>
      <c r="D390" s="657"/>
      <c r="E390" s="657"/>
      <c r="F390" s="315"/>
      <c r="G390" s="653"/>
      <c r="H390" s="722"/>
      <c r="I390" s="850"/>
      <c r="J390" s="851"/>
      <c r="K390" s="10"/>
    </row>
    <row r="391" spans="1:11" ht="15" customHeight="1" x14ac:dyDescent="0.2">
      <c r="A391" s="127"/>
      <c r="B391" s="882" t="str">
        <f>CONCATENATE("Check: row ", ROW(B390), " ≤ row ", ROW(LCR!B389),)</f>
        <v>Check: row 390 ≤ row 389</v>
      </c>
      <c r="C391" s="742"/>
      <c r="D391" s="1266" t="str">
        <f>IF((D390&lt;=D389),"Pass","Fail")</f>
        <v>Pass</v>
      </c>
      <c r="E391" s="1266" t="str">
        <f>IF((E390&lt;=E389),"Pass","Fail")</f>
        <v>Pass</v>
      </c>
      <c r="F391" s="315"/>
      <c r="G391" s="653"/>
      <c r="H391" s="722"/>
      <c r="I391" s="850"/>
      <c r="J391" s="851"/>
      <c r="K391" s="10"/>
    </row>
    <row r="392" spans="1:11" ht="15" customHeight="1" x14ac:dyDescent="0.2">
      <c r="A392" s="127"/>
      <c r="B392" s="727" t="s">
        <v>143</v>
      </c>
      <c r="C392" s="616" t="s">
        <v>752</v>
      </c>
      <c r="D392" s="614"/>
      <c r="E392" s="614"/>
      <c r="F392" s="722"/>
      <c r="G392" s="733">
        <v>1</v>
      </c>
      <c r="H392" s="670" t="str">
        <f>IF(AND(ISNUMBER(G392),ISNUMBER(E392)),G392*E392,"")</f>
        <v/>
      </c>
      <c r="I392" s="850"/>
      <c r="J392" s="863"/>
      <c r="K392" s="10"/>
    </row>
    <row r="393" spans="1:11" ht="15" customHeight="1" x14ac:dyDescent="0.2">
      <c r="A393" s="127"/>
      <c r="B393" s="753" t="s">
        <v>144</v>
      </c>
      <c r="C393" s="616" t="s">
        <v>752</v>
      </c>
      <c r="D393" s="614"/>
      <c r="E393" s="614"/>
      <c r="F393" s="315"/>
      <c r="G393" s="653"/>
      <c r="H393" s="722"/>
      <c r="I393" s="850"/>
      <c r="J393" s="851"/>
      <c r="K393" s="10"/>
    </row>
    <row r="394" spans="1:11" ht="15" customHeight="1" x14ac:dyDescent="0.2">
      <c r="A394" s="127"/>
      <c r="B394" s="882" t="str">
        <f>CONCATENATE("Check: row ", ROW(B393), " ≤ row ", ROW(LCR!B392),)</f>
        <v>Check: row 393 ≤ row 392</v>
      </c>
      <c r="C394" s="742"/>
      <c r="D394" s="1266" t="str">
        <f>IF((D393&lt;=D392),"Pass","Fail")</f>
        <v>Pass</v>
      </c>
      <c r="E394" s="1266" t="str">
        <f>IF((E393&lt;=E392),"Pass","Fail")</f>
        <v>Pass</v>
      </c>
      <c r="F394" s="315"/>
      <c r="G394" s="653"/>
      <c r="H394" s="722"/>
      <c r="I394" s="850"/>
      <c r="J394" s="851"/>
      <c r="K394" s="10"/>
    </row>
    <row r="395" spans="1:11" ht="15" customHeight="1" x14ac:dyDescent="0.2">
      <c r="A395" s="127"/>
      <c r="B395" s="727" t="s">
        <v>771</v>
      </c>
      <c r="C395" s="616" t="s">
        <v>752</v>
      </c>
      <c r="D395" s="647"/>
      <c r="E395" s="756"/>
      <c r="F395" s="722"/>
      <c r="G395" s="733">
        <v>0.85</v>
      </c>
      <c r="H395" s="670" t="str">
        <f>IF(AND(ISNUMBER(G395),ISNUMBER(E395)),G395*E395,"")</f>
        <v/>
      </c>
      <c r="I395" s="850"/>
      <c r="J395" s="863"/>
      <c r="K395" s="10"/>
    </row>
    <row r="396" spans="1:11" ht="15" customHeight="1" x14ac:dyDescent="0.2">
      <c r="A396" s="127"/>
      <c r="B396" s="753" t="s">
        <v>144</v>
      </c>
      <c r="C396" s="616" t="s">
        <v>752</v>
      </c>
      <c r="D396" s="647"/>
      <c r="E396" s="647"/>
      <c r="F396" s="315"/>
      <c r="G396" s="653"/>
      <c r="H396" s="722"/>
      <c r="I396" s="850"/>
      <c r="J396" s="851"/>
      <c r="K396" s="10"/>
    </row>
    <row r="397" spans="1:11" ht="15" customHeight="1" x14ac:dyDescent="0.2">
      <c r="A397" s="127"/>
      <c r="B397" s="882" t="str">
        <f>CONCATENATE("Check: row ", ROW(B396), " ≤ row ", ROW(LCR!B395),)</f>
        <v>Check: row 396 ≤ row 395</v>
      </c>
      <c r="C397" s="742"/>
      <c r="D397" s="1266" t="str">
        <f>IF((D396&lt;=D395),"Pass","Fail")</f>
        <v>Pass</v>
      </c>
      <c r="E397" s="1266" t="str">
        <f>IF((E396&lt;=E395),"Pass","Fail")</f>
        <v>Pass</v>
      </c>
      <c r="F397" s="315"/>
      <c r="G397" s="653"/>
      <c r="H397" s="722"/>
      <c r="I397" s="850"/>
      <c r="J397" s="851"/>
      <c r="K397" s="10"/>
    </row>
    <row r="398" spans="1:11" ht="15" customHeight="1" x14ac:dyDescent="0.2">
      <c r="A398" s="127"/>
      <c r="B398" s="727" t="s">
        <v>772</v>
      </c>
      <c r="C398" s="616" t="s">
        <v>752</v>
      </c>
      <c r="D398" s="657"/>
      <c r="E398" s="657"/>
      <c r="F398" s="315"/>
      <c r="G398" s="865">
        <v>0.75</v>
      </c>
      <c r="H398" s="670" t="str">
        <f>IF(AND(ISNUMBER(G398),ISNUMBER(E398)),G398*E398,"")</f>
        <v/>
      </c>
      <c r="I398" s="850"/>
      <c r="J398" s="863"/>
      <c r="K398" s="10"/>
    </row>
    <row r="399" spans="1:11" ht="15" customHeight="1" x14ac:dyDescent="0.2">
      <c r="A399" s="127"/>
      <c r="B399" s="753" t="s">
        <v>144</v>
      </c>
      <c r="C399" s="616" t="s">
        <v>752</v>
      </c>
      <c r="D399" s="657"/>
      <c r="E399" s="657"/>
      <c r="F399" s="315"/>
      <c r="G399" s="653"/>
      <c r="H399" s="722"/>
      <c r="I399" s="850"/>
      <c r="J399" s="851"/>
      <c r="K399" s="10"/>
    </row>
    <row r="400" spans="1:11" ht="15" customHeight="1" x14ac:dyDescent="0.2">
      <c r="A400" s="127"/>
      <c r="B400" s="882" t="str">
        <f>CONCATENATE("Check: row ", ROW(B399), " ≤ row ", ROW(LCR!B398),)</f>
        <v>Check: row 399 ≤ row 398</v>
      </c>
      <c r="C400" s="742"/>
      <c r="D400" s="1266" t="str">
        <f>IF((D399&lt;=D398),"Pass","Fail")</f>
        <v>Pass</v>
      </c>
      <c r="E400" s="1266" t="str">
        <f>IF((E399&lt;=E398),"Pass","Fail")</f>
        <v>Pass</v>
      </c>
      <c r="F400" s="315"/>
      <c r="G400" s="653"/>
      <c r="H400" s="722"/>
      <c r="I400" s="850"/>
      <c r="J400" s="851"/>
      <c r="K400" s="10"/>
    </row>
    <row r="401" spans="1:11" ht="15" customHeight="1" x14ac:dyDescent="0.2">
      <c r="A401" s="126"/>
      <c r="B401" s="727" t="s">
        <v>773</v>
      </c>
      <c r="C401" s="616" t="s">
        <v>752</v>
      </c>
      <c r="D401" s="657"/>
      <c r="E401" s="657"/>
      <c r="F401" s="315"/>
      <c r="G401" s="865">
        <v>0.5</v>
      </c>
      <c r="H401" s="670" t="str">
        <f>IF(AND(ISNUMBER(G401),ISNUMBER(E401)),G401*E401,"")</f>
        <v/>
      </c>
      <c r="I401" s="850"/>
      <c r="J401" s="863"/>
      <c r="K401" s="10"/>
    </row>
    <row r="402" spans="1:11" ht="15" customHeight="1" x14ac:dyDescent="0.2">
      <c r="A402" s="127"/>
      <c r="B402" s="753" t="s">
        <v>144</v>
      </c>
      <c r="C402" s="616" t="s">
        <v>752</v>
      </c>
      <c r="D402" s="657"/>
      <c r="E402" s="657"/>
      <c r="F402" s="315"/>
      <c r="G402" s="653"/>
      <c r="H402" s="722"/>
      <c r="I402" s="850"/>
      <c r="J402" s="851"/>
      <c r="K402" s="10"/>
    </row>
    <row r="403" spans="1:11" ht="15" customHeight="1" x14ac:dyDescent="0.2">
      <c r="A403" s="127"/>
      <c r="B403" s="882" t="str">
        <f>CONCATENATE("Check: row ", ROW(B402), " ≤ row ", ROW(LCR!B401),)</f>
        <v>Check: row 402 ≤ row 401</v>
      </c>
      <c r="C403" s="742"/>
      <c r="D403" s="1266" t="str">
        <f>IF((D402&lt;=D401),"Pass","Fail")</f>
        <v>Pass</v>
      </c>
      <c r="E403" s="1266" t="str">
        <f>IF((E402&lt;=E401),"Pass","Fail")</f>
        <v>Pass</v>
      </c>
      <c r="F403" s="315"/>
      <c r="G403" s="653"/>
      <c r="H403" s="722"/>
      <c r="I403" s="850"/>
      <c r="J403" s="851"/>
      <c r="K403" s="10"/>
    </row>
    <row r="404" spans="1:11" ht="15" customHeight="1" x14ac:dyDescent="0.2">
      <c r="A404" s="126"/>
      <c r="B404" s="727" t="s">
        <v>233</v>
      </c>
      <c r="C404" s="616" t="s">
        <v>752</v>
      </c>
      <c r="D404" s="647"/>
      <c r="E404" s="756"/>
      <c r="F404" s="723"/>
      <c r="G404" s="733">
        <v>0</v>
      </c>
      <c r="H404" s="790" t="str">
        <f>IF(AND(ISNUMBER(G404),ISNUMBER(E404)),G404*E404,"")</f>
        <v/>
      </c>
      <c r="I404" s="854">
        <v>0</v>
      </c>
      <c r="J404" s="734" t="str">
        <f>IF(AND(ISNUMBER(I404),ISNUMBER(D404)),I404*D404,"")</f>
        <v/>
      </c>
      <c r="K404" s="10"/>
    </row>
    <row r="405" spans="1:11" ht="15" customHeight="1" x14ac:dyDescent="0.2">
      <c r="A405" s="127"/>
      <c r="B405" s="640" t="s">
        <v>840</v>
      </c>
      <c r="C405" s="738"/>
      <c r="D405" s="735"/>
      <c r="E405" s="735"/>
      <c r="F405" s="867"/>
      <c r="G405" s="739"/>
      <c r="H405" s="868"/>
      <c r="I405" s="869"/>
      <c r="J405" s="870"/>
      <c r="K405" s="10"/>
    </row>
    <row r="406" spans="1:11" ht="15" customHeight="1" x14ac:dyDescent="0.2">
      <c r="A406" s="127"/>
      <c r="B406" s="727" t="s">
        <v>212</v>
      </c>
      <c r="C406" s="616" t="s">
        <v>752</v>
      </c>
      <c r="D406" s="756"/>
      <c r="E406" s="756"/>
      <c r="F406" s="723"/>
      <c r="G406" s="733">
        <v>0</v>
      </c>
      <c r="H406" s="790" t="str">
        <f>IF(AND(ISNUMBER(G406),ISNUMBER(E406)),G406*E406,"")</f>
        <v/>
      </c>
      <c r="I406" s="854">
        <v>0</v>
      </c>
      <c r="J406" s="734" t="str">
        <f>IF(AND(ISNUMBER(I406),ISNUMBER(D406)),I406*D406,"")</f>
        <v/>
      </c>
      <c r="K406" s="10"/>
    </row>
    <row r="407" spans="1:11" ht="15" customHeight="1" x14ac:dyDescent="0.2">
      <c r="A407" s="126"/>
      <c r="B407" s="727" t="s">
        <v>774</v>
      </c>
      <c r="C407" s="616" t="s">
        <v>752</v>
      </c>
      <c r="D407" s="756"/>
      <c r="E407" s="756"/>
      <c r="F407" s="723"/>
      <c r="G407" s="739"/>
      <c r="H407" s="868"/>
      <c r="I407" s="854">
        <v>0</v>
      </c>
      <c r="J407" s="734" t="str">
        <f>IF(AND(ISNUMBER(I407),ISNUMBER(D407)),I407*D407,"")</f>
        <v/>
      </c>
      <c r="K407" s="10"/>
    </row>
    <row r="408" spans="1:11" ht="15" customHeight="1" x14ac:dyDescent="0.2">
      <c r="A408" s="127"/>
      <c r="B408" s="727" t="s">
        <v>775</v>
      </c>
      <c r="C408" s="616" t="s">
        <v>752</v>
      </c>
      <c r="D408" s="685"/>
      <c r="E408" s="685"/>
      <c r="F408" s="723"/>
      <c r="G408" s="739"/>
      <c r="H408" s="868"/>
      <c r="I408" s="854">
        <v>0</v>
      </c>
      <c r="J408" s="734" t="str">
        <f>IF(AND(ISNUMBER(I408),ISNUMBER(D408)),I408*D408,"")</f>
        <v/>
      </c>
      <c r="K408" s="10"/>
    </row>
    <row r="409" spans="1:11" ht="15" customHeight="1" x14ac:dyDescent="0.2">
      <c r="A409" s="127"/>
      <c r="B409" s="727" t="s">
        <v>776</v>
      </c>
      <c r="C409" s="616" t="s">
        <v>752</v>
      </c>
      <c r="D409" s="685"/>
      <c r="E409" s="685"/>
      <c r="F409" s="723"/>
      <c r="G409" s="739"/>
      <c r="H409" s="868"/>
      <c r="I409" s="854">
        <v>0</v>
      </c>
      <c r="J409" s="734" t="str">
        <f>IF(AND(ISNUMBER(I409),ISNUMBER(D409)),I409*D409,"")</f>
        <v/>
      </c>
      <c r="K409" s="10"/>
    </row>
    <row r="410" spans="1:11" ht="15" customHeight="1" x14ac:dyDescent="0.2">
      <c r="A410" s="126"/>
      <c r="B410" s="727" t="s">
        <v>230</v>
      </c>
      <c r="C410" s="616" t="s">
        <v>752</v>
      </c>
      <c r="D410" s="756"/>
      <c r="E410" s="756"/>
      <c r="F410" s="723"/>
      <c r="G410" s="739"/>
      <c r="H410" s="868"/>
      <c r="I410" s="854">
        <v>0</v>
      </c>
      <c r="J410" s="734" t="str">
        <f>IF(AND(ISNUMBER(I410),ISNUMBER(D410)),I410*D410,"")</f>
        <v/>
      </c>
      <c r="K410" s="10"/>
    </row>
    <row r="411" spans="1:11" ht="15" customHeight="1" x14ac:dyDescent="0.2">
      <c r="A411" s="127"/>
      <c r="B411" s="727" t="s">
        <v>777</v>
      </c>
      <c r="C411" s="616" t="s">
        <v>752</v>
      </c>
      <c r="D411" s="756"/>
      <c r="E411" s="756"/>
      <c r="F411" s="723"/>
      <c r="G411" s="733">
        <v>0.15</v>
      </c>
      <c r="H411" s="790" t="str">
        <f>IF(AND(ISNUMBER(G411),ISNUMBER(E411)),G411*E411,"")</f>
        <v/>
      </c>
      <c r="I411" s="869"/>
      <c r="J411" s="870"/>
      <c r="K411" s="10"/>
    </row>
    <row r="412" spans="1:11" ht="15" customHeight="1" x14ac:dyDescent="0.2">
      <c r="A412" s="127"/>
      <c r="B412" s="727" t="s">
        <v>778</v>
      </c>
      <c r="C412" s="616" t="s">
        <v>752</v>
      </c>
      <c r="D412" s="756"/>
      <c r="E412" s="756"/>
      <c r="F412" s="723"/>
      <c r="G412" s="733">
        <v>0</v>
      </c>
      <c r="H412" s="790" t="str">
        <f>IF(AND(ISNUMBER(G412),ISNUMBER(E412),ISNUMBER(D412)),G412*MAX(E412-D412,0),"")</f>
        <v/>
      </c>
      <c r="I412" s="854">
        <v>0</v>
      </c>
      <c r="J412" s="734" t="str">
        <f>IF(AND(ISNUMBER(I412),ISNUMBER(D412)),I412*D412,"")</f>
        <v/>
      </c>
      <c r="K412" s="10"/>
    </row>
    <row r="413" spans="1:11" ht="15" customHeight="1" x14ac:dyDescent="0.2">
      <c r="A413" s="126"/>
      <c r="B413" s="727" t="s">
        <v>779</v>
      </c>
      <c r="C413" s="616" t="s">
        <v>752</v>
      </c>
      <c r="D413" s="685"/>
      <c r="E413" s="685"/>
      <c r="F413" s="723"/>
      <c r="G413" s="739"/>
      <c r="H413" s="868"/>
      <c r="I413" s="864">
        <v>0</v>
      </c>
      <c r="J413" s="734" t="str">
        <f>IF(AND(ISNUMBER(I413),ISNUMBER(D413)),I413*D413,"")</f>
        <v/>
      </c>
      <c r="K413" s="10"/>
    </row>
    <row r="414" spans="1:11" ht="15" customHeight="1" x14ac:dyDescent="0.2">
      <c r="A414" s="127"/>
      <c r="B414" s="727" t="s">
        <v>780</v>
      </c>
      <c r="C414" s="616" t="s">
        <v>752</v>
      </c>
      <c r="D414" s="685"/>
      <c r="E414" s="685"/>
      <c r="F414" s="723"/>
      <c r="G414" s="739"/>
      <c r="H414" s="868"/>
      <c r="I414" s="864">
        <v>0</v>
      </c>
      <c r="J414" s="734" t="str">
        <f>IF(AND(ISNUMBER(I414),ISNUMBER(D414)),I414*D414,"")</f>
        <v/>
      </c>
      <c r="K414" s="10"/>
    </row>
    <row r="415" spans="1:11" ht="15" customHeight="1" x14ac:dyDescent="0.2">
      <c r="A415" s="127"/>
      <c r="B415" s="727" t="s">
        <v>781</v>
      </c>
      <c r="C415" s="616" t="s">
        <v>752</v>
      </c>
      <c r="D415" s="756"/>
      <c r="E415" s="756"/>
      <c r="F415" s="723"/>
      <c r="G415" s="739"/>
      <c r="H415" s="868"/>
      <c r="I415" s="854">
        <v>0</v>
      </c>
      <c r="J415" s="734" t="str">
        <f>IF(AND(ISNUMBER(I415),ISNUMBER(D415)),I415*D415,"")</f>
        <v/>
      </c>
      <c r="K415" s="10"/>
    </row>
    <row r="416" spans="1:11" ht="15" customHeight="1" x14ac:dyDescent="0.2">
      <c r="A416" s="126"/>
      <c r="B416" s="727" t="s">
        <v>782</v>
      </c>
      <c r="C416" s="616" t="s">
        <v>752</v>
      </c>
      <c r="D416" s="685"/>
      <c r="E416" s="685"/>
      <c r="F416" s="723"/>
      <c r="G416" s="871">
        <v>0.25</v>
      </c>
      <c r="H416" s="790" t="str">
        <f>IF(AND(ISNUMBER(G416),ISNUMBER(E416)),G416*E416,"")</f>
        <v/>
      </c>
      <c r="I416" s="869"/>
      <c r="J416" s="870"/>
      <c r="K416" s="10"/>
    </row>
    <row r="417" spans="1:11" ht="15" customHeight="1" x14ac:dyDescent="0.2">
      <c r="A417" s="127"/>
      <c r="B417" s="727" t="s">
        <v>783</v>
      </c>
      <c r="C417" s="616" t="s">
        <v>752</v>
      </c>
      <c r="D417" s="685"/>
      <c r="E417" s="685"/>
      <c r="F417" s="723"/>
      <c r="G417" s="871">
        <v>0.1</v>
      </c>
      <c r="H417" s="790" t="str">
        <f>IF(AND(ISNUMBER(G417),ISNUMBER(E417)),G417*E417,"")</f>
        <v/>
      </c>
      <c r="I417" s="869"/>
      <c r="J417" s="870"/>
      <c r="K417" s="10"/>
    </row>
    <row r="418" spans="1:11" ht="15" customHeight="1" x14ac:dyDescent="0.2">
      <c r="A418" s="127"/>
      <c r="B418" s="727" t="s">
        <v>784</v>
      </c>
      <c r="C418" s="616" t="s">
        <v>752</v>
      </c>
      <c r="D418" s="685"/>
      <c r="E418" s="685"/>
      <c r="F418" s="723"/>
      <c r="G418" s="733">
        <v>0</v>
      </c>
      <c r="H418" s="790" t="str">
        <f>IF(AND(ISNUMBER(D418),ISNUMBER(E418),ISNUMBER(G418)),G418*MAX(E418-D418,0),"")</f>
        <v/>
      </c>
      <c r="I418" s="854">
        <v>0</v>
      </c>
      <c r="J418" s="734" t="str">
        <f>IF(AND(ISNUMBER(I418),ISNUMBER(D418)),I418*D418,"")</f>
        <v/>
      </c>
      <c r="K418" s="10"/>
    </row>
    <row r="419" spans="1:11" ht="15" customHeight="1" x14ac:dyDescent="0.2">
      <c r="A419" s="126"/>
      <c r="B419" s="727" t="s">
        <v>785</v>
      </c>
      <c r="C419" s="616" t="s">
        <v>752</v>
      </c>
      <c r="D419" s="685"/>
      <c r="E419" s="685"/>
      <c r="F419" s="723"/>
      <c r="G419" s="739"/>
      <c r="H419" s="868"/>
      <c r="I419" s="854">
        <v>0</v>
      </c>
      <c r="J419" s="734" t="str">
        <f>IF(AND(ISNUMBER(I419),ISNUMBER(D419)),I419*D419,"")</f>
        <v/>
      </c>
      <c r="K419" s="10"/>
    </row>
    <row r="420" spans="1:11" ht="15" customHeight="1" x14ac:dyDescent="0.2">
      <c r="A420" s="127"/>
      <c r="B420" s="727" t="s">
        <v>786</v>
      </c>
      <c r="C420" s="616" t="s">
        <v>752</v>
      </c>
      <c r="D420" s="685"/>
      <c r="E420" s="685"/>
      <c r="F420" s="723"/>
      <c r="G420" s="739"/>
      <c r="H420" s="868"/>
      <c r="I420" s="854">
        <v>0</v>
      </c>
      <c r="J420" s="734" t="str">
        <f>IF(AND(ISNUMBER(I420),ISNUMBER(D420)),I420*D420,"")</f>
        <v/>
      </c>
      <c r="K420" s="10"/>
    </row>
    <row r="421" spans="1:11" ht="15" customHeight="1" x14ac:dyDescent="0.2">
      <c r="A421" s="127"/>
      <c r="B421" s="727" t="s">
        <v>787</v>
      </c>
      <c r="C421" s="616" t="s">
        <v>752</v>
      </c>
      <c r="D421" s="685"/>
      <c r="E421" s="685"/>
      <c r="F421" s="723"/>
      <c r="G421" s="871">
        <v>0.5</v>
      </c>
      <c r="H421" s="790" t="str">
        <f>IF(AND(ISNUMBER(G421),ISNUMBER(E421)),G421*E421,"")</f>
        <v/>
      </c>
      <c r="I421" s="869"/>
      <c r="J421" s="870"/>
      <c r="K421" s="10"/>
    </row>
    <row r="422" spans="1:11" ht="15" customHeight="1" x14ac:dyDescent="0.2">
      <c r="A422" s="127"/>
      <c r="B422" s="727" t="s">
        <v>788</v>
      </c>
      <c r="C422" s="616" t="s">
        <v>752</v>
      </c>
      <c r="D422" s="685"/>
      <c r="E422" s="685"/>
      <c r="F422" s="723"/>
      <c r="G422" s="871">
        <v>0.35</v>
      </c>
      <c r="H422" s="790" t="str">
        <f>IF(AND(ISNUMBER(G422),ISNUMBER(E422)),G422*E422,"")</f>
        <v/>
      </c>
      <c r="I422" s="869"/>
      <c r="J422" s="870"/>
      <c r="K422" s="10"/>
    </row>
    <row r="423" spans="1:11" ht="15" customHeight="1" x14ac:dyDescent="0.2">
      <c r="A423" s="127"/>
      <c r="B423" s="727" t="s">
        <v>789</v>
      </c>
      <c r="C423" s="616" t="s">
        <v>752</v>
      </c>
      <c r="D423" s="685"/>
      <c r="E423" s="685"/>
      <c r="F423" s="723"/>
      <c r="G423" s="871">
        <v>0.25</v>
      </c>
      <c r="H423" s="790" t="str">
        <f>IF(AND(ISNUMBER(G423),ISNUMBER(E423)),G423*E423,"")</f>
        <v/>
      </c>
      <c r="I423" s="869"/>
      <c r="J423" s="870"/>
      <c r="K423" s="10"/>
    </row>
    <row r="424" spans="1:11" ht="15" customHeight="1" x14ac:dyDescent="0.2">
      <c r="A424" s="127"/>
      <c r="B424" s="727" t="s">
        <v>790</v>
      </c>
      <c r="C424" s="616" t="s">
        <v>752</v>
      </c>
      <c r="D424" s="685"/>
      <c r="E424" s="685"/>
      <c r="F424" s="723"/>
      <c r="G424" s="733">
        <v>0</v>
      </c>
      <c r="H424" s="790" t="str">
        <f>IF(AND(ISNUMBER(D424),ISNUMBER(E424),ISNUMBER(G424)),G424*MAX(E424-D424,0),"")</f>
        <v/>
      </c>
      <c r="I424" s="854">
        <v>0</v>
      </c>
      <c r="J424" s="734" t="str">
        <f>IF(AND(ISNUMBER(I424),ISNUMBER(D424)),I424*D424,"")</f>
        <v/>
      </c>
      <c r="K424" s="10"/>
    </row>
    <row r="425" spans="1:11" ht="15" customHeight="1" x14ac:dyDescent="0.2">
      <c r="A425" s="127"/>
      <c r="B425" s="727" t="s">
        <v>791</v>
      </c>
      <c r="C425" s="616" t="s">
        <v>752</v>
      </c>
      <c r="D425" s="685"/>
      <c r="E425" s="685"/>
      <c r="F425" s="723"/>
      <c r="G425" s="739"/>
      <c r="H425" s="868"/>
      <c r="I425" s="854">
        <v>0</v>
      </c>
      <c r="J425" s="734" t="str">
        <f>IF(AND(ISNUMBER(I425),ISNUMBER(D425)),I425*D425,"")</f>
        <v/>
      </c>
      <c r="K425" s="10"/>
    </row>
    <row r="426" spans="1:11" ht="15" customHeight="1" x14ac:dyDescent="0.2">
      <c r="A426" s="127"/>
      <c r="B426" s="727" t="s">
        <v>232</v>
      </c>
      <c r="C426" s="616" t="s">
        <v>752</v>
      </c>
      <c r="D426" s="756"/>
      <c r="E426" s="756"/>
      <c r="F426" s="723"/>
      <c r="G426" s="733">
        <v>1</v>
      </c>
      <c r="H426" s="790" t="str">
        <f>IF(AND(ISNUMBER(G426),ISNUMBER(E426)),G426*E426,"")</f>
        <v/>
      </c>
      <c r="I426" s="869"/>
      <c r="J426" s="870"/>
      <c r="K426" s="10"/>
    </row>
    <row r="427" spans="1:11" ht="15" customHeight="1" x14ac:dyDescent="0.2">
      <c r="A427" s="127"/>
      <c r="B427" s="727" t="s">
        <v>792</v>
      </c>
      <c r="C427" s="616" t="s">
        <v>752</v>
      </c>
      <c r="D427" s="647"/>
      <c r="E427" s="756"/>
      <c r="F427" s="723"/>
      <c r="G427" s="733">
        <v>0.85</v>
      </c>
      <c r="H427" s="790" t="str">
        <f>IF(AND(ISNUMBER(G427),ISNUMBER(E427)),G427*E427,"")</f>
        <v/>
      </c>
      <c r="I427" s="869"/>
      <c r="J427" s="870"/>
      <c r="K427" s="10"/>
    </row>
    <row r="428" spans="1:11" ht="15" customHeight="1" x14ac:dyDescent="0.2">
      <c r="A428" s="127"/>
      <c r="B428" s="727" t="s">
        <v>793</v>
      </c>
      <c r="C428" s="616" t="s">
        <v>752</v>
      </c>
      <c r="D428" s="685"/>
      <c r="E428" s="685"/>
      <c r="F428" s="723"/>
      <c r="G428" s="871">
        <v>0.75</v>
      </c>
      <c r="H428" s="790" t="str">
        <f>IF(AND(ISNUMBER(G428),ISNUMBER(E428)),G428*E428,"")</f>
        <v/>
      </c>
      <c r="I428" s="869"/>
      <c r="J428" s="870"/>
      <c r="K428" s="10"/>
    </row>
    <row r="429" spans="1:11" ht="15" customHeight="1" x14ac:dyDescent="0.2">
      <c r="A429" s="127"/>
      <c r="B429" s="727" t="s">
        <v>794</v>
      </c>
      <c r="C429" s="616" t="s">
        <v>752</v>
      </c>
      <c r="D429" s="685"/>
      <c r="E429" s="685"/>
      <c r="F429" s="723"/>
      <c r="G429" s="871">
        <v>0.5</v>
      </c>
      <c r="H429" s="790" t="str">
        <f>IF(AND(ISNUMBER(G429),ISNUMBER(E429)),G429*E429,"")</f>
        <v/>
      </c>
      <c r="I429" s="869"/>
      <c r="J429" s="870"/>
      <c r="K429" s="10"/>
    </row>
    <row r="430" spans="1:11" ht="15" customHeight="1" x14ac:dyDescent="0.2">
      <c r="A430" s="127"/>
      <c r="B430" s="834" t="s">
        <v>233</v>
      </c>
      <c r="C430" s="631" t="s">
        <v>752</v>
      </c>
      <c r="D430" s="835"/>
      <c r="E430" s="875"/>
      <c r="F430" s="876"/>
      <c r="G430" s="836">
        <v>0</v>
      </c>
      <c r="H430" s="877" t="str">
        <f>IF(AND(ISNUMBER(G430),ISNUMBER(E430),ISNUMBER(D430)),G430*MAX(E430-D430,0),"")</f>
        <v/>
      </c>
      <c r="I430" s="878">
        <v>0</v>
      </c>
      <c r="J430" s="879" t="str">
        <f>IF(AND(ISNUMBER(I430),ISNUMBER(D430)),I430*D430,"")</f>
        <v/>
      </c>
      <c r="K430" s="10"/>
    </row>
    <row r="431" spans="1:11" ht="15" customHeight="1" x14ac:dyDescent="0.2">
      <c r="A431" s="127"/>
      <c r="B431" s="762" t="s">
        <v>234</v>
      </c>
      <c r="C431" s="713"/>
      <c r="D431" s="711"/>
      <c r="E431" s="711"/>
      <c r="F431" s="880"/>
      <c r="G431" s="714"/>
      <c r="H431" s="659" t="str">
        <f>IF(AND(ISNUMBER(H332),ISNUMBER(H347),ISNUMBER(H350),ISNUMBER(H392),ISNUMBER(H395),ISNUMBER(H404),ISNUMBER(H406),ISNUMBER(H411),ISNUMBER(H412),ISNUMBER(H426),ISNUMBER(H427),ISNUMBER(H430)),SUM(H332,H347,H350,H362,H365,H368,H377,H380,H383,H386,H392,H395,H398,H401,H404,H406,H411,H412,H416,H417,H418,H421,H422,H423,H424,H426,H427,H428,H429,H430),"")</f>
        <v/>
      </c>
      <c r="I431" s="714"/>
      <c r="J431" s="881" t="str">
        <f>IF(AND(ISNUMBER(J332),ISNUMBER(J335),ISNUMBER(J344),ISNUMBER(J350),ISNUMBER(J359),ISNUMBER(J404),ISNUMBER(J406),ISNUMBER(J407),ISNUMBER(J410),ISNUMBER(J412),ISNUMBER(J415),ISNUMBER(J430)),SUM(J332,J335,J338,J341,J344,J350,J353,J356,J359,J368,J371,J374,J386,J389,J404,J406,J407,J408,J409,J410,J412,J413,J414,J415,J418,J419,J420,J424,J425,J430),"")</f>
        <v/>
      </c>
      <c r="K431" s="10"/>
    </row>
    <row r="432" spans="1:11" ht="30" customHeight="1" x14ac:dyDescent="0.2">
      <c r="A432" s="127"/>
      <c r="B432" s="150"/>
      <c r="C432" s="149"/>
      <c r="D432" s="149"/>
      <c r="E432" s="149"/>
      <c r="F432" s="149"/>
      <c r="G432" s="149"/>
      <c r="H432" s="149"/>
      <c r="I432" s="149"/>
      <c r="J432" s="149"/>
      <c r="K432" s="10"/>
    </row>
    <row r="433" spans="1:11" ht="15" customHeight="1" x14ac:dyDescent="0.2">
      <c r="A433" s="127"/>
      <c r="B433" s="883"/>
      <c r="C433" s="656"/>
      <c r="D433" s="628" t="s">
        <v>235</v>
      </c>
      <c r="E433" s="628" t="s">
        <v>236</v>
      </c>
      <c r="F433" s="656"/>
      <c r="G433" s="656"/>
      <c r="H433" s="1300"/>
      <c r="I433" s="178"/>
      <c r="J433" s="151"/>
      <c r="K433" s="10"/>
    </row>
    <row r="434" spans="1:11" ht="15" customHeight="1" x14ac:dyDescent="0.2">
      <c r="A434" s="127"/>
      <c r="B434" s="884" t="s">
        <v>237</v>
      </c>
      <c r="C434" s="885"/>
      <c r="D434" s="886" t="str">
        <f>IF(AND(ISNUMBER(D333),ISNUMBER(D336)),SUM(D333,D336,D339,D342),"")</f>
        <v/>
      </c>
      <c r="E434" s="886" t="str">
        <f>IF(AND(ISNUMBER(E333),ISNUMBER(E348)),SUM(E333,E348,E363,E378),"")</f>
        <v/>
      </c>
      <c r="F434" s="717"/>
      <c r="G434" s="651"/>
      <c r="H434" s="887"/>
      <c r="I434" s="178"/>
      <c r="J434" s="151"/>
      <c r="K434" s="10"/>
    </row>
    <row r="435" spans="1:11" ht="15" customHeight="1" x14ac:dyDescent="0.2">
      <c r="A435" s="127"/>
      <c r="B435" s="888" t="s">
        <v>795</v>
      </c>
      <c r="C435" s="852"/>
      <c r="D435" s="889" t="str">
        <f>IF(AND(ISNUMBER(D348),ISNUMBER(D351)),SUM(D348,D351,D354,D357),"")</f>
        <v/>
      </c>
      <c r="E435" s="889" t="str">
        <f>IF(AND(ISNUMBER(E336),ISNUMBER(E351)),SUM(E336,E351,E366,E381),"")</f>
        <v/>
      </c>
      <c r="F435" s="722"/>
      <c r="G435" s="653"/>
      <c r="H435" s="851"/>
      <c r="I435" s="178"/>
      <c r="J435" s="151"/>
      <c r="K435" s="10"/>
    </row>
    <row r="436" spans="1:11" ht="15" customHeight="1" x14ac:dyDescent="0.2">
      <c r="A436" s="127"/>
      <c r="B436" s="888" t="s">
        <v>796</v>
      </c>
      <c r="C436" s="852"/>
      <c r="D436" s="889" t="str">
        <f>IF(OR(ISNUMBER(D363),ISNUMBER(D366),ISNUMBER(D369),ISNUMBER(D372)),SUM(D363,D366,D369,D372),"")</f>
        <v/>
      </c>
      <c r="E436" s="889" t="str">
        <f>IF(OR(ISNUMBER(E339),ISNUMBER(E354),ISNUMBER(E369),ISNUMBER(E384)),SUM(E339,E354,E369,E384),"")</f>
        <v/>
      </c>
      <c r="F436" s="722"/>
      <c r="G436" s="653"/>
      <c r="H436" s="851"/>
      <c r="I436" s="178"/>
      <c r="J436" s="151"/>
      <c r="K436" s="10"/>
    </row>
    <row r="437" spans="1:11" ht="15" customHeight="1" x14ac:dyDescent="0.2">
      <c r="A437" s="127"/>
      <c r="B437" s="890" t="s">
        <v>797</v>
      </c>
      <c r="C437" s="760"/>
      <c r="D437" s="891" t="str">
        <f>IF(OR(ISNUMBER(D378),ISNUMBER(D381),ISNUMBER(D384),ISNUMBER(D387)),SUM(D378,D381,D384,D387),"")</f>
        <v/>
      </c>
      <c r="E437" s="891" t="str">
        <f>IF(OR(ISNUMBER(E342),ISNUMBER(E357),ISNUMBER(E372),ISNUMBER(E387)),SUM(E342,E357,E372,E387),"")</f>
        <v/>
      </c>
      <c r="F437" s="892"/>
      <c r="G437" s="675"/>
      <c r="H437" s="893"/>
      <c r="I437" s="178"/>
      <c r="J437" s="151"/>
      <c r="K437" s="10"/>
    </row>
    <row r="438" spans="1:11" ht="15" customHeight="1" x14ac:dyDescent="0.2">
      <c r="A438" s="127"/>
      <c r="B438" s="112"/>
      <c r="C438" s="104"/>
      <c r="D438" s="139"/>
      <c r="E438" s="140"/>
      <c r="F438" s="141"/>
      <c r="G438" s="125"/>
      <c r="H438" s="125"/>
      <c r="I438" s="120"/>
      <c r="J438" s="120"/>
      <c r="K438" s="10"/>
    </row>
    <row r="439" spans="1:11" s="117" customFormat="1" ht="30" customHeight="1" x14ac:dyDescent="0.25">
      <c r="A439" s="1479" t="s">
        <v>238</v>
      </c>
      <c r="B439" s="115"/>
      <c r="C439" s="115"/>
      <c r="D439" s="115"/>
      <c r="E439" s="115"/>
      <c r="F439" s="115"/>
      <c r="G439" s="115"/>
      <c r="H439" s="115"/>
      <c r="I439" s="152"/>
      <c r="J439" s="152"/>
      <c r="K439" s="116"/>
    </row>
    <row r="440" spans="1:11" s="117" customFormat="1" ht="15" customHeight="1" x14ac:dyDescent="0.2">
      <c r="A440" s="142"/>
      <c r="B440" s="9"/>
      <c r="C440" s="9"/>
      <c r="D440" s="9"/>
      <c r="E440" s="9"/>
      <c r="F440" s="143"/>
      <c r="G440" s="9"/>
      <c r="H440" s="9"/>
      <c r="I440" s="120"/>
      <c r="J440" s="120"/>
      <c r="K440" s="10"/>
    </row>
    <row r="441" spans="1:11" ht="15" customHeight="1" x14ac:dyDescent="0.2">
      <c r="A441" s="126"/>
      <c r="B441" s="894" t="s">
        <v>591</v>
      </c>
      <c r="C441" s="895"/>
      <c r="D441" s="896"/>
      <c r="E441" s="896"/>
      <c r="F441" s="897"/>
      <c r="G441" s="898"/>
      <c r="H441" s="612" t="str">
        <f>H78</f>
        <v/>
      </c>
      <c r="I441" s="120"/>
      <c r="J441" s="120"/>
      <c r="K441" s="10"/>
    </row>
    <row r="442" spans="1:11" ht="15" customHeight="1" x14ac:dyDescent="0.2">
      <c r="A442" s="126"/>
      <c r="B442" s="899" t="s">
        <v>57</v>
      </c>
      <c r="C442" s="900"/>
      <c r="D442" s="901"/>
      <c r="E442" s="901"/>
      <c r="F442" s="902"/>
      <c r="G442" s="903"/>
      <c r="H442" s="635" t="str">
        <f>IF(AND(ISNUMBER(H270),ISNUMBER(H325)),H270-H325,"")</f>
        <v/>
      </c>
      <c r="I442" s="120"/>
      <c r="J442" s="120"/>
      <c r="K442" s="10"/>
    </row>
    <row r="443" spans="1:11" ht="15" customHeight="1" x14ac:dyDescent="0.2">
      <c r="A443" s="126"/>
      <c r="B443" s="823" t="s">
        <v>565</v>
      </c>
      <c r="C443" s="824"/>
      <c r="D443" s="824"/>
      <c r="E443" s="824"/>
      <c r="F443" s="824"/>
      <c r="G443" s="824"/>
      <c r="H443" s="904" t="str">
        <f>IF(AND(ISNUMBER(H442),ISNUMBER(H78)),IF(H442&gt;0,H78/H442,""),"")</f>
        <v/>
      </c>
      <c r="I443" s="120"/>
      <c r="J443" s="120"/>
      <c r="K443" s="10"/>
    </row>
    <row r="444" spans="1:11" ht="15" customHeight="1" x14ac:dyDescent="0.2">
      <c r="A444" s="110"/>
      <c r="B444" s="108"/>
      <c r="C444" s="108"/>
      <c r="D444" s="108"/>
      <c r="E444" s="108"/>
      <c r="F444" s="108"/>
      <c r="G444" s="108"/>
      <c r="H444" s="108"/>
      <c r="I444" s="108"/>
      <c r="J444" s="108"/>
      <c r="K444" s="12"/>
    </row>
  </sheetData>
  <customSheetViews>
    <customSheetView guid="{15489521-78C1-4B59-8BC9-AACD7EBC6362}" scale="75" showPageBreaks="1" printArea="1" showRuler="0">
      <pane ySplit="1" topLeftCell="A2" activePane="bottomLeft" state="frozen"/>
      <selection pane="bottomLeft" activeCell="A18" sqref="A18"/>
      <rowBreaks count="5" manualBreakCount="5">
        <brk id="34" max="16" man="1"/>
        <brk id="83" max="16" man="1"/>
        <brk id="130" max="16" man="1"/>
        <brk id="185" max="16" man="1"/>
        <brk id="248" max="16" man="1"/>
      </rowBreaks>
      <pageMargins left="0.78740157480314965" right="0.78740157480314965" top="0.98425196850393704" bottom="0.98425196850393704" header="0.51181102362204722" footer="0.51181102362204722"/>
      <pageSetup paperSize="9" scale="50" fitToHeight="4" orientation="landscape"/>
      <headerFooter alignWithMargins="0">
        <oddHeader>&amp;L&amp;"Arial,Bold"&amp;14Basel Committee on Banking Supervision
QIS reporting template&amp;C&amp;14&amp;F
&amp;A&amp;R&amp;"Arial,Bold"&amp;14Confidential</oddHeader>
        <oddFooter>&amp;L&amp;14&amp;D  &amp;T&amp;R&amp;14Page &amp;P of &amp;N</oddFooter>
      </headerFooter>
    </customSheetView>
    <customSheetView guid="{7608A575-AD39-4DFE-B654-965E0A886A86}" scale="75" showPageBreaks="1" printArea="1" showRuler="0">
      <pane ySplit="1" topLeftCell="A2" activePane="bottomLeft" state="frozen"/>
      <selection pane="bottomLeft"/>
      <rowBreaks count="4" manualBreakCount="4">
        <brk id="34" max="16" man="1"/>
        <brk id="83" max="16" man="1"/>
        <brk id="130" max="16" man="1"/>
        <brk id="185" max="16" man="1"/>
      </rowBreaks>
      <pageMargins left="0.78740157480314965" right="0.78740157480314965" top="0.98425196850393704" bottom="0.98425196850393704" header="0.51181102362204722" footer="0.51181102362204722"/>
      <pageSetup paperSize="9" scale="50" fitToHeight="4" orientation="landscape"/>
      <headerFooter alignWithMargins="0">
        <oddHeader>&amp;L&amp;"Arial,Bold"&amp;14Basel Committee on Banking Supervision
QIS reporting template&amp;C&amp;14&amp;F
&amp;A&amp;R&amp;"Arial,Bold"&amp;14Confidential</oddHeader>
        <oddFooter>&amp;L&amp;14&amp;D  &amp;T&amp;R&amp;14Page &amp;P of &amp;N</oddFooter>
      </headerFooter>
    </customSheetView>
  </customSheetViews>
  <mergeCells count="12">
    <mergeCell ref="A176:K176"/>
    <mergeCell ref="A272:K272"/>
    <mergeCell ref="A212:K212"/>
    <mergeCell ref="A82:K82"/>
    <mergeCell ref="A110:K110"/>
    <mergeCell ref="C55:C56"/>
    <mergeCell ref="D55:G55"/>
    <mergeCell ref="A22:H22"/>
    <mergeCell ref="A35:H35"/>
    <mergeCell ref="A51:H51"/>
    <mergeCell ref="C52:G52"/>
    <mergeCell ref="B55:B56"/>
  </mergeCells>
  <phoneticPr fontId="8" type="noConversion"/>
  <conditionalFormatting sqref="D9 D59:G59 D62:G62 D171 D173 D175 D181:E181 D184:E184 D187:E187 D190:E190 D194:E194 D197:E197 D200:E200 D204:E204 D207:E207 D278:E278 D281:E281 D284:E284 D287:E287 D334:E334 D337:E337 D340:E340 D343:E343 D346:E346 D349:E349 D352:E352 D355:E355 D358:E358 D361:E361 D364:E364 D367:E367 D370:E370 D373:E373 D376:E376 D379:E379 D382:E382 D385:E385 D388:E388 D391:E391 D394:E394 D397:E397 D400:E400 D403:E403">
    <cfRule type="cellIs" dxfId="1332" priority="1" operator="equal">
      <formula>"Fail"</formula>
    </cfRule>
    <cfRule type="cellIs" dxfId="1331" priority="3" stopIfTrue="1" operator="equal">
      <formula>"Pass"</formula>
    </cfRule>
  </conditionalFormatting>
  <printOptions headings="1"/>
  <pageMargins left="0.78740157480314965" right="0.78740157480314965" top="0.98425196850393704" bottom="0.98425196850393704" header="0.51181102362204722" footer="0.51181102362204722"/>
  <pageSetup paperSize="9" scale="50" fitToHeight="4" orientation="landscape" r:id="rId1"/>
  <headerFooter alignWithMargins="0">
    <oddHeader>&amp;L&amp;"Arial,Bold"&amp;14Basel Committee on Banking Supervision
Basel III monitoring template&amp;C&amp;14&amp;F
&amp;A&amp;R&amp;"Arial,Bold"&amp;14Confidential when completed</oddHeader>
    <oddFooter>&amp;L&amp;14&amp;D  &amp;T&amp;R&amp;14Page &amp;P of &amp;N</oddFooter>
  </headerFooter>
  <rowBreaks count="10" manualBreakCount="10">
    <brk id="34" max="10" man="1"/>
    <brk id="79" max="10" man="1"/>
    <brk id="129" max="10" man="1"/>
    <brk id="175" max="10" man="1"/>
    <brk id="211" max="10" man="1"/>
    <brk id="252" max="10" man="1"/>
    <brk id="297" max="10" man="1"/>
    <brk id="326" max="10" man="1"/>
    <brk id="382" max="10" man="1"/>
    <brk id="438" max="10" man="1"/>
  </rowBreaks>
  <ignoredErrors>
    <ignoredError sqref="D6:H6 D25:H34 D41:H43 D59:G62 H68:H75 H88:H109 H117:H167 D171:D175 D179:H210 H214:H239 D242:H247 H254:H266 D276:H296 H302:H310 H316:H318 D332:J430 D434:E437 D8:H21 E7:H7 D37:H39 D45:H47 D44:G44 H40" emptyCellReferenc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indexed="43"/>
  </sheetPr>
  <dimension ref="A1:R333"/>
  <sheetViews>
    <sheetView zoomScale="75" zoomScaleNormal="75" zoomScaleSheetLayoutView="75" workbookViewId="0"/>
  </sheetViews>
  <sheetFormatPr defaultColWidth="9.140625" defaultRowHeight="15" customHeight="1" x14ac:dyDescent="0.2"/>
  <cols>
    <col min="1" max="1" width="1.7109375" style="48" customWidth="1"/>
    <col min="2" max="2" width="75.7109375" style="48" customWidth="1"/>
    <col min="3" max="7" width="16.7109375" style="48" customWidth="1"/>
    <col min="8" max="8" width="1.7109375" style="48" customWidth="1"/>
    <col min="9" max="11" width="8.7109375" style="48" customWidth="1"/>
    <col min="12" max="12" width="1.7109375" style="48" customWidth="1"/>
    <col min="13" max="16" width="16.7109375" style="48" customWidth="1"/>
    <col min="17" max="17" width="1.7109375" style="48" customWidth="1"/>
    <col min="18" max="18" width="9.140625" style="1293" hidden="1" customWidth="1"/>
    <col min="19" max="16384" width="9.140625" style="48"/>
  </cols>
  <sheetData>
    <row r="1" spans="1:18" s="114" customFormat="1" ht="30" customHeight="1" x14ac:dyDescent="0.4">
      <c r="A1" s="162" t="s">
        <v>66</v>
      </c>
      <c r="B1" s="113"/>
      <c r="C1" s="113"/>
      <c r="D1" s="113"/>
      <c r="E1" s="113"/>
      <c r="F1" s="113"/>
      <c r="G1" s="113"/>
      <c r="H1" s="113"/>
      <c r="I1" s="222"/>
      <c r="J1" s="222"/>
      <c r="K1" s="115"/>
      <c r="L1" s="152"/>
      <c r="M1" s="152"/>
      <c r="N1" s="222"/>
      <c r="O1" s="152"/>
      <c r="P1" s="152"/>
      <c r="Q1" s="919"/>
      <c r="R1" s="1294"/>
    </row>
    <row r="2" spans="1:18" s="117" customFormat="1" ht="30" customHeight="1" x14ac:dyDescent="0.25">
      <c r="A2" s="1479" t="s">
        <v>914</v>
      </c>
      <c r="B2" s="115"/>
      <c r="C2" s="115"/>
      <c r="D2" s="115"/>
      <c r="E2" s="115"/>
      <c r="F2" s="115"/>
      <c r="G2" s="115"/>
      <c r="H2" s="115"/>
      <c r="I2" s="152"/>
      <c r="J2" s="152"/>
      <c r="K2" s="115"/>
      <c r="L2" s="920"/>
      <c r="M2" s="920"/>
      <c r="N2" s="920"/>
      <c r="O2" s="920"/>
      <c r="P2" s="920"/>
      <c r="Q2" s="921"/>
      <c r="R2" s="1295"/>
    </row>
    <row r="3" spans="1:18" ht="15" customHeight="1" x14ac:dyDescent="0.2">
      <c r="A3" s="914"/>
      <c r="B3" s="915"/>
      <c r="C3" s="915"/>
      <c r="D3" s="915"/>
      <c r="E3" s="915"/>
      <c r="F3" s="915"/>
      <c r="G3" s="915"/>
      <c r="H3" s="915"/>
      <c r="I3" s="915"/>
      <c r="J3" s="915"/>
      <c r="K3" s="915"/>
      <c r="L3" s="915"/>
      <c r="M3" s="915"/>
      <c r="N3" s="915"/>
      <c r="O3" s="915"/>
      <c r="P3" s="915"/>
      <c r="Q3" s="916"/>
    </row>
    <row r="4" spans="1:18" ht="15" customHeight="1" x14ac:dyDescent="0.2">
      <c r="A4" s="914"/>
      <c r="B4" s="1689"/>
      <c r="C4" s="1683" t="s">
        <v>536</v>
      </c>
      <c r="D4" s="1684"/>
      <c r="E4" s="1684"/>
      <c r="F4" s="1684"/>
      <c r="G4" s="1685"/>
      <c r="H4" s="915"/>
      <c r="I4" s="1679" t="s">
        <v>963</v>
      </c>
      <c r="J4" s="1688"/>
      <c r="K4" s="1677"/>
      <c r="L4" s="915"/>
      <c r="M4" s="1678" t="s">
        <v>964</v>
      </c>
      <c r="N4" s="1678"/>
      <c r="O4" s="1678"/>
      <c r="P4" s="1678"/>
      <c r="Q4" s="916"/>
    </row>
    <row r="5" spans="1:18" ht="51" x14ac:dyDescent="0.2">
      <c r="A5" s="914"/>
      <c r="B5" s="1690"/>
      <c r="C5" s="926" t="s">
        <v>138</v>
      </c>
      <c r="D5" s="922" t="s">
        <v>609</v>
      </c>
      <c r="E5" s="922" t="s">
        <v>610</v>
      </c>
      <c r="F5" s="922" t="s">
        <v>611</v>
      </c>
      <c r="G5" s="924" t="s">
        <v>612</v>
      </c>
      <c r="H5" s="915"/>
      <c r="I5" s="911" t="s">
        <v>965</v>
      </c>
      <c r="J5" s="1188" t="s">
        <v>1008</v>
      </c>
      <c r="K5" s="330" t="s">
        <v>966</v>
      </c>
      <c r="L5" s="915"/>
      <c r="M5" s="926" t="s">
        <v>965</v>
      </c>
      <c r="N5" s="1189" t="s">
        <v>1008</v>
      </c>
      <c r="O5" s="922" t="s">
        <v>966</v>
      </c>
      <c r="P5" s="924" t="s">
        <v>929</v>
      </c>
      <c r="Q5" s="916"/>
    </row>
    <row r="6" spans="1:18" ht="45" customHeight="1" x14ac:dyDescent="0.2">
      <c r="A6" s="914"/>
      <c r="B6" s="1191" t="s">
        <v>1009</v>
      </c>
      <c r="C6" s="613"/>
      <c r="D6" s="613"/>
      <c r="E6" s="613"/>
      <c r="F6" s="613"/>
      <c r="G6" s="929"/>
      <c r="H6" s="915"/>
      <c r="I6" s="1247"/>
      <c r="J6" s="1202"/>
      <c r="K6" s="1248">
        <v>1</v>
      </c>
      <c r="L6" s="915"/>
      <c r="M6" s="1247"/>
      <c r="N6" s="610"/>
      <c r="O6" s="937" t="str">
        <f>IF(AND(ISNUMBER(G6),ISNUMBER(K6)),SUM(G6)*K6,"")</f>
        <v/>
      </c>
      <c r="P6" s="938" t="str">
        <f>IF(ISNUMBER(O6),SUM(O6),"")</f>
        <v/>
      </c>
      <c r="Q6" s="916"/>
    </row>
    <row r="7" spans="1:18" ht="15" customHeight="1" x14ac:dyDescent="0.2">
      <c r="A7" s="914"/>
      <c r="B7" s="1210" t="str">
        <f>CONCATENATE("Check: row ", ROW(B6), " ≤ ", ADDRESS(ROW('General Info'!D64), COLUMN('General Info'!D64), 4), " + ", ADDRESS(ROW('General Info'!D67), COLUMN('General Info'!D67), 4), " + ", ADDRESS(ROW('General Info'!D72), COLUMN('General Info'!D72), 4), " in the General Info worksheet")</f>
        <v>Check: row 6 ≤ D64 + D67 + D72 in the General Info worksheet</v>
      </c>
      <c r="C7" s="613"/>
      <c r="D7" s="613"/>
      <c r="E7" s="613"/>
      <c r="F7" s="613"/>
      <c r="G7" s="927" t="str">
        <f>IF(G6&lt;=SUM('General Info'!D64,'General Info'!D67,'General Info'!D72),"Pass","Fail")</f>
        <v>Pass</v>
      </c>
      <c r="H7" s="915"/>
      <c r="I7" s="1246"/>
      <c r="J7" s="1203"/>
      <c r="K7" s="1261"/>
      <c r="L7" s="915"/>
      <c r="M7" s="1246"/>
      <c r="N7" s="613"/>
      <c r="O7" s="613"/>
      <c r="P7" s="615"/>
      <c r="Q7" s="916"/>
    </row>
    <row r="8" spans="1:18" ht="25.5" x14ac:dyDescent="0.2">
      <c r="A8" s="914"/>
      <c r="B8" s="1239" t="s">
        <v>1030</v>
      </c>
      <c r="C8" s="613"/>
      <c r="D8" s="613"/>
      <c r="E8" s="613"/>
      <c r="F8" s="613"/>
      <c r="G8" s="1218"/>
      <c r="H8" s="915"/>
      <c r="I8" s="1246"/>
      <c r="J8" s="1203"/>
      <c r="K8" s="1249">
        <v>1</v>
      </c>
      <c r="L8" s="915"/>
      <c r="M8" s="1246"/>
      <c r="N8" s="613"/>
      <c r="O8" s="939" t="str">
        <f>IF(AND(ISNUMBER(G8),ISNUMBER(K8)),SUM(G8)*K8,"")</f>
        <v/>
      </c>
      <c r="P8" s="940" t="str">
        <f>IF(ISNUMBER(O8),SUM(O8),"")</f>
        <v/>
      </c>
      <c r="Q8" s="916"/>
    </row>
    <row r="9" spans="1:18" ht="25.5" x14ac:dyDescent="0.2">
      <c r="A9" s="914"/>
      <c r="B9" s="932" t="s">
        <v>915</v>
      </c>
      <c r="C9" s="614"/>
      <c r="D9" s="614"/>
      <c r="E9" s="614"/>
      <c r="F9" s="614"/>
      <c r="G9" s="1218"/>
      <c r="H9" s="915"/>
      <c r="I9" s="1250">
        <v>0.95</v>
      </c>
      <c r="J9" s="1204">
        <v>0.95</v>
      </c>
      <c r="K9" s="1249">
        <v>1</v>
      </c>
      <c r="L9" s="915"/>
      <c r="M9" s="941" t="str">
        <f>IF(AND(ISNUMBER(C9),ISNUMBER(D9),ISNUMBER(I9)),SUM(C9:D9)*I9,"")</f>
        <v/>
      </c>
      <c r="N9" s="939" t="str">
        <f>IF(AND(ISNUMBER(E9),ISNUMBER(F9),ISNUMBER(J9)),SUM(E9:F9)*J9,"")</f>
        <v/>
      </c>
      <c r="O9" s="939" t="str">
        <f>IF(AND(ISNUMBER(G9),ISNUMBER(K9)),SUM(G9)*K9,"")</f>
        <v/>
      </c>
      <c r="P9" s="940" t="str">
        <f>IF(AND(ISNUMBER(M9),ISNUMBER(O9)),SUM(M9:O9),"")</f>
        <v/>
      </c>
      <c r="Q9" s="916"/>
    </row>
    <row r="10" spans="1:18" ht="15" customHeight="1" x14ac:dyDescent="0.2">
      <c r="A10" s="914"/>
      <c r="B10" s="933" t="str">
        <f>CONCATENATE("Check: row ", ROW(B9), " ≥ LCR stable retail and small business customer deposits")</f>
        <v>Check: row 9 ≥ LCR stable retail and small business customer deposits</v>
      </c>
      <c r="C10" s="927" t="str">
        <f>IF(C9&gt;=SUM(LCR!D88:D89,LCR!D91:D92,LCR!D95:D96,LCR!D98:D99,LCR!D117:D118,LCR!D120:D121,LCR!D124:D125,LCR!D127:D128),"Pass","Fail")</f>
        <v>Pass</v>
      </c>
      <c r="D10" s="613"/>
      <c r="E10" s="613"/>
      <c r="F10" s="613"/>
      <c r="G10" s="1261"/>
      <c r="H10" s="915"/>
      <c r="I10" s="1246"/>
      <c r="J10" s="1203"/>
      <c r="K10" s="1261"/>
      <c r="L10" s="915"/>
      <c r="M10" s="1246"/>
      <c r="N10" s="613"/>
      <c r="O10" s="613"/>
      <c r="P10" s="615"/>
      <c r="Q10" s="916"/>
    </row>
    <row r="11" spans="1:18" ht="30" customHeight="1" x14ac:dyDescent="0.2">
      <c r="A11" s="914"/>
      <c r="B11" s="932" t="s">
        <v>916</v>
      </c>
      <c r="C11" s="614"/>
      <c r="D11" s="614"/>
      <c r="E11" s="614"/>
      <c r="F11" s="614"/>
      <c r="G11" s="1218"/>
      <c r="H11" s="915"/>
      <c r="I11" s="1250">
        <v>0.9</v>
      </c>
      <c r="J11" s="1204">
        <v>0.9</v>
      </c>
      <c r="K11" s="1249">
        <v>1</v>
      </c>
      <c r="L11" s="915"/>
      <c r="M11" s="941" t="str">
        <f>IF(AND(ISNUMBER(C11),ISNUMBER(D11),ISNUMBER(I11)),SUM(C11:D11)*I11,"")</f>
        <v/>
      </c>
      <c r="N11" s="939" t="str">
        <f>IF(AND(ISNUMBER(E11),ISNUMBER(F11),ISNUMBER(J11)),SUM(E11:F11)*J11,"")</f>
        <v/>
      </c>
      <c r="O11" s="939" t="str">
        <f>IF(AND(ISNUMBER(G11),ISNUMBER(K11)),SUM(G11)*K11,"")</f>
        <v/>
      </c>
      <c r="P11" s="940" t="str">
        <f>IF(AND(ISNUMBER(M11),ISNUMBER(O11)),SUM(M11:O11),"")</f>
        <v/>
      </c>
      <c r="Q11" s="916"/>
    </row>
    <row r="12" spans="1:18" ht="15" customHeight="1" x14ac:dyDescent="0.2">
      <c r="A12" s="914"/>
      <c r="B12" s="933" t="str">
        <f>CONCATENATE("Check: row ", ROW(B11), " ≥ LCR less stable retail and small business customer deposits")</f>
        <v>Check: row 11 ≥ LCR less stable retail and small business customer deposits</v>
      </c>
      <c r="C12" s="927" t="str">
        <f>IF(C11&gt;=SUM(LCR!D100:D101,LCR!D103:D105,LCR!D129:D130,LCR!D132:D134),"Pass","Fail")</f>
        <v>Pass</v>
      </c>
      <c r="D12" s="613"/>
      <c r="E12" s="613"/>
      <c r="F12" s="613"/>
      <c r="G12" s="1261"/>
      <c r="H12" s="915"/>
      <c r="I12" s="1246"/>
      <c r="J12" s="1203"/>
      <c r="K12" s="1261"/>
      <c r="L12" s="915"/>
      <c r="M12" s="1246"/>
      <c r="N12" s="613"/>
      <c r="O12" s="613"/>
      <c r="P12" s="615"/>
      <c r="Q12" s="916"/>
    </row>
    <row r="13" spans="1:18" ht="15" customHeight="1" x14ac:dyDescent="0.2">
      <c r="A13" s="914"/>
      <c r="B13" s="932" t="s">
        <v>917</v>
      </c>
      <c r="C13" s="614"/>
      <c r="D13" s="614"/>
      <c r="E13" s="614"/>
      <c r="F13" s="614"/>
      <c r="G13" s="1218"/>
      <c r="H13" s="915"/>
      <c r="I13" s="1246"/>
      <c r="J13" s="1203"/>
      <c r="K13" s="1261"/>
      <c r="L13" s="915"/>
      <c r="M13" s="1246"/>
      <c r="N13" s="613"/>
      <c r="O13" s="613"/>
      <c r="P13" s="615"/>
      <c r="Q13" s="916"/>
    </row>
    <row r="14" spans="1:18" ht="15" customHeight="1" x14ac:dyDescent="0.2">
      <c r="A14" s="914"/>
      <c r="B14" s="934" t="s">
        <v>918</v>
      </c>
      <c r="C14" s="614"/>
      <c r="D14" s="614"/>
      <c r="E14" s="614"/>
      <c r="F14" s="614"/>
      <c r="G14" s="1218"/>
      <c r="H14" s="915"/>
      <c r="I14" s="1250">
        <v>0.5</v>
      </c>
      <c r="J14" s="1204">
        <v>0.5</v>
      </c>
      <c r="K14" s="1249">
        <v>1</v>
      </c>
      <c r="L14" s="915"/>
      <c r="M14" s="941" t="str">
        <f>IF(AND(ISNUMBER(C14),ISNUMBER(D14),ISNUMBER(I14)),SUM(C14:D14)*I14,"")</f>
        <v/>
      </c>
      <c r="N14" s="939" t="str">
        <f>IF(AND(ISNUMBER(E14),ISNUMBER(F14),ISNUMBER(J14)),SUM(E14:F14)*J14,"")</f>
        <v/>
      </c>
      <c r="O14" s="939" t="str">
        <f>IF(AND(ISNUMBER(G14),ISNUMBER(K14)),SUM(G14)*K14,"")</f>
        <v/>
      </c>
      <c r="P14" s="940" t="str">
        <f>IF(AND(ISNUMBER(M14),ISNUMBER(O14)),SUM(M14:O14),"")</f>
        <v/>
      </c>
      <c r="Q14" s="916"/>
    </row>
    <row r="15" spans="1:18" ht="15" customHeight="1" x14ac:dyDescent="0.2">
      <c r="A15" s="914"/>
      <c r="B15" s="934" t="s">
        <v>919</v>
      </c>
      <c r="C15" s="614"/>
      <c r="D15" s="614"/>
      <c r="E15" s="614"/>
      <c r="F15" s="614"/>
      <c r="G15" s="1218"/>
      <c r="H15" s="915"/>
      <c r="I15" s="1250">
        <v>0.5</v>
      </c>
      <c r="J15" s="1204">
        <v>0.5</v>
      </c>
      <c r="K15" s="1249">
        <v>1</v>
      </c>
      <c r="L15" s="915"/>
      <c r="M15" s="941" t="str">
        <f t="shared" ref="M15" si="0">IF(AND(ISNUMBER(C15),ISNUMBER(D15),ISNUMBER(I15)),SUM(C15:D15)*I15,"")</f>
        <v/>
      </c>
      <c r="N15" s="939" t="str">
        <f t="shared" ref="N15" si="1">IF(AND(ISNUMBER(E15),ISNUMBER(F15),ISNUMBER(J15)),SUM(E15:F15)*J15,"")</f>
        <v/>
      </c>
      <c r="O15" s="939" t="str">
        <f t="shared" ref="O15" si="2">IF(AND(ISNUMBER(G15),ISNUMBER(K15)),SUM(G15)*K15,"")</f>
        <v/>
      </c>
      <c r="P15" s="940" t="str">
        <f t="shared" ref="P15" si="3">IF(AND(ISNUMBER(M15),ISNUMBER(O15)),SUM(M15:O15),"")</f>
        <v/>
      </c>
      <c r="Q15" s="916"/>
    </row>
    <row r="16" spans="1:18" ht="15" customHeight="1" x14ac:dyDescent="0.2">
      <c r="A16" s="914"/>
      <c r="B16" s="1192" t="s">
        <v>1010</v>
      </c>
      <c r="C16" s="1190"/>
      <c r="D16" s="1190"/>
      <c r="E16" s="1190"/>
      <c r="F16" s="1190"/>
      <c r="G16" s="1218"/>
      <c r="H16" s="915"/>
      <c r="I16" s="1250">
        <v>0.5</v>
      </c>
      <c r="J16" s="1204">
        <v>0.5</v>
      </c>
      <c r="K16" s="1249">
        <v>1</v>
      </c>
      <c r="L16" s="915"/>
      <c r="M16" s="941" t="str">
        <f t="shared" ref="M16" si="4">IF(AND(ISNUMBER(C16),ISNUMBER(D16),ISNUMBER(I16)),SUM(C16:D16)*I16,"")</f>
        <v/>
      </c>
      <c r="N16" s="939" t="str">
        <f t="shared" ref="N16" si="5">IF(AND(ISNUMBER(E16),ISNUMBER(F16),ISNUMBER(J16)),SUM(E16:F16)*J16,"")</f>
        <v/>
      </c>
      <c r="O16" s="939" t="str">
        <f t="shared" ref="O16" si="6">IF(AND(ISNUMBER(G16),ISNUMBER(K16)),SUM(G16)*K16,"")</f>
        <v/>
      </c>
      <c r="P16" s="940" t="str">
        <f t="shared" ref="P16" si="7">IF(AND(ISNUMBER(M16),ISNUMBER(O16)),SUM(M16:O16),"")</f>
        <v/>
      </c>
      <c r="Q16" s="916"/>
    </row>
    <row r="17" spans="1:17" ht="15" customHeight="1" x14ac:dyDescent="0.2">
      <c r="A17" s="914"/>
      <c r="B17" s="933" t="str">
        <f>CONCATENATE("Check: row ", ROW(B13), " ≥ LCR unsecured funding from non-financial corporates")</f>
        <v>Check: row 13 ≥ LCR unsecured funding from non-financial corporates</v>
      </c>
      <c r="C17" s="927" t="str">
        <f>IF(C13&gt;=SUM(LCR!D140:D142,LCR!D157:D158),"Pass","Fail")</f>
        <v>Pass</v>
      </c>
      <c r="D17" s="613"/>
      <c r="E17" s="613"/>
      <c r="F17" s="613"/>
      <c r="G17" s="1261"/>
      <c r="H17" s="915"/>
      <c r="I17" s="1246"/>
      <c r="J17" s="1203"/>
      <c r="K17" s="1261"/>
      <c r="L17" s="915"/>
      <c r="M17" s="1246"/>
      <c r="N17" s="613"/>
      <c r="O17" s="613"/>
      <c r="P17" s="615"/>
      <c r="Q17" s="916"/>
    </row>
    <row r="18" spans="1:17" ht="15" customHeight="1" x14ac:dyDescent="0.2">
      <c r="A18" s="914"/>
      <c r="B18" s="933" t="str">
        <f>CONCATENATE("Check: row ", ROW(B14), " ≥ LCR operational deposits from non-financial corporates")</f>
        <v>Check: row 14 ≥ LCR operational deposits from non-financial corporates</v>
      </c>
      <c r="C18" s="927" t="str">
        <f>IF(C14&gt;=SUM(LCR!D140:D142),"Pass","Fail")</f>
        <v>Pass</v>
      </c>
      <c r="D18" s="613"/>
      <c r="E18" s="613"/>
      <c r="F18" s="613"/>
      <c r="G18" s="1261"/>
      <c r="H18" s="915"/>
      <c r="I18" s="1246"/>
      <c r="J18" s="1203"/>
      <c r="K18" s="1261"/>
      <c r="L18" s="915"/>
      <c r="M18" s="1246"/>
      <c r="N18" s="613"/>
      <c r="O18" s="613"/>
      <c r="P18" s="615"/>
      <c r="Q18" s="916"/>
    </row>
    <row r="19" spans="1:17" ht="15" customHeight="1" x14ac:dyDescent="0.2">
      <c r="A19" s="914"/>
      <c r="B19" s="933" t="str">
        <f>CONCATENATE("Check: sum of rows ", ROW(B14)," to row ", ROW(B16), " = row ", ROW(B13), " for each column")</f>
        <v>Check: sum of rows 14 to row 16 = row 13 for each column</v>
      </c>
      <c r="C19" s="927" t="str">
        <f>IF(SUM(C14:C16)=C13,"Pass","Fail")</f>
        <v>Pass</v>
      </c>
      <c r="D19" s="927" t="str">
        <f t="shared" ref="D19:G19" si="8">IF(SUM(D14:D16)=D13,"Pass","Fail")</f>
        <v>Pass</v>
      </c>
      <c r="E19" s="927" t="str">
        <f t="shared" si="8"/>
        <v>Pass</v>
      </c>
      <c r="F19" s="927" t="str">
        <f t="shared" si="8"/>
        <v>Pass</v>
      </c>
      <c r="G19" s="927" t="str">
        <f t="shared" si="8"/>
        <v>Pass</v>
      </c>
      <c r="H19" s="915"/>
      <c r="I19" s="1246"/>
      <c r="J19" s="1203"/>
      <c r="K19" s="1261"/>
      <c r="L19" s="915"/>
      <c r="M19" s="1246"/>
      <c r="N19" s="613"/>
      <c r="O19" s="613"/>
      <c r="P19" s="615"/>
      <c r="Q19" s="916"/>
    </row>
    <row r="20" spans="1:17" ht="15" customHeight="1" x14ac:dyDescent="0.2">
      <c r="A20" s="914"/>
      <c r="B20" s="932" t="s">
        <v>920</v>
      </c>
      <c r="C20" s="614"/>
      <c r="D20" s="614"/>
      <c r="E20" s="614"/>
      <c r="F20" s="614"/>
      <c r="G20" s="1218"/>
      <c r="H20" s="915"/>
      <c r="I20" s="1246"/>
      <c r="J20" s="1203"/>
      <c r="K20" s="1261"/>
      <c r="L20" s="915"/>
      <c r="M20" s="1246"/>
      <c r="N20" s="613"/>
      <c r="O20" s="613"/>
      <c r="P20" s="615"/>
      <c r="Q20" s="916"/>
    </row>
    <row r="21" spans="1:17" ht="15" customHeight="1" x14ac:dyDescent="0.2">
      <c r="A21" s="914"/>
      <c r="B21" s="934" t="s">
        <v>918</v>
      </c>
      <c r="C21" s="614"/>
      <c r="D21" s="614"/>
      <c r="E21" s="614"/>
      <c r="F21" s="614"/>
      <c r="G21" s="1218"/>
      <c r="H21" s="915"/>
      <c r="I21" s="1250">
        <v>0.5</v>
      </c>
      <c r="J21" s="1204">
        <v>0.5</v>
      </c>
      <c r="K21" s="1249">
        <v>1</v>
      </c>
      <c r="L21" s="915"/>
      <c r="M21" s="941" t="str">
        <f>IF(AND(ISNUMBER(C21),ISNUMBER(D21),ISNUMBER(I21)),SUM(C21:D21)*I21,"")</f>
        <v/>
      </c>
      <c r="N21" s="939" t="str">
        <f>IF(AND(ISNUMBER(E21),ISNUMBER(F21),ISNUMBER(J21)),SUM(E21:F21)*J21,"")</f>
        <v/>
      </c>
      <c r="O21" s="939" t="str">
        <f>IF(AND(ISNUMBER(G21),ISNUMBER(K21)),SUM(G21)*K21,"")</f>
        <v/>
      </c>
      <c r="P21" s="940" t="str">
        <f>IF(AND(ISNUMBER(M21),ISNUMBER(O21)),SUM(M21:O21),"")</f>
        <v/>
      </c>
      <c r="Q21" s="916"/>
    </row>
    <row r="22" spans="1:17" ht="15" customHeight="1" x14ac:dyDescent="0.2">
      <c r="A22" s="914"/>
      <c r="B22" s="934" t="s">
        <v>919</v>
      </c>
      <c r="C22" s="614"/>
      <c r="D22" s="614"/>
      <c r="E22" s="614"/>
      <c r="F22" s="614"/>
      <c r="G22" s="1218"/>
      <c r="H22" s="915"/>
      <c r="I22" s="1250">
        <v>0</v>
      </c>
      <c r="J22" s="1204">
        <v>0.5</v>
      </c>
      <c r="K22" s="1249">
        <v>1</v>
      </c>
      <c r="L22" s="915"/>
      <c r="M22" s="941" t="str">
        <f t="shared" ref="M22" si="9">IF(AND(ISNUMBER(C22),ISNUMBER(D22),ISNUMBER(I22)),SUM(C22:D22)*I22,"")</f>
        <v/>
      </c>
      <c r="N22" s="939" t="str">
        <f t="shared" ref="N22" si="10">IF(AND(ISNUMBER(E22),ISNUMBER(F22),ISNUMBER(J22)),SUM(E22:F22)*J22,"")</f>
        <v/>
      </c>
      <c r="O22" s="939" t="str">
        <f t="shared" ref="O22" si="11">IF(AND(ISNUMBER(G22),ISNUMBER(K22)),SUM(G22)*K22,"")</f>
        <v/>
      </c>
      <c r="P22" s="940" t="str">
        <f t="shared" ref="P22" si="12">IF(AND(ISNUMBER(M22),ISNUMBER(O22)),SUM(M22:O22),"")</f>
        <v/>
      </c>
      <c r="Q22" s="916"/>
    </row>
    <row r="23" spans="1:17" ht="15" customHeight="1" x14ac:dyDescent="0.2">
      <c r="A23" s="914"/>
      <c r="B23" s="1192" t="s">
        <v>1010</v>
      </c>
      <c r="C23" s="1193"/>
      <c r="D23" s="1193"/>
      <c r="E23" s="1193"/>
      <c r="F23" s="1193"/>
      <c r="G23" s="1218"/>
      <c r="H23" s="915"/>
      <c r="I23" s="1250">
        <v>0</v>
      </c>
      <c r="J23" s="1204">
        <v>0.5</v>
      </c>
      <c r="K23" s="1249">
        <v>1</v>
      </c>
      <c r="L23" s="915"/>
      <c r="M23" s="941" t="str">
        <f t="shared" ref="M23" si="13">IF(AND(ISNUMBER(C23),ISNUMBER(D23),ISNUMBER(I23)),SUM(C23:D23)*I23,"")</f>
        <v/>
      </c>
      <c r="N23" s="939" t="str">
        <f t="shared" ref="N23" si="14">IF(AND(ISNUMBER(E23),ISNUMBER(F23),ISNUMBER(J23)),SUM(E23:F23)*J23,"")</f>
        <v/>
      </c>
      <c r="O23" s="939" t="str">
        <f t="shared" ref="O23" si="15">IF(AND(ISNUMBER(G23),ISNUMBER(K23)),SUM(G23)*K23,"")</f>
        <v/>
      </c>
      <c r="P23" s="940" t="str">
        <f t="shared" ref="P23" si="16">IF(AND(ISNUMBER(M23),ISNUMBER(O23)),SUM(M23:O23),"")</f>
        <v/>
      </c>
      <c r="Q23" s="916"/>
    </row>
    <row r="24" spans="1:17" ht="15" customHeight="1" x14ac:dyDescent="0.2">
      <c r="A24" s="914"/>
      <c r="B24" s="933" t="str">
        <f>CONCATENATE("Check: sum of row ", ROW(B21)," to row ", ROW(B23), " = row ", ROW(B20), " for each column")</f>
        <v>Check: sum of row 21 to row 23 = row 20 for each column</v>
      </c>
      <c r="C24" s="927" t="str">
        <f>IF(SUM(C21:C23)=C20,"Pass","Fail")</f>
        <v>Pass</v>
      </c>
      <c r="D24" s="927" t="str">
        <f t="shared" ref="D24:G24" si="17">IF(SUM(D21:D23)=D20,"Pass","Fail")</f>
        <v>Pass</v>
      </c>
      <c r="E24" s="927" t="str">
        <f t="shared" si="17"/>
        <v>Pass</v>
      </c>
      <c r="F24" s="927" t="str">
        <f t="shared" si="17"/>
        <v>Pass</v>
      </c>
      <c r="G24" s="927" t="str">
        <f t="shared" si="17"/>
        <v>Pass</v>
      </c>
      <c r="H24" s="915"/>
      <c r="I24" s="1246"/>
      <c r="J24" s="1203"/>
      <c r="K24" s="1261"/>
      <c r="L24" s="915"/>
      <c r="M24" s="1246"/>
      <c r="N24" s="613"/>
      <c r="O24" s="613"/>
      <c r="P24" s="615"/>
      <c r="Q24" s="916"/>
    </row>
    <row r="25" spans="1:17" ht="15" customHeight="1" x14ac:dyDescent="0.2">
      <c r="A25" s="914"/>
      <c r="B25" s="1197" t="s">
        <v>1011</v>
      </c>
      <c r="C25" s="614"/>
      <c r="D25" s="614"/>
      <c r="E25" s="614"/>
      <c r="F25" s="614"/>
      <c r="G25" s="1218"/>
      <c r="H25" s="915"/>
      <c r="I25" s="1246"/>
      <c r="J25" s="1203"/>
      <c r="K25" s="1261"/>
      <c r="L25" s="915"/>
      <c r="M25" s="1246"/>
      <c r="N25" s="613"/>
      <c r="O25" s="613"/>
      <c r="P25" s="615"/>
      <c r="Q25" s="916"/>
    </row>
    <row r="26" spans="1:17" ht="15" customHeight="1" x14ac:dyDescent="0.2">
      <c r="A26" s="914"/>
      <c r="B26" s="934" t="s">
        <v>918</v>
      </c>
      <c r="C26" s="614"/>
      <c r="D26" s="614"/>
      <c r="E26" s="614"/>
      <c r="F26" s="614"/>
      <c r="G26" s="1218"/>
      <c r="H26" s="915"/>
      <c r="I26" s="1250">
        <v>0.5</v>
      </c>
      <c r="J26" s="1204">
        <v>0.5</v>
      </c>
      <c r="K26" s="1249">
        <v>1</v>
      </c>
      <c r="L26" s="915"/>
      <c r="M26" s="941" t="str">
        <f>IF(AND(ISNUMBER(C26),ISNUMBER(D26),ISNUMBER(I26)),SUM(C26:D26)*I26,"")</f>
        <v/>
      </c>
      <c r="N26" s="939" t="str">
        <f>IF(AND(ISNUMBER(E26),ISNUMBER(F26),ISNUMBER(J26)),SUM(E26:F26)*J26,"")</f>
        <v/>
      </c>
      <c r="O26" s="939" t="str">
        <f>IF(AND(ISNUMBER(G26),ISNUMBER(K26)),SUM(G26)*K26,"")</f>
        <v/>
      </c>
      <c r="P26" s="940" t="str">
        <f>IF(AND(ISNUMBER(M26),ISNUMBER(O26)),SUM(M26:O26),"")</f>
        <v/>
      </c>
      <c r="Q26" s="916"/>
    </row>
    <row r="27" spans="1:17" ht="15" customHeight="1" x14ac:dyDescent="0.2">
      <c r="A27" s="914"/>
      <c r="B27" s="934" t="s">
        <v>919</v>
      </c>
      <c r="C27" s="614"/>
      <c r="D27" s="614"/>
      <c r="E27" s="614"/>
      <c r="F27" s="614"/>
      <c r="G27" s="1218"/>
      <c r="H27" s="915"/>
      <c r="I27" s="1205">
        <v>0.5</v>
      </c>
      <c r="J27" s="1204">
        <v>0.5</v>
      </c>
      <c r="K27" s="1249">
        <v>1</v>
      </c>
      <c r="L27" s="915"/>
      <c r="M27" s="941" t="str">
        <f t="shared" ref="M27" si="18">IF(AND(ISNUMBER(C27),ISNUMBER(D27),ISNUMBER(I27)),SUM(C27:D27)*I27,"")</f>
        <v/>
      </c>
      <c r="N27" s="939" t="str">
        <f t="shared" ref="N27" si="19">IF(AND(ISNUMBER(E27),ISNUMBER(F27),ISNUMBER(J27)),SUM(E27:F27)*J27,"")</f>
        <v/>
      </c>
      <c r="O27" s="939" t="str">
        <f t="shared" ref="O27" si="20">IF(AND(ISNUMBER(G27),ISNUMBER(K27)),SUM(G27)*K27,"")</f>
        <v/>
      </c>
      <c r="P27" s="940" t="str">
        <f t="shared" ref="P27" si="21">IF(AND(ISNUMBER(M27),ISNUMBER(O27)),SUM(M27:O27),"")</f>
        <v/>
      </c>
      <c r="Q27" s="916"/>
    </row>
    <row r="28" spans="1:17" ht="15" customHeight="1" x14ac:dyDescent="0.2">
      <c r="A28" s="914"/>
      <c r="B28" s="1192" t="s">
        <v>1010</v>
      </c>
      <c r="C28" s="1193"/>
      <c r="D28" s="1193"/>
      <c r="E28" s="1193"/>
      <c r="F28" s="1193"/>
      <c r="G28" s="1218"/>
      <c r="H28" s="915"/>
      <c r="I28" s="1205">
        <v>0.5</v>
      </c>
      <c r="J28" s="1204">
        <v>0.5</v>
      </c>
      <c r="K28" s="1249">
        <v>1</v>
      </c>
      <c r="L28" s="915"/>
      <c r="M28" s="941" t="str">
        <f t="shared" ref="M28" si="22">IF(AND(ISNUMBER(C28),ISNUMBER(D28),ISNUMBER(I28)),SUM(C28:D28)*I28,"")</f>
        <v/>
      </c>
      <c r="N28" s="939" t="str">
        <f t="shared" ref="N28" si="23">IF(AND(ISNUMBER(E28),ISNUMBER(F28),ISNUMBER(J28)),SUM(E28:F28)*J28,"")</f>
        <v/>
      </c>
      <c r="O28" s="939" t="str">
        <f t="shared" ref="O28" si="24">IF(AND(ISNUMBER(G28),ISNUMBER(K28)),SUM(G28)*K28,"")</f>
        <v/>
      </c>
      <c r="P28" s="940" t="str">
        <f t="shared" ref="P28" si="25">IF(AND(ISNUMBER(M28),ISNUMBER(O28)),SUM(M28:O28),"")</f>
        <v/>
      </c>
      <c r="Q28" s="916"/>
    </row>
    <row r="29" spans="1:17" ht="15" customHeight="1" x14ac:dyDescent="0.2">
      <c r="A29" s="914"/>
      <c r="B29" s="933" t="str">
        <f>CONCATENATE("Check: sum of row ", ROW(B26)," to row ", ROW(B28), " = row ", ROW(B25), " for each column")</f>
        <v>Check: sum of row 26 to row 28 = row 25 for each column</v>
      </c>
      <c r="C29" s="927" t="str">
        <f>IF(SUM(C26:C28)=C25,"Pass","Fail")</f>
        <v>Pass</v>
      </c>
      <c r="D29" s="927" t="str">
        <f t="shared" ref="D29:G29" si="26">IF(SUM(D26:D28)=D25,"Pass","Fail")</f>
        <v>Pass</v>
      </c>
      <c r="E29" s="927" t="str">
        <f t="shared" si="26"/>
        <v>Pass</v>
      </c>
      <c r="F29" s="927" t="str">
        <f t="shared" si="26"/>
        <v>Pass</v>
      </c>
      <c r="G29" s="927" t="str">
        <f t="shared" si="26"/>
        <v>Pass</v>
      </c>
      <c r="H29" s="915"/>
      <c r="I29" s="1246"/>
      <c r="J29" s="1203"/>
      <c r="K29" s="1261"/>
      <c r="L29" s="915"/>
      <c r="M29" s="1246"/>
      <c r="N29" s="613"/>
      <c r="O29" s="613"/>
      <c r="P29" s="615"/>
      <c r="Q29" s="916"/>
    </row>
    <row r="30" spans="1:17" ht="30" customHeight="1" x14ac:dyDescent="0.2">
      <c r="A30" s="914"/>
      <c r="B30" s="1196" t="str">
        <f>CONCATENATE("Check: sum of row ", ROW(B20), " and row ", ROW(B25), " ≥ LCR unsecured funding from sovereigns/central banks/PSEs/MDBs")</f>
        <v>Check: sum of row 20 and row 25 ≥ LCR unsecured funding from sovereigns/central banks/PSEs/MDBs</v>
      </c>
      <c r="C30" s="927" t="str">
        <f>IF(SUM(C20,C25)&gt;=SUM(LCR!D144:D146,LCR!D160:D161),"Pass","Fail")</f>
        <v>Pass</v>
      </c>
      <c r="D30" s="613"/>
      <c r="E30" s="613"/>
      <c r="F30" s="613"/>
      <c r="G30" s="1261"/>
      <c r="H30" s="915"/>
      <c r="I30" s="1246"/>
      <c r="J30" s="1203"/>
      <c r="K30" s="1261"/>
      <c r="L30" s="915"/>
      <c r="M30" s="1246"/>
      <c r="N30" s="613"/>
      <c r="O30" s="613"/>
      <c r="P30" s="615"/>
      <c r="Q30" s="916"/>
    </row>
    <row r="31" spans="1:17" ht="30" customHeight="1" x14ac:dyDescent="0.2">
      <c r="A31" s="914"/>
      <c r="B31" s="1196" t="str">
        <f>CONCATENATE("Check: sum of row ", ROW(B21), " and row ", ROW(B26), " ≥ LCR operational deposits from sovereigns/central banks/PSEs/MDBs")</f>
        <v>Check: sum of row 21 and row 26 ≥ LCR operational deposits from sovereigns/central banks/PSEs/MDBs</v>
      </c>
      <c r="C31" s="927" t="str">
        <f>IF(SUM(C21,C26)&gt;=SUM(LCR!D144:D146),"Pass","Fail")</f>
        <v>Pass</v>
      </c>
      <c r="D31" s="613"/>
      <c r="E31" s="613"/>
      <c r="F31" s="613"/>
      <c r="G31" s="1261"/>
      <c r="H31" s="915"/>
      <c r="I31" s="1246"/>
      <c r="J31" s="1203"/>
      <c r="K31" s="1261"/>
      <c r="L31" s="915"/>
      <c r="M31" s="1246"/>
      <c r="N31" s="613"/>
      <c r="O31" s="613"/>
      <c r="P31" s="615"/>
      <c r="Q31" s="916"/>
    </row>
    <row r="32" spans="1:17" ht="30" customHeight="1" x14ac:dyDescent="0.2">
      <c r="A32" s="914"/>
      <c r="B32" s="932" t="s">
        <v>921</v>
      </c>
      <c r="C32" s="614"/>
      <c r="D32" s="614"/>
      <c r="E32" s="614"/>
      <c r="F32" s="614"/>
      <c r="G32" s="1218"/>
      <c r="H32" s="915"/>
      <c r="I32" s="1246"/>
      <c r="J32" s="1203"/>
      <c r="K32" s="1261"/>
      <c r="L32" s="915"/>
      <c r="M32" s="1246"/>
      <c r="N32" s="613"/>
      <c r="O32" s="613"/>
      <c r="P32" s="615"/>
      <c r="Q32" s="916"/>
    </row>
    <row r="33" spans="1:17" ht="15" customHeight="1" x14ac:dyDescent="0.2">
      <c r="A33" s="914"/>
      <c r="B33" s="934" t="s">
        <v>918</v>
      </c>
      <c r="C33" s="614"/>
      <c r="D33" s="614"/>
      <c r="E33" s="614"/>
      <c r="F33" s="614"/>
      <c r="G33" s="1218"/>
      <c r="H33" s="915"/>
      <c r="I33" s="1250">
        <v>0.5</v>
      </c>
      <c r="J33" s="1204">
        <v>0.5</v>
      </c>
      <c r="K33" s="1249">
        <v>1</v>
      </c>
      <c r="L33" s="915"/>
      <c r="M33" s="941" t="str">
        <f>IF(AND(ISNUMBER(C33),ISNUMBER(D33),ISNUMBER(I33)),SUM(C33:D33)*I33,"")</f>
        <v/>
      </c>
      <c r="N33" s="939" t="str">
        <f>IF(AND(ISNUMBER(E33),ISNUMBER(F33),ISNUMBER(J33)),SUM(E33:F33)*J33,"")</f>
        <v/>
      </c>
      <c r="O33" s="939" t="str">
        <f>IF(AND(ISNUMBER(G33),ISNUMBER(K33)),SUM(G33)*K33,"")</f>
        <v/>
      </c>
      <c r="P33" s="940" t="str">
        <f>IF(AND(ISNUMBER(M33),ISNUMBER(O33)),SUM(M33:O33),"")</f>
        <v/>
      </c>
      <c r="Q33" s="916"/>
    </row>
    <row r="34" spans="1:17" ht="15" customHeight="1" x14ac:dyDescent="0.2">
      <c r="A34" s="914"/>
      <c r="B34" s="934" t="s">
        <v>919</v>
      </c>
      <c r="C34" s="614"/>
      <c r="D34" s="614"/>
      <c r="E34" s="614"/>
      <c r="F34" s="614"/>
      <c r="G34" s="1218"/>
      <c r="H34" s="915"/>
      <c r="I34" s="1250">
        <v>0</v>
      </c>
      <c r="J34" s="1204">
        <v>0.5</v>
      </c>
      <c r="K34" s="1249">
        <v>1</v>
      </c>
      <c r="L34" s="915"/>
      <c r="M34" s="941" t="str">
        <f t="shared" ref="M34" si="27">IF(AND(ISNUMBER(C34),ISNUMBER(D34),ISNUMBER(I34)),SUM(C34:D34)*I34,"")</f>
        <v/>
      </c>
      <c r="N34" s="939" t="str">
        <f t="shared" ref="N34" si="28">IF(AND(ISNUMBER(E34),ISNUMBER(F34),ISNUMBER(J34)),SUM(E34:F34)*J34,"")</f>
        <v/>
      </c>
      <c r="O34" s="939" t="str">
        <f t="shared" ref="O34" si="29">IF(AND(ISNUMBER(G34),ISNUMBER(K34)),SUM(G34)*K34,"")</f>
        <v/>
      </c>
      <c r="P34" s="940" t="str">
        <f t="shared" ref="P34" si="30">IF(AND(ISNUMBER(M34),ISNUMBER(O34)),SUM(M34:O34),"")</f>
        <v/>
      </c>
      <c r="Q34" s="916"/>
    </row>
    <row r="35" spans="1:17" ht="15" customHeight="1" x14ac:dyDescent="0.2">
      <c r="A35" s="914"/>
      <c r="B35" s="1194" t="s">
        <v>1010</v>
      </c>
      <c r="C35" s="1195"/>
      <c r="D35" s="1195"/>
      <c r="E35" s="1195"/>
      <c r="F35" s="1195"/>
      <c r="G35" s="1218"/>
      <c r="H35" s="915"/>
      <c r="I35" s="1250">
        <v>0</v>
      </c>
      <c r="J35" s="1204">
        <v>0.5</v>
      </c>
      <c r="K35" s="1249">
        <v>1</v>
      </c>
      <c r="L35" s="915"/>
      <c r="M35" s="941" t="str">
        <f t="shared" ref="M35" si="31">IF(AND(ISNUMBER(C35),ISNUMBER(D35),ISNUMBER(I35)),SUM(C35:D35)*I35,"")</f>
        <v/>
      </c>
      <c r="N35" s="939" t="str">
        <f t="shared" ref="N35" si="32">IF(AND(ISNUMBER(E35),ISNUMBER(F35),ISNUMBER(J35)),SUM(E35:F35)*J35,"")</f>
        <v/>
      </c>
      <c r="O35" s="939" t="str">
        <f t="shared" ref="O35" si="33">IF(AND(ISNUMBER(G35),ISNUMBER(K35)),SUM(G35)*K35,"")</f>
        <v/>
      </c>
      <c r="P35" s="940" t="str">
        <f t="shared" ref="P35" si="34">IF(AND(ISNUMBER(M35),ISNUMBER(O35)),SUM(M35:O35),"")</f>
        <v/>
      </c>
      <c r="Q35" s="916"/>
    </row>
    <row r="36" spans="1:17" ht="15" customHeight="1" x14ac:dyDescent="0.2">
      <c r="A36" s="914"/>
      <c r="B36" s="933" t="str">
        <f>CONCATENATE("Check: row ", ROW(B32), " ≥ LCR unsecured funding from other legal entities")</f>
        <v>Check: row 32 ≥ LCR unsecured funding from other legal entities</v>
      </c>
      <c r="C36" s="927" t="str">
        <f>IF(C32&gt;=SUM(LCR!D148:D150,LCR!D152:D154,LCR!D163:D164),"Pass","Fail")</f>
        <v>Pass</v>
      </c>
      <c r="D36" s="613"/>
      <c r="E36" s="613"/>
      <c r="F36" s="613"/>
      <c r="G36" s="1261"/>
      <c r="H36" s="915"/>
      <c r="I36" s="1246"/>
      <c r="J36" s="613"/>
      <c r="K36" s="1261"/>
      <c r="L36" s="915"/>
      <c r="M36" s="1246"/>
      <c r="N36" s="613"/>
      <c r="O36" s="613"/>
      <c r="P36" s="615"/>
      <c r="Q36" s="916"/>
    </row>
    <row r="37" spans="1:17" ht="15" customHeight="1" x14ac:dyDescent="0.2">
      <c r="A37" s="914"/>
      <c r="B37" s="933" t="str">
        <f>CONCATENATE("Check: row ", ROW(B33), " ≥ LCR operational deposits from other legal entities")</f>
        <v>Check: row 33 ≥ LCR operational deposits from other legal entities</v>
      </c>
      <c r="C37" s="927" t="str">
        <f>IF(C33&gt;=SUM(LCR!D148:D150,LCR!D152:D154),"Pass","Fail")</f>
        <v>Pass</v>
      </c>
      <c r="D37" s="613"/>
      <c r="E37" s="613"/>
      <c r="F37" s="613"/>
      <c r="G37" s="1261"/>
      <c r="H37" s="915"/>
      <c r="I37" s="1246"/>
      <c r="J37" s="613"/>
      <c r="K37" s="1261"/>
      <c r="L37" s="915"/>
      <c r="M37" s="1246"/>
      <c r="N37" s="613"/>
      <c r="O37" s="613"/>
      <c r="P37" s="615"/>
      <c r="Q37" s="916"/>
    </row>
    <row r="38" spans="1:17" ht="15" customHeight="1" x14ac:dyDescent="0.2">
      <c r="A38" s="914"/>
      <c r="B38" s="933" t="str">
        <f>CONCATENATE("Check: sum of row ", ROW(B33)," to row ", ROW(B35), " = row ", ROW(B32), " for each column")</f>
        <v>Check: sum of row 33 to row 35 = row 32 for each column</v>
      </c>
      <c r="C38" s="927" t="str">
        <f>IF(SUM(C33:C35)=C32,"Pass","Fail")</f>
        <v>Pass</v>
      </c>
      <c r="D38" s="927" t="str">
        <f t="shared" ref="D38:G38" si="35">IF(SUM(D33:D35)=D32,"Pass","Fail")</f>
        <v>Pass</v>
      </c>
      <c r="E38" s="927" t="str">
        <f t="shared" si="35"/>
        <v>Pass</v>
      </c>
      <c r="F38" s="927" t="str">
        <f t="shared" si="35"/>
        <v>Pass</v>
      </c>
      <c r="G38" s="927" t="str">
        <f t="shared" si="35"/>
        <v>Pass</v>
      </c>
      <c r="H38" s="915"/>
      <c r="I38" s="1246"/>
      <c r="J38" s="613"/>
      <c r="K38" s="1261"/>
      <c r="L38" s="915"/>
      <c r="M38" s="1246"/>
      <c r="N38" s="613"/>
      <c r="O38" s="613"/>
      <c r="P38" s="615"/>
      <c r="Q38" s="916"/>
    </row>
    <row r="39" spans="1:17" ht="30" customHeight="1" x14ac:dyDescent="0.2">
      <c r="A39" s="914"/>
      <c r="B39" s="932" t="s">
        <v>922</v>
      </c>
      <c r="C39" s="614"/>
      <c r="D39" s="614"/>
      <c r="E39" s="614"/>
      <c r="F39" s="614"/>
      <c r="G39" s="1218"/>
      <c r="H39" s="915"/>
      <c r="I39" s="1208" t="s">
        <v>1013</v>
      </c>
      <c r="J39" s="1208" t="s">
        <v>1013</v>
      </c>
      <c r="K39" s="1249">
        <v>1</v>
      </c>
      <c r="L39" s="915"/>
      <c r="M39" s="1246"/>
      <c r="N39" s="613"/>
      <c r="O39" s="939" t="str">
        <f>IF(AND(ISNUMBER(G39),ISNUMBER(K39)),SUM(G39)*K39,"")</f>
        <v/>
      </c>
      <c r="P39" s="940" t="str">
        <f>IF(ISNUMBER(O39),SUM(O39),"")</f>
        <v/>
      </c>
      <c r="Q39" s="916"/>
    </row>
    <row r="40" spans="1:17" ht="30" customHeight="1" x14ac:dyDescent="0.2">
      <c r="A40" s="914"/>
      <c r="B40" s="933" t="str">
        <f>CONCATENATE("Check: row ", ROW(B39), " ≥ LCR unsecured funding from members of the institutional networks of cooperative banks")</f>
        <v>Check: row 39 ≥ LCR unsecured funding from members of the institutional networks of cooperative banks</v>
      </c>
      <c r="C40" s="927" t="str">
        <f>IF(C39&gt;=SUM(LCR!D162),"Pass","Fail")</f>
        <v>Pass</v>
      </c>
      <c r="D40" s="613"/>
      <c r="E40" s="613"/>
      <c r="F40" s="613"/>
      <c r="G40" s="1261"/>
      <c r="H40" s="915"/>
      <c r="I40" s="1246"/>
      <c r="J40" s="1206"/>
      <c r="K40" s="1261"/>
      <c r="L40" s="915"/>
      <c r="M40" s="1246"/>
      <c r="N40" s="613"/>
      <c r="O40" s="613"/>
      <c r="P40" s="615"/>
      <c r="Q40" s="916"/>
    </row>
    <row r="41" spans="1:17" ht="15" customHeight="1" x14ac:dyDescent="0.2">
      <c r="A41" s="914"/>
      <c r="B41" s="932" t="s">
        <v>923</v>
      </c>
      <c r="C41" s="614"/>
      <c r="D41" s="614"/>
      <c r="E41" s="614"/>
      <c r="F41" s="614"/>
      <c r="G41" s="1218"/>
      <c r="H41" s="915"/>
      <c r="I41" s="1250">
        <v>0</v>
      </c>
      <c r="J41" s="1207">
        <v>0.5</v>
      </c>
      <c r="K41" s="1249">
        <v>1</v>
      </c>
      <c r="L41" s="915"/>
      <c r="M41" s="941" t="str">
        <f>IF(AND(ISNUMBER(C41),ISNUMBER(D41),ISNUMBER(I41)),SUM(C41:D41)*I41,"")</f>
        <v/>
      </c>
      <c r="N41" s="939" t="str">
        <f>IF(AND(ISNUMBER(E41),ISNUMBER(F41),ISNUMBER(J41)),SUM(E41:F41)*J41,"")</f>
        <v/>
      </c>
      <c r="O41" s="939" t="str">
        <f>IF(AND(ISNUMBER(G41),ISNUMBER(K41)),SUM(G41)*K41,"")</f>
        <v/>
      </c>
      <c r="P41" s="940" t="str">
        <f>IF(AND(ISNUMBER(M41),ISNUMBER(O41)),SUM(M41:O41),"")</f>
        <v/>
      </c>
      <c r="Q41" s="916"/>
    </row>
    <row r="42" spans="1:17" ht="15" customHeight="1" x14ac:dyDescent="0.2">
      <c r="A42" s="914"/>
      <c r="B42" s="932" t="s">
        <v>924</v>
      </c>
      <c r="C42" s="613"/>
      <c r="D42" s="613"/>
      <c r="E42" s="613"/>
      <c r="F42" s="613"/>
      <c r="G42" s="1261"/>
      <c r="H42" s="915"/>
      <c r="I42" s="1246"/>
      <c r="J42" s="1206"/>
      <c r="K42" s="1261"/>
      <c r="L42" s="915"/>
      <c r="M42" s="1246"/>
      <c r="N42" s="613"/>
      <c r="O42" s="613"/>
      <c r="P42" s="615"/>
      <c r="Q42" s="916"/>
    </row>
    <row r="43" spans="1:17" ht="15" customHeight="1" x14ac:dyDescent="0.2">
      <c r="A43" s="914"/>
      <c r="B43" s="934" t="s">
        <v>925</v>
      </c>
      <c r="C43" s="614"/>
      <c r="D43" s="614"/>
      <c r="E43" s="614"/>
      <c r="F43" s="614"/>
      <c r="G43" s="1218"/>
      <c r="H43" s="915"/>
      <c r="I43" s="1250">
        <v>0</v>
      </c>
      <c r="J43" s="1207">
        <v>0.5</v>
      </c>
      <c r="K43" s="1249">
        <v>1</v>
      </c>
      <c r="L43" s="915"/>
      <c r="M43" s="941" t="str">
        <f t="shared" ref="M43:M47" si="36">IF(AND(ISNUMBER(C43),ISNUMBER(D43),ISNUMBER(I43)),SUM(C43:D43)*I43,"")</f>
        <v/>
      </c>
      <c r="N43" s="939" t="str">
        <f>IF(AND(ISNUMBER(E43),ISNUMBER(F43),ISNUMBER(J43)),SUM(E43:F43)*J43,"")</f>
        <v/>
      </c>
      <c r="O43" s="939" t="str">
        <f>IF(AND(ISNUMBER(G43),ISNUMBER(K43)),SUM(G43)*K43,"")</f>
        <v/>
      </c>
      <c r="P43" s="940" t="str">
        <f>IF(AND(ISNUMBER(M43),ISNUMBER(O43)),SUM(M43:O43),"")</f>
        <v/>
      </c>
      <c r="Q43" s="916"/>
    </row>
    <row r="44" spans="1:17" ht="15" customHeight="1" x14ac:dyDescent="0.2">
      <c r="A44" s="914"/>
      <c r="B44" s="934" t="s">
        <v>44</v>
      </c>
      <c r="C44" s="614"/>
      <c r="D44" s="614"/>
      <c r="E44" s="614"/>
      <c r="F44" s="614"/>
      <c r="G44" s="1218"/>
      <c r="H44" s="915"/>
      <c r="I44" s="1250">
        <v>0.5</v>
      </c>
      <c r="J44" s="1207">
        <v>0.5</v>
      </c>
      <c r="K44" s="1249">
        <v>1</v>
      </c>
      <c r="L44" s="915"/>
      <c r="M44" s="941" t="str">
        <f t="shared" si="36"/>
        <v/>
      </c>
      <c r="N44" s="939" t="str">
        <f>IF(AND(ISNUMBER(E44),ISNUMBER(F44),ISNUMBER(J44)),SUM(E44:F44)*J44,"")</f>
        <v/>
      </c>
      <c r="O44" s="939" t="str">
        <f>IF(AND(ISNUMBER(G44),ISNUMBER(K44)),SUM(G44)*K44,"")</f>
        <v/>
      </c>
      <c r="P44" s="940" t="str">
        <f>IF(AND(ISNUMBER(M44),ISNUMBER(O44)),SUM(M44:O44),"")</f>
        <v/>
      </c>
      <c r="Q44" s="916"/>
    </row>
    <row r="45" spans="1:17" ht="15" customHeight="1" x14ac:dyDescent="0.2">
      <c r="A45" s="914"/>
      <c r="B45" s="934" t="s">
        <v>415</v>
      </c>
      <c r="C45" s="614"/>
      <c r="D45" s="614"/>
      <c r="E45" s="614"/>
      <c r="F45" s="614"/>
      <c r="G45" s="1218"/>
      <c r="H45" s="915"/>
      <c r="I45" s="1250">
        <v>0</v>
      </c>
      <c r="J45" s="1207">
        <v>0.5</v>
      </c>
      <c r="K45" s="1249">
        <v>1</v>
      </c>
      <c r="L45" s="915"/>
      <c r="M45" s="941" t="str">
        <f t="shared" si="36"/>
        <v/>
      </c>
      <c r="N45" s="939" t="str">
        <f>IF(AND(ISNUMBER(E45),ISNUMBER(F45),ISNUMBER(J45)),SUM(E45:F45)*J45,"")</f>
        <v/>
      </c>
      <c r="O45" s="939" t="str">
        <f>IF(AND(ISNUMBER(G45),ISNUMBER(K45)),SUM(G45)*K45,"")</f>
        <v/>
      </c>
      <c r="P45" s="940" t="str">
        <f>IF(AND(ISNUMBER(M45),ISNUMBER(O45)),SUM(M45:O45),"")</f>
        <v/>
      </c>
      <c r="Q45" s="916"/>
    </row>
    <row r="46" spans="1:17" ht="15" customHeight="1" x14ac:dyDescent="0.2">
      <c r="A46" s="914"/>
      <c r="B46" s="1198" t="s">
        <v>1012</v>
      </c>
      <c r="C46" s="614"/>
      <c r="D46" s="614"/>
      <c r="E46" s="614"/>
      <c r="F46" s="614"/>
      <c r="G46" s="1218"/>
      <c r="H46" s="915"/>
      <c r="I46" s="1250">
        <v>0.5</v>
      </c>
      <c r="J46" s="1207">
        <v>0.5</v>
      </c>
      <c r="K46" s="1249">
        <v>1</v>
      </c>
      <c r="L46" s="915"/>
      <c r="M46" s="941" t="str">
        <f t="shared" si="36"/>
        <v/>
      </c>
      <c r="N46" s="939" t="str">
        <f>IF(AND(ISNUMBER(E46),ISNUMBER(F46),ISNUMBER(J46)),SUM(E46:F46)*J46,"")</f>
        <v/>
      </c>
      <c r="O46" s="939" t="str">
        <f>IF(AND(ISNUMBER(G46),ISNUMBER(K46)),SUM(G46)*K46,"")</f>
        <v/>
      </c>
      <c r="P46" s="940" t="str">
        <f>IF(AND(ISNUMBER(M46),ISNUMBER(O46)),SUM(M46:O46),"")</f>
        <v/>
      </c>
      <c r="Q46" s="916"/>
    </row>
    <row r="47" spans="1:17" ht="15" customHeight="1" x14ac:dyDescent="0.2">
      <c r="A47" s="914"/>
      <c r="B47" s="934" t="s">
        <v>926</v>
      </c>
      <c r="C47" s="614"/>
      <c r="D47" s="614"/>
      <c r="E47" s="614"/>
      <c r="F47" s="614"/>
      <c r="G47" s="1218"/>
      <c r="H47" s="915"/>
      <c r="I47" s="1250">
        <v>0</v>
      </c>
      <c r="J47" s="1207">
        <v>0.5</v>
      </c>
      <c r="K47" s="1249">
        <v>1</v>
      </c>
      <c r="L47" s="915"/>
      <c r="M47" s="941" t="str">
        <f t="shared" si="36"/>
        <v/>
      </c>
      <c r="N47" s="939" t="str">
        <f>IF(AND(ISNUMBER(E47),ISNUMBER(F47),ISNUMBER(J47)),SUM(E47:F47)*J47,"")</f>
        <v/>
      </c>
      <c r="O47" s="939" t="str">
        <f>IF(AND(ISNUMBER(G47),ISNUMBER(K47)),SUM(G47)*K47,"")</f>
        <v/>
      </c>
      <c r="P47" s="940" t="str">
        <f>IF(AND(ISNUMBER(M47),ISNUMBER(O47)),SUM(M47:O47),"")</f>
        <v/>
      </c>
      <c r="Q47" s="916"/>
    </row>
    <row r="48" spans="1:17" ht="15" customHeight="1" x14ac:dyDescent="0.2">
      <c r="A48" s="914"/>
      <c r="B48" s="932" t="s">
        <v>927</v>
      </c>
      <c r="C48" s="613"/>
      <c r="D48" s="613"/>
      <c r="E48" s="613"/>
      <c r="F48" s="613"/>
      <c r="G48" s="1218"/>
      <c r="H48" s="915"/>
      <c r="I48" s="1246"/>
      <c r="J48" s="1206"/>
      <c r="K48" s="1249">
        <v>0</v>
      </c>
      <c r="L48" s="915"/>
      <c r="M48" s="1246"/>
      <c r="N48" s="613"/>
      <c r="O48" s="939" t="str">
        <f>IF(AND(ISNUMBER(G48),ISNUMBER(G257),ISNUMBER(K48)),MAX((G48-G257),0)*K48,"")</f>
        <v/>
      </c>
      <c r="P48" s="940" t="str">
        <f>IF(ISNUMBER(O48),SUM(O48),"")</f>
        <v/>
      </c>
      <c r="Q48" s="916"/>
    </row>
    <row r="49" spans="1:18" ht="15" customHeight="1" x14ac:dyDescent="0.2">
      <c r="A49" s="914"/>
      <c r="B49" s="932" t="s">
        <v>928</v>
      </c>
      <c r="C49" s="613"/>
      <c r="D49" s="613"/>
      <c r="E49" s="613"/>
      <c r="F49" s="613"/>
      <c r="G49" s="1261"/>
      <c r="H49" s="915"/>
      <c r="I49" s="1246"/>
      <c r="J49" s="1206"/>
      <c r="K49" s="1261"/>
      <c r="L49" s="915"/>
      <c r="M49" s="1246"/>
      <c r="N49" s="613"/>
      <c r="O49" s="613"/>
      <c r="P49" s="615"/>
      <c r="Q49" s="916"/>
    </row>
    <row r="50" spans="1:18" ht="15" customHeight="1" x14ac:dyDescent="0.2">
      <c r="A50" s="914"/>
      <c r="B50" s="261" t="s">
        <v>978</v>
      </c>
      <c r="C50" s="614"/>
      <c r="D50" s="614"/>
      <c r="E50" s="614"/>
      <c r="F50" s="614"/>
      <c r="G50" s="1218"/>
      <c r="H50" s="915"/>
      <c r="I50" s="1250">
        <v>0</v>
      </c>
      <c r="J50" s="1207">
        <v>0.5</v>
      </c>
      <c r="K50" s="1249">
        <v>1</v>
      </c>
      <c r="L50" s="915"/>
      <c r="M50" s="941" t="str">
        <f t="shared" ref="M50:M51" si="37">IF(AND(ISNUMBER(C50),ISNUMBER(D50),ISNUMBER(I50)),SUM(C50:D50)*I50,"")</f>
        <v/>
      </c>
      <c r="N50" s="939" t="str">
        <f>IF(AND(ISNUMBER(E50),ISNUMBER(F50),ISNUMBER(J50)),SUM(E50:F50)*J50,"")</f>
        <v/>
      </c>
      <c r="O50" s="939" t="str">
        <f>IF(AND(ISNUMBER(G50),ISNUMBER(K50)),SUM(G50)*K50,"")</f>
        <v/>
      </c>
      <c r="P50" s="940" t="str">
        <f>IF(AND(ISNUMBER(M50),ISNUMBER(O50)),SUM(M50:O50),"")</f>
        <v/>
      </c>
      <c r="Q50" s="916"/>
    </row>
    <row r="51" spans="1:18" ht="15" customHeight="1" x14ac:dyDescent="0.2">
      <c r="A51" s="914"/>
      <c r="B51" s="261" t="s">
        <v>979</v>
      </c>
      <c r="C51" s="614"/>
      <c r="D51" s="614"/>
      <c r="E51" s="614"/>
      <c r="F51" s="614"/>
      <c r="G51" s="1218"/>
      <c r="H51" s="915"/>
      <c r="I51" s="1250">
        <v>0</v>
      </c>
      <c r="J51" s="1207">
        <v>0.5</v>
      </c>
      <c r="K51" s="1249">
        <v>1</v>
      </c>
      <c r="L51" s="915"/>
      <c r="M51" s="941" t="str">
        <f t="shared" si="37"/>
        <v/>
      </c>
      <c r="N51" s="939" t="str">
        <f>IF(AND(ISNUMBER(E51),ISNUMBER(F51),ISNUMBER(J51)),SUM(E51:F51)*J51,"")</f>
        <v/>
      </c>
      <c r="O51" s="939" t="str">
        <f>IF(AND(ISNUMBER(G51),ISNUMBER(K51)),SUM(G51)*K51,"")</f>
        <v/>
      </c>
      <c r="P51" s="940" t="str">
        <f>IF(AND(ISNUMBER(M51),ISNUMBER(O51)),SUM(M51:O51),"")</f>
        <v/>
      </c>
      <c r="Q51" s="916"/>
    </row>
    <row r="52" spans="1:18" ht="15" customHeight="1" x14ac:dyDescent="0.2">
      <c r="A52" s="914"/>
      <c r="B52" s="261" t="s">
        <v>961</v>
      </c>
      <c r="C52" s="614"/>
      <c r="D52" s="614"/>
      <c r="E52" s="614"/>
      <c r="F52" s="614"/>
      <c r="G52" s="1218"/>
      <c r="H52" s="915"/>
      <c r="I52" s="1250">
        <v>0</v>
      </c>
      <c r="J52" s="1207">
        <v>0.5</v>
      </c>
      <c r="K52" s="1249">
        <v>1</v>
      </c>
      <c r="L52" s="915"/>
      <c r="M52" s="941" t="str">
        <f>IF(AND(ISNUMBER(C52),ISNUMBER(D52),ISNUMBER(I52)),SUM(C52:D52)*I52,"")</f>
        <v/>
      </c>
      <c r="N52" s="939" t="str">
        <f>IF(AND(ISNUMBER(E52),ISNUMBER(F52),ISNUMBER(J52)),SUM(E52:F52)*J52,"")</f>
        <v/>
      </c>
      <c r="O52" s="939" t="str">
        <f>IF(AND(ISNUMBER(G52),ISNUMBER(K52)),SUM(G52)*K52,"")</f>
        <v/>
      </c>
      <c r="P52" s="940" t="str">
        <f>IF(AND(ISNUMBER(M52),ISNUMBER(O52)),SUM(M52:O52),"")</f>
        <v/>
      </c>
      <c r="Q52" s="916"/>
    </row>
    <row r="53" spans="1:18" ht="30" customHeight="1" x14ac:dyDescent="0.2">
      <c r="A53" s="914"/>
      <c r="B53" s="1200" t="str">
        <f>CONCATENATE("Check: balances of all other liabilties and equity categories in row ",ROW(C52)," with maturities less than one year are greater than zero")</f>
        <v>Check: balances of all other liabilties and equity categories in row 52 with maturities less than one year are greater than zero</v>
      </c>
      <c r="C53" s="927" t="str">
        <f>IF(SUM(C52:F52)&gt;0,"Pass","Fail")</f>
        <v>Fail</v>
      </c>
      <c r="D53" s="1199"/>
      <c r="E53" s="1199"/>
      <c r="F53" s="1199"/>
      <c r="G53" s="1261"/>
      <c r="H53" s="915"/>
      <c r="I53" s="1246"/>
      <c r="J53" s="1199"/>
      <c r="K53" s="1261"/>
      <c r="L53" s="915"/>
      <c r="M53" s="1227"/>
      <c r="N53" s="1201"/>
      <c r="O53" s="1201"/>
      <c r="P53" s="960"/>
      <c r="Q53" s="916"/>
    </row>
    <row r="54" spans="1:18" ht="15" customHeight="1" x14ac:dyDescent="0.2">
      <c r="A54" s="914"/>
      <c r="B54" s="930"/>
      <c r="C54" s="930"/>
      <c r="D54" s="930"/>
      <c r="E54" s="930"/>
      <c r="F54" s="930"/>
      <c r="G54" s="930"/>
      <c r="H54" s="915"/>
      <c r="I54" s="935"/>
      <c r="J54" s="935"/>
      <c r="K54" s="935"/>
      <c r="L54" s="915"/>
      <c r="M54" s="957" t="s">
        <v>929</v>
      </c>
      <c r="N54" s="957"/>
      <c r="O54" s="957"/>
      <c r="P54" s="954" t="str">
        <f>IF(AND(ISNUMBER(P6),ISNUMBER(P8),ISNUMBER(P9),ISNUMBER(P11),ISNUMBER(P14),ISNUMBER(P15),ISNUMBER(P16),ISNUMBER(P21),ISNUMBER(P22),ISNUMBER(P23),ISNUMBER(P26),ISNUMBER(P27),ISNUMBER(P28),ISNUMBER(P33),ISNUMBER(P34),ISNUMBER(P35),ISNUMBER(P39),ISNUMBER(P41),ISNUMBER(P43),ISNUMBER(P44),ISNUMBER(P45),ISNUMBER(P46),ISNUMBER(P47),ISNUMBER(P48),ISNUMBER(P50),ISNUMBER(P51),ISNUMBER(P52)),SUM(P6:P52,M290:N295,M299:N303,M305:N305),"")</f>
        <v/>
      </c>
      <c r="Q54" s="916"/>
    </row>
    <row r="55" spans="1:18" ht="15" customHeight="1" x14ac:dyDescent="0.2">
      <c r="A55" s="914"/>
      <c r="B55" s="915"/>
      <c r="C55" s="915"/>
      <c r="D55" s="915"/>
      <c r="E55" s="915"/>
      <c r="F55" s="915"/>
      <c r="G55" s="915"/>
      <c r="H55" s="915"/>
      <c r="I55" s="915"/>
      <c r="J55" s="915"/>
      <c r="K55" s="915"/>
      <c r="L55" s="915"/>
      <c r="M55" s="915"/>
      <c r="N55" s="915"/>
      <c r="O55" s="915"/>
      <c r="P55" s="915"/>
      <c r="Q55" s="916"/>
    </row>
    <row r="56" spans="1:18" s="117" customFormat="1" ht="30" customHeight="1" x14ac:dyDescent="0.25">
      <c r="A56" s="1479" t="s">
        <v>930</v>
      </c>
      <c r="B56" s="115"/>
      <c r="C56" s="115"/>
      <c r="D56" s="115"/>
      <c r="E56" s="115"/>
      <c r="F56" s="115"/>
      <c r="G56" s="115"/>
      <c r="H56" s="115"/>
      <c r="I56" s="152"/>
      <c r="J56" s="152"/>
      <c r="K56" s="115"/>
      <c r="L56" s="920"/>
      <c r="M56" s="920"/>
      <c r="N56" s="920"/>
      <c r="O56" s="920"/>
      <c r="P56" s="920"/>
      <c r="Q56" s="921"/>
      <c r="R56" s="1295"/>
    </row>
    <row r="57" spans="1:18" s="114" customFormat="1" ht="30" customHeight="1" x14ac:dyDescent="0.25">
      <c r="A57" s="20" t="s">
        <v>931</v>
      </c>
      <c r="B57" s="49"/>
      <c r="C57" s="118"/>
      <c r="D57" s="118"/>
      <c r="E57" s="119"/>
      <c r="F57" s="120"/>
      <c r="G57" s="120"/>
      <c r="H57" s="120"/>
      <c r="I57" s="120"/>
      <c r="J57" s="120"/>
      <c r="K57" s="9"/>
      <c r="L57" s="222"/>
      <c r="M57" s="120"/>
      <c r="N57" s="120"/>
      <c r="O57" s="120"/>
      <c r="P57" s="120"/>
      <c r="Q57" s="213"/>
      <c r="R57" s="1296"/>
    </row>
    <row r="58" spans="1:18" ht="15" customHeight="1" x14ac:dyDescent="0.2">
      <c r="A58" s="914"/>
      <c r="B58" s="915"/>
      <c r="C58" s="915"/>
      <c r="D58" s="915"/>
      <c r="E58" s="915"/>
      <c r="F58" s="915"/>
      <c r="G58" s="915"/>
      <c r="H58" s="915"/>
      <c r="I58" s="915"/>
      <c r="J58" s="915"/>
      <c r="K58" s="915"/>
      <c r="L58" s="915"/>
      <c r="M58" s="915"/>
      <c r="N58" s="915"/>
      <c r="O58" s="915"/>
      <c r="P58" s="915"/>
      <c r="Q58" s="916"/>
    </row>
    <row r="59" spans="1:18" ht="15" customHeight="1" x14ac:dyDescent="0.2">
      <c r="A59" s="914"/>
      <c r="B59" s="1686"/>
      <c r="C59" s="1683" t="s">
        <v>536</v>
      </c>
      <c r="D59" s="1684"/>
      <c r="E59" s="1684"/>
      <c r="F59" s="1684"/>
      <c r="G59" s="1685"/>
      <c r="H59" s="915"/>
      <c r="I59" s="1679" t="s">
        <v>967</v>
      </c>
      <c r="J59" s="1688" t="s">
        <v>932</v>
      </c>
      <c r="K59" s="1677" t="s">
        <v>933</v>
      </c>
      <c r="L59" s="915"/>
      <c r="M59" s="1678" t="s">
        <v>968</v>
      </c>
      <c r="N59" s="1678" t="s">
        <v>934</v>
      </c>
      <c r="O59" s="1678" t="s">
        <v>935</v>
      </c>
      <c r="P59" s="1678" t="s">
        <v>936</v>
      </c>
      <c r="Q59" s="916"/>
    </row>
    <row r="60" spans="1:18" ht="51" x14ac:dyDescent="0.2">
      <c r="A60" s="914"/>
      <c r="B60" s="1691"/>
      <c r="C60" s="926" t="s">
        <v>138</v>
      </c>
      <c r="D60" s="922" t="s">
        <v>609</v>
      </c>
      <c r="E60" s="922" t="s">
        <v>610</v>
      </c>
      <c r="F60" s="922" t="s">
        <v>611</v>
      </c>
      <c r="G60" s="924" t="s">
        <v>612</v>
      </c>
      <c r="H60" s="915"/>
      <c r="I60" s="913" t="s">
        <v>965</v>
      </c>
      <c r="J60" s="1209" t="s">
        <v>1008</v>
      </c>
      <c r="K60" s="330" t="s">
        <v>966</v>
      </c>
      <c r="L60" s="915"/>
      <c r="M60" s="926" t="s">
        <v>965</v>
      </c>
      <c r="N60" s="1235" t="s">
        <v>1008</v>
      </c>
      <c r="O60" s="922" t="s">
        <v>966</v>
      </c>
      <c r="P60" s="330" t="s">
        <v>955</v>
      </c>
      <c r="Q60" s="916"/>
    </row>
    <row r="61" spans="1:18" ht="15" customHeight="1" x14ac:dyDescent="0.2">
      <c r="A61" s="914"/>
      <c r="B61" s="1304" t="s">
        <v>646</v>
      </c>
      <c r="C61" s="1308"/>
      <c r="D61" s="613"/>
      <c r="E61" s="613"/>
      <c r="F61" s="613"/>
      <c r="G61" s="615"/>
      <c r="H61" s="915"/>
      <c r="I61" s="1250">
        <v>0</v>
      </c>
      <c r="J61" s="1231"/>
      <c r="K61" s="1232"/>
      <c r="L61" s="915"/>
      <c r="M61" s="1314" t="str">
        <f>IF(ISNUMBER(C61),C61*I61,"")</f>
        <v/>
      </c>
      <c r="N61" s="943"/>
      <c r="O61" s="946"/>
      <c r="P61" s="940" t="str">
        <f>M61</f>
        <v/>
      </c>
      <c r="Q61" s="916"/>
      <c r="R61" s="1293">
        <f>IF(ISNUMBER(P61),1,0)</f>
        <v>0</v>
      </c>
    </row>
    <row r="62" spans="1:18" ht="15" customHeight="1" x14ac:dyDescent="0.2">
      <c r="A62" s="914"/>
      <c r="B62" s="1304" t="s">
        <v>937</v>
      </c>
      <c r="C62" s="1309"/>
      <c r="D62" s="614"/>
      <c r="E62" s="614"/>
      <c r="F62" s="614"/>
      <c r="G62" s="928"/>
      <c r="H62" s="915"/>
      <c r="I62" s="1250">
        <v>0</v>
      </c>
      <c r="J62" s="1250">
        <v>0</v>
      </c>
      <c r="K62" s="1249">
        <v>0</v>
      </c>
      <c r="L62" s="915"/>
      <c r="M62" s="941" t="str">
        <f>IF(AND(ISNUMBER(C62),ISNUMBER(D62),ISNUMBER(I62)),SUM(C62:D62)*I62,"")</f>
        <v/>
      </c>
      <c r="N62" s="941" t="str">
        <f>IF(AND(ISNUMBER(E62),ISNUMBER(F62),ISNUMBER(J62)),SUM(E62:F62)*J62,"")</f>
        <v/>
      </c>
      <c r="O62" s="941" t="str">
        <f>IF(AND(ISNUMBER(G62),ISNUMBER(K62)),G62*K62,"")</f>
        <v/>
      </c>
      <c r="P62" s="940" t="str">
        <f>IF(AND(ISNUMBER(M62),ISNUMBER(O62)),SUM(M62:O62),"")</f>
        <v/>
      </c>
      <c r="Q62" s="916"/>
      <c r="R62" s="1293">
        <f>IF(ISNUMBER(P62),1,0)</f>
        <v>0</v>
      </c>
    </row>
    <row r="63" spans="1:18" ht="15" customHeight="1" x14ac:dyDescent="0.2">
      <c r="A63" s="914"/>
      <c r="B63" s="1304" t="s">
        <v>938</v>
      </c>
      <c r="C63" s="1309"/>
      <c r="D63" s="614"/>
      <c r="E63" s="614"/>
      <c r="F63" s="614"/>
      <c r="G63" s="928"/>
      <c r="H63" s="915"/>
      <c r="I63" s="1227"/>
      <c r="J63" s="1225"/>
      <c r="K63" s="1226"/>
      <c r="L63" s="915"/>
      <c r="M63" s="1227"/>
      <c r="N63" s="943"/>
      <c r="O63" s="946"/>
      <c r="P63" s="946"/>
      <c r="Q63" s="916"/>
    </row>
    <row r="64" spans="1:18" ht="15" customHeight="1" x14ac:dyDescent="0.2">
      <c r="A64" s="914"/>
      <c r="B64" s="1305" t="str">
        <f>CONCATENATE("Check: row ", ROW(B62), " ≥ LCR total central bank reserves")</f>
        <v>Check: row 62 ≥ LCR total central bank reserves</v>
      </c>
      <c r="C64" s="1310" t="str">
        <f>IF(C62&gt;=LCR!D7,"Pass","Fail")</f>
        <v>Pass</v>
      </c>
      <c r="D64" s="613"/>
      <c r="E64" s="613"/>
      <c r="F64" s="613"/>
      <c r="G64" s="615"/>
      <c r="H64" s="915"/>
      <c r="I64" s="1227"/>
      <c r="J64" s="1225"/>
      <c r="K64" s="1226"/>
      <c r="L64" s="915"/>
      <c r="M64" s="1227"/>
      <c r="N64" s="943"/>
      <c r="O64" s="946"/>
      <c r="P64" s="946"/>
      <c r="Q64" s="916"/>
    </row>
    <row r="65" spans="1:18" ht="15" customHeight="1" x14ac:dyDescent="0.2">
      <c r="A65" s="914"/>
      <c r="B65" s="1305" t="str">
        <f>CONCATENATE("Check: row ", ROW(B63), " ≥ LCR central bank reserves that can be drawn down in times of stress")</f>
        <v>Check: row 63 ≥ LCR central bank reserves that can be drawn down in times of stress</v>
      </c>
      <c r="C65" s="1310" t="str">
        <f>IF(C63&gt;=LCR!D8,"Pass","Fail")</f>
        <v>Pass</v>
      </c>
      <c r="D65" s="613"/>
      <c r="E65" s="613"/>
      <c r="F65" s="613"/>
      <c r="G65" s="615"/>
      <c r="H65" s="915"/>
      <c r="I65" s="1227"/>
      <c r="J65" s="1225"/>
      <c r="K65" s="1226"/>
      <c r="L65" s="915"/>
      <c r="M65" s="1227"/>
      <c r="N65" s="943"/>
      <c r="O65" s="946"/>
      <c r="P65" s="946"/>
      <c r="Q65" s="916"/>
    </row>
    <row r="66" spans="1:18" ht="15" customHeight="1" x14ac:dyDescent="0.2">
      <c r="A66" s="914"/>
      <c r="B66" s="1305" t="str">
        <f>CONCATENATE("Check: row ", ROW(B63), " ≤ row ", ROW(B62), " for each column")</f>
        <v>Check: row 63 ≤ row 62 for each column</v>
      </c>
      <c r="C66" s="1310" t="str">
        <f>IF(C63&lt;=C62,"Pass","Fail")</f>
        <v>Pass</v>
      </c>
      <c r="D66" s="927" t="str">
        <f t="shared" ref="D66:G66" si="38">IF(D63&lt;=D62,"Pass","Fail")</f>
        <v>Pass</v>
      </c>
      <c r="E66" s="927" t="str">
        <f t="shared" si="38"/>
        <v>Pass</v>
      </c>
      <c r="F66" s="927" t="str">
        <f t="shared" si="38"/>
        <v>Pass</v>
      </c>
      <c r="G66" s="927" t="str">
        <f t="shared" si="38"/>
        <v>Pass</v>
      </c>
      <c r="H66" s="915"/>
      <c r="I66" s="1227"/>
      <c r="J66" s="1225"/>
      <c r="K66" s="1226"/>
      <c r="L66" s="915"/>
      <c r="M66" s="1227"/>
      <c r="N66" s="943"/>
      <c r="O66" s="946"/>
      <c r="P66" s="946"/>
      <c r="Q66" s="916"/>
    </row>
    <row r="67" spans="1:18" ht="30" customHeight="1" x14ac:dyDescent="0.2">
      <c r="A67" s="914"/>
      <c r="B67" s="1236" t="s">
        <v>939</v>
      </c>
      <c r="C67" s="1311"/>
      <c r="D67" s="1215"/>
      <c r="E67" s="1215"/>
      <c r="F67" s="1215"/>
      <c r="G67" s="1217"/>
      <c r="H67" s="915"/>
      <c r="I67" s="1223"/>
      <c r="J67" s="1220"/>
      <c r="K67" s="1221"/>
      <c r="L67" s="915"/>
      <c r="M67" s="1246"/>
      <c r="N67" s="613"/>
      <c r="O67" s="613"/>
      <c r="P67" s="615"/>
      <c r="Q67" s="916"/>
    </row>
    <row r="68" spans="1:18" ht="15" customHeight="1" x14ac:dyDescent="0.2">
      <c r="A68" s="914"/>
      <c r="B68" s="1237" t="s">
        <v>940</v>
      </c>
      <c r="C68" s="1309"/>
      <c r="D68" s="1216"/>
      <c r="E68" s="1216"/>
      <c r="F68" s="1216"/>
      <c r="G68" s="1217"/>
      <c r="H68" s="915"/>
      <c r="I68" s="1224">
        <v>0.5</v>
      </c>
      <c r="J68" s="1224">
        <v>0.5</v>
      </c>
      <c r="K68" s="1221"/>
      <c r="L68" s="915"/>
      <c r="M68" s="941" t="str">
        <f t="shared" ref="M68:M72" si="39">IF(AND(ISNUMBER(C68),ISNUMBER(D68),ISNUMBER(I68)),SUM(C68:D68)*I68,"")</f>
        <v/>
      </c>
      <c r="N68" s="941" t="str">
        <f>IF(AND(ISNUMBER(E68),ISNUMBER(F68),ISNUMBER(J68)),SUM(E68:F68)*J68,"")</f>
        <v/>
      </c>
      <c r="O68" s="613"/>
      <c r="P68" s="940" t="str">
        <f>IF(AND(ISNUMBER(M68),ISNUMBER(N68)),SUM(M68:N68),"")</f>
        <v/>
      </c>
      <c r="Q68" s="916"/>
      <c r="R68" s="1293">
        <f>IF(ISNUMBER(P68),1,0)</f>
        <v>0</v>
      </c>
    </row>
    <row r="69" spans="1:18" ht="15" customHeight="1" x14ac:dyDescent="0.2">
      <c r="A69" s="914"/>
      <c r="B69" s="1237" t="s">
        <v>941</v>
      </c>
      <c r="C69" s="1311"/>
      <c r="D69" s="1215"/>
      <c r="E69" s="1215"/>
      <c r="F69" s="1215"/>
      <c r="G69" s="1217"/>
      <c r="H69" s="915"/>
      <c r="I69" s="1223"/>
      <c r="J69" s="1220"/>
      <c r="K69" s="1221"/>
      <c r="L69" s="915"/>
      <c r="M69" s="1246"/>
      <c r="N69" s="613"/>
      <c r="O69" s="613"/>
      <c r="P69" s="615"/>
      <c r="Q69" s="916"/>
    </row>
    <row r="70" spans="1:18" ht="15" customHeight="1" x14ac:dyDescent="0.2">
      <c r="A70" s="914"/>
      <c r="B70" s="1301" t="s">
        <v>1014</v>
      </c>
      <c r="C70" s="1309"/>
      <c r="D70" s="1216"/>
      <c r="E70" s="1216"/>
      <c r="F70" s="1216"/>
      <c r="G70" s="1217"/>
      <c r="H70" s="915"/>
      <c r="I70" s="1224">
        <v>0.5</v>
      </c>
      <c r="J70" s="1224">
        <v>0.5</v>
      </c>
      <c r="K70" s="1221"/>
      <c r="L70" s="915"/>
      <c r="M70" s="941" t="str">
        <f t="shared" si="39"/>
        <v/>
      </c>
      <c r="N70" s="941" t="str">
        <f t="shared" ref="N70:N72" si="40">IF(AND(ISNUMBER(E70),ISNUMBER(F70),ISNUMBER(J70)),SUM(E70:F70)*J70,"")</f>
        <v/>
      </c>
      <c r="O70" s="613"/>
      <c r="P70" s="940" t="str">
        <f t="shared" ref="P70:P72" si="41">IF(AND(ISNUMBER(M70),ISNUMBER(N70)),SUM(M70:N70),"")</f>
        <v/>
      </c>
      <c r="Q70" s="916"/>
      <c r="R70" s="1293">
        <f t="shared" ref="R70:R72" si="42">IF(ISNUMBER(P70),1,0)</f>
        <v>0</v>
      </c>
    </row>
    <row r="71" spans="1:18" ht="15" customHeight="1" x14ac:dyDescent="0.2">
      <c r="A71" s="914"/>
      <c r="B71" s="1301" t="s">
        <v>1015</v>
      </c>
      <c r="C71" s="1309"/>
      <c r="D71" s="1216"/>
      <c r="E71" s="1216"/>
      <c r="F71" s="1216"/>
      <c r="G71" s="1217"/>
      <c r="H71" s="915"/>
      <c r="I71" s="1224">
        <v>0.5</v>
      </c>
      <c r="J71" s="1224">
        <v>0.5</v>
      </c>
      <c r="K71" s="1221"/>
      <c r="L71" s="915"/>
      <c r="M71" s="941" t="str">
        <f t="shared" si="39"/>
        <v/>
      </c>
      <c r="N71" s="941" t="str">
        <f t="shared" si="40"/>
        <v/>
      </c>
      <c r="O71" s="613"/>
      <c r="P71" s="940" t="str">
        <f t="shared" si="41"/>
        <v/>
      </c>
      <c r="Q71" s="916"/>
      <c r="R71" s="1293">
        <f t="shared" si="42"/>
        <v>0</v>
      </c>
    </row>
    <row r="72" spans="1:18" ht="15" customHeight="1" x14ac:dyDescent="0.2">
      <c r="A72" s="914"/>
      <c r="B72" s="1301" t="s">
        <v>976</v>
      </c>
      <c r="C72" s="1309"/>
      <c r="D72" s="1216"/>
      <c r="E72" s="1216"/>
      <c r="F72" s="1216"/>
      <c r="G72" s="1217"/>
      <c r="H72" s="915"/>
      <c r="I72" s="1224">
        <v>0.5</v>
      </c>
      <c r="J72" s="1224">
        <v>0.5</v>
      </c>
      <c r="K72" s="1221"/>
      <c r="L72" s="915"/>
      <c r="M72" s="941" t="str">
        <f t="shared" si="39"/>
        <v/>
      </c>
      <c r="N72" s="941" t="str">
        <f t="shared" si="40"/>
        <v/>
      </c>
      <c r="O72" s="613"/>
      <c r="P72" s="940" t="str">
        <f t="shared" si="41"/>
        <v/>
      </c>
      <c r="Q72" s="916"/>
      <c r="R72" s="1293">
        <f t="shared" si="42"/>
        <v>0</v>
      </c>
    </row>
    <row r="73" spans="1:18" ht="15" customHeight="1" x14ac:dyDescent="0.2">
      <c r="A73" s="914"/>
      <c r="B73" s="1237" t="s">
        <v>942</v>
      </c>
      <c r="C73" s="1311"/>
      <c r="D73" s="1215"/>
      <c r="E73" s="1215"/>
      <c r="F73" s="1215"/>
      <c r="G73" s="1217"/>
      <c r="H73" s="915"/>
      <c r="I73" s="1223"/>
      <c r="J73" s="1220"/>
      <c r="K73" s="1221"/>
      <c r="L73" s="915"/>
      <c r="M73" s="1246"/>
      <c r="N73" s="613"/>
      <c r="O73" s="613"/>
      <c r="P73" s="615"/>
      <c r="Q73" s="916"/>
    </row>
    <row r="74" spans="1:18" ht="15" customHeight="1" x14ac:dyDescent="0.2">
      <c r="A74" s="914"/>
      <c r="B74" s="1301" t="s">
        <v>1014</v>
      </c>
      <c r="C74" s="1309"/>
      <c r="D74" s="1216"/>
      <c r="E74" s="1216"/>
      <c r="F74" s="1216"/>
      <c r="G74" s="1217"/>
      <c r="H74" s="915"/>
      <c r="I74" s="1224">
        <v>0.5</v>
      </c>
      <c r="J74" s="1224">
        <v>0.5</v>
      </c>
      <c r="K74" s="1221"/>
      <c r="L74" s="915"/>
      <c r="M74" s="941" t="str">
        <f t="shared" ref="M74:M76" si="43">IF(AND(ISNUMBER(C74),ISNUMBER(D74),ISNUMBER(I74)),SUM(C74:D74)*I74,"")</f>
        <v/>
      </c>
      <c r="N74" s="941" t="str">
        <f t="shared" ref="N74:N76" si="44">IF(AND(ISNUMBER(E74),ISNUMBER(F74),ISNUMBER(J74)),SUM(E74:F74)*J74,"")</f>
        <v/>
      </c>
      <c r="O74" s="613"/>
      <c r="P74" s="940" t="str">
        <f t="shared" ref="P74:P76" si="45">IF(AND(ISNUMBER(M74),ISNUMBER(N74)),SUM(M74:N74),"")</f>
        <v/>
      </c>
      <c r="Q74" s="916"/>
      <c r="R74" s="1293">
        <f t="shared" ref="R74:R76" si="46">IF(ISNUMBER(P74),1,0)</f>
        <v>0</v>
      </c>
    </row>
    <row r="75" spans="1:18" ht="15" customHeight="1" x14ac:dyDescent="0.2">
      <c r="A75" s="914"/>
      <c r="B75" s="1301" t="s">
        <v>1015</v>
      </c>
      <c r="C75" s="1309"/>
      <c r="D75" s="1216"/>
      <c r="E75" s="1216"/>
      <c r="F75" s="1216"/>
      <c r="G75" s="1217"/>
      <c r="H75" s="915"/>
      <c r="I75" s="1224">
        <v>0.5</v>
      </c>
      <c r="J75" s="1224">
        <v>0.5</v>
      </c>
      <c r="K75" s="1221"/>
      <c r="L75" s="915"/>
      <c r="M75" s="941" t="str">
        <f t="shared" si="43"/>
        <v/>
      </c>
      <c r="N75" s="941" t="str">
        <f t="shared" si="44"/>
        <v/>
      </c>
      <c r="O75" s="613"/>
      <c r="P75" s="940" t="str">
        <f t="shared" si="45"/>
        <v/>
      </c>
      <c r="Q75" s="916"/>
      <c r="R75" s="1293">
        <f t="shared" si="46"/>
        <v>0</v>
      </c>
    </row>
    <row r="76" spans="1:18" ht="15" customHeight="1" x14ac:dyDescent="0.2">
      <c r="A76" s="914"/>
      <c r="B76" s="1301" t="s">
        <v>976</v>
      </c>
      <c r="C76" s="1309"/>
      <c r="D76" s="1216"/>
      <c r="E76" s="1216"/>
      <c r="F76" s="1216"/>
      <c r="G76" s="1217"/>
      <c r="H76" s="915"/>
      <c r="I76" s="1224">
        <v>1</v>
      </c>
      <c r="J76" s="1224">
        <v>1</v>
      </c>
      <c r="K76" s="1221"/>
      <c r="L76" s="915"/>
      <c r="M76" s="941" t="str">
        <f t="shared" si="43"/>
        <v/>
      </c>
      <c r="N76" s="941" t="str">
        <f t="shared" si="44"/>
        <v/>
      </c>
      <c r="O76" s="613"/>
      <c r="P76" s="940" t="str">
        <f t="shared" si="45"/>
        <v/>
      </c>
      <c r="Q76" s="916"/>
      <c r="R76" s="1293">
        <f t="shared" si="46"/>
        <v>0</v>
      </c>
    </row>
    <row r="77" spans="1:18" ht="38.25" customHeight="1" x14ac:dyDescent="0.2">
      <c r="A77" s="914"/>
      <c r="B77" s="1236" t="s">
        <v>943</v>
      </c>
      <c r="C77" s="1311"/>
      <c r="D77" s="1215"/>
      <c r="E77" s="1215"/>
      <c r="F77" s="1215"/>
      <c r="G77" s="1217"/>
      <c r="H77" s="915"/>
      <c r="I77" s="1223"/>
      <c r="J77" s="1220"/>
      <c r="K77" s="1221"/>
      <c r="L77" s="915"/>
      <c r="M77" s="1246"/>
      <c r="N77" s="613"/>
      <c r="O77" s="613"/>
      <c r="P77" s="615"/>
      <c r="Q77" s="916"/>
    </row>
    <row r="78" spans="1:18" ht="15" customHeight="1" x14ac:dyDescent="0.2">
      <c r="A78" s="914"/>
      <c r="B78" s="1237" t="s">
        <v>940</v>
      </c>
      <c r="C78" s="1309"/>
      <c r="D78" s="1216"/>
      <c r="E78" s="1216"/>
      <c r="F78" s="1216"/>
      <c r="G78" s="1218"/>
      <c r="H78" s="915"/>
      <c r="I78" s="1224">
        <v>0</v>
      </c>
      <c r="J78" s="1224">
        <v>0</v>
      </c>
      <c r="K78" s="1249">
        <v>0</v>
      </c>
      <c r="L78" s="915"/>
      <c r="M78" s="941" t="str">
        <f t="shared" ref="M78" si="47">IF(AND(ISNUMBER(C78),ISNUMBER(D78),ISNUMBER(I78)),SUM(C78:D78)*I78,"")</f>
        <v/>
      </c>
      <c r="N78" s="941" t="str">
        <f>IF(AND(ISNUMBER(E78),ISNUMBER(F78),ISNUMBER(J78)),SUM(E78:F78)*J78,"")</f>
        <v/>
      </c>
      <c r="O78" s="941" t="str">
        <f>IF(AND(ISNUMBER(G78),ISNUMBER(K78)),G78*K78,"")</f>
        <v/>
      </c>
      <c r="P78" s="940" t="str">
        <f>IF(AND(ISNUMBER(M78),ISNUMBER(O78)),SUM(M78:O78),"")</f>
        <v/>
      </c>
      <c r="Q78" s="916"/>
      <c r="R78" s="1293">
        <f>IF(ISNUMBER(P78),1,0)</f>
        <v>0</v>
      </c>
    </row>
    <row r="79" spans="1:18" ht="15" customHeight="1" x14ac:dyDescent="0.2">
      <c r="A79" s="914"/>
      <c r="B79" s="1237" t="s">
        <v>941</v>
      </c>
      <c r="C79" s="1311"/>
      <c r="D79" s="1215"/>
      <c r="E79" s="1215"/>
      <c r="F79" s="1215"/>
      <c r="G79" s="1217"/>
      <c r="H79" s="915"/>
      <c r="I79" s="1223"/>
      <c r="J79" s="1220"/>
      <c r="K79" s="1261"/>
      <c r="L79" s="915"/>
      <c r="M79" s="1246"/>
      <c r="N79" s="613"/>
      <c r="O79" s="613"/>
      <c r="P79" s="615"/>
      <c r="Q79" s="916"/>
    </row>
    <row r="80" spans="1:18" ht="15" customHeight="1" x14ac:dyDescent="0.2">
      <c r="A80" s="914"/>
      <c r="B80" s="1301" t="s">
        <v>1014</v>
      </c>
      <c r="C80" s="1309"/>
      <c r="D80" s="1216"/>
      <c r="E80" s="1216"/>
      <c r="F80" s="1216"/>
      <c r="G80" s="1218"/>
      <c r="H80" s="915"/>
      <c r="I80" s="1224">
        <v>0</v>
      </c>
      <c r="J80" s="1224">
        <v>0</v>
      </c>
      <c r="K80" s="1249">
        <v>0</v>
      </c>
      <c r="L80" s="915"/>
      <c r="M80" s="941" t="str">
        <f t="shared" ref="M80:M82" si="48">IF(AND(ISNUMBER(C80),ISNUMBER(D80),ISNUMBER(I80)),SUM(C80:D80)*I80,"")</f>
        <v/>
      </c>
      <c r="N80" s="941" t="str">
        <f t="shared" ref="N80:N82" si="49">IF(AND(ISNUMBER(E80),ISNUMBER(F80),ISNUMBER(J80)),SUM(E80:F80)*J80,"")</f>
        <v/>
      </c>
      <c r="O80" s="941" t="str">
        <f t="shared" ref="O80:O82" si="50">IF(AND(ISNUMBER(G80),ISNUMBER(K80)),G80*K80,"")</f>
        <v/>
      </c>
      <c r="P80" s="940" t="str">
        <f t="shared" ref="P80:P82" si="51">IF(AND(ISNUMBER(M80),ISNUMBER(O80)),SUM(M80:O80),"")</f>
        <v/>
      </c>
      <c r="Q80" s="916"/>
      <c r="R80" s="1293">
        <f t="shared" ref="R80:R82" si="52">IF(ISNUMBER(P80),1,0)</f>
        <v>0</v>
      </c>
    </row>
    <row r="81" spans="1:18" ht="15" customHeight="1" x14ac:dyDescent="0.2">
      <c r="A81" s="914"/>
      <c r="B81" s="1301" t="s">
        <v>1015</v>
      </c>
      <c r="C81" s="1309"/>
      <c r="D81" s="1216"/>
      <c r="E81" s="1216"/>
      <c r="F81" s="1216"/>
      <c r="G81" s="1218"/>
      <c r="H81" s="915"/>
      <c r="I81" s="1224">
        <v>0</v>
      </c>
      <c r="J81" s="1224">
        <v>0</v>
      </c>
      <c r="K81" s="1249">
        <v>0</v>
      </c>
      <c r="L81" s="915"/>
      <c r="M81" s="941" t="str">
        <f t="shared" si="48"/>
        <v/>
      </c>
      <c r="N81" s="941" t="str">
        <f t="shared" si="49"/>
        <v/>
      </c>
      <c r="O81" s="941" t="str">
        <f t="shared" si="50"/>
        <v/>
      </c>
      <c r="P81" s="940" t="str">
        <f t="shared" si="51"/>
        <v/>
      </c>
      <c r="Q81" s="916"/>
      <c r="R81" s="1293">
        <f t="shared" si="52"/>
        <v>0</v>
      </c>
    </row>
    <row r="82" spans="1:18" ht="15" customHeight="1" x14ac:dyDescent="0.2">
      <c r="A82" s="914"/>
      <c r="B82" s="1301" t="s">
        <v>976</v>
      </c>
      <c r="C82" s="1309"/>
      <c r="D82" s="1216"/>
      <c r="E82" s="1216"/>
      <c r="F82" s="1216"/>
      <c r="G82" s="1218"/>
      <c r="H82" s="915"/>
      <c r="I82" s="1224">
        <v>0</v>
      </c>
      <c r="J82" s="1224">
        <v>0</v>
      </c>
      <c r="K82" s="1249">
        <v>0</v>
      </c>
      <c r="L82" s="915"/>
      <c r="M82" s="941" t="str">
        <f t="shared" si="48"/>
        <v/>
      </c>
      <c r="N82" s="941" t="str">
        <f t="shared" si="49"/>
        <v/>
      </c>
      <c r="O82" s="941" t="str">
        <f t="shared" si="50"/>
        <v/>
      </c>
      <c r="P82" s="940" t="str">
        <f t="shared" si="51"/>
        <v/>
      </c>
      <c r="Q82" s="916"/>
      <c r="R82" s="1293">
        <f t="shared" si="52"/>
        <v>0</v>
      </c>
    </row>
    <row r="83" spans="1:18" ht="15" customHeight="1" x14ac:dyDescent="0.2">
      <c r="A83" s="914"/>
      <c r="B83" s="1237" t="s">
        <v>942</v>
      </c>
      <c r="C83" s="1311"/>
      <c r="D83" s="1215"/>
      <c r="E83" s="1215"/>
      <c r="F83" s="1215"/>
      <c r="G83" s="1217"/>
      <c r="H83" s="915"/>
      <c r="I83" s="1223"/>
      <c r="J83" s="1220"/>
      <c r="K83" s="1261"/>
      <c r="L83" s="915"/>
      <c r="M83" s="1246"/>
      <c r="N83" s="613"/>
      <c r="O83" s="613"/>
      <c r="P83" s="615"/>
      <c r="Q83" s="916"/>
    </row>
    <row r="84" spans="1:18" ht="15" customHeight="1" x14ac:dyDescent="0.2">
      <c r="A84" s="914"/>
      <c r="B84" s="1301" t="s">
        <v>1014</v>
      </c>
      <c r="C84" s="1309"/>
      <c r="D84" s="1216"/>
      <c r="E84" s="1216"/>
      <c r="F84" s="1216"/>
      <c r="G84" s="1218"/>
      <c r="H84" s="915"/>
      <c r="I84" s="1224">
        <v>0</v>
      </c>
      <c r="J84" s="1224">
        <v>0</v>
      </c>
      <c r="K84" s="1249">
        <v>0</v>
      </c>
      <c r="L84" s="915"/>
      <c r="M84" s="941" t="str">
        <f t="shared" ref="M84:M86" si="53">IF(AND(ISNUMBER(C84),ISNUMBER(D84),ISNUMBER(I84)),SUM(C84:D84)*I84,"")</f>
        <v/>
      </c>
      <c r="N84" s="941" t="str">
        <f t="shared" ref="N84:N86" si="54">IF(AND(ISNUMBER(E84),ISNUMBER(F84),ISNUMBER(J84)),SUM(E84:F84)*J84,"")</f>
        <v/>
      </c>
      <c r="O84" s="941" t="str">
        <f t="shared" ref="O84:O86" si="55">IF(AND(ISNUMBER(G84),ISNUMBER(K84)),G84*K84,"")</f>
        <v/>
      </c>
      <c r="P84" s="940" t="str">
        <f t="shared" ref="P84:P86" si="56">IF(AND(ISNUMBER(M84),ISNUMBER(O84)),SUM(M84:O84),"")</f>
        <v/>
      </c>
      <c r="Q84" s="916"/>
      <c r="R84" s="1293">
        <f t="shared" ref="R84:R86" si="57">IF(ISNUMBER(P84),1,0)</f>
        <v>0</v>
      </c>
    </row>
    <row r="85" spans="1:18" ht="15" customHeight="1" x14ac:dyDescent="0.2">
      <c r="A85" s="914"/>
      <c r="B85" s="1301" t="s">
        <v>1015</v>
      </c>
      <c r="C85" s="1309"/>
      <c r="D85" s="1216"/>
      <c r="E85" s="1216"/>
      <c r="F85" s="1216"/>
      <c r="G85" s="1218"/>
      <c r="H85" s="915"/>
      <c r="I85" s="1224">
        <v>0</v>
      </c>
      <c r="J85" s="1224">
        <v>0</v>
      </c>
      <c r="K85" s="1249">
        <v>0</v>
      </c>
      <c r="L85" s="915"/>
      <c r="M85" s="941" t="str">
        <f t="shared" si="53"/>
        <v/>
      </c>
      <c r="N85" s="941" t="str">
        <f t="shared" si="54"/>
        <v/>
      </c>
      <c r="O85" s="941" t="str">
        <f t="shared" si="55"/>
        <v/>
      </c>
      <c r="P85" s="940" t="str">
        <f t="shared" si="56"/>
        <v/>
      </c>
      <c r="Q85" s="916"/>
      <c r="R85" s="1293">
        <f t="shared" si="57"/>
        <v>0</v>
      </c>
    </row>
    <row r="86" spans="1:18" ht="15" customHeight="1" x14ac:dyDescent="0.2">
      <c r="A86" s="914"/>
      <c r="B86" s="1301" t="s">
        <v>976</v>
      </c>
      <c r="C86" s="1309"/>
      <c r="D86" s="1216"/>
      <c r="E86" s="1216"/>
      <c r="F86" s="1216"/>
      <c r="G86" s="1218"/>
      <c r="H86" s="915"/>
      <c r="I86" s="1224">
        <v>0</v>
      </c>
      <c r="J86" s="1224">
        <v>0</v>
      </c>
      <c r="K86" s="1249">
        <v>0</v>
      </c>
      <c r="L86" s="915"/>
      <c r="M86" s="941" t="str">
        <f t="shared" si="53"/>
        <v/>
      </c>
      <c r="N86" s="941" t="str">
        <f t="shared" si="54"/>
        <v/>
      </c>
      <c r="O86" s="941" t="str">
        <f t="shared" si="55"/>
        <v/>
      </c>
      <c r="P86" s="940" t="str">
        <f t="shared" si="56"/>
        <v/>
      </c>
      <c r="Q86" s="916"/>
      <c r="R86" s="1293">
        <f t="shared" si="57"/>
        <v>0</v>
      </c>
    </row>
    <row r="87" spans="1:18" ht="15" customHeight="1" x14ac:dyDescent="0.2">
      <c r="A87" s="914"/>
      <c r="B87" s="1240" t="s">
        <v>1016</v>
      </c>
      <c r="C87" s="1311"/>
      <c r="D87" s="1215"/>
      <c r="E87" s="1215"/>
      <c r="F87" s="1215"/>
      <c r="G87" s="1217"/>
      <c r="H87" s="915"/>
      <c r="I87" s="1223"/>
      <c r="J87" s="1220"/>
      <c r="K87" s="1261"/>
      <c r="L87" s="915"/>
      <c r="M87" s="1246"/>
      <c r="N87" s="613"/>
      <c r="O87" s="613"/>
      <c r="P87" s="615"/>
      <c r="Q87" s="916"/>
    </row>
    <row r="88" spans="1:18" ht="15" customHeight="1" x14ac:dyDescent="0.2">
      <c r="A88" s="914"/>
      <c r="B88" s="1237" t="s">
        <v>940</v>
      </c>
      <c r="C88" s="1309"/>
      <c r="D88" s="1216"/>
      <c r="E88" s="1216"/>
      <c r="F88" s="1216"/>
      <c r="G88" s="1218"/>
      <c r="H88" s="915"/>
      <c r="I88" s="1224">
        <v>0</v>
      </c>
      <c r="J88" s="1224">
        <v>0.5</v>
      </c>
      <c r="K88" s="1249">
        <v>1</v>
      </c>
      <c r="L88" s="915"/>
      <c r="M88" s="941" t="str">
        <f>IF(AND(ISNUMBER(C88),ISNUMBER(D88),ISNUMBER(I88)),SUM(C88:D88)*I88,"")</f>
        <v/>
      </c>
      <c r="N88" s="941" t="str">
        <f>IF(AND(ISNUMBER(E88),ISNUMBER(F88),ISNUMBER(J88)),SUM(E88:F88)*J88,"")</f>
        <v/>
      </c>
      <c r="O88" s="941" t="str">
        <f>IF(AND(ISNUMBER(G88),ISNUMBER(K88)),G88*K88,"")</f>
        <v/>
      </c>
      <c r="P88" s="940" t="str">
        <f>IF(AND(ISNUMBER(M88),ISNUMBER(O88)),SUM(M88:O88),"")</f>
        <v/>
      </c>
      <c r="Q88" s="916"/>
      <c r="R88" s="1293">
        <f>IF(ISNUMBER(P88),1,0)</f>
        <v>0</v>
      </c>
    </row>
    <row r="89" spans="1:18" ht="15" customHeight="1" x14ac:dyDescent="0.2">
      <c r="A89" s="914"/>
      <c r="B89" s="1237" t="s">
        <v>941</v>
      </c>
      <c r="C89" s="1311"/>
      <c r="D89" s="1215"/>
      <c r="E89" s="1215"/>
      <c r="F89" s="1215"/>
      <c r="G89" s="1261"/>
      <c r="H89" s="915"/>
      <c r="I89" s="1223"/>
      <c r="J89" s="1220"/>
      <c r="K89" s="1261"/>
      <c r="L89" s="915"/>
      <c r="M89" s="1246"/>
      <c r="N89" s="613"/>
      <c r="O89" s="613"/>
      <c r="P89" s="615"/>
      <c r="Q89" s="916"/>
    </row>
    <row r="90" spans="1:18" ht="15" customHeight="1" x14ac:dyDescent="0.2">
      <c r="A90" s="914"/>
      <c r="B90" s="1301" t="s">
        <v>1014</v>
      </c>
      <c r="C90" s="1309"/>
      <c r="D90" s="1216"/>
      <c r="E90" s="1216"/>
      <c r="F90" s="1216"/>
      <c r="G90" s="1218"/>
      <c r="H90" s="915"/>
      <c r="I90" s="1224">
        <v>0</v>
      </c>
      <c r="J90" s="1224">
        <v>0.5</v>
      </c>
      <c r="K90" s="1249">
        <v>1</v>
      </c>
      <c r="L90" s="915"/>
      <c r="M90" s="941" t="str">
        <f t="shared" ref="M90:M92" si="58">IF(AND(ISNUMBER(C90),ISNUMBER(D90),ISNUMBER(I90)),SUM(C90:D90)*I90,"")</f>
        <v/>
      </c>
      <c r="N90" s="941" t="str">
        <f t="shared" ref="N90:N92" si="59">IF(AND(ISNUMBER(E90),ISNUMBER(F90),ISNUMBER(J90)),SUM(E90:F90)*J90,"")</f>
        <v/>
      </c>
      <c r="O90" s="941" t="str">
        <f>IF(AND(ISNUMBER(G90),ISNUMBER(K90)),G90*K90,"")</f>
        <v/>
      </c>
      <c r="P90" s="940" t="str">
        <f>IF(AND(ISNUMBER(M90),ISNUMBER(O90)),SUM(M90:O90),"")</f>
        <v/>
      </c>
      <c r="Q90" s="916"/>
      <c r="R90" s="1293">
        <f t="shared" ref="R90:R92" si="60">IF(ISNUMBER(P90),1,0)</f>
        <v>0</v>
      </c>
    </row>
    <row r="91" spans="1:18" ht="15" customHeight="1" x14ac:dyDescent="0.2">
      <c r="A91" s="914"/>
      <c r="B91" s="1301" t="s">
        <v>1015</v>
      </c>
      <c r="C91" s="1309"/>
      <c r="D91" s="1216"/>
      <c r="E91" s="1216"/>
      <c r="F91" s="1216"/>
      <c r="G91" s="1218"/>
      <c r="H91" s="915"/>
      <c r="I91" s="1224">
        <v>0</v>
      </c>
      <c r="J91" s="1224">
        <v>0.5</v>
      </c>
      <c r="K91" s="1249">
        <v>1</v>
      </c>
      <c r="L91" s="915"/>
      <c r="M91" s="941" t="str">
        <f t="shared" si="58"/>
        <v/>
      </c>
      <c r="N91" s="941" t="str">
        <f t="shared" si="59"/>
        <v/>
      </c>
      <c r="O91" s="941" t="str">
        <f>IF(AND(ISNUMBER(G91),ISNUMBER(K91)),G91*K91,"")</f>
        <v/>
      </c>
      <c r="P91" s="940" t="str">
        <f>IF(AND(ISNUMBER(M91),ISNUMBER(O91)),SUM(M91:O91),"")</f>
        <v/>
      </c>
      <c r="Q91" s="916"/>
      <c r="R91" s="1293">
        <f t="shared" si="60"/>
        <v>0</v>
      </c>
    </row>
    <row r="92" spans="1:18" ht="15" customHeight="1" x14ac:dyDescent="0.2">
      <c r="A92" s="914"/>
      <c r="B92" s="1301" t="s">
        <v>976</v>
      </c>
      <c r="C92" s="1309"/>
      <c r="D92" s="1216"/>
      <c r="E92" s="1216"/>
      <c r="F92" s="1216"/>
      <c r="G92" s="1218"/>
      <c r="H92" s="915"/>
      <c r="I92" s="1224">
        <v>0</v>
      </c>
      <c r="J92" s="1224">
        <v>0.5</v>
      </c>
      <c r="K92" s="1249">
        <v>1</v>
      </c>
      <c r="L92" s="915"/>
      <c r="M92" s="941" t="str">
        <f t="shared" si="58"/>
        <v/>
      </c>
      <c r="N92" s="941" t="str">
        <f t="shared" si="59"/>
        <v/>
      </c>
      <c r="O92" s="941" t="str">
        <f>IF(AND(ISNUMBER(G92),ISNUMBER(K92)),G92*K92,"")</f>
        <v/>
      </c>
      <c r="P92" s="940" t="str">
        <f>IF(AND(ISNUMBER(M92),ISNUMBER(O92)),SUM(M92:O92),"")</f>
        <v/>
      </c>
      <c r="Q92" s="916"/>
      <c r="R92" s="1293">
        <f t="shared" si="60"/>
        <v>0</v>
      </c>
    </row>
    <row r="93" spans="1:18" ht="15" customHeight="1" x14ac:dyDescent="0.2">
      <c r="A93" s="914"/>
      <c r="B93" s="1237" t="s">
        <v>942</v>
      </c>
      <c r="C93" s="1311"/>
      <c r="D93" s="1215"/>
      <c r="E93" s="1215"/>
      <c r="F93" s="1215"/>
      <c r="G93" s="1261"/>
      <c r="H93" s="915"/>
      <c r="I93" s="1223"/>
      <c r="J93" s="1220"/>
      <c r="K93" s="1261"/>
      <c r="L93" s="915"/>
      <c r="M93" s="1246"/>
      <c r="N93" s="613"/>
      <c r="O93" s="613"/>
      <c r="P93" s="615"/>
      <c r="Q93" s="916"/>
    </row>
    <row r="94" spans="1:18" ht="15" customHeight="1" x14ac:dyDescent="0.2">
      <c r="A94" s="914"/>
      <c r="B94" s="1301" t="s">
        <v>1014</v>
      </c>
      <c r="C94" s="1309"/>
      <c r="D94" s="1216"/>
      <c r="E94" s="1216"/>
      <c r="F94" s="1216"/>
      <c r="G94" s="1218"/>
      <c r="H94" s="915"/>
      <c r="I94" s="1224">
        <v>0</v>
      </c>
      <c r="J94" s="1224">
        <v>0.5</v>
      </c>
      <c r="K94" s="1249">
        <v>1</v>
      </c>
      <c r="L94" s="915"/>
      <c r="M94" s="941" t="str">
        <f t="shared" ref="M94:M96" si="61">IF(AND(ISNUMBER(C94),ISNUMBER(D94),ISNUMBER(I94)),SUM(C94:D94)*I94,"")</f>
        <v/>
      </c>
      <c r="N94" s="941" t="str">
        <f t="shared" ref="N94:N96" si="62">IF(AND(ISNUMBER(E94),ISNUMBER(F94),ISNUMBER(J94)),SUM(E94:F94)*J94,"")</f>
        <v/>
      </c>
      <c r="O94" s="941" t="str">
        <f>IF(AND(ISNUMBER(G94),ISNUMBER(K94)),G94*K94,"")</f>
        <v/>
      </c>
      <c r="P94" s="940" t="str">
        <f>IF(AND(ISNUMBER(M94),ISNUMBER(O94)),SUM(M94:O94),"")</f>
        <v/>
      </c>
      <c r="Q94" s="916"/>
      <c r="R94" s="1293">
        <f t="shared" ref="R94:R96" si="63">IF(ISNUMBER(P94),1,0)</f>
        <v>0</v>
      </c>
    </row>
    <row r="95" spans="1:18" ht="15" customHeight="1" x14ac:dyDescent="0.2">
      <c r="A95" s="914"/>
      <c r="B95" s="1301" t="s">
        <v>1015</v>
      </c>
      <c r="C95" s="1309"/>
      <c r="D95" s="1216"/>
      <c r="E95" s="1216"/>
      <c r="F95" s="1216"/>
      <c r="G95" s="1218"/>
      <c r="H95" s="915"/>
      <c r="I95" s="1224">
        <v>0.5</v>
      </c>
      <c r="J95" s="1224">
        <v>0.5</v>
      </c>
      <c r="K95" s="1249">
        <v>1</v>
      </c>
      <c r="L95" s="915"/>
      <c r="M95" s="941" t="str">
        <f t="shared" si="61"/>
        <v/>
      </c>
      <c r="N95" s="941" t="str">
        <f t="shared" si="62"/>
        <v/>
      </c>
      <c r="O95" s="941" t="str">
        <f>IF(AND(ISNUMBER(G95),ISNUMBER(K95)),G95*K95,"")</f>
        <v/>
      </c>
      <c r="P95" s="940" t="str">
        <f>IF(AND(ISNUMBER(M95),ISNUMBER(O95)),SUM(M95:O95),"")</f>
        <v/>
      </c>
      <c r="Q95" s="916"/>
      <c r="R95" s="1293">
        <f t="shared" si="63"/>
        <v>0</v>
      </c>
    </row>
    <row r="96" spans="1:18" ht="15" customHeight="1" x14ac:dyDescent="0.2">
      <c r="A96" s="914"/>
      <c r="B96" s="1301" t="s">
        <v>976</v>
      </c>
      <c r="C96" s="1309"/>
      <c r="D96" s="1216"/>
      <c r="E96" s="1216"/>
      <c r="F96" s="1216"/>
      <c r="G96" s="1218"/>
      <c r="H96" s="915"/>
      <c r="I96" s="1224">
        <v>1</v>
      </c>
      <c r="J96" s="1224">
        <v>1</v>
      </c>
      <c r="K96" s="1249">
        <v>1</v>
      </c>
      <c r="L96" s="915"/>
      <c r="M96" s="941" t="str">
        <f t="shared" si="61"/>
        <v/>
      </c>
      <c r="N96" s="941" t="str">
        <f t="shared" si="62"/>
        <v/>
      </c>
      <c r="O96" s="941" t="str">
        <f>IF(AND(ISNUMBER(G96),ISNUMBER(K96)),G96*K96,"")</f>
        <v/>
      </c>
      <c r="P96" s="940" t="str">
        <f>IF(AND(ISNUMBER(M96),ISNUMBER(O96)),SUM(M96:O96),"")</f>
        <v/>
      </c>
      <c r="Q96" s="916"/>
      <c r="R96" s="1293">
        <f t="shared" si="63"/>
        <v>0</v>
      </c>
    </row>
    <row r="97" spans="1:18" ht="30" customHeight="1" x14ac:dyDescent="0.2">
      <c r="A97" s="914"/>
      <c r="B97" s="1240" t="s">
        <v>1017</v>
      </c>
      <c r="C97" s="1311"/>
      <c r="D97" s="1215"/>
      <c r="E97" s="1215"/>
      <c r="F97" s="1215"/>
      <c r="G97" s="1261"/>
      <c r="H97" s="915"/>
      <c r="I97" s="1223"/>
      <c r="J97" s="1220"/>
      <c r="K97" s="1261"/>
      <c r="L97" s="915"/>
      <c r="M97" s="1246"/>
      <c r="N97" s="613"/>
      <c r="O97" s="613"/>
      <c r="P97" s="615"/>
      <c r="Q97" s="916"/>
    </row>
    <row r="98" spans="1:18" ht="15" customHeight="1" x14ac:dyDescent="0.2">
      <c r="A98" s="914"/>
      <c r="B98" s="1237" t="s">
        <v>940</v>
      </c>
      <c r="C98" s="1309"/>
      <c r="D98" s="1216"/>
      <c r="E98" s="1216"/>
      <c r="F98" s="1216"/>
      <c r="G98" s="1218"/>
      <c r="H98" s="915"/>
      <c r="I98" s="1224">
        <v>0.5</v>
      </c>
      <c r="J98" s="1224">
        <v>0.5</v>
      </c>
      <c r="K98" s="1249">
        <v>1</v>
      </c>
      <c r="L98" s="915"/>
      <c r="M98" s="941" t="str">
        <f t="shared" ref="M98" si="64">IF(AND(ISNUMBER(C98),ISNUMBER(D98),ISNUMBER(I98)),SUM(C98:D98)*I98,"")</f>
        <v/>
      </c>
      <c r="N98" s="941" t="str">
        <f>IF(AND(ISNUMBER(E98),ISNUMBER(F98),ISNUMBER(J98)),SUM(E98:F98)*J98,"")</f>
        <v/>
      </c>
      <c r="O98" s="941" t="str">
        <f>IF(AND(ISNUMBER(G98),ISNUMBER(K98)),G98*K98,"")</f>
        <v/>
      </c>
      <c r="P98" s="940" t="str">
        <f>IF(AND(ISNUMBER(M98),ISNUMBER(O98)),SUM(M98:O98),"")</f>
        <v/>
      </c>
      <c r="Q98" s="916"/>
      <c r="R98" s="1293">
        <f>IF(ISNUMBER(P98),1,0)</f>
        <v>0</v>
      </c>
    </row>
    <row r="99" spans="1:18" ht="15" customHeight="1" x14ac:dyDescent="0.2">
      <c r="A99" s="914"/>
      <c r="B99" s="1237" t="s">
        <v>941</v>
      </c>
      <c r="C99" s="1311"/>
      <c r="D99" s="1215"/>
      <c r="E99" s="1215"/>
      <c r="F99" s="1215"/>
      <c r="G99" s="1261"/>
      <c r="H99" s="915"/>
      <c r="I99" s="1223"/>
      <c r="J99" s="1220"/>
      <c r="K99" s="1261"/>
      <c r="L99" s="915"/>
      <c r="M99" s="1246"/>
      <c r="N99" s="613"/>
      <c r="O99" s="613"/>
      <c r="P99" s="615"/>
      <c r="Q99" s="916"/>
    </row>
    <row r="100" spans="1:18" ht="15" customHeight="1" x14ac:dyDescent="0.2">
      <c r="A100" s="914"/>
      <c r="B100" s="1301" t="s">
        <v>1014</v>
      </c>
      <c r="C100" s="1309"/>
      <c r="D100" s="1216"/>
      <c r="E100" s="1216"/>
      <c r="F100" s="1216"/>
      <c r="G100" s="1218"/>
      <c r="H100" s="915"/>
      <c r="I100" s="1224">
        <v>0.5</v>
      </c>
      <c r="J100" s="1224">
        <v>0.5</v>
      </c>
      <c r="K100" s="1249">
        <v>1</v>
      </c>
      <c r="L100" s="915"/>
      <c r="M100" s="941" t="str">
        <f t="shared" ref="M100:M102" si="65">IF(AND(ISNUMBER(C100),ISNUMBER(D100),ISNUMBER(I100)),SUM(C100:D100)*I100,"")</f>
        <v/>
      </c>
      <c r="N100" s="941" t="str">
        <f t="shared" ref="N100:N102" si="66">IF(AND(ISNUMBER(E100),ISNUMBER(F100),ISNUMBER(J100)),SUM(E100:F100)*J100,"")</f>
        <v/>
      </c>
      <c r="O100" s="941" t="str">
        <f t="shared" ref="O100:O102" si="67">IF(AND(ISNUMBER(G100),ISNUMBER(K100)),G100*K100,"")</f>
        <v/>
      </c>
      <c r="P100" s="940" t="str">
        <f t="shared" ref="P100:P102" si="68">IF(AND(ISNUMBER(M100),ISNUMBER(O100)),SUM(M100:O100),"")</f>
        <v/>
      </c>
      <c r="Q100" s="916"/>
      <c r="R100" s="1293">
        <f t="shared" ref="R100:R102" si="69">IF(ISNUMBER(P100),1,0)</f>
        <v>0</v>
      </c>
    </row>
    <row r="101" spans="1:18" ht="15" customHeight="1" x14ac:dyDescent="0.2">
      <c r="A101" s="914"/>
      <c r="B101" s="1301" t="s">
        <v>1015</v>
      </c>
      <c r="C101" s="1309"/>
      <c r="D101" s="1216"/>
      <c r="E101" s="1216"/>
      <c r="F101" s="1216"/>
      <c r="G101" s="1218"/>
      <c r="H101" s="915"/>
      <c r="I101" s="1224">
        <v>0.5</v>
      </c>
      <c r="J101" s="1224">
        <v>0.5</v>
      </c>
      <c r="K101" s="1249">
        <v>1</v>
      </c>
      <c r="L101" s="915"/>
      <c r="M101" s="941" t="str">
        <f t="shared" si="65"/>
        <v/>
      </c>
      <c r="N101" s="941" t="str">
        <f t="shared" si="66"/>
        <v/>
      </c>
      <c r="O101" s="941" t="str">
        <f t="shared" si="67"/>
        <v/>
      </c>
      <c r="P101" s="940" t="str">
        <f t="shared" si="68"/>
        <v/>
      </c>
      <c r="Q101" s="916"/>
      <c r="R101" s="1293">
        <f t="shared" si="69"/>
        <v>0</v>
      </c>
    </row>
    <row r="102" spans="1:18" ht="15" customHeight="1" x14ac:dyDescent="0.2">
      <c r="A102" s="914"/>
      <c r="B102" s="1301" t="s">
        <v>976</v>
      </c>
      <c r="C102" s="1309"/>
      <c r="D102" s="1216"/>
      <c r="E102" s="1216"/>
      <c r="F102" s="1216"/>
      <c r="G102" s="1218"/>
      <c r="H102" s="915"/>
      <c r="I102" s="1224">
        <v>0.5</v>
      </c>
      <c r="J102" s="1224">
        <v>0.5</v>
      </c>
      <c r="K102" s="1249">
        <v>1</v>
      </c>
      <c r="L102" s="915"/>
      <c r="M102" s="941" t="str">
        <f t="shared" si="65"/>
        <v/>
      </c>
      <c r="N102" s="941" t="str">
        <f t="shared" si="66"/>
        <v/>
      </c>
      <c r="O102" s="941" t="str">
        <f t="shared" si="67"/>
        <v/>
      </c>
      <c r="P102" s="940" t="str">
        <f t="shared" si="68"/>
        <v/>
      </c>
      <c r="Q102" s="916"/>
      <c r="R102" s="1293">
        <f t="shared" si="69"/>
        <v>0</v>
      </c>
    </row>
    <row r="103" spans="1:18" ht="15" customHeight="1" x14ac:dyDescent="0.2">
      <c r="A103" s="914"/>
      <c r="B103" s="1237" t="s">
        <v>942</v>
      </c>
      <c r="C103" s="1311"/>
      <c r="D103" s="1215"/>
      <c r="E103" s="1215"/>
      <c r="F103" s="1215"/>
      <c r="G103" s="1261"/>
      <c r="H103" s="915"/>
      <c r="I103" s="1223"/>
      <c r="J103" s="1220"/>
      <c r="K103" s="1261"/>
      <c r="L103" s="915"/>
      <c r="M103" s="1246"/>
      <c r="N103" s="613"/>
      <c r="O103" s="613"/>
      <c r="P103" s="615"/>
      <c r="Q103" s="916"/>
    </row>
    <row r="104" spans="1:18" ht="15" customHeight="1" x14ac:dyDescent="0.2">
      <c r="A104" s="914"/>
      <c r="B104" s="1301" t="s">
        <v>1014</v>
      </c>
      <c r="C104" s="1309"/>
      <c r="D104" s="1216"/>
      <c r="E104" s="1216"/>
      <c r="F104" s="1216"/>
      <c r="G104" s="1218"/>
      <c r="H104" s="915"/>
      <c r="I104" s="1224">
        <v>0.5</v>
      </c>
      <c r="J104" s="1224">
        <v>0.5</v>
      </c>
      <c r="K104" s="1249">
        <v>1</v>
      </c>
      <c r="L104" s="915"/>
      <c r="M104" s="941" t="str">
        <f t="shared" ref="M104:M106" si="70">IF(AND(ISNUMBER(C104),ISNUMBER(D104),ISNUMBER(I104)),SUM(C104:D104)*I104,"")</f>
        <v/>
      </c>
      <c r="N104" s="941" t="str">
        <f t="shared" ref="N104:N106" si="71">IF(AND(ISNUMBER(E104),ISNUMBER(F104),ISNUMBER(J104)),SUM(E104:F104)*J104,"")</f>
        <v/>
      </c>
      <c r="O104" s="941" t="str">
        <f t="shared" ref="O104:O106" si="72">IF(AND(ISNUMBER(G104),ISNUMBER(K104)),G104*K104,"")</f>
        <v/>
      </c>
      <c r="P104" s="940" t="str">
        <f t="shared" ref="P104:P106" si="73">IF(AND(ISNUMBER(M104),ISNUMBER(O104)),SUM(M104:O104),"")</f>
        <v/>
      </c>
      <c r="Q104" s="916"/>
      <c r="R104" s="1293">
        <f t="shared" ref="R104:R106" si="74">IF(ISNUMBER(P104),1,0)</f>
        <v>0</v>
      </c>
    </row>
    <row r="105" spans="1:18" ht="15" customHeight="1" x14ac:dyDescent="0.2">
      <c r="A105" s="914"/>
      <c r="B105" s="1301" t="s">
        <v>1015</v>
      </c>
      <c r="C105" s="1309"/>
      <c r="D105" s="1216"/>
      <c r="E105" s="1216"/>
      <c r="F105" s="1216"/>
      <c r="G105" s="1218"/>
      <c r="H105" s="915"/>
      <c r="I105" s="1224">
        <v>0.5</v>
      </c>
      <c r="J105" s="1224">
        <v>0.5</v>
      </c>
      <c r="K105" s="1249">
        <v>1</v>
      </c>
      <c r="L105" s="915"/>
      <c r="M105" s="941" t="str">
        <f t="shared" si="70"/>
        <v/>
      </c>
      <c r="N105" s="941" t="str">
        <f t="shared" si="71"/>
        <v/>
      </c>
      <c r="O105" s="941" t="str">
        <f t="shared" si="72"/>
        <v/>
      </c>
      <c r="P105" s="940" t="str">
        <f t="shared" si="73"/>
        <v/>
      </c>
      <c r="Q105" s="916"/>
      <c r="R105" s="1293">
        <f t="shared" si="74"/>
        <v>0</v>
      </c>
    </row>
    <row r="106" spans="1:18" ht="15" customHeight="1" x14ac:dyDescent="0.2">
      <c r="A106" s="914"/>
      <c r="B106" s="1301" t="s">
        <v>976</v>
      </c>
      <c r="C106" s="1309"/>
      <c r="D106" s="1216"/>
      <c r="E106" s="1216"/>
      <c r="F106" s="1216"/>
      <c r="G106" s="1218"/>
      <c r="H106" s="915"/>
      <c r="I106" s="1224">
        <v>1</v>
      </c>
      <c r="J106" s="1224">
        <v>1</v>
      </c>
      <c r="K106" s="1249">
        <v>1</v>
      </c>
      <c r="L106" s="915"/>
      <c r="M106" s="941" t="str">
        <f t="shared" si="70"/>
        <v/>
      </c>
      <c r="N106" s="941" t="str">
        <f t="shared" si="71"/>
        <v/>
      </c>
      <c r="O106" s="941" t="str">
        <f t="shared" si="72"/>
        <v/>
      </c>
      <c r="P106" s="940" t="str">
        <f t="shared" si="73"/>
        <v/>
      </c>
      <c r="Q106" s="916"/>
      <c r="R106" s="1293">
        <f t="shared" si="74"/>
        <v>0</v>
      </c>
    </row>
    <row r="107" spans="1:18" ht="15" customHeight="1" x14ac:dyDescent="0.2">
      <c r="A107" s="914"/>
      <c r="B107" s="1236" t="s">
        <v>944</v>
      </c>
      <c r="C107" s="1311"/>
      <c r="D107" s="1215"/>
      <c r="E107" s="1215"/>
      <c r="F107" s="1215"/>
      <c r="G107" s="1261"/>
      <c r="H107" s="915"/>
      <c r="I107" s="1223"/>
      <c r="J107" s="1220"/>
      <c r="K107" s="1261"/>
      <c r="L107" s="915"/>
      <c r="M107" s="1246"/>
      <c r="N107" s="613"/>
      <c r="O107" s="613"/>
      <c r="P107" s="615"/>
      <c r="Q107" s="916"/>
    </row>
    <row r="108" spans="1:18" ht="15" customHeight="1" x14ac:dyDescent="0.2">
      <c r="A108" s="914"/>
      <c r="B108" s="1237" t="s">
        <v>940</v>
      </c>
      <c r="C108" s="1309"/>
      <c r="D108" s="1216"/>
      <c r="E108" s="1216"/>
      <c r="F108" s="1216"/>
      <c r="G108" s="1218"/>
      <c r="H108" s="915"/>
      <c r="I108" s="1224">
        <v>0.05</v>
      </c>
      <c r="J108" s="1224">
        <v>0.05</v>
      </c>
      <c r="K108" s="1249">
        <v>0.05</v>
      </c>
      <c r="L108" s="915"/>
      <c r="M108" s="941" t="str">
        <f t="shared" ref="M108" si="75">IF(AND(ISNUMBER(C108),ISNUMBER(D108),ISNUMBER(I108)),SUM(C108:D108)*I108,"")</f>
        <v/>
      </c>
      <c r="N108" s="941" t="str">
        <f>IF(AND(ISNUMBER(E108),ISNUMBER(F108),ISNUMBER(J108)),SUM(E108:F108)*J108,"")</f>
        <v/>
      </c>
      <c r="O108" s="941" t="str">
        <f>IF(AND(ISNUMBER(G108),ISNUMBER(K108)),G108*K108,"")</f>
        <v/>
      </c>
      <c r="P108" s="940" t="str">
        <f>IF(AND(ISNUMBER(M108),ISNUMBER(O108)),SUM(M108:O108),"")</f>
        <v/>
      </c>
      <c r="Q108" s="916"/>
      <c r="R108" s="1293">
        <f>IF(ISNUMBER(P108),1,0)</f>
        <v>0</v>
      </c>
    </row>
    <row r="109" spans="1:18" ht="15" customHeight="1" x14ac:dyDescent="0.2">
      <c r="A109" s="914"/>
      <c r="B109" s="1237" t="s">
        <v>941</v>
      </c>
      <c r="C109" s="1311"/>
      <c r="D109" s="1215"/>
      <c r="E109" s="1215"/>
      <c r="F109" s="1215"/>
      <c r="G109" s="1261"/>
      <c r="H109" s="915"/>
      <c r="I109" s="1223"/>
      <c r="J109" s="1220"/>
      <c r="K109" s="1261"/>
      <c r="L109" s="915"/>
      <c r="M109" s="1246"/>
      <c r="N109" s="613"/>
      <c r="O109" s="613"/>
      <c r="P109" s="615"/>
      <c r="Q109" s="916"/>
    </row>
    <row r="110" spans="1:18" ht="15" customHeight="1" x14ac:dyDescent="0.2">
      <c r="A110" s="914"/>
      <c r="B110" s="1301" t="s">
        <v>1014</v>
      </c>
      <c r="C110" s="1309"/>
      <c r="D110" s="1216"/>
      <c r="E110" s="1216"/>
      <c r="F110" s="1216"/>
      <c r="G110" s="1218"/>
      <c r="H110" s="915"/>
      <c r="I110" s="1224">
        <v>0.05</v>
      </c>
      <c r="J110" s="1224">
        <v>0.05</v>
      </c>
      <c r="K110" s="1249">
        <v>0.05</v>
      </c>
      <c r="L110" s="915"/>
      <c r="M110" s="941" t="str">
        <f t="shared" ref="M110:M112" si="76">IF(AND(ISNUMBER(C110),ISNUMBER(D110),ISNUMBER(I110)),SUM(C110:D110)*I110,"")</f>
        <v/>
      </c>
      <c r="N110" s="941" t="str">
        <f t="shared" ref="N110:N112" si="77">IF(AND(ISNUMBER(E110),ISNUMBER(F110),ISNUMBER(J110)),SUM(E110:F110)*J110,"")</f>
        <v/>
      </c>
      <c r="O110" s="941" t="str">
        <f t="shared" ref="O110:O112" si="78">IF(AND(ISNUMBER(G110),ISNUMBER(K110)),G110*K110,"")</f>
        <v/>
      </c>
      <c r="P110" s="940" t="str">
        <f t="shared" ref="P110:P112" si="79">IF(AND(ISNUMBER(M110),ISNUMBER(O110)),SUM(M110:O110),"")</f>
        <v/>
      </c>
      <c r="Q110" s="916"/>
      <c r="R110" s="1293">
        <f t="shared" ref="R110:R112" si="80">IF(ISNUMBER(P110),1,0)</f>
        <v>0</v>
      </c>
    </row>
    <row r="111" spans="1:18" ht="15" customHeight="1" x14ac:dyDescent="0.2">
      <c r="A111" s="914"/>
      <c r="B111" s="1301" t="s">
        <v>1015</v>
      </c>
      <c r="C111" s="1309"/>
      <c r="D111" s="1216"/>
      <c r="E111" s="1216"/>
      <c r="F111" s="1216"/>
      <c r="G111" s="1218"/>
      <c r="H111" s="915"/>
      <c r="I111" s="1224">
        <v>0.05</v>
      </c>
      <c r="J111" s="1224">
        <v>0.05</v>
      </c>
      <c r="K111" s="1249">
        <v>0.05</v>
      </c>
      <c r="L111" s="915"/>
      <c r="M111" s="941" t="str">
        <f t="shared" si="76"/>
        <v/>
      </c>
      <c r="N111" s="941" t="str">
        <f t="shared" si="77"/>
        <v/>
      </c>
      <c r="O111" s="941" t="str">
        <f t="shared" si="78"/>
        <v/>
      </c>
      <c r="P111" s="940" t="str">
        <f t="shared" si="79"/>
        <v/>
      </c>
      <c r="Q111" s="916"/>
      <c r="R111" s="1293">
        <f t="shared" si="80"/>
        <v>0</v>
      </c>
    </row>
    <row r="112" spans="1:18" ht="15" customHeight="1" x14ac:dyDescent="0.2">
      <c r="A112" s="914"/>
      <c r="B112" s="1301" t="s">
        <v>976</v>
      </c>
      <c r="C112" s="1309"/>
      <c r="D112" s="1216"/>
      <c r="E112" s="1216"/>
      <c r="F112" s="1216"/>
      <c r="G112" s="1218"/>
      <c r="H112" s="915"/>
      <c r="I112" s="1224">
        <v>0.05</v>
      </c>
      <c r="J112" s="1224">
        <v>0.05</v>
      </c>
      <c r="K112" s="1249">
        <v>0.05</v>
      </c>
      <c r="L112" s="915"/>
      <c r="M112" s="941" t="str">
        <f t="shared" si="76"/>
        <v/>
      </c>
      <c r="N112" s="941" t="str">
        <f t="shared" si="77"/>
        <v/>
      </c>
      <c r="O112" s="941" t="str">
        <f t="shared" si="78"/>
        <v/>
      </c>
      <c r="P112" s="940" t="str">
        <f t="shared" si="79"/>
        <v/>
      </c>
      <c r="Q112" s="916"/>
      <c r="R112" s="1293">
        <f t="shared" si="80"/>
        <v>0</v>
      </c>
    </row>
    <row r="113" spans="1:18" ht="15" customHeight="1" x14ac:dyDescent="0.2">
      <c r="A113" s="914"/>
      <c r="B113" s="1237" t="s">
        <v>942</v>
      </c>
      <c r="C113" s="1311"/>
      <c r="D113" s="1215"/>
      <c r="E113" s="1215"/>
      <c r="F113" s="1215"/>
      <c r="G113" s="1261"/>
      <c r="H113" s="915"/>
      <c r="I113" s="1223"/>
      <c r="J113" s="1220"/>
      <c r="K113" s="1261"/>
      <c r="L113" s="915"/>
      <c r="M113" s="1246"/>
      <c r="N113" s="613"/>
      <c r="O113" s="613"/>
      <c r="P113" s="615"/>
      <c r="Q113" s="916"/>
    </row>
    <row r="114" spans="1:18" ht="15" customHeight="1" x14ac:dyDescent="0.2">
      <c r="A114" s="914"/>
      <c r="B114" s="1301" t="s">
        <v>1014</v>
      </c>
      <c r="C114" s="1309"/>
      <c r="D114" s="1216"/>
      <c r="E114" s="1216"/>
      <c r="F114" s="1216"/>
      <c r="G114" s="1218"/>
      <c r="H114" s="915"/>
      <c r="I114" s="1224">
        <v>0.05</v>
      </c>
      <c r="J114" s="1224">
        <v>0.05</v>
      </c>
      <c r="K114" s="1249">
        <v>0.05</v>
      </c>
      <c r="L114" s="915"/>
      <c r="M114" s="941" t="str">
        <f t="shared" ref="M114:M116" si="81">IF(AND(ISNUMBER(C114),ISNUMBER(D114),ISNUMBER(I114)),SUM(C114:D114)*I114,"")</f>
        <v/>
      </c>
      <c r="N114" s="941" t="str">
        <f t="shared" ref="N114:N116" si="82">IF(AND(ISNUMBER(E114),ISNUMBER(F114),ISNUMBER(J114)),SUM(E114:F114)*J114,"")</f>
        <v/>
      </c>
      <c r="O114" s="941" t="str">
        <f t="shared" ref="O114:O116" si="83">IF(AND(ISNUMBER(G114),ISNUMBER(K114)),G114*K114,"")</f>
        <v/>
      </c>
      <c r="P114" s="940" t="str">
        <f t="shared" ref="P114:P116" si="84">IF(AND(ISNUMBER(M114),ISNUMBER(O114)),SUM(M114:O114),"")</f>
        <v/>
      </c>
      <c r="Q114" s="916"/>
      <c r="R114" s="1293">
        <f t="shared" ref="R114:R116" si="85">IF(ISNUMBER(P114),1,0)</f>
        <v>0</v>
      </c>
    </row>
    <row r="115" spans="1:18" ht="15" customHeight="1" x14ac:dyDescent="0.2">
      <c r="A115" s="914"/>
      <c r="B115" s="1301" t="s">
        <v>1015</v>
      </c>
      <c r="C115" s="1309"/>
      <c r="D115" s="1216"/>
      <c r="E115" s="1216"/>
      <c r="F115" s="1216"/>
      <c r="G115" s="1218"/>
      <c r="H115" s="915"/>
      <c r="I115" s="1224">
        <v>0.5</v>
      </c>
      <c r="J115" s="1224">
        <v>0.5</v>
      </c>
      <c r="K115" s="1249">
        <v>0.5</v>
      </c>
      <c r="L115" s="915"/>
      <c r="M115" s="941" t="str">
        <f t="shared" si="81"/>
        <v/>
      </c>
      <c r="N115" s="941" t="str">
        <f t="shared" si="82"/>
        <v/>
      </c>
      <c r="O115" s="941" t="str">
        <f t="shared" si="83"/>
        <v/>
      </c>
      <c r="P115" s="940" t="str">
        <f t="shared" si="84"/>
        <v/>
      </c>
      <c r="Q115" s="916"/>
      <c r="R115" s="1293">
        <f t="shared" si="85"/>
        <v>0</v>
      </c>
    </row>
    <row r="116" spans="1:18" ht="15" customHeight="1" x14ac:dyDescent="0.2">
      <c r="A116" s="914"/>
      <c r="B116" s="1301" t="s">
        <v>976</v>
      </c>
      <c r="C116" s="1309"/>
      <c r="D116" s="1216"/>
      <c r="E116" s="1216"/>
      <c r="F116" s="1216"/>
      <c r="G116" s="1218"/>
      <c r="H116" s="915"/>
      <c r="I116" s="1224">
        <v>1</v>
      </c>
      <c r="J116" s="1224">
        <v>1</v>
      </c>
      <c r="K116" s="1249">
        <v>1</v>
      </c>
      <c r="L116" s="915"/>
      <c r="M116" s="941" t="str">
        <f t="shared" si="81"/>
        <v/>
      </c>
      <c r="N116" s="941" t="str">
        <f t="shared" si="82"/>
        <v/>
      </c>
      <c r="O116" s="941" t="str">
        <f t="shared" si="83"/>
        <v/>
      </c>
      <c r="P116" s="940" t="str">
        <f t="shared" si="84"/>
        <v/>
      </c>
      <c r="Q116" s="916"/>
      <c r="R116" s="1293">
        <f t="shared" si="85"/>
        <v>0</v>
      </c>
    </row>
    <row r="117" spans="1:18" ht="15" customHeight="1" x14ac:dyDescent="0.2">
      <c r="A117" s="914"/>
      <c r="B117" s="1236" t="s">
        <v>945</v>
      </c>
      <c r="C117" s="1311"/>
      <c r="D117" s="1215"/>
      <c r="E117" s="1215"/>
      <c r="F117" s="1215"/>
      <c r="G117" s="1261"/>
      <c r="H117" s="915"/>
      <c r="I117" s="1223"/>
      <c r="J117" s="1220"/>
      <c r="K117" s="1261"/>
      <c r="L117" s="915"/>
      <c r="M117" s="1246"/>
      <c r="N117" s="613"/>
      <c r="O117" s="613"/>
      <c r="P117" s="615"/>
      <c r="Q117" s="916"/>
    </row>
    <row r="118" spans="1:18" ht="15" customHeight="1" x14ac:dyDescent="0.2">
      <c r="A118" s="914"/>
      <c r="B118" s="1237" t="s">
        <v>940</v>
      </c>
      <c r="C118" s="1309"/>
      <c r="D118" s="1216"/>
      <c r="E118" s="1216"/>
      <c r="F118" s="1216"/>
      <c r="G118" s="1218"/>
      <c r="H118" s="915"/>
      <c r="I118" s="1224">
        <v>0.15</v>
      </c>
      <c r="J118" s="1224">
        <v>0.15</v>
      </c>
      <c r="K118" s="1249">
        <v>0.15</v>
      </c>
      <c r="L118" s="915"/>
      <c r="M118" s="941" t="str">
        <f>IF(AND(ISNUMBER(C118),ISNUMBER(D118),ISNUMBER(I118)),SUM(C118:D118)*I118,"")</f>
        <v/>
      </c>
      <c r="N118" s="941" t="str">
        <f>IF(AND(ISNUMBER(E118),ISNUMBER(F118),ISNUMBER(J118)),SUM(E118:F118)*J118,"")</f>
        <v/>
      </c>
      <c r="O118" s="941" t="str">
        <f>IF(AND(ISNUMBER(G118),ISNUMBER(K118)),G118*K118,"")</f>
        <v/>
      </c>
      <c r="P118" s="940" t="str">
        <f>IF(AND(ISNUMBER(M118),ISNUMBER(O118)),SUM(M118:O118),"")</f>
        <v/>
      </c>
      <c r="Q118" s="916"/>
      <c r="R118" s="1293">
        <f>IF(ISNUMBER(P118),1,0)</f>
        <v>0</v>
      </c>
    </row>
    <row r="119" spans="1:18" ht="15" customHeight="1" x14ac:dyDescent="0.2">
      <c r="A119" s="914"/>
      <c r="B119" s="1237" t="s">
        <v>941</v>
      </c>
      <c r="C119" s="1311"/>
      <c r="D119" s="1215"/>
      <c r="E119" s="1215"/>
      <c r="F119" s="1215"/>
      <c r="G119" s="1261"/>
      <c r="H119" s="915"/>
      <c r="I119" s="1223"/>
      <c r="J119" s="1220"/>
      <c r="K119" s="1261"/>
      <c r="L119" s="915"/>
      <c r="M119" s="1246"/>
      <c r="N119" s="613"/>
      <c r="O119" s="613"/>
      <c r="P119" s="615"/>
      <c r="Q119" s="916"/>
    </row>
    <row r="120" spans="1:18" ht="15" customHeight="1" x14ac:dyDescent="0.2">
      <c r="A120" s="914"/>
      <c r="B120" s="1301" t="s">
        <v>1014</v>
      </c>
      <c r="C120" s="1309"/>
      <c r="D120" s="1216"/>
      <c r="E120" s="1216"/>
      <c r="F120" s="1216"/>
      <c r="G120" s="1218"/>
      <c r="H120" s="915"/>
      <c r="I120" s="1224">
        <v>0.15</v>
      </c>
      <c r="J120" s="1224">
        <v>0.15</v>
      </c>
      <c r="K120" s="1249">
        <v>0.15</v>
      </c>
      <c r="L120" s="915"/>
      <c r="M120" s="941" t="str">
        <f t="shared" ref="M120:M122" si="86">IF(AND(ISNUMBER(C120),ISNUMBER(D120),ISNUMBER(I120)),SUM(C120:D120)*I120,"")</f>
        <v/>
      </c>
      <c r="N120" s="941" t="str">
        <f t="shared" ref="N120:N122" si="87">IF(AND(ISNUMBER(E120),ISNUMBER(F120),ISNUMBER(J120)),SUM(E120:F120)*J120,"")</f>
        <v/>
      </c>
      <c r="O120" s="941" t="str">
        <f>IF(AND(ISNUMBER(G120),ISNUMBER(K120)),G120*K120,"")</f>
        <v/>
      </c>
      <c r="P120" s="940" t="str">
        <f t="shared" ref="P120:P122" si="88">IF(AND(ISNUMBER(M120),ISNUMBER(O120)),SUM(M120:O120),"")</f>
        <v/>
      </c>
      <c r="Q120" s="916"/>
      <c r="R120" s="1293">
        <f t="shared" ref="R120:R122" si="89">IF(ISNUMBER(P120),1,0)</f>
        <v>0</v>
      </c>
    </row>
    <row r="121" spans="1:18" ht="15" customHeight="1" x14ac:dyDescent="0.2">
      <c r="A121" s="914"/>
      <c r="B121" s="1301" t="s">
        <v>1015</v>
      </c>
      <c r="C121" s="1309"/>
      <c r="D121" s="1216"/>
      <c r="E121" s="1216"/>
      <c r="F121" s="1216"/>
      <c r="G121" s="1218"/>
      <c r="H121" s="915"/>
      <c r="I121" s="1224">
        <v>0.15</v>
      </c>
      <c r="J121" s="1224">
        <v>0.15</v>
      </c>
      <c r="K121" s="1249">
        <v>0.15</v>
      </c>
      <c r="L121" s="915"/>
      <c r="M121" s="941" t="str">
        <f t="shared" si="86"/>
        <v/>
      </c>
      <c r="N121" s="941" t="str">
        <f t="shared" si="87"/>
        <v/>
      </c>
      <c r="O121" s="941" t="str">
        <f>IF(AND(ISNUMBER(G121),ISNUMBER(K121)),G121*K121,"")</f>
        <v/>
      </c>
      <c r="P121" s="940" t="str">
        <f t="shared" si="88"/>
        <v/>
      </c>
      <c r="Q121" s="916"/>
      <c r="R121" s="1293">
        <f t="shared" si="89"/>
        <v>0</v>
      </c>
    </row>
    <row r="122" spans="1:18" ht="15" customHeight="1" x14ac:dyDescent="0.2">
      <c r="A122" s="914"/>
      <c r="B122" s="1301" t="s">
        <v>976</v>
      </c>
      <c r="C122" s="1309"/>
      <c r="D122" s="1216"/>
      <c r="E122" s="1216"/>
      <c r="F122" s="1216"/>
      <c r="G122" s="1218"/>
      <c r="H122" s="915"/>
      <c r="I122" s="1224">
        <v>0.15</v>
      </c>
      <c r="J122" s="1224">
        <v>0.15</v>
      </c>
      <c r="K122" s="1249">
        <v>0.15</v>
      </c>
      <c r="L122" s="915"/>
      <c r="M122" s="941" t="str">
        <f t="shared" si="86"/>
        <v/>
      </c>
      <c r="N122" s="941" t="str">
        <f t="shared" si="87"/>
        <v/>
      </c>
      <c r="O122" s="941" t="str">
        <f>IF(AND(ISNUMBER(G122),ISNUMBER(K122)),G122*K122,"")</f>
        <v/>
      </c>
      <c r="P122" s="940" t="str">
        <f t="shared" si="88"/>
        <v/>
      </c>
      <c r="Q122" s="916"/>
      <c r="R122" s="1293">
        <f t="shared" si="89"/>
        <v>0</v>
      </c>
    </row>
    <row r="123" spans="1:18" ht="15" customHeight="1" x14ac:dyDescent="0.2">
      <c r="A123" s="914"/>
      <c r="B123" s="1237" t="s">
        <v>942</v>
      </c>
      <c r="C123" s="1311"/>
      <c r="D123" s="1215"/>
      <c r="E123" s="1215"/>
      <c r="F123" s="1215"/>
      <c r="G123" s="1261"/>
      <c r="H123" s="915"/>
      <c r="I123" s="1223"/>
      <c r="J123" s="1220"/>
      <c r="K123" s="1261"/>
      <c r="L123" s="915"/>
      <c r="M123" s="1246"/>
      <c r="N123" s="613"/>
      <c r="O123" s="613"/>
      <c r="P123" s="615"/>
      <c r="Q123" s="916"/>
    </row>
    <row r="124" spans="1:18" ht="15" customHeight="1" x14ac:dyDescent="0.2">
      <c r="A124" s="914"/>
      <c r="B124" s="1301" t="s">
        <v>1014</v>
      </c>
      <c r="C124" s="1309"/>
      <c r="D124" s="1216"/>
      <c r="E124" s="1216"/>
      <c r="F124" s="1216"/>
      <c r="G124" s="1218"/>
      <c r="H124" s="915"/>
      <c r="I124" s="1224">
        <v>0.15</v>
      </c>
      <c r="J124" s="1224">
        <v>0.15</v>
      </c>
      <c r="K124" s="1249">
        <v>0.15</v>
      </c>
      <c r="L124" s="915"/>
      <c r="M124" s="941" t="str">
        <f t="shared" ref="M124:M126" si="90">IF(AND(ISNUMBER(C124),ISNUMBER(D124),ISNUMBER(I124)),SUM(C124:D124)*I124,"")</f>
        <v/>
      </c>
      <c r="N124" s="941" t="str">
        <f t="shared" ref="N124:N126" si="91">IF(AND(ISNUMBER(E124),ISNUMBER(F124),ISNUMBER(J124)),SUM(E124:F124)*J124,"")</f>
        <v/>
      </c>
      <c r="O124" s="941" t="str">
        <f>IF(AND(ISNUMBER(G124),ISNUMBER(K124)),G124*K124,"")</f>
        <v/>
      </c>
      <c r="P124" s="940" t="str">
        <f t="shared" ref="P124:P126" si="92">IF(AND(ISNUMBER(M124),ISNUMBER(O124)),SUM(M124:O124),"")</f>
        <v/>
      </c>
      <c r="Q124" s="916"/>
      <c r="R124" s="1293">
        <f t="shared" ref="R124:R126" si="93">IF(ISNUMBER(P124),1,0)</f>
        <v>0</v>
      </c>
    </row>
    <row r="125" spans="1:18" ht="15" customHeight="1" x14ac:dyDescent="0.2">
      <c r="A125" s="914"/>
      <c r="B125" s="1301" t="s">
        <v>1015</v>
      </c>
      <c r="C125" s="1309"/>
      <c r="D125" s="1216"/>
      <c r="E125" s="1216"/>
      <c r="F125" s="1216"/>
      <c r="G125" s="1218"/>
      <c r="H125" s="915"/>
      <c r="I125" s="1224">
        <v>0.5</v>
      </c>
      <c r="J125" s="1224">
        <v>0.5</v>
      </c>
      <c r="K125" s="1249">
        <v>0.5</v>
      </c>
      <c r="L125" s="915"/>
      <c r="M125" s="941" t="str">
        <f t="shared" si="90"/>
        <v/>
      </c>
      <c r="N125" s="941" t="str">
        <f t="shared" si="91"/>
        <v/>
      </c>
      <c r="O125" s="941" t="str">
        <f>IF(AND(ISNUMBER(G125),ISNUMBER(K125)),G125*K125,"")</f>
        <v/>
      </c>
      <c r="P125" s="940" t="str">
        <f t="shared" si="92"/>
        <v/>
      </c>
      <c r="Q125" s="916"/>
      <c r="R125" s="1293">
        <f t="shared" si="93"/>
        <v>0</v>
      </c>
    </row>
    <row r="126" spans="1:18" ht="15" customHeight="1" x14ac:dyDescent="0.2">
      <c r="A126" s="914"/>
      <c r="B126" s="1301" t="s">
        <v>976</v>
      </c>
      <c r="C126" s="1309"/>
      <c r="D126" s="1216"/>
      <c r="E126" s="1216"/>
      <c r="F126" s="1216"/>
      <c r="G126" s="1218"/>
      <c r="H126" s="915"/>
      <c r="I126" s="1224">
        <v>1</v>
      </c>
      <c r="J126" s="1224">
        <v>1</v>
      </c>
      <c r="K126" s="1249">
        <v>1</v>
      </c>
      <c r="L126" s="915"/>
      <c r="M126" s="941" t="str">
        <f t="shared" si="90"/>
        <v/>
      </c>
      <c r="N126" s="941" t="str">
        <f t="shared" si="91"/>
        <v/>
      </c>
      <c r="O126" s="941" t="str">
        <f>IF(AND(ISNUMBER(G126),ISNUMBER(K126)),G126*K126,"")</f>
        <v/>
      </c>
      <c r="P126" s="940" t="str">
        <f t="shared" si="92"/>
        <v/>
      </c>
      <c r="Q126" s="916"/>
      <c r="R126" s="1293">
        <f t="shared" si="93"/>
        <v>0</v>
      </c>
    </row>
    <row r="127" spans="1:18" ht="15" customHeight="1" x14ac:dyDescent="0.2">
      <c r="A127" s="914"/>
      <c r="B127" s="1236" t="s">
        <v>946</v>
      </c>
      <c r="C127" s="1311"/>
      <c r="D127" s="1215"/>
      <c r="E127" s="1215"/>
      <c r="F127" s="1215"/>
      <c r="G127" s="1261"/>
      <c r="H127" s="915"/>
      <c r="I127" s="1223"/>
      <c r="J127" s="1220"/>
      <c r="K127" s="1261"/>
      <c r="L127" s="915"/>
      <c r="M127" s="1246"/>
      <c r="N127" s="613"/>
      <c r="O127" s="613"/>
      <c r="P127" s="615"/>
      <c r="Q127" s="916"/>
    </row>
    <row r="128" spans="1:18" ht="15" customHeight="1" x14ac:dyDescent="0.2">
      <c r="A128" s="914"/>
      <c r="B128" s="1237" t="s">
        <v>940</v>
      </c>
      <c r="C128" s="1309"/>
      <c r="D128" s="1216"/>
      <c r="E128" s="1216"/>
      <c r="F128" s="1216"/>
      <c r="G128" s="1218"/>
      <c r="H128" s="915"/>
      <c r="I128" s="1224">
        <v>0.5</v>
      </c>
      <c r="J128" s="1224">
        <v>0.5</v>
      </c>
      <c r="K128" s="1249">
        <v>0.5</v>
      </c>
      <c r="L128" s="915"/>
      <c r="M128" s="941" t="str">
        <f>IF(AND(ISNUMBER(C128),ISNUMBER(D128),ISNUMBER(I128)),SUM(C128:D128)*I128,"")</f>
        <v/>
      </c>
      <c r="N128" s="941" t="str">
        <f>IF(AND(ISNUMBER(E128),ISNUMBER(F128),ISNUMBER(J128)),SUM(E128:F128)*J128,"")</f>
        <v/>
      </c>
      <c r="O128" s="941" t="str">
        <f>IF(AND(ISNUMBER(G128),ISNUMBER(K128)),G128*K128,"")</f>
        <v/>
      </c>
      <c r="P128" s="940" t="str">
        <f>IF(AND(ISNUMBER(M128),ISNUMBER(O128)),SUM(M128:O128),"")</f>
        <v/>
      </c>
      <c r="Q128" s="916"/>
      <c r="R128" s="1293">
        <f>IF(ISNUMBER(P128),1,0)</f>
        <v>0</v>
      </c>
    </row>
    <row r="129" spans="1:18" ht="15" customHeight="1" x14ac:dyDescent="0.2">
      <c r="A129" s="914"/>
      <c r="B129" s="1237" t="s">
        <v>941</v>
      </c>
      <c r="C129" s="1311"/>
      <c r="D129" s="1215"/>
      <c r="E129" s="1215"/>
      <c r="F129" s="1215"/>
      <c r="G129" s="1261"/>
      <c r="H129" s="915"/>
      <c r="I129" s="1223"/>
      <c r="J129" s="1220"/>
      <c r="K129" s="1261"/>
      <c r="L129" s="915"/>
      <c r="M129" s="1246"/>
      <c r="N129" s="613"/>
      <c r="O129" s="613"/>
      <c r="P129" s="615"/>
      <c r="Q129" s="916"/>
    </row>
    <row r="130" spans="1:18" ht="15" customHeight="1" x14ac:dyDescent="0.2">
      <c r="A130" s="914"/>
      <c r="B130" s="1301" t="s">
        <v>1014</v>
      </c>
      <c r="C130" s="1309"/>
      <c r="D130" s="1216"/>
      <c r="E130" s="1216"/>
      <c r="F130" s="1216"/>
      <c r="G130" s="1218"/>
      <c r="H130" s="915"/>
      <c r="I130" s="1224">
        <v>0.5</v>
      </c>
      <c r="J130" s="1224">
        <v>0.5</v>
      </c>
      <c r="K130" s="1249">
        <v>0.5</v>
      </c>
      <c r="L130" s="915"/>
      <c r="M130" s="941" t="str">
        <f t="shared" ref="M130:M132" si="94">IF(AND(ISNUMBER(C130),ISNUMBER(D130),ISNUMBER(I130)),SUM(C130:D130)*I130,"")</f>
        <v/>
      </c>
      <c r="N130" s="941" t="str">
        <f t="shared" ref="N130:N132" si="95">IF(AND(ISNUMBER(E130),ISNUMBER(F130),ISNUMBER(J130)),SUM(E130:F130)*J130,"")</f>
        <v/>
      </c>
      <c r="O130" s="941" t="str">
        <f>IF(AND(ISNUMBER(G130),ISNUMBER(K130)),G130*K130,"")</f>
        <v/>
      </c>
      <c r="P130" s="940" t="str">
        <f t="shared" ref="P130:P132" si="96">IF(AND(ISNUMBER(M130),ISNUMBER(O130)),SUM(M130:O130),"")</f>
        <v/>
      </c>
      <c r="Q130" s="916"/>
      <c r="R130" s="1293">
        <f t="shared" ref="R130:R132" si="97">IF(ISNUMBER(P130),1,0)</f>
        <v>0</v>
      </c>
    </row>
    <row r="131" spans="1:18" ht="15" customHeight="1" x14ac:dyDescent="0.2">
      <c r="A131" s="914"/>
      <c r="B131" s="1301" t="s">
        <v>1015</v>
      </c>
      <c r="C131" s="1309"/>
      <c r="D131" s="1216"/>
      <c r="E131" s="1216"/>
      <c r="F131" s="1216"/>
      <c r="G131" s="1218"/>
      <c r="H131" s="915"/>
      <c r="I131" s="1224">
        <v>0.5</v>
      </c>
      <c r="J131" s="1224">
        <v>0.5</v>
      </c>
      <c r="K131" s="1249">
        <v>0.5</v>
      </c>
      <c r="L131" s="915"/>
      <c r="M131" s="941" t="str">
        <f t="shared" si="94"/>
        <v/>
      </c>
      <c r="N131" s="941" t="str">
        <f t="shared" si="95"/>
        <v/>
      </c>
      <c r="O131" s="941" t="str">
        <f>IF(AND(ISNUMBER(G131),ISNUMBER(K131)),G131*K131,"")</f>
        <v/>
      </c>
      <c r="P131" s="940" t="str">
        <f t="shared" si="96"/>
        <v/>
      </c>
      <c r="Q131" s="916"/>
      <c r="R131" s="1293">
        <f t="shared" si="97"/>
        <v>0</v>
      </c>
    </row>
    <row r="132" spans="1:18" ht="15" customHeight="1" x14ac:dyDescent="0.2">
      <c r="A132" s="914"/>
      <c r="B132" s="1301" t="s">
        <v>976</v>
      </c>
      <c r="C132" s="1309"/>
      <c r="D132" s="1216"/>
      <c r="E132" s="1216"/>
      <c r="F132" s="1216"/>
      <c r="G132" s="1218"/>
      <c r="H132" s="915"/>
      <c r="I132" s="1224">
        <v>0.5</v>
      </c>
      <c r="J132" s="1224">
        <v>0.5</v>
      </c>
      <c r="K132" s="1249">
        <v>0.5</v>
      </c>
      <c r="L132" s="915"/>
      <c r="M132" s="941" t="str">
        <f t="shared" si="94"/>
        <v/>
      </c>
      <c r="N132" s="941" t="str">
        <f t="shared" si="95"/>
        <v/>
      </c>
      <c r="O132" s="941" t="str">
        <f>IF(AND(ISNUMBER(G132),ISNUMBER(K132)),G132*K132,"")</f>
        <v/>
      </c>
      <c r="P132" s="940" t="str">
        <f t="shared" si="96"/>
        <v/>
      </c>
      <c r="Q132" s="916"/>
      <c r="R132" s="1293">
        <f t="shared" si="97"/>
        <v>0</v>
      </c>
    </row>
    <row r="133" spans="1:18" ht="15" customHeight="1" x14ac:dyDescent="0.2">
      <c r="A133" s="914"/>
      <c r="B133" s="1237" t="s">
        <v>942</v>
      </c>
      <c r="C133" s="1311"/>
      <c r="D133" s="1215"/>
      <c r="E133" s="1215"/>
      <c r="F133" s="1215"/>
      <c r="G133" s="1261"/>
      <c r="H133" s="915"/>
      <c r="I133" s="1223"/>
      <c r="J133" s="1220"/>
      <c r="K133" s="1261"/>
      <c r="L133" s="915"/>
      <c r="M133" s="1246"/>
      <c r="N133" s="613"/>
      <c r="O133" s="613"/>
      <c r="P133" s="615"/>
      <c r="Q133" s="916"/>
    </row>
    <row r="134" spans="1:18" ht="15" customHeight="1" x14ac:dyDescent="0.2">
      <c r="A134" s="914"/>
      <c r="B134" s="1301" t="s">
        <v>1014</v>
      </c>
      <c r="C134" s="1309"/>
      <c r="D134" s="1216"/>
      <c r="E134" s="1216"/>
      <c r="F134" s="1216"/>
      <c r="G134" s="1218"/>
      <c r="H134" s="915"/>
      <c r="I134" s="1224">
        <v>0.5</v>
      </c>
      <c r="J134" s="1224">
        <v>0.5</v>
      </c>
      <c r="K134" s="1249">
        <v>0.5</v>
      </c>
      <c r="L134" s="915"/>
      <c r="M134" s="941" t="str">
        <f t="shared" ref="M134:M136" si="98">IF(AND(ISNUMBER(C134),ISNUMBER(D134),ISNUMBER(I134)),SUM(C134:D134)*I134,"")</f>
        <v/>
      </c>
      <c r="N134" s="941" t="str">
        <f t="shared" ref="N134:N136" si="99">IF(AND(ISNUMBER(E134),ISNUMBER(F134),ISNUMBER(J134)),SUM(E134:F134)*J134,"")</f>
        <v/>
      </c>
      <c r="O134" s="941" t="str">
        <f>IF(AND(ISNUMBER(G134),ISNUMBER(K134)),G134*K134,"")</f>
        <v/>
      </c>
      <c r="P134" s="940" t="str">
        <f t="shared" ref="P134:P136" si="100">IF(AND(ISNUMBER(M134),ISNUMBER(O134)),SUM(M134:O134),"")</f>
        <v/>
      </c>
      <c r="Q134" s="916"/>
      <c r="R134" s="1293">
        <f t="shared" ref="R134:R136" si="101">IF(ISNUMBER(P134),1,0)</f>
        <v>0</v>
      </c>
    </row>
    <row r="135" spans="1:18" ht="15" customHeight="1" x14ac:dyDescent="0.2">
      <c r="A135" s="914"/>
      <c r="B135" s="1301" t="s">
        <v>1015</v>
      </c>
      <c r="C135" s="1309"/>
      <c r="D135" s="1216"/>
      <c r="E135" s="1216"/>
      <c r="F135" s="1216"/>
      <c r="G135" s="1218"/>
      <c r="H135" s="915"/>
      <c r="I135" s="1224">
        <v>0.5</v>
      </c>
      <c r="J135" s="1224">
        <v>0.5</v>
      </c>
      <c r="K135" s="1249">
        <v>0.5</v>
      </c>
      <c r="L135" s="915"/>
      <c r="M135" s="941" t="str">
        <f t="shared" si="98"/>
        <v/>
      </c>
      <c r="N135" s="941" t="str">
        <f t="shared" si="99"/>
        <v/>
      </c>
      <c r="O135" s="941" t="str">
        <f>IF(AND(ISNUMBER(G135),ISNUMBER(K135)),G135*K135,"")</f>
        <v/>
      </c>
      <c r="P135" s="940" t="str">
        <f t="shared" si="100"/>
        <v/>
      </c>
      <c r="Q135" s="916"/>
      <c r="R135" s="1293">
        <f t="shared" si="101"/>
        <v>0</v>
      </c>
    </row>
    <row r="136" spans="1:18" ht="15" customHeight="1" x14ac:dyDescent="0.2">
      <c r="A136" s="914"/>
      <c r="B136" s="1301" t="s">
        <v>976</v>
      </c>
      <c r="C136" s="1309"/>
      <c r="D136" s="1216"/>
      <c r="E136" s="1216"/>
      <c r="F136" s="1216"/>
      <c r="G136" s="1218"/>
      <c r="H136" s="915"/>
      <c r="I136" s="1224">
        <v>1</v>
      </c>
      <c r="J136" s="1224">
        <v>1</v>
      </c>
      <c r="K136" s="1249">
        <v>1</v>
      </c>
      <c r="L136" s="915"/>
      <c r="M136" s="941" t="str">
        <f t="shared" si="98"/>
        <v/>
      </c>
      <c r="N136" s="941" t="str">
        <f t="shared" si="99"/>
        <v/>
      </c>
      <c r="O136" s="941" t="str">
        <f>IF(AND(ISNUMBER(G136),ISNUMBER(K136)),G136*K136,"")</f>
        <v/>
      </c>
      <c r="P136" s="940" t="str">
        <f t="shared" si="100"/>
        <v/>
      </c>
      <c r="Q136" s="916"/>
      <c r="R136" s="1293">
        <f t="shared" si="101"/>
        <v>0</v>
      </c>
    </row>
    <row r="137" spans="1:18" ht="15" customHeight="1" x14ac:dyDescent="0.2">
      <c r="A137" s="914"/>
      <c r="B137" s="1240" t="s">
        <v>1018</v>
      </c>
      <c r="C137" s="1311"/>
      <c r="D137" s="1215"/>
      <c r="E137" s="1215"/>
      <c r="F137" s="1215"/>
      <c r="G137" s="1261"/>
      <c r="H137" s="915"/>
      <c r="I137" s="1223"/>
      <c r="J137" s="1220"/>
      <c r="K137" s="1261"/>
      <c r="L137" s="915"/>
      <c r="M137" s="1246"/>
      <c r="N137" s="613"/>
      <c r="O137" s="613"/>
      <c r="P137" s="615"/>
      <c r="Q137" s="916"/>
    </row>
    <row r="138" spans="1:18" ht="15" customHeight="1" x14ac:dyDescent="0.2">
      <c r="A138" s="914"/>
      <c r="B138" s="1237" t="s">
        <v>940</v>
      </c>
      <c r="C138" s="1309"/>
      <c r="D138" s="1216"/>
      <c r="E138" s="1216"/>
      <c r="F138" s="1216"/>
      <c r="G138" s="1218"/>
      <c r="H138" s="915"/>
      <c r="I138" s="1224">
        <v>0.5</v>
      </c>
      <c r="J138" s="1224">
        <v>0.5</v>
      </c>
      <c r="K138" s="1249">
        <v>1</v>
      </c>
      <c r="L138" s="915"/>
      <c r="M138" s="941" t="str">
        <f>IF(AND(ISNUMBER(C138),ISNUMBER(D138),ISNUMBER(I138)),SUM(C138:D138)*I138,"")</f>
        <v/>
      </c>
      <c r="N138" s="941" t="str">
        <f>IF(AND(ISNUMBER(E138),ISNUMBER(F138),ISNUMBER(J138)),SUM(E138:F138)*J138,"")</f>
        <v/>
      </c>
      <c r="O138" s="941" t="str">
        <f>IF(AND(ISNUMBER(G138),ISNUMBER(K138)),G138*K138,"")</f>
        <v/>
      </c>
      <c r="P138" s="940" t="str">
        <f>IF(AND(ISNUMBER(M138),ISNUMBER(O138)),SUM(M138:O138),"")</f>
        <v/>
      </c>
      <c r="Q138" s="916"/>
      <c r="R138" s="1293">
        <f>IF(ISNUMBER(P138),1,0)</f>
        <v>0</v>
      </c>
    </row>
    <row r="139" spans="1:18" ht="15" customHeight="1" x14ac:dyDescent="0.2">
      <c r="A139" s="914"/>
      <c r="B139" s="1237" t="s">
        <v>941</v>
      </c>
      <c r="C139" s="1311"/>
      <c r="D139" s="1215"/>
      <c r="E139" s="1215"/>
      <c r="F139" s="1215"/>
      <c r="G139" s="1261"/>
      <c r="H139" s="915"/>
      <c r="I139" s="1223"/>
      <c r="J139" s="1220"/>
      <c r="K139" s="1261"/>
      <c r="L139" s="915"/>
      <c r="M139" s="1246"/>
      <c r="N139" s="613"/>
      <c r="O139" s="613"/>
      <c r="P139" s="615"/>
      <c r="Q139" s="916"/>
    </row>
    <row r="140" spans="1:18" ht="15" customHeight="1" x14ac:dyDescent="0.2">
      <c r="A140" s="914"/>
      <c r="B140" s="1301" t="s">
        <v>1014</v>
      </c>
      <c r="C140" s="1309"/>
      <c r="D140" s="1216"/>
      <c r="E140" s="1216"/>
      <c r="F140" s="1216"/>
      <c r="G140" s="1218"/>
      <c r="H140" s="915"/>
      <c r="I140" s="1224">
        <v>0.5</v>
      </c>
      <c r="J140" s="1224">
        <v>0.5</v>
      </c>
      <c r="K140" s="1249">
        <v>1</v>
      </c>
      <c r="L140" s="915"/>
      <c r="M140" s="941" t="str">
        <f>IF(AND(ISNUMBER(C140),ISNUMBER(D140),ISNUMBER(I140)),SUM(C140:D140)*I140,"")</f>
        <v/>
      </c>
      <c r="N140" s="941" t="str">
        <f>IF(AND(ISNUMBER(E140),ISNUMBER(F140),ISNUMBER(J140)),SUM(E140:F140)*J140,"")</f>
        <v/>
      </c>
      <c r="O140" s="941" t="str">
        <f>IF(AND(ISNUMBER(G140),ISNUMBER(K140)),G140*K140,"")</f>
        <v/>
      </c>
      <c r="P140" s="940" t="str">
        <f t="shared" ref="P140:P142" si="102">IF(AND(ISNUMBER(M140),ISNUMBER(O140)),SUM(M140:O140),"")</f>
        <v/>
      </c>
      <c r="Q140" s="916"/>
      <c r="R140" s="1293">
        <f t="shared" ref="R140:R142" si="103">IF(ISNUMBER(P140),1,0)</f>
        <v>0</v>
      </c>
    </row>
    <row r="141" spans="1:18" ht="15" customHeight="1" x14ac:dyDescent="0.2">
      <c r="A141" s="914"/>
      <c r="B141" s="1301" t="s">
        <v>1015</v>
      </c>
      <c r="C141" s="1309"/>
      <c r="D141" s="1216"/>
      <c r="E141" s="1216"/>
      <c r="F141" s="1216"/>
      <c r="G141" s="1218"/>
      <c r="H141" s="915"/>
      <c r="I141" s="1224">
        <v>0.5</v>
      </c>
      <c r="J141" s="1224">
        <v>0.5</v>
      </c>
      <c r="K141" s="1249">
        <v>1</v>
      </c>
      <c r="L141" s="915"/>
      <c r="M141" s="941" t="str">
        <f>IF(AND(ISNUMBER(C141),ISNUMBER(D141),ISNUMBER(I141)),SUM(C141:D141)*I141,"")</f>
        <v/>
      </c>
      <c r="N141" s="941" t="str">
        <f>IF(AND(ISNUMBER(E141),ISNUMBER(F141),ISNUMBER(J141)),SUM(E141:F141)*J141,"")</f>
        <v/>
      </c>
      <c r="O141" s="941" t="str">
        <f>IF(AND(ISNUMBER(G141),ISNUMBER(K141)),G141*K141,"")</f>
        <v/>
      </c>
      <c r="P141" s="940" t="str">
        <f t="shared" si="102"/>
        <v/>
      </c>
      <c r="Q141" s="916"/>
      <c r="R141" s="1293">
        <f t="shared" si="103"/>
        <v>0</v>
      </c>
    </row>
    <row r="142" spans="1:18" ht="15" customHeight="1" x14ac:dyDescent="0.2">
      <c r="A142" s="914"/>
      <c r="B142" s="1301" t="s">
        <v>976</v>
      </c>
      <c r="C142" s="1309"/>
      <c r="D142" s="1216"/>
      <c r="E142" s="1216"/>
      <c r="F142" s="1216"/>
      <c r="G142" s="1218"/>
      <c r="H142" s="915"/>
      <c r="I142" s="1224">
        <v>0.5</v>
      </c>
      <c r="J142" s="1224">
        <v>0.5</v>
      </c>
      <c r="K142" s="1249">
        <v>1</v>
      </c>
      <c r="L142" s="915"/>
      <c r="M142" s="941" t="str">
        <f>IF(AND(ISNUMBER(C142),ISNUMBER(D142),ISNUMBER(I142)),SUM(C142:D142)*I142,"")</f>
        <v/>
      </c>
      <c r="N142" s="941" t="str">
        <f>IF(AND(ISNUMBER(E142),ISNUMBER(F142),ISNUMBER(J142)),SUM(E142:F142)*J142,"")</f>
        <v/>
      </c>
      <c r="O142" s="941" t="str">
        <f>IF(AND(ISNUMBER(G142),ISNUMBER(K142)),G142*K142,"")</f>
        <v/>
      </c>
      <c r="P142" s="940" t="str">
        <f t="shared" si="102"/>
        <v/>
      </c>
      <c r="Q142" s="916"/>
      <c r="R142" s="1293">
        <f t="shared" si="103"/>
        <v>0</v>
      </c>
    </row>
    <row r="143" spans="1:18" ht="15" customHeight="1" x14ac:dyDescent="0.2">
      <c r="A143" s="914"/>
      <c r="B143" s="1237" t="s">
        <v>942</v>
      </c>
      <c r="C143" s="1311"/>
      <c r="D143" s="1215"/>
      <c r="E143" s="1215"/>
      <c r="F143" s="1215"/>
      <c r="G143" s="1261"/>
      <c r="H143" s="915"/>
      <c r="I143" s="1223"/>
      <c r="J143" s="1220"/>
      <c r="K143" s="1261"/>
      <c r="L143" s="915"/>
      <c r="M143" s="1246"/>
      <c r="N143" s="613"/>
      <c r="O143" s="613"/>
      <c r="P143" s="615"/>
      <c r="Q143" s="916"/>
    </row>
    <row r="144" spans="1:18" ht="15" customHeight="1" x14ac:dyDescent="0.2">
      <c r="A144" s="914"/>
      <c r="B144" s="1301" t="s">
        <v>1014</v>
      </c>
      <c r="C144" s="1309"/>
      <c r="D144" s="1216"/>
      <c r="E144" s="1216"/>
      <c r="F144" s="1216"/>
      <c r="G144" s="1218"/>
      <c r="H144" s="915"/>
      <c r="I144" s="1224">
        <v>0.5</v>
      </c>
      <c r="J144" s="1224">
        <v>0.5</v>
      </c>
      <c r="K144" s="1249">
        <v>1</v>
      </c>
      <c r="L144" s="915"/>
      <c r="M144" s="941" t="str">
        <f>IF(AND(ISNUMBER(C144),ISNUMBER(D144),ISNUMBER(I144)),SUM(C144:D144)*I144,"")</f>
        <v/>
      </c>
      <c r="N144" s="941" t="str">
        <f>IF(AND(ISNUMBER(E144),ISNUMBER(F144),ISNUMBER(J144)),SUM(E144:F144)*J144,"")</f>
        <v/>
      </c>
      <c r="O144" s="941" t="str">
        <f>IF(AND(ISNUMBER(G144),ISNUMBER(K144)),G144*K144,"")</f>
        <v/>
      </c>
      <c r="P144" s="940" t="str">
        <f t="shared" ref="P144:P146" si="104">IF(AND(ISNUMBER(M144),ISNUMBER(O144)),SUM(M144:O144),"")</f>
        <v/>
      </c>
      <c r="Q144" s="916"/>
      <c r="R144" s="1293">
        <f t="shared" ref="R144:R146" si="105">IF(ISNUMBER(P144),1,0)</f>
        <v>0</v>
      </c>
    </row>
    <row r="145" spans="1:18" ht="15" customHeight="1" x14ac:dyDescent="0.2">
      <c r="A145" s="914"/>
      <c r="B145" s="1301" t="s">
        <v>1015</v>
      </c>
      <c r="C145" s="1309"/>
      <c r="D145" s="1216"/>
      <c r="E145" s="1216"/>
      <c r="F145" s="1216"/>
      <c r="G145" s="1218"/>
      <c r="H145" s="915"/>
      <c r="I145" s="1224">
        <v>0.5</v>
      </c>
      <c r="J145" s="1224">
        <v>0.5</v>
      </c>
      <c r="K145" s="1249">
        <v>1</v>
      </c>
      <c r="L145" s="915"/>
      <c r="M145" s="941" t="str">
        <f>IF(AND(ISNUMBER(C145),ISNUMBER(D145),ISNUMBER(I145)),SUM(C145:D145)*I145,"")</f>
        <v/>
      </c>
      <c r="N145" s="941" t="str">
        <f>IF(AND(ISNUMBER(E145),ISNUMBER(F145),ISNUMBER(J145)),SUM(E145:F145)*J145,"")</f>
        <v/>
      </c>
      <c r="O145" s="941" t="str">
        <f>IF(AND(ISNUMBER(G145),ISNUMBER(K145)),G145*K145,"")</f>
        <v/>
      </c>
      <c r="P145" s="940" t="str">
        <f t="shared" si="104"/>
        <v/>
      </c>
      <c r="Q145" s="916"/>
      <c r="R145" s="1293">
        <f t="shared" si="105"/>
        <v>0</v>
      </c>
    </row>
    <row r="146" spans="1:18" ht="15" customHeight="1" x14ac:dyDescent="0.2">
      <c r="A146" s="914"/>
      <c r="B146" s="1301" t="s">
        <v>976</v>
      </c>
      <c r="C146" s="1309"/>
      <c r="D146" s="1216"/>
      <c r="E146" s="1216"/>
      <c r="F146" s="1216"/>
      <c r="G146" s="1218"/>
      <c r="H146" s="915"/>
      <c r="I146" s="1224">
        <v>1</v>
      </c>
      <c r="J146" s="1224">
        <v>1</v>
      </c>
      <c r="K146" s="1249">
        <v>1</v>
      </c>
      <c r="L146" s="915"/>
      <c r="M146" s="941" t="str">
        <f>IF(AND(ISNUMBER(C146),ISNUMBER(D146),ISNUMBER(I146)),SUM(C146:D146)*I146,"")</f>
        <v/>
      </c>
      <c r="N146" s="941" t="str">
        <f>IF(AND(ISNUMBER(E146),ISNUMBER(F146),ISNUMBER(J146)),SUM(E146:F146)*J146,"")</f>
        <v/>
      </c>
      <c r="O146" s="941" t="str">
        <f>IF(AND(ISNUMBER(G146),ISNUMBER(K146)),G146*K146,"")</f>
        <v/>
      </c>
      <c r="P146" s="940" t="str">
        <f t="shared" si="104"/>
        <v/>
      </c>
      <c r="Q146" s="916"/>
      <c r="R146" s="1293">
        <f t="shared" si="105"/>
        <v>0</v>
      </c>
    </row>
    <row r="147" spans="1:18" ht="15" customHeight="1" x14ac:dyDescent="0.2">
      <c r="A147" s="914"/>
      <c r="B147" s="1236" t="s">
        <v>947</v>
      </c>
      <c r="C147" s="1311"/>
      <c r="D147" s="1215"/>
      <c r="E147" s="1215"/>
      <c r="F147" s="1215"/>
      <c r="G147" s="1261"/>
      <c r="H147" s="915"/>
      <c r="I147" s="1223"/>
      <c r="J147" s="1220"/>
      <c r="K147" s="1261"/>
      <c r="L147" s="915"/>
      <c r="M147" s="1246"/>
      <c r="N147" s="613"/>
      <c r="O147" s="613"/>
      <c r="P147" s="615"/>
      <c r="Q147" s="916"/>
    </row>
    <row r="148" spans="1:18" ht="15" customHeight="1" x14ac:dyDescent="0.2">
      <c r="A148" s="914"/>
      <c r="B148" s="1237" t="s">
        <v>940</v>
      </c>
      <c r="C148" s="1309"/>
      <c r="D148" s="1216"/>
      <c r="E148" s="1216"/>
      <c r="F148" s="1216"/>
      <c r="G148" s="1261"/>
      <c r="H148" s="915"/>
      <c r="I148" s="1224">
        <v>0.5</v>
      </c>
      <c r="J148" s="1224">
        <v>0.5</v>
      </c>
      <c r="K148" s="1261"/>
      <c r="L148" s="915"/>
      <c r="M148" s="941" t="str">
        <f>IF(AND(ISNUMBER(C148),ISNUMBER(D148),ISNUMBER(I148)),SUM(C148:D148)*I148,"")</f>
        <v/>
      </c>
      <c r="N148" s="941" t="str">
        <f>IF(AND(ISNUMBER(E148),ISNUMBER(F148),ISNUMBER(J148)),SUM(E148:F148)*J148,"")</f>
        <v/>
      </c>
      <c r="O148" s="1220"/>
      <c r="P148" s="940" t="str">
        <f>IF(AND(ISNUMBER(M148),ISNUMBER(N148)),SUM(M148:N148),"")</f>
        <v/>
      </c>
      <c r="Q148" s="916"/>
      <c r="R148" s="1293">
        <f>IF(ISNUMBER(P148),1,0)</f>
        <v>0</v>
      </c>
    </row>
    <row r="149" spans="1:18" ht="15" customHeight="1" x14ac:dyDescent="0.2">
      <c r="A149" s="914"/>
      <c r="B149" s="1237" t="s">
        <v>941</v>
      </c>
      <c r="C149" s="1311"/>
      <c r="D149" s="1215"/>
      <c r="E149" s="1215"/>
      <c r="F149" s="1215"/>
      <c r="G149" s="1261"/>
      <c r="H149" s="915"/>
      <c r="I149" s="1223"/>
      <c r="J149" s="1220"/>
      <c r="K149" s="1261"/>
      <c r="L149" s="915"/>
      <c r="M149" s="1246"/>
      <c r="N149" s="613"/>
      <c r="O149" s="1220"/>
      <c r="P149" s="615"/>
      <c r="Q149" s="916"/>
    </row>
    <row r="150" spans="1:18" ht="15" customHeight="1" x14ac:dyDescent="0.2">
      <c r="A150" s="914"/>
      <c r="B150" s="1301" t="s">
        <v>1014</v>
      </c>
      <c r="C150" s="1309"/>
      <c r="D150" s="1216"/>
      <c r="E150" s="1216"/>
      <c r="F150" s="1216"/>
      <c r="G150" s="1261"/>
      <c r="H150" s="915"/>
      <c r="I150" s="1224">
        <v>0.5</v>
      </c>
      <c r="J150" s="1224">
        <v>0.5</v>
      </c>
      <c r="K150" s="1261"/>
      <c r="L150" s="915"/>
      <c r="M150" s="941" t="str">
        <f>IF(AND(ISNUMBER(C150),ISNUMBER(D150),ISNUMBER(I150)),SUM(C150:D150)*I150,"")</f>
        <v/>
      </c>
      <c r="N150" s="941" t="str">
        <f>IF(AND(ISNUMBER(E150),ISNUMBER(F150),ISNUMBER(J150)),SUM(E150:F150)*J150,"")</f>
        <v/>
      </c>
      <c r="O150" s="1220"/>
      <c r="P150" s="940" t="str">
        <f t="shared" ref="P150:P152" si="106">IF(AND(ISNUMBER(M150),ISNUMBER(N150)),SUM(M150:N150),"")</f>
        <v/>
      </c>
      <c r="Q150" s="916"/>
      <c r="R150" s="1293">
        <f t="shared" ref="R150:R152" si="107">IF(ISNUMBER(P150),1,0)</f>
        <v>0</v>
      </c>
    </row>
    <row r="151" spans="1:18" ht="15" customHeight="1" x14ac:dyDescent="0.2">
      <c r="A151" s="914"/>
      <c r="B151" s="1301" t="s">
        <v>1015</v>
      </c>
      <c r="C151" s="1309"/>
      <c r="D151" s="1216"/>
      <c r="E151" s="1216"/>
      <c r="F151" s="1216"/>
      <c r="G151" s="1261"/>
      <c r="H151" s="915"/>
      <c r="I151" s="1224">
        <v>0.5</v>
      </c>
      <c r="J151" s="1224">
        <v>0.5</v>
      </c>
      <c r="K151" s="1261"/>
      <c r="L151" s="915"/>
      <c r="M151" s="941" t="str">
        <f>IF(AND(ISNUMBER(C151),ISNUMBER(D151),ISNUMBER(I151)),SUM(C151:D151)*I151,"")</f>
        <v/>
      </c>
      <c r="N151" s="941" t="str">
        <f>IF(AND(ISNUMBER(E151),ISNUMBER(F151),ISNUMBER(J151)),SUM(E151:F151)*J151,"")</f>
        <v/>
      </c>
      <c r="O151" s="1220"/>
      <c r="P151" s="940" t="str">
        <f t="shared" si="106"/>
        <v/>
      </c>
      <c r="Q151" s="916"/>
      <c r="R151" s="1293">
        <f t="shared" si="107"/>
        <v>0</v>
      </c>
    </row>
    <row r="152" spans="1:18" ht="15" customHeight="1" x14ac:dyDescent="0.2">
      <c r="A152" s="914"/>
      <c r="B152" s="1301" t="s">
        <v>976</v>
      </c>
      <c r="C152" s="1309"/>
      <c r="D152" s="1216"/>
      <c r="E152" s="1216"/>
      <c r="F152" s="1216"/>
      <c r="G152" s="1261"/>
      <c r="H152" s="915"/>
      <c r="I152" s="1224">
        <v>0.5</v>
      </c>
      <c r="J152" s="1224">
        <v>0.5</v>
      </c>
      <c r="K152" s="1261"/>
      <c r="L152" s="915"/>
      <c r="M152" s="941" t="str">
        <f>IF(AND(ISNUMBER(C152),ISNUMBER(D152),ISNUMBER(I152)),SUM(C152:D152)*I152,"")</f>
        <v/>
      </c>
      <c r="N152" s="941" t="str">
        <f>IF(AND(ISNUMBER(E152),ISNUMBER(F152),ISNUMBER(J152)),SUM(E152:F152)*J152,"")</f>
        <v/>
      </c>
      <c r="O152" s="1220"/>
      <c r="P152" s="940" t="str">
        <f t="shared" si="106"/>
        <v/>
      </c>
      <c r="Q152" s="916"/>
      <c r="R152" s="1293">
        <f t="shared" si="107"/>
        <v>0</v>
      </c>
    </row>
    <row r="153" spans="1:18" ht="15" customHeight="1" x14ac:dyDescent="0.2">
      <c r="A153" s="914"/>
      <c r="B153" s="1237" t="s">
        <v>942</v>
      </c>
      <c r="C153" s="1311"/>
      <c r="D153" s="1215"/>
      <c r="E153" s="1215"/>
      <c r="F153" s="1215"/>
      <c r="G153" s="1261"/>
      <c r="H153" s="915"/>
      <c r="I153" s="1223"/>
      <c r="J153" s="1220"/>
      <c r="K153" s="1261"/>
      <c r="L153" s="915"/>
      <c r="M153" s="1246"/>
      <c r="N153" s="613"/>
      <c r="O153" s="1220"/>
      <c r="P153" s="615"/>
      <c r="Q153" s="916"/>
    </row>
    <row r="154" spans="1:18" ht="15" customHeight="1" x14ac:dyDescent="0.2">
      <c r="A154" s="914"/>
      <c r="B154" s="1301" t="s">
        <v>1014</v>
      </c>
      <c r="C154" s="1309"/>
      <c r="D154" s="1216"/>
      <c r="E154" s="1216"/>
      <c r="F154" s="1216"/>
      <c r="G154" s="1261"/>
      <c r="H154" s="915"/>
      <c r="I154" s="1224">
        <v>0.5</v>
      </c>
      <c r="J154" s="1224">
        <v>0.5</v>
      </c>
      <c r="K154" s="1261"/>
      <c r="L154" s="915"/>
      <c r="M154" s="941" t="str">
        <f>IF(AND(ISNUMBER(C154),ISNUMBER(D154),ISNUMBER(I154)),SUM(C154:D154)*I154,"")</f>
        <v/>
      </c>
      <c r="N154" s="941" t="str">
        <f>IF(AND(ISNUMBER(E154),ISNUMBER(F154),ISNUMBER(J154)),SUM(E154:F154)*J154,"")</f>
        <v/>
      </c>
      <c r="O154" s="1220"/>
      <c r="P154" s="940" t="str">
        <f t="shared" ref="P154:P156" si="108">IF(AND(ISNUMBER(M154),ISNUMBER(N154)),SUM(M154:N154),"")</f>
        <v/>
      </c>
      <c r="Q154" s="916"/>
      <c r="R154" s="1293">
        <f t="shared" ref="R154:R156" si="109">IF(ISNUMBER(P154),1,0)</f>
        <v>0</v>
      </c>
    </row>
    <row r="155" spans="1:18" ht="15" customHeight="1" x14ac:dyDescent="0.2">
      <c r="A155" s="914"/>
      <c r="B155" s="1301" t="s">
        <v>1015</v>
      </c>
      <c r="C155" s="1309"/>
      <c r="D155" s="1216"/>
      <c r="E155" s="1216"/>
      <c r="F155" s="1216"/>
      <c r="G155" s="1261"/>
      <c r="H155" s="915"/>
      <c r="I155" s="1224">
        <v>0.5</v>
      </c>
      <c r="J155" s="1224">
        <v>0.5</v>
      </c>
      <c r="K155" s="1261"/>
      <c r="L155" s="915"/>
      <c r="M155" s="941" t="str">
        <f>IF(AND(ISNUMBER(C155),ISNUMBER(D155),ISNUMBER(I155)),SUM(C155:D155)*I155,"")</f>
        <v/>
      </c>
      <c r="N155" s="941" t="str">
        <f>IF(AND(ISNUMBER(E155),ISNUMBER(F155),ISNUMBER(J155)),SUM(E155:F155)*J155,"")</f>
        <v/>
      </c>
      <c r="O155" s="1220"/>
      <c r="P155" s="940" t="str">
        <f t="shared" si="108"/>
        <v/>
      </c>
      <c r="Q155" s="916"/>
      <c r="R155" s="1293">
        <f t="shared" si="109"/>
        <v>0</v>
      </c>
    </row>
    <row r="156" spans="1:18" ht="15" customHeight="1" x14ac:dyDescent="0.2">
      <c r="A156" s="914"/>
      <c r="B156" s="1301" t="s">
        <v>976</v>
      </c>
      <c r="C156" s="1309"/>
      <c r="D156" s="1216"/>
      <c r="E156" s="1216"/>
      <c r="F156" s="1216"/>
      <c r="G156" s="1261"/>
      <c r="H156" s="915"/>
      <c r="I156" s="1224">
        <v>1</v>
      </c>
      <c r="J156" s="1224">
        <v>1</v>
      </c>
      <c r="K156" s="1261"/>
      <c r="L156" s="915"/>
      <c r="M156" s="941" t="str">
        <f>IF(AND(ISNUMBER(C156),ISNUMBER(D156),ISNUMBER(I156)),SUM(C156:D156)*I156,"")</f>
        <v/>
      </c>
      <c r="N156" s="941" t="str">
        <f>IF(AND(ISNUMBER(E156),ISNUMBER(F156),ISNUMBER(J156)),SUM(E156:F156)*J156,"")</f>
        <v/>
      </c>
      <c r="O156" s="1220"/>
      <c r="P156" s="940" t="str">
        <f t="shared" si="108"/>
        <v/>
      </c>
      <c r="Q156" s="916"/>
      <c r="R156" s="1293">
        <f t="shared" si="109"/>
        <v>0</v>
      </c>
    </row>
    <row r="157" spans="1:18" ht="15" customHeight="1" x14ac:dyDescent="0.2">
      <c r="A157" s="914"/>
      <c r="B157" s="1236" t="s">
        <v>948</v>
      </c>
      <c r="C157" s="1311"/>
      <c r="D157" s="1215"/>
      <c r="E157" s="1215"/>
      <c r="F157" s="1215"/>
      <c r="G157" s="1261"/>
      <c r="H157" s="915"/>
      <c r="I157" s="1223"/>
      <c r="J157" s="1220"/>
      <c r="K157" s="1261"/>
      <c r="L157" s="915"/>
      <c r="M157" s="1246"/>
      <c r="N157" s="613"/>
      <c r="O157" s="1220"/>
      <c r="P157" s="615"/>
      <c r="Q157" s="916"/>
    </row>
    <row r="158" spans="1:18" ht="15" customHeight="1" x14ac:dyDescent="0.2">
      <c r="A158" s="914"/>
      <c r="B158" s="1237" t="s">
        <v>940</v>
      </c>
      <c r="C158" s="1309"/>
      <c r="D158" s="1216"/>
      <c r="E158" s="1216"/>
      <c r="F158" s="1216"/>
      <c r="G158" s="1261"/>
      <c r="H158" s="915"/>
      <c r="I158" s="1224">
        <v>0.5</v>
      </c>
      <c r="J158" s="1224">
        <v>0.5</v>
      </c>
      <c r="K158" s="1261"/>
      <c r="L158" s="915"/>
      <c r="M158" s="941" t="str">
        <f t="shared" ref="M158" si="110">IF(AND(ISNUMBER(C158),ISNUMBER(D158),ISNUMBER(I158)),SUM(C158:D158)*I158,"")</f>
        <v/>
      </c>
      <c r="N158" s="941" t="str">
        <f>IF(AND(ISNUMBER(E158),ISNUMBER(F158),ISNUMBER(J158)),SUM(E158:F158)*J158,"")</f>
        <v/>
      </c>
      <c r="O158" s="613"/>
      <c r="P158" s="940" t="str">
        <f>IF(AND(ISNUMBER(M158),ISNUMBER(N158)),SUM(M158:N158),"")</f>
        <v/>
      </c>
      <c r="Q158" s="916"/>
      <c r="R158" s="1293">
        <f>IF(ISNUMBER(P158),1,0)</f>
        <v>0</v>
      </c>
    </row>
    <row r="159" spans="1:18" ht="15" customHeight="1" x14ac:dyDescent="0.2">
      <c r="A159" s="914"/>
      <c r="B159" s="1237" t="s">
        <v>941</v>
      </c>
      <c r="C159" s="1311"/>
      <c r="D159" s="1215"/>
      <c r="E159" s="1215"/>
      <c r="F159" s="1215"/>
      <c r="G159" s="1261"/>
      <c r="H159" s="915"/>
      <c r="I159" s="1223"/>
      <c r="J159" s="1220"/>
      <c r="K159" s="1261"/>
      <c r="L159" s="915"/>
      <c r="M159" s="1246"/>
      <c r="N159" s="613"/>
      <c r="O159" s="613"/>
      <c r="P159" s="615"/>
      <c r="Q159" s="916"/>
    </row>
    <row r="160" spans="1:18" ht="15" customHeight="1" x14ac:dyDescent="0.2">
      <c r="A160" s="914"/>
      <c r="B160" s="1301" t="s">
        <v>1014</v>
      </c>
      <c r="C160" s="1309"/>
      <c r="D160" s="1216"/>
      <c r="E160" s="1216"/>
      <c r="F160" s="1216"/>
      <c r="G160" s="1261"/>
      <c r="H160" s="915"/>
      <c r="I160" s="1224">
        <v>0.5</v>
      </c>
      <c r="J160" s="1224">
        <v>0.5</v>
      </c>
      <c r="K160" s="1261"/>
      <c r="L160" s="915"/>
      <c r="M160" s="941" t="str">
        <f t="shared" ref="M160:M162" si="111">IF(AND(ISNUMBER(C160),ISNUMBER(D160),ISNUMBER(I160)),SUM(C160:D160)*I160,"")</f>
        <v/>
      </c>
      <c r="N160" s="941" t="str">
        <f t="shared" ref="N160:N162" si="112">IF(AND(ISNUMBER(E160),ISNUMBER(F160),ISNUMBER(J160)),SUM(E160:F160)*J160,"")</f>
        <v/>
      </c>
      <c r="O160" s="613"/>
      <c r="P160" s="940" t="str">
        <f t="shared" ref="P160:P162" si="113">IF(AND(ISNUMBER(M160),ISNUMBER(N160)),SUM(M160:N160),"")</f>
        <v/>
      </c>
      <c r="Q160" s="916"/>
      <c r="R160" s="1293">
        <f t="shared" ref="R160:R162" si="114">IF(ISNUMBER(P160),1,0)</f>
        <v>0</v>
      </c>
    </row>
    <row r="161" spans="1:18" ht="15" customHeight="1" x14ac:dyDescent="0.2">
      <c r="A161" s="914"/>
      <c r="B161" s="1301" t="s">
        <v>1015</v>
      </c>
      <c r="C161" s="1309"/>
      <c r="D161" s="1216"/>
      <c r="E161" s="1216"/>
      <c r="F161" s="1216"/>
      <c r="G161" s="1261"/>
      <c r="H161" s="915"/>
      <c r="I161" s="1224">
        <v>0.5</v>
      </c>
      <c r="J161" s="1224">
        <v>0.5</v>
      </c>
      <c r="K161" s="1261"/>
      <c r="L161" s="915"/>
      <c r="M161" s="941" t="str">
        <f t="shared" si="111"/>
        <v/>
      </c>
      <c r="N161" s="941" t="str">
        <f t="shared" si="112"/>
        <v/>
      </c>
      <c r="O161" s="613"/>
      <c r="P161" s="940" t="str">
        <f t="shared" si="113"/>
        <v/>
      </c>
      <c r="Q161" s="916"/>
      <c r="R161" s="1293">
        <f t="shared" si="114"/>
        <v>0</v>
      </c>
    </row>
    <row r="162" spans="1:18" ht="15" customHeight="1" x14ac:dyDescent="0.2">
      <c r="A162" s="914"/>
      <c r="B162" s="1301" t="s">
        <v>976</v>
      </c>
      <c r="C162" s="1309"/>
      <c r="D162" s="1216"/>
      <c r="E162" s="1216"/>
      <c r="F162" s="1216"/>
      <c r="G162" s="1261"/>
      <c r="H162" s="915"/>
      <c r="I162" s="1224">
        <v>0.5</v>
      </c>
      <c r="J162" s="1224">
        <v>0.5</v>
      </c>
      <c r="K162" s="1261"/>
      <c r="L162" s="915"/>
      <c r="M162" s="941" t="str">
        <f t="shared" si="111"/>
        <v/>
      </c>
      <c r="N162" s="941" t="str">
        <f t="shared" si="112"/>
        <v/>
      </c>
      <c r="O162" s="613"/>
      <c r="P162" s="940" t="str">
        <f t="shared" si="113"/>
        <v/>
      </c>
      <c r="Q162" s="916"/>
      <c r="R162" s="1293">
        <f t="shared" si="114"/>
        <v>0</v>
      </c>
    </row>
    <row r="163" spans="1:18" ht="15" customHeight="1" x14ac:dyDescent="0.2">
      <c r="A163" s="914"/>
      <c r="B163" s="1237" t="s">
        <v>942</v>
      </c>
      <c r="C163" s="1311"/>
      <c r="D163" s="1215"/>
      <c r="E163" s="1215"/>
      <c r="F163" s="1215"/>
      <c r="G163" s="1261"/>
      <c r="H163" s="915"/>
      <c r="I163" s="1223"/>
      <c r="J163" s="1220"/>
      <c r="K163" s="1261"/>
      <c r="L163" s="915"/>
      <c r="M163" s="1246"/>
      <c r="N163" s="613"/>
      <c r="O163" s="613"/>
      <c r="P163" s="615"/>
      <c r="Q163" s="916"/>
    </row>
    <row r="164" spans="1:18" ht="15" customHeight="1" x14ac:dyDescent="0.2">
      <c r="A164" s="914"/>
      <c r="B164" s="1301" t="s">
        <v>1014</v>
      </c>
      <c r="C164" s="1309"/>
      <c r="D164" s="1216"/>
      <c r="E164" s="1216"/>
      <c r="F164" s="1216"/>
      <c r="G164" s="1261"/>
      <c r="H164" s="915"/>
      <c r="I164" s="1224">
        <v>0.5</v>
      </c>
      <c r="J164" s="1224">
        <v>0.5</v>
      </c>
      <c r="K164" s="1261"/>
      <c r="L164" s="915"/>
      <c r="M164" s="941" t="str">
        <f t="shared" ref="M164:M166" si="115">IF(AND(ISNUMBER(C164),ISNUMBER(D164),ISNUMBER(I164)),SUM(C164:D164)*I164,"")</f>
        <v/>
      </c>
      <c r="N164" s="941" t="str">
        <f t="shared" ref="N164:N166" si="116">IF(AND(ISNUMBER(E164),ISNUMBER(F164),ISNUMBER(J164)),SUM(E164:F164)*J164,"")</f>
        <v/>
      </c>
      <c r="O164" s="613"/>
      <c r="P164" s="940" t="str">
        <f t="shared" ref="P164:P166" si="117">IF(AND(ISNUMBER(M164),ISNUMBER(N164)),SUM(M164:N164),"")</f>
        <v/>
      </c>
      <c r="Q164" s="916"/>
      <c r="R164" s="1293">
        <f t="shared" ref="R164:R166" si="118">IF(ISNUMBER(P164),1,0)</f>
        <v>0</v>
      </c>
    </row>
    <row r="165" spans="1:18" ht="15" customHeight="1" x14ac:dyDescent="0.2">
      <c r="A165" s="914"/>
      <c r="B165" s="1301" t="s">
        <v>1015</v>
      </c>
      <c r="C165" s="1309"/>
      <c r="D165" s="1216"/>
      <c r="E165" s="1216"/>
      <c r="F165" s="1216"/>
      <c r="G165" s="1261"/>
      <c r="H165" s="915"/>
      <c r="I165" s="1224">
        <v>0.5</v>
      </c>
      <c r="J165" s="1224">
        <v>0.5</v>
      </c>
      <c r="K165" s="1261"/>
      <c r="L165" s="915"/>
      <c r="M165" s="941" t="str">
        <f t="shared" si="115"/>
        <v/>
      </c>
      <c r="N165" s="941" t="str">
        <f t="shared" si="116"/>
        <v/>
      </c>
      <c r="O165" s="613"/>
      <c r="P165" s="940" t="str">
        <f t="shared" si="117"/>
        <v/>
      </c>
      <c r="Q165" s="916"/>
      <c r="R165" s="1293">
        <f t="shared" si="118"/>
        <v>0</v>
      </c>
    </row>
    <row r="166" spans="1:18" ht="15" customHeight="1" x14ac:dyDescent="0.2">
      <c r="A166" s="914"/>
      <c r="B166" s="1301" t="s">
        <v>976</v>
      </c>
      <c r="C166" s="1309"/>
      <c r="D166" s="1216"/>
      <c r="E166" s="1216"/>
      <c r="F166" s="1216"/>
      <c r="G166" s="1261"/>
      <c r="H166" s="915"/>
      <c r="I166" s="1224">
        <v>1</v>
      </c>
      <c r="J166" s="1224">
        <v>1</v>
      </c>
      <c r="K166" s="1261"/>
      <c r="L166" s="915"/>
      <c r="M166" s="941" t="str">
        <f t="shared" si="115"/>
        <v/>
      </c>
      <c r="N166" s="941" t="str">
        <f t="shared" si="116"/>
        <v/>
      </c>
      <c r="O166" s="613"/>
      <c r="P166" s="940" t="str">
        <f t="shared" si="117"/>
        <v/>
      </c>
      <c r="Q166" s="916"/>
      <c r="R166" s="1293">
        <f t="shared" si="118"/>
        <v>0</v>
      </c>
    </row>
    <row r="167" spans="1:18" ht="30" customHeight="1" x14ac:dyDescent="0.2">
      <c r="A167" s="914"/>
      <c r="B167" s="1240" t="s">
        <v>1019</v>
      </c>
      <c r="C167" s="1311"/>
      <c r="D167" s="1215"/>
      <c r="E167" s="1215"/>
      <c r="F167" s="1215"/>
      <c r="G167" s="1261"/>
      <c r="H167" s="915"/>
      <c r="I167" s="1223"/>
      <c r="J167" s="1220"/>
      <c r="K167" s="1261"/>
      <c r="L167" s="915"/>
      <c r="M167" s="1246"/>
      <c r="N167" s="613"/>
      <c r="O167" s="613"/>
      <c r="P167" s="615"/>
      <c r="Q167" s="916"/>
    </row>
    <row r="168" spans="1:18" ht="15" customHeight="1" x14ac:dyDescent="0.2">
      <c r="A168" s="914"/>
      <c r="B168" s="1237" t="s">
        <v>940</v>
      </c>
      <c r="C168" s="1309"/>
      <c r="D168" s="1216"/>
      <c r="E168" s="1216"/>
      <c r="F168" s="1216"/>
      <c r="G168" s="1261"/>
      <c r="H168" s="915"/>
      <c r="I168" s="1224">
        <v>0.5</v>
      </c>
      <c r="J168" s="1224">
        <v>0.5</v>
      </c>
      <c r="K168" s="1261"/>
      <c r="L168" s="915"/>
      <c r="M168" s="941" t="str">
        <f t="shared" ref="M168" si="119">IF(AND(ISNUMBER(C168),ISNUMBER(D168),ISNUMBER(I168)),SUM(C168:D168)*I168,"")</f>
        <v/>
      </c>
      <c r="N168" s="941" t="str">
        <f>IF(AND(ISNUMBER(E168),ISNUMBER(F168),ISNUMBER(J168)),SUM(E168:F168)*J168,"")</f>
        <v/>
      </c>
      <c r="O168" s="613"/>
      <c r="P168" s="940" t="str">
        <f>IF(AND(ISNUMBER(M168),ISNUMBER(N168)),SUM(M168:N168),"")</f>
        <v/>
      </c>
      <c r="Q168" s="916"/>
      <c r="R168" s="1293">
        <f>IF(ISNUMBER(P168),1,0)</f>
        <v>0</v>
      </c>
    </row>
    <row r="169" spans="1:18" ht="15" customHeight="1" x14ac:dyDescent="0.2">
      <c r="A169" s="914"/>
      <c r="B169" s="1237" t="s">
        <v>941</v>
      </c>
      <c r="C169" s="1311"/>
      <c r="D169" s="1215"/>
      <c r="E169" s="1215"/>
      <c r="F169" s="1215"/>
      <c r="G169" s="1261"/>
      <c r="H169" s="915"/>
      <c r="I169" s="1223"/>
      <c r="J169" s="1220"/>
      <c r="K169" s="1261"/>
      <c r="L169" s="915"/>
      <c r="M169" s="1246"/>
      <c r="N169" s="613"/>
      <c r="O169" s="613"/>
      <c r="P169" s="615"/>
      <c r="Q169" s="916"/>
    </row>
    <row r="170" spans="1:18" ht="15" customHeight="1" x14ac:dyDescent="0.2">
      <c r="A170" s="914"/>
      <c r="B170" s="1301" t="s">
        <v>1014</v>
      </c>
      <c r="C170" s="1309"/>
      <c r="D170" s="1216"/>
      <c r="E170" s="1216"/>
      <c r="F170" s="1216"/>
      <c r="G170" s="1261"/>
      <c r="H170" s="915"/>
      <c r="I170" s="1224">
        <v>0.5</v>
      </c>
      <c r="J170" s="1224">
        <v>0.5</v>
      </c>
      <c r="K170" s="1261"/>
      <c r="L170" s="915"/>
      <c r="M170" s="941" t="str">
        <f t="shared" ref="M170:M172" si="120">IF(AND(ISNUMBER(C170),ISNUMBER(D170),ISNUMBER(I170)),SUM(C170:D170)*I170,"")</f>
        <v/>
      </c>
      <c r="N170" s="941" t="str">
        <f t="shared" ref="N170:N172" si="121">IF(AND(ISNUMBER(E170),ISNUMBER(F170),ISNUMBER(J170)),SUM(E170:F170)*J170,"")</f>
        <v/>
      </c>
      <c r="O170" s="613"/>
      <c r="P170" s="940" t="str">
        <f t="shared" ref="P170:P172" si="122">IF(AND(ISNUMBER(M170),ISNUMBER(N170)),SUM(M170:N170),"")</f>
        <v/>
      </c>
      <c r="Q170" s="916"/>
      <c r="R170" s="1293">
        <f t="shared" ref="R170:R172" si="123">IF(ISNUMBER(P170),1,0)</f>
        <v>0</v>
      </c>
    </row>
    <row r="171" spans="1:18" ht="15" customHeight="1" x14ac:dyDescent="0.2">
      <c r="A171" s="914"/>
      <c r="B171" s="1301" t="s">
        <v>1015</v>
      </c>
      <c r="C171" s="1309"/>
      <c r="D171" s="1216"/>
      <c r="E171" s="1216"/>
      <c r="F171" s="1216"/>
      <c r="G171" s="1261"/>
      <c r="H171" s="915"/>
      <c r="I171" s="1224">
        <v>0.5</v>
      </c>
      <c r="J171" s="1224">
        <v>0.5</v>
      </c>
      <c r="K171" s="1261"/>
      <c r="L171" s="915"/>
      <c r="M171" s="941" t="str">
        <f t="shared" si="120"/>
        <v/>
      </c>
      <c r="N171" s="941" t="str">
        <f t="shared" si="121"/>
        <v/>
      </c>
      <c r="O171" s="613"/>
      <c r="P171" s="940" t="str">
        <f t="shared" si="122"/>
        <v/>
      </c>
      <c r="Q171" s="916"/>
      <c r="R171" s="1293">
        <f t="shared" si="123"/>
        <v>0</v>
      </c>
    </row>
    <row r="172" spans="1:18" ht="15" customHeight="1" x14ac:dyDescent="0.2">
      <c r="A172" s="914"/>
      <c r="B172" s="1301" t="s">
        <v>976</v>
      </c>
      <c r="C172" s="1309"/>
      <c r="D172" s="1216"/>
      <c r="E172" s="1216"/>
      <c r="F172" s="1216"/>
      <c r="G172" s="1261"/>
      <c r="H172" s="915"/>
      <c r="I172" s="1224">
        <v>0.5</v>
      </c>
      <c r="J172" s="1224">
        <v>0.5</v>
      </c>
      <c r="K172" s="1261"/>
      <c r="L172" s="915"/>
      <c r="M172" s="941" t="str">
        <f t="shared" si="120"/>
        <v/>
      </c>
      <c r="N172" s="941" t="str">
        <f t="shared" si="121"/>
        <v/>
      </c>
      <c r="O172" s="613"/>
      <c r="P172" s="940" t="str">
        <f t="shared" si="122"/>
        <v/>
      </c>
      <c r="Q172" s="916"/>
      <c r="R172" s="1293">
        <f t="shared" si="123"/>
        <v>0</v>
      </c>
    </row>
    <row r="173" spans="1:18" ht="15" customHeight="1" x14ac:dyDescent="0.2">
      <c r="A173" s="914"/>
      <c r="B173" s="1237" t="s">
        <v>942</v>
      </c>
      <c r="C173" s="1311"/>
      <c r="D173" s="1215"/>
      <c r="E173" s="1215"/>
      <c r="F173" s="1215"/>
      <c r="G173" s="1261"/>
      <c r="H173" s="915"/>
      <c r="I173" s="1223"/>
      <c r="J173" s="1220"/>
      <c r="K173" s="1261"/>
      <c r="L173" s="915"/>
      <c r="M173" s="1246"/>
      <c r="N173" s="613"/>
      <c r="O173" s="613"/>
      <c r="P173" s="615"/>
      <c r="Q173" s="916"/>
    </row>
    <row r="174" spans="1:18" ht="15" customHeight="1" x14ac:dyDescent="0.2">
      <c r="A174" s="914"/>
      <c r="B174" s="1301" t="s">
        <v>1014</v>
      </c>
      <c r="C174" s="1309"/>
      <c r="D174" s="1216"/>
      <c r="E174" s="1216"/>
      <c r="F174" s="1216"/>
      <c r="G174" s="1261"/>
      <c r="H174" s="915"/>
      <c r="I174" s="1224">
        <v>0.5</v>
      </c>
      <c r="J174" s="1224">
        <v>0.5</v>
      </c>
      <c r="K174" s="1261"/>
      <c r="L174" s="915"/>
      <c r="M174" s="941" t="str">
        <f t="shared" ref="M174:M176" si="124">IF(AND(ISNUMBER(C174),ISNUMBER(D174),ISNUMBER(I174)),SUM(C174:D174)*I174,"")</f>
        <v/>
      </c>
      <c r="N174" s="941" t="str">
        <f t="shared" ref="N174:N176" si="125">IF(AND(ISNUMBER(E174),ISNUMBER(F174),ISNUMBER(J174)),SUM(E174:F174)*J174,"")</f>
        <v/>
      </c>
      <c r="O174" s="613"/>
      <c r="P174" s="940" t="str">
        <f t="shared" ref="P174:P176" si="126">IF(AND(ISNUMBER(M174),ISNUMBER(N174)),SUM(M174:N174),"")</f>
        <v/>
      </c>
      <c r="Q174" s="916"/>
      <c r="R174" s="1293">
        <f t="shared" ref="R174:R176" si="127">IF(ISNUMBER(P174),1,0)</f>
        <v>0</v>
      </c>
    </row>
    <row r="175" spans="1:18" ht="15" customHeight="1" x14ac:dyDescent="0.2">
      <c r="A175" s="914"/>
      <c r="B175" s="1301" t="s">
        <v>1015</v>
      </c>
      <c r="C175" s="1309"/>
      <c r="D175" s="1216"/>
      <c r="E175" s="1216"/>
      <c r="F175" s="1216"/>
      <c r="G175" s="1261"/>
      <c r="H175" s="915"/>
      <c r="I175" s="1224">
        <v>0.5</v>
      </c>
      <c r="J175" s="1224">
        <v>0.5</v>
      </c>
      <c r="K175" s="1261"/>
      <c r="L175" s="915"/>
      <c r="M175" s="941" t="str">
        <f t="shared" si="124"/>
        <v/>
      </c>
      <c r="N175" s="941" t="str">
        <f t="shared" si="125"/>
        <v/>
      </c>
      <c r="O175" s="613"/>
      <c r="P175" s="940" t="str">
        <f t="shared" si="126"/>
        <v/>
      </c>
      <c r="Q175" s="916"/>
      <c r="R175" s="1293">
        <f t="shared" si="127"/>
        <v>0</v>
      </c>
    </row>
    <row r="176" spans="1:18" ht="15" customHeight="1" x14ac:dyDescent="0.2">
      <c r="A176" s="914"/>
      <c r="B176" s="1301" t="s">
        <v>976</v>
      </c>
      <c r="C176" s="1309"/>
      <c r="D176" s="1216"/>
      <c r="E176" s="1216"/>
      <c r="F176" s="1216"/>
      <c r="G176" s="1261"/>
      <c r="H176" s="915"/>
      <c r="I176" s="1224">
        <v>1</v>
      </c>
      <c r="J176" s="1224">
        <v>1</v>
      </c>
      <c r="K176" s="1261"/>
      <c r="L176" s="915"/>
      <c r="M176" s="941" t="str">
        <f t="shared" si="124"/>
        <v/>
      </c>
      <c r="N176" s="941" t="str">
        <f t="shared" si="125"/>
        <v/>
      </c>
      <c r="O176" s="613"/>
      <c r="P176" s="940" t="str">
        <f t="shared" si="126"/>
        <v/>
      </c>
      <c r="Q176" s="916"/>
      <c r="R176" s="1293">
        <f t="shared" si="127"/>
        <v>0</v>
      </c>
    </row>
    <row r="177" spans="1:18" ht="30" customHeight="1" x14ac:dyDescent="0.2">
      <c r="A177" s="914"/>
      <c r="B177" s="1236" t="s">
        <v>949</v>
      </c>
      <c r="C177" s="1311"/>
      <c r="D177" s="1215"/>
      <c r="E177" s="1215"/>
      <c r="F177" s="1215"/>
      <c r="G177" s="1261"/>
      <c r="H177" s="915"/>
      <c r="I177" s="1223"/>
      <c r="J177" s="1220"/>
      <c r="K177" s="1261"/>
      <c r="L177" s="915"/>
      <c r="M177" s="1246"/>
      <c r="N177" s="613"/>
      <c r="O177" s="613"/>
      <c r="P177" s="615"/>
      <c r="Q177" s="916"/>
    </row>
    <row r="178" spans="1:18" ht="15" customHeight="1" x14ac:dyDescent="0.2">
      <c r="A178" s="914"/>
      <c r="B178" s="1237" t="s">
        <v>940</v>
      </c>
      <c r="C178" s="1309"/>
      <c r="D178" s="1216"/>
      <c r="E178" s="1216"/>
      <c r="F178" s="1216"/>
      <c r="G178" s="1218"/>
      <c r="H178" s="915"/>
      <c r="I178" s="1224">
        <v>0.5</v>
      </c>
      <c r="J178" s="1224">
        <v>0.5</v>
      </c>
      <c r="K178" s="1249">
        <v>0.65</v>
      </c>
      <c r="L178" s="915"/>
      <c r="M178" s="941" t="str">
        <f t="shared" ref="M178" si="128">IF(AND(ISNUMBER(C178),ISNUMBER(D178),ISNUMBER(I178)),SUM(C178:D178)*I178,"")</f>
        <v/>
      </c>
      <c r="N178" s="941" t="str">
        <f>IF(AND(ISNUMBER(E178),ISNUMBER(F178),ISNUMBER(J178)),SUM(E178:F178)*J178,"")</f>
        <v/>
      </c>
      <c r="O178" s="941" t="str">
        <f>IF(AND(ISNUMBER(G178),ISNUMBER(K178)),G178*K178,"")</f>
        <v/>
      </c>
      <c r="P178" s="940" t="str">
        <f>IF(AND(ISNUMBER(M178),ISNUMBER(O178)),SUM(M178:O178),"")</f>
        <v/>
      </c>
      <c r="Q178" s="916"/>
      <c r="R178" s="1293">
        <f>IF(ISNUMBER(P178),1,0)</f>
        <v>0</v>
      </c>
    </row>
    <row r="179" spans="1:18" ht="15" customHeight="1" x14ac:dyDescent="0.2">
      <c r="A179" s="914"/>
      <c r="B179" s="1237" t="s">
        <v>941</v>
      </c>
      <c r="C179" s="1311"/>
      <c r="D179" s="1215"/>
      <c r="E179" s="1215"/>
      <c r="F179" s="1215"/>
      <c r="G179" s="1261"/>
      <c r="H179" s="915"/>
      <c r="I179" s="1223"/>
      <c r="J179" s="1220"/>
      <c r="K179" s="1261"/>
      <c r="L179" s="915"/>
      <c r="M179" s="1246"/>
      <c r="N179" s="613"/>
      <c r="O179" s="613"/>
      <c r="P179" s="615"/>
      <c r="Q179" s="916"/>
    </row>
    <row r="180" spans="1:18" ht="15" customHeight="1" x14ac:dyDescent="0.2">
      <c r="A180" s="914"/>
      <c r="B180" s="1301" t="s">
        <v>1014</v>
      </c>
      <c r="C180" s="1309"/>
      <c r="D180" s="1216"/>
      <c r="E180" s="1216"/>
      <c r="F180" s="1216"/>
      <c r="G180" s="1218"/>
      <c r="H180" s="915"/>
      <c r="I180" s="1224">
        <v>0.5</v>
      </c>
      <c r="J180" s="1224">
        <v>0.5</v>
      </c>
      <c r="K180" s="1249">
        <v>0.65</v>
      </c>
      <c r="L180" s="915"/>
      <c r="M180" s="941" t="str">
        <f t="shared" ref="M180:M182" si="129">IF(AND(ISNUMBER(C180),ISNUMBER(D180),ISNUMBER(I180)),SUM(C180:D180)*I180,"")</f>
        <v/>
      </c>
      <c r="N180" s="941" t="str">
        <f t="shared" ref="N180:N182" si="130">IF(AND(ISNUMBER(E180),ISNUMBER(F180),ISNUMBER(J180)),SUM(E180:F180)*J180,"")</f>
        <v/>
      </c>
      <c r="O180" s="941" t="str">
        <f t="shared" ref="O180:O182" si="131">IF(AND(ISNUMBER(G180),ISNUMBER(K180)),G180*K180,"")</f>
        <v/>
      </c>
      <c r="P180" s="940" t="str">
        <f t="shared" ref="P180:P182" si="132">IF(AND(ISNUMBER(M180),ISNUMBER(O180)),SUM(M180:O180),"")</f>
        <v/>
      </c>
      <c r="Q180" s="916"/>
      <c r="R180" s="1293">
        <f t="shared" ref="R180:R182" si="133">IF(ISNUMBER(P180),1,0)</f>
        <v>0</v>
      </c>
    </row>
    <row r="181" spans="1:18" ht="15" customHeight="1" x14ac:dyDescent="0.2">
      <c r="A181" s="914"/>
      <c r="B181" s="1301" t="s">
        <v>1015</v>
      </c>
      <c r="C181" s="1309"/>
      <c r="D181" s="1216"/>
      <c r="E181" s="1216"/>
      <c r="F181" s="1216"/>
      <c r="G181" s="1218"/>
      <c r="H181" s="915"/>
      <c r="I181" s="1224">
        <v>0.5</v>
      </c>
      <c r="J181" s="1224">
        <v>0.5</v>
      </c>
      <c r="K181" s="1249">
        <v>0.65</v>
      </c>
      <c r="L181" s="915"/>
      <c r="M181" s="941" t="str">
        <f t="shared" si="129"/>
        <v/>
      </c>
      <c r="N181" s="941" t="str">
        <f t="shared" si="130"/>
        <v/>
      </c>
      <c r="O181" s="941" t="str">
        <f t="shared" si="131"/>
        <v/>
      </c>
      <c r="P181" s="940" t="str">
        <f t="shared" si="132"/>
        <v/>
      </c>
      <c r="Q181" s="916"/>
      <c r="R181" s="1293">
        <f t="shared" si="133"/>
        <v>0</v>
      </c>
    </row>
    <row r="182" spans="1:18" ht="15" customHeight="1" x14ac:dyDescent="0.2">
      <c r="A182" s="914"/>
      <c r="B182" s="1301" t="s">
        <v>976</v>
      </c>
      <c r="C182" s="1309"/>
      <c r="D182" s="1216"/>
      <c r="E182" s="1216"/>
      <c r="F182" s="1216"/>
      <c r="G182" s="1218"/>
      <c r="H182" s="915"/>
      <c r="I182" s="1224">
        <v>0.5</v>
      </c>
      <c r="J182" s="1224">
        <v>0.5</v>
      </c>
      <c r="K182" s="1249">
        <v>0.65</v>
      </c>
      <c r="L182" s="915"/>
      <c r="M182" s="941" t="str">
        <f t="shared" si="129"/>
        <v/>
      </c>
      <c r="N182" s="941" t="str">
        <f t="shared" si="130"/>
        <v/>
      </c>
      <c r="O182" s="941" t="str">
        <f t="shared" si="131"/>
        <v/>
      </c>
      <c r="P182" s="940" t="str">
        <f t="shared" si="132"/>
        <v/>
      </c>
      <c r="Q182" s="916"/>
      <c r="R182" s="1293">
        <f t="shared" si="133"/>
        <v>0</v>
      </c>
    </row>
    <row r="183" spans="1:18" ht="15" customHeight="1" x14ac:dyDescent="0.2">
      <c r="A183" s="914"/>
      <c r="B183" s="1237" t="s">
        <v>942</v>
      </c>
      <c r="C183" s="1311"/>
      <c r="D183" s="1215"/>
      <c r="E183" s="1215"/>
      <c r="F183" s="1215"/>
      <c r="G183" s="1261"/>
      <c r="H183" s="915"/>
      <c r="I183" s="1223"/>
      <c r="J183" s="1220"/>
      <c r="K183" s="1261"/>
      <c r="L183" s="915"/>
      <c r="M183" s="1246"/>
      <c r="N183" s="613"/>
      <c r="O183" s="613"/>
      <c r="P183" s="615"/>
      <c r="Q183" s="916"/>
    </row>
    <row r="184" spans="1:18" ht="15" customHeight="1" x14ac:dyDescent="0.2">
      <c r="A184" s="914"/>
      <c r="B184" s="1301" t="s">
        <v>1014</v>
      </c>
      <c r="C184" s="1309"/>
      <c r="D184" s="1216"/>
      <c r="E184" s="1216"/>
      <c r="F184" s="1216"/>
      <c r="G184" s="1218"/>
      <c r="H184" s="915"/>
      <c r="I184" s="1224">
        <v>0.5</v>
      </c>
      <c r="J184" s="1224">
        <v>0.5</v>
      </c>
      <c r="K184" s="1249">
        <v>0.65</v>
      </c>
      <c r="L184" s="915"/>
      <c r="M184" s="941" t="str">
        <f t="shared" ref="M184:M186" si="134">IF(AND(ISNUMBER(C184),ISNUMBER(D184),ISNUMBER(I184)),SUM(C184:D184)*I184,"")</f>
        <v/>
      </c>
      <c r="N184" s="941" t="str">
        <f t="shared" ref="N184:N186" si="135">IF(AND(ISNUMBER(E184),ISNUMBER(F184),ISNUMBER(J184)),SUM(E184:F184)*J184,"")</f>
        <v/>
      </c>
      <c r="O184" s="941" t="str">
        <f t="shared" ref="O184:O186" si="136">IF(AND(ISNUMBER(G184),ISNUMBER(K184)),G184*K184,"")</f>
        <v/>
      </c>
      <c r="P184" s="940" t="str">
        <f t="shared" ref="P184:P186" si="137">IF(AND(ISNUMBER(M184),ISNUMBER(O184)),SUM(M184:O184),"")</f>
        <v/>
      </c>
      <c r="Q184" s="916"/>
      <c r="R184" s="1293">
        <f t="shared" ref="R184:R186" si="138">IF(ISNUMBER(P184),1,0)</f>
        <v>0</v>
      </c>
    </row>
    <row r="185" spans="1:18" ht="15" customHeight="1" x14ac:dyDescent="0.2">
      <c r="A185" s="914"/>
      <c r="B185" s="1301" t="s">
        <v>1015</v>
      </c>
      <c r="C185" s="1309"/>
      <c r="D185" s="1216"/>
      <c r="E185" s="1216"/>
      <c r="F185" s="1216"/>
      <c r="G185" s="1218"/>
      <c r="H185" s="915"/>
      <c r="I185" s="1224">
        <v>0.5</v>
      </c>
      <c r="J185" s="1224">
        <v>0.5</v>
      </c>
      <c r="K185" s="1249">
        <v>0.65</v>
      </c>
      <c r="L185" s="915"/>
      <c r="M185" s="941" t="str">
        <f t="shared" si="134"/>
        <v/>
      </c>
      <c r="N185" s="941" t="str">
        <f t="shared" si="135"/>
        <v/>
      </c>
      <c r="O185" s="941" t="str">
        <f t="shared" si="136"/>
        <v/>
      </c>
      <c r="P185" s="940" t="str">
        <f t="shared" si="137"/>
        <v/>
      </c>
      <c r="Q185" s="916"/>
      <c r="R185" s="1293">
        <f t="shared" si="138"/>
        <v>0</v>
      </c>
    </row>
    <row r="186" spans="1:18" ht="15" customHeight="1" x14ac:dyDescent="0.2">
      <c r="A186" s="914"/>
      <c r="B186" s="1301" t="s">
        <v>976</v>
      </c>
      <c r="C186" s="1309"/>
      <c r="D186" s="1216"/>
      <c r="E186" s="1216"/>
      <c r="F186" s="1216"/>
      <c r="G186" s="1218"/>
      <c r="H186" s="915"/>
      <c r="I186" s="1224">
        <v>1</v>
      </c>
      <c r="J186" s="1224">
        <v>1</v>
      </c>
      <c r="K186" s="1249">
        <v>1</v>
      </c>
      <c r="L186" s="915"/>
      <c r="M186" s="941" t="str">
        <f t="shared" si="134"/>
        <v/>
      </c>
      <c r="N186" s="941" t="str">
        <f t="shared" si="135"/>
        <v/>
      </c>
      <c r="O186" s="941" t="str">
        <f t="shared" si="136"/>
        <v/>
      </c>
      <c r="P186" s="940" t="str">
        <f t="shared" si="137"/>
        <v/>
      </c>
      <c r="Q186" s="916"/>
      <c r="R186" s="1293">
        <f t="shared" si="138"/>
        <v>0</v>
      </c>
    </row>
    <row r="187" spans="1:18" ht="38.25" x14ac:dyDescent="0.2">
      <c r="A187" s="914"/>
      <c r="B187" s="1212" t="s">
        <v>950</v>
      </c>
      <c r="C187" s="1311"/>
      <c r="D187" s="1215"/>
      <c r="E187" s="1215"/>
      <c r="F187" s="1215"/>
      <c r="G187" s="1261"/>
      <c r="H187" s="915"/>
      <c r="I187" s="1223"/>
      <c r="J187" s="1220"/>
      <c r="K187" s="1261"/>
      <c r="L187" s="915"/>
      <c r="M187" s="1246"/>
      <c r="N187" s="613"/>
      <c r="O187" s="613"/>
      <c r="P187" s="615"/>
      <c r="Q187" s="916"/>
    </row>
    <row r="188" spans="1:18" ht="15" customHeight="1" x14ac:dyDescent="0.2">
      <c r="A188" s="914"/>
      <c r="B188" s="1213" t="s">
        <v>940</v>
      </c>
      <c r="C188" s="1311"/>
      <c r="D188" s="1215"/>
      <c r="E188" s="1215"/>
      <c r="F188" s="1215"/>
      <c r="G188" s="1218"/>
      <c r="H188" s="915"/>
      <c r="I188" s="1223"/>
      <c r="J188" s="1220"/>
      <c r="K188" s="1249">
        <v>0.65</v>
      </c>
      <c r="L188" s="915"/>
      <c r="M188" s="1246"/>
      <c r="N188" s="1220"/>
      <c r="O188" s="941" t="str">
        <f>IF(AND(ISNUMBER(G188),ISNUMBER(K188)),G188*K188,"")</f>
        <v/>
      </c>
      <c r="P188" s="940" t="str">
        <f>IF(ISNUMBER(O188),O188,"")</f>
        <v/>
      </c>
      <c r="Q188" s="916"/>
      <c r="R188" s="1293">
        <f>IF(ISNUMBER(P188),1,0)</f>
        <v>0</v>
      </c>
    </row>
    <row r="189" spans="1:18" ht="15" customHeight="1" x14ac:dyDescent="0.2">
      <c r="A189" s="914"/>
      <c r="B189" s="1213" t="s">
        <v>941</v>
      </c>
      <c r="C189" s="1311"/>
      <c r="D189" s="1215"/>
      <c r="E189" s="1215"/>
      <c r="F189" s="1215"/>
      <c r="G189" s="1261"/>
      <c r="H189" s="915"/>
      <c r="I189" s="1223"/>
      <c r="J189" s="1220"/>
      <c r="K189" s="1261"/>
      <c r="L189" s="915"/>
      <c r="M189" s="1246"/>
      <c r="N189" s="1220"/>
      <c r="O189" s="613"/>
      <c r="P189" s="615"/>
      <c r="Q189" s="916"/>
    </row>
    <row r="190" spans="1:18" ht="15" customHeight="1" x14ac:dyDescent="0.2">
      <c r="A190" s="914"/>
      <c r="B190" s="1301" t="s">
        <v>1014</v>
      </c>
      <c r="C190" s="1311"/>
      <c r="D190" s="1215"/>
      <c r="E190" s="1215"/>
      <c r="F190" s="1215"/>
      <c r="G190" s="1218"/>
      <c r="H190" s="915"/>
      <c r="I190" s="1223"/>
      <c r="J190" s="1220"/>
      <c r="K190" s="1249">
        <v>0.65</v>
      </c>
      <c r="L190" s="915"/>
      <c r="M190" s="1246"/>
      <c r="N190" s="1220"/>
      <c r="O190" s="941" t="str">
        <f>IF(AND(ISNUMBER(G190),ISNUMBER(K190)),G190*K190,"")</f>
        <v/>
      </c>
      <c r="P190" s="940" t="str">
        <f t="shared" ref="P190:P192" si="139">IF(ISNUMBER(O190),O190,"")</f>
        <v/>
      </c>
      <c r="Q190" s="916"/>
      <c r="R190" s="1293">
        <f t="shared" ref="R190:R192" si="140">IF(ISNUMBER(P190),1,0)</f>
        <v>0</v>
      </c>
    </row>
    <row r="191" spans="1:18" ht="15" customHeight="1" x14ac:dyDescent="0.2">
      <c r="A191" s="914"/>
      <c r="B191" s="1301" t="s">
        <v>1015</v>
      </c>
      <c r="C191" s="1311"/>
      <c r="D191" s="1215"/>
      <c r="E191" s="1215"/>
      <c r="F191" s="1215"/>
      <c r="G191" s="1218"/>
      <c r="H191" s="915"/>
      <c r="I191" s="1223"/>
      <c r="J191" s="1220"/>
      <c r="K191" s="1249">
        <v>0.65</v>
      </c>
      <c r="L191" s="915"/>
      <c r="M191" s="1246"/>
      <c r="N191" s="1220"/>
      <c r="O191" s="941" t="str">
        <f>IF(AND(ISNUMBER(G191),ISNUMBER(K191)),G191*K191,"")</f>
        <v/>
      </c>
      <c r="P191" s="940" t="str">
        <f t="shared" si="139"/>
        <v/>
      </c>
      <c r="Q191" s="916"/>
      <c r="R191" s="1293">
        <f t="shared" si="140"/>
        <v>0</v>
      </c>
    </row>
    <row r="192" spans="1:18" ht="15" customHeight="1" x14ac:dyDescent="0.2">
      <c r="A192" s="914"/>
      <c r="B192" s="1301" t="s">
        <v>976</v>
      </c>
      <c r="C192" s="1311"/>
      <c r="D192" s="1215"/>
      <c r="E192" s="1215"/>
      <c r="F192" s="1215"/>
      <c r="G192" s="1218"/>
      <c r="H192" s="915"/>
      <c r="I192" s="1223"/>
      <c r="J192" s="1220"/>
      <c r="K192" s="1249">
        <v>0.65</v>
      </c>
      <c r="L192" s="915"/>
      <c r="M192" s="1246"/>
      <c r="N192" s="1220"/>
      <c r="O192" s="941" t="str">
        <f>IF(AND(ISNUMBER(G192),ISNUMBER(K192)),G192*K192,"")</f>
        <v/>
      </c>
      <c r="P192" s="940" t="str">
        <f t="shared" si="139"/>
        <v/>
      </c>
      <c r="Q192" s="916"/>
      <c r="R192" s="1293">
        <f t="shared" si="140"/>
        <v>0</v>
      </c>
    </row>
    <row r="193" spans="1:18" ht="15" customHeight="1" x14ac:dyDescent="0.2">
      <c r="A193" s="914"/>
      <c r="B193" s="1213" t="s">
        <v>942</v>
      </c>
      <c r="C193" s="1311"/>
      <c r="D193" s="1215"/>
      <c r="E193" s="1215"/>
      <c r="F193" s="1215"/>
      <c r="G193" s="1261"/>
      <c r="H193" s="915"/>
      <c r="I193" s="1223"/>
      <c r="J193" s="1220"/>
      <c r="K193" s="1261"/>
      <c r="L193" s="915"/>
      <c r="M193" s="1246"/>
      <c r="N193" s="1220"/>
      <c r="O193" s="613"/>
      <c r="P193" s="615"/>
      <c r="Q193" s="916"/>
    </row>
    <row r="194" spans="1:18" ht="15" customHeight="1" x14ac:dyDescent="0.2">
      <c r="A194" s="914"/>
      <c r="B194" s="1301" t="s">
        <v>1014</v>
      </c>
      <c r="C194" s="1311"/>
      <c r="D194" s="1215"/>
      <c r="E194" s="1215"/>
      <c r="F194" s="1215"/>
      <c r="G194" s="1218"/>
      <c r="H194" s="915"/>
      <c r="I194" s="1223"/>
      <c r="J194" s="1220"/>
      <c r="K194" s="1249">
        <v>0.65</v>
      </c>
      <c r="L194" s="915"/>
      <c r="M194" s="1246"/>
      <c r="N194" s="1220"/>
      <c r="O194" s="941" t="str">
        <f>IF(AND(ISNUMBER(G194),ISNUMBER(K194)),G194*K194,"")</f>
        <v/>
      </c>
      <c r="P194" s="940" t="str">
        <f t="shared" ref="P194:P196" si="141">IF(ISNUMBER(O194),O194,"")</f>
        <v/>
      </c>
      <c r="Q194" s="916"/>
      <c r="R194" s="1293">
        <f t="shared" ref="R194:R196" si="142">IF(ISNUMBER(P194),1,0)</f>
        <v>0</v>
      </c>
    </row>
    <row r="195" spans="1:18" ht="15" customHeight="1" x14ac:dyDescent="0.2">
      <c r="A195" s="914"/>
      <c r="B195" s="1301" t="s">
        <v>1015</v>
      </c>
      <c r="C195" s="1311"/>
      <c r="D195" s="1215"/>
      <c r="E195" s="1215"/>
      <c r="F195" s="1215"/>
      <c r="G195" s="1218"/>
      <c r="H195" s="915"/>
      <c r="I195" s="1223"/>
      <c r="J195" s="1220"/>
      <c r="K195" s="1249">
        <v>0.65</v>
      </c>
      <c r="L195" s="915"/>
      <c r="M195" s="1246"/>
      <c r="N195" s="1220"/>
      <c r="O195" s="941" t="str">
        <f>IF(AND(ISNUMBER(G195),ISNUMBER(K195)),G195*K195,"")</f>
        <v/>
      </c>
      <c r="P195" s="940" t="str">
        <f t="shared" si="141"/>
        <v/>
      </c>
      <c r="Q195" s="916"/>
      <c r="R195" s="1293">
        <f t="shared" si="142"/>
        <v>0</v>
      </c>
    </row>
    <row r="196" spans="1:18" ht="15" customHeight="1" x14ac:dyDescent="0.2">
      <c r="A196" s="914"/>
      <c r="B196" s="1301" t="s">
        <v>976</v>
      </c>
      <c r="C196" s="1311"/>
      <c r="D196" s="1215"/>
      <c r="E196" s="1215"/>
      <c r="F196" s="1215"/>
      <c r="G196" s="1218"/>
      <c r="H196" s="915"/>
      <c r="I196" s="1223"/>
      <c r="J196" s="1220"/>
      <c r="K196" s="1249">
        <v>1</v>
      </c>
      <c r="L196" s="915"/>
      <c r="M196" s="1246"/>
      <c r="N196" s="1220"/>
      <c r="O196" s="941" t="str">
        <f>IF(AND(ISNUMBER(G196),ISNUMBER(K196)),G196*K196,"")</f>
        <v/>
      </c>
      <c r="P196" s="940" t="str">
        <f t="shared" si="141"/>
        <v/>
      </c>
      <c r="Q196" s="916"/>
      <c r="R196" s="1293">
        <f t="shared" si="142"/>
        <v>0</v>
      </c>
    </row>
    <row r="197" spans="1:18" ht="30" customHeight="1" x14ac:dyDescent="0.2">
      <c r="A197" s="914"/>
      <c r="B197" s="1240" t="s">
        <v>1020</v>
      </c>
      <c r="C197" s="1311"/>
      <c r="D197" s="1215"/>
      <c r="E197" s="1215"/>
      <c r="F197" s="1215"/>
      <c r="G197" s="1261"/>
      <c r="H197" s="915"/>
      <c r="I197" s="1223"/>
      <c r="J197" s="1220"/>
      <c r="K197" s="1261"/>
      <c r="L197" s="915"/>
      <c r="M197" s="1246"/>
      <c r="N197" s="613"/>
      <c r="O197" s="613"/>
      <c r="P197" s="615"/>
      <c r="Q197" s="916"/>
    </row>
    <row r="198" spans="1:18" ht="15" customHeight="1" x14ac:dyDescent="0.2">
      <c r="A198" s="914"/>
      <c r="B198" s="1237" t="s">
        <v>940</v>
      </c>
      <c r="C198" s="1309"/>
      <c r="D198" s="1216"/>
      <c r="E198" s="1216"/>
      <c r="F198" s="1216"/>
      <c r="G198" s="1261"/>
      <c r="H198" s="915"/>
      <c r="I198" s="1224">
        <v>0.5</v>
      </c>
      <c r="J198" s="1224">
        <v>0.5</v>
      </c>
      <c r="K198" s="1261"/>
      <c r="L198" s="915"/>
      <c r="M198" s="941" t="str">
        <f t="shared" ref="M198" si="143">IF(AND(ISNUMBER(C198),ISNUMBER(D198),ISNUMBER(I198)),SUM(C198:D198)*I198,"")</f>
        <v/>
      </c>
      <c r="N198" s="941" t="str">
        <f>IF(AND(ISNUMBER(E198),ISNUMBER(F198),ISNUMBER(J198)),SUM(E198:F198)*J198,"")</f>
        <v/>
      </c>
      <c r="O198" s="613"/>
      <c r="P198" s="940" t="str">
        <f>IF(AND(ISNUMBER(M198),ISNUMBER(N198)),SUM(M198:N198),"")</f>
        <v/>
      </c>
      <c r="Q198" s="916"/>
      <c r="R198" s="1293">
        <f>IF(ISNUMBER(P198),1,0)</f>
        <v>0</v>
      </c>
    </row>
    <row r="199" spans="1:18" ht="15" customHeight="1" x14ac:dyDescent="0.2">
      <c r="A199" s="914"/>
      <c r="B199" s="1237" t="s">
        <v>941</v>
      </c>
      <c r="C199" s="1311"/>
      <c r="D199" s="1215"/>
      <c r="E199" s="1215"/>
      <c r="F199" s="1215"/>
      <c r="G199" s="1261"/>
      <c r="H199" s="915"/>
      <c r="I199" s="1223"/>
      <c r="J199" s="1220"/>
      <c r="K199" s="1261"/>
      <c r="L199" s="915"/>
      <c r="M199" s="1246"/>
      <c r="N199" s="613"/>
      <c r="O199" s="613"/>
      <c r="P199" s="615"/>
      <c r="Q199" s="916"/>
    </row>
    <row r="200" spans="1:18" ht="15" customHeight="1" x14ac:dyDescent="0.2">
      <c r="A200" s="914"/>
      <c r="B200" s="1301" t="s">
        <v>1014</v>
      </c>
      <c r="C200" s="1309"/>
      <c r="D200" s="1216"/>
      <c r="E200" s="1216"/>
      <c r="F200" s="1216"/>
      <c r="G200" s="1261"/>
      <c r="H200" s="915"/>
      <c r="I200" s="1224">
        <v>0.5</v>
      </c>
      <c r="J200" s="1224">
        <v>0.5</v>
      </c>
      <c r="K200" s="1261"/>
      <c r="L200" s="915"/>
      <c r="M200" s="941" t="str">
        <f t="shared" ref="M200:M202" si="144">IF(AND(ISNUMBER(C200),ISNUMBER(D200),ISNUMBER(I200)),SUM(C200:D200)*I200,"")</f>
        <v/>
      </c>
      <c r="N200" s="941" t="str">
        <f t="shared" ref="N200:N202" si="145">IF(AND(ISNUMBER(E200),ISNUMBER(F200),ISNUMBER(J200)),SUM(E200:F200)*J200,"")</f>
        <v/>
      </c>
      <c r="O200" s="613"/>
      <c r="P200" s="940" t="str">
        <f t="shared" ref="P200:P202" si="146">IF(AND(ISNUMBER(M200),ISNUMBER(N200)),SUM(M200:N200),"")</f>
        <v/>
      </c>
      <c r="Q200" s="916"/>
      <c r="R200" s="1293">
        <f t="shared" ref="R200:R202" si="147">IF(ISNUMBER(P200),1,0)</f>
        <v>0</v>
      </c>
    </row>
    <row r="201" spans="1:18" ht="15" customHeight="1" x14ac:dyDescent="0.2">
      <c r="A201" s="914"/>
      <c r="B201" s="1301" t="s">
        <v>1015</v>
      </c>
      <c r="C201" s="1309"/>
      <c r="D201" s="1216"/>
      <c r="E201" s="1216"/>
      <c r="F201" s="1216"/>
      <c r="G201" s="1261"/>
      <c r="H201" s="915"/>
      <c r="I201" s="1224">
        <v>0.5</v>
      </c>
      <c r="J201" s="1224">
        <v>0.5</v>
      </c>
      <c r="K201" s="1261"/>
      <c r="L201" s="915"/>
      <c r="M201" s="941" t="str">
        <f t="shared" si="144"/>
        <v/>
      </c>
      <c r="N201" s="941" t="str">
        <f t="shared" si="145"/>
        <v/>
      </c>
      <c r="O201" s="613"/>
      <c r="P201" s="940" t="str">
        <f t="shared" si="146"/>
        <v/>
      </c>
      <c r="Q201" s="916"/>
      <c r="R201" s="1293">
        <f t="shared" si="147"/>
        <v>0</v>
      </c>
    </row>
    <row r="202" spans="1:18" ht="15" customHeight="1" x14ac:dyDescent="0.2">
      <c r="A202" s="914"/>
      <c r="B202" s="1301" t="s">
        <v>976</v>
      </c>
      <c r="C202" s="1309"/>
      <c r="D202" s="1216"/>
      <c r="E202" s="1216"/>
      <c r="F202" s="1216"/>
      <c r="G202" s="1261"/>
      <c r="H202" s="915"/>
      <c r="I202" s="1224">
        <v>0.5</v>
      </c>
      <c r="J202" s="1224">
        <v>0.5</v>
      </c>
      <c r="K202" s="1261"/>
      <c r="L202" s="915"/>
      <c r="M202" s="941" t="str">
        <f t="shared" si="144"/>
        <v/>
      </c>
      <c r="N202" s="941" t="str">
        <f t="shared" si="145"/>
        <v/>
      </c>
      <c r="O202" s="613"/>
      <c r="P202" s="940" t="str">
        <f t="shared" si="146"/>
        <v/>
      </c>
      <c r="Q202" s="916"/>
      <c r="R202" s="1293">
        <f t="shared" si="147"/>
        <v>0</v>
      </c>
    </row>
    <row r="203" spans="1:18" ht="15" customHeight="1" x14ac:dyDescent="0.2">
      <c r="A203" s="914"/>
      <c r="B203" s="1237" t="s">
        <v>942</v>
      </c>
      <c r="C203" s="1311"/>
      <c r="D203" s="1215"/>
      <c r="E203" s="1215"/>
      <c r="F203" s="1215"/>
      <c r="G203" s="1261"/>
      <c r="H203" s="915"/>
      <c r="I203" s="1223"/>
      <c r="J203" s="1220"/>
      <c r="K203" s="1261"/>
      <c r="L203" s="915"/>
      <c r="M203" s="1246"/>
      <c r="N203" s="613"/>
      <c r="O203" s="613"/>
      <c r="P203" s="615"/>
      <c r="Q203" s="916"/>
    </row>
    <row r="204" spans="1:18" ht="15" customHeight="1" x14ac:dyDescent="0.2">
      <c r="A204" s="914"/>
      <c r="B204" s="1301" t="s">
        <v>1014</v>
      </c>
      <c r="C204" s="1309"/>
      <c r="D204" s="1216"/>
      <c r="E204" s="1216"/>
      <c r="F204" s="1216"/>
      <c r="G204" s="1261"/>
      <c r="H204" s="915"/>
      <c r="I204" s="1224">
        <v>0.5</v>
      </c>
      <c r="J204" s="1224">
        <v>0.5</v>
      </c>
      <c r="K204" s="1261"/>
      <c r="L204" s="915"/>
      <c r="M204" s="941" t="str">
        <f t="shared" ref="M204:M206" si="148">IF(AND(ISNUMBER(C204),ISNUMBER(D204),ISNUMBER(I204)),SUM(C204:D204)*I204,"")</f>
        <v/>
      </c>
      <c r="N204" s="941" t="str">
        <f t="shared" ref="N204:N206" si="149">IF(AND(ISNUMBER(E204),ISNUMBER(F204),ISNUMBER(J204)),SUM(E204:F204)*J204,"")</f>
        <v/>
      </c>
      <c r="O204" s="613"/>
      <c r="P204" s="940" t="str">
        <f t="shared" ref="P204:P206" si="150">IF(AND(ISNUMBER(M204),ISNUMBER(N204)),SUM(M204:N204),"")</f>
        <v/>
      </c>
      <c r="Q204" s="916"/>
      <c r="R204" s="1293">
        <f t="shared" ref="R204:R206" si="151">IF(ISNUMBER(P204),1,0)</f>
        <v>0</v>
      </c>
    </row>
    <row r="205" spans="1:18" ht="15" customHeight="1" x14ac:dyDescent="0.2">
      <c r="A205" s="914"/>
      <c r="B205" s="1301" t="s">
        <v>1015</v>
      </c>
      <c r="C205" s="1309"/>
      <c r="D205" s="1216"/>
      <c r="E205" s="1216"/>
      <c r="F205" s="1216"/>
      <c r="G205" s="1261"/>
      <c r="H205" s="915"/>
      <c r="I205" s="1224">
        <v>0.5</v>
      </c>
      <c r="J205" s="1224">
        <v>0.5</v>
      </c>
      <c r="K205" s="1261"/>
      <c r="L205" s="915"/>
      <c r="M205" s="941" t="str">
        <f t="shared" si="148"/>
        <v/>
      </c>
      <c r="N205" s="941" t="str">
        <f t="shared" si="149"/>
        <v/>
      </c>
      <c r="O205" s="613"/>
      <c r="P205" s="940" t="str">
        <f t="shared" si="150"/>
        <v/>
      </c>
      <c r="Q205" s="916"/>
      <c r="R205" s="1293">
        <f t="shared" si="151"/>
        <v>0</v>
      </c>
    </row>
    <row r="206" spans="1:18" ht="15" customHeight="1" x14ac:dyDescent="0.2">
      <c r="A206" s="914"/>
      <c r="B206" s="1301" t="s">
        <v>976</v>
      </c>
      <c r="C206" s="1309"/>
      <c r="D206" s="1216"/>
      <c r="E206" s="1216"/>
      <c r="F206" s="1216"/>
      <c r="G206" s="1261"/>
      <c r="H206" s="915"/>
      <c r="I206" s="1224">
        <v>1</v>
      </c>
      <c r="J206" s="1224">
        <v>1</v>
      </c>
      <c r="K206" s="1261"/>
      <c r="L206" s="915"/>
      <c r="M206" s="941" t="str">
        <f t="shared" si="148"/>
        <v/>
      </c>
      <c r="N206" s="941" t="str">
        <f t="shared" si="149"/>
        <v/>
      </c>
      <c r="O206" s="613"/>
      <c r="P206" s="940" t="str">
        <f t="shared" si="150"/>
        <v/>
      </c>
      <c r="Q206" s="916"/>
      <c r="R206" s="1293">
        <f t="shared" si="151"/>
        <v>0</v>
      </c>
    </row>
    <row r="207" spans="1:18" ht="38.25" x14ac:dyDescent="0.2">
      <c r="A207" s="914"/>
      <c r="B207" s="1240" t="s">
        <v>1021</v>
      </c>
      <c r="C207" s="1311"/>
      <c r="D207" s="1215"/>
      <c r="E207" s="1215"/>
      <c r="F207" s="1215"/>
      <c r="G207" s="1261"/>
      <c r="H207" s="915"/>
      <c r="I207" s="1223"/>
      <c r="J207" s="1220"/>
      <c r="K207" s="1261"/>
      <c r="L207" s="915"/>
      <c r="M207" s="1246"/>
      <c r="N207" s="613"/>
      <c r="O207" s="613"/>
      <c r="P207" s="615"/>
      <c r="Q207" s="916"/>
    </row>
    <row r="208" spans="1:18" ht="15" customHeight="1" x14ac:dyDescent="0.2">
      <c r="A208" s="914"/>
      <c r="B208" s="1237" t="s">
        <v>940</v>
      </c>
      <c r="C208" s="1309"/>
      <c r="D208" s="1216"/>
      <c r="E208" s="1216"/>
      <c r="F208" s="1216"/>
      <c r="G208" s="1218"/>
      <c r="H208" s="915"/>
      <c r="I208" s="1224">
        <v>0.5</v>
      </c>
      <c r="J208" s="1224">
        <v>0.5</v>
      </c>
      <c r="K208" s="1249">
        <v>0.85</v>
      </c>
      <c r="L208" s="915"/>
      <c r="M208" s="941" t="str">
        <f t="shared" ref="M208" si="152">IF(AND(ISNUMBER(C208),ISNUMBER(D208),ISNUMBER(I208)),SUM(C208:D208)*I208,"")</f>
        <v/>
      </c>
      <c r="N208" s="941" t="str">
        <f>IF(AND(ISNUMBER(E208),ISNUMBER(F208),ISNUMBER(J208)),SUM(E208:F208)*J208,"")</f>
        <v/>
      </c>
      <c r="O208" s="941" t="str">
        <f>IF(AND(ISNUMBER(G208),ISNUMBER(K208)),G208*K208,"")</f>
        <v/>
      </c>
      <c r="P208" s="940" t="str">
        <f>IF(AND(ISNUMBER(M208),ISNUMBER(O208)),SUM(M208:O208),"")</f>
        <v/>
      </c>
      <c r="Q208" s="916"/>
      <c r="R208" s="1293">
        <f>IF(ISNUMBER(P208),1,0)</f>
        <v>0</v>
      </c>
    </row>
    <row r="209" spans="1:18" ht="15" customHeight="1" x14ac:dyDescent="0.2">
      <c r="A209" s="914"/>
      <c r="B209" s="1237" t="s">
        <v>941</v>
      </c>
      <c r="C209" s="1311"/>
      <c r="D209" s="1215"/>
      <c r="E209" s="1215"/>
      <c r="F209" s="1215"/>
      <c r="G209" s="1261"/>
      <c r="H209" s="915"/>
      <c r="I209" s="1223"/>
      <c r="J209" s="1220"/>
      <c r="K209" s="1261"/>
      <c r="L209" s="915"/>
      <c r="M209" s="1246"/>
      <c r="N209" s="1220"/>
      <c r="O209" s="613"/>
      <c r="P209" s="615"/>
      <c r="Q209" s="916"/>
    </row>
    <row r="210" spans="1:18" ht="15" customHeight="1" x14ac:dyDescent="0.2">
      <c r="A210" s="914"/>
      <c r="B210" s="1301" t="s">
        <v>1014</v>
      </c>
      <c r="C210" s="1309"/>
      <c r="D210" s="1216"/>
      <c r="E210" s="1216"/>
      <c r="F210" s="1216"/>
      <c r="G210" s="1218"/>
      <c r="H210" s="915"/>
      <c r="I210" s="1224">
        <v>0.5</v>
      </c>
      <c r="J210" s="1224">
        <v>0.5</v>
      </c>
      <c r="K210" s="1249">
        <v>0.85</v>
      </c>
      <c r="L210" s="915"/>
      <c r="M210" s="941" t="str">
        <f t="shared" ref="M210:M212" si="153">IF(AND(ISNUMBER(C210),ISNUMBER(D210),ISNUMBER(I210)),SUM(C210:D210)*I210,"")</f>
        <v/>
      </c>
      <c r="N210" s="941" t="str">
        <f t="shared" ref="N210:N212" si="154">IF(AND(ISNUMBER(E210),ISNUMBER(F210),ISNUMBER(J210)),SUM(E210:F210)*J210,"")</f>
        <v/>
      </c>
      <c r="O210" s="941" t="str">
        <f>IF(AND(ISNUMBER(G210),ISNUMBER(K210)),G210*K210,"")</f>
        <v/>
      </c>
      <c r="P210" s="940" t="str">
        <f t="shared" ref="P210:P212" si="155">IF(AND(ISNUMBER(M210),ISNUMBER(O210)),SUM(M210:O210),"")</f>
        <v/>
      </c>
      <c r="Q210" s="916"/>
      <c r="R210" s="1293">
        <f t="shared" ref="R210:R212" si="156">IF(ISNUMBER(P210),1,0)</f>
        <v>0</v>
      </c>
    </row>
    <row r="211" spans="1:18" ht="15" customHeight="1" x14ac:dyDescent="0.2">
      <c r="A211" s="914"/>
      <c r="B211" s="1301" t="s">
        <v>1015</v>
      </c>
      <c r="C211" s="1309"/>
      <c r="D211" s="1216"/>
      <c r="E211" s="1216"/>
      <c r="F211" s="1216"/>
      <c r="G211" s="1218"/>
      <c r="H211" s="915"/>
      <c r="I211" s="1224">
        <v>0.5</v>
      </c>
      <c r="J211" s="1224">
        <v>0.5</v>
      </c>
      <c r="K211" s="1249">
        <v>0.85</v>
      </c>
      <c r="L211" s="915"/>
      <c r="M211" s="941" t="str">
        <f t="shared" si="153"/>
        <v/>
      </c>
      <c r="N211" s="941" t="str">
        <f t="shared" si="154"/>
        <v/>
      </c>
      <c r="O211" s="941" t="str">
        <f>IF(AND(ISNUMBER(G211),ISNUMBER(K211)),G211*K211,"")</f>
        <v/>
      </c>
      <c r="P211" s="940" t="str">
        <f t="shared" si="155"/>
        <v/>
      </c>
      <c r="Q211" s="916"/>
      <c r="R211" s="1293">
        <f t="shared" si="156"/>
        <v>0</v>
      </c>
    </row>
    <row r="212" spans="1:18" ht="15" customHeight="1" x14ac:dyDescent="0.2">
      <c r="A212" s="914"/>
      <c r="B212" s="1301" t="s">
        <v>976</v>
      </c>
      <c r="C212" s="1309"/>
      <c r="D212" s="1216"/>
      <c r="E212" s="1216"/>
      <c r="F212" s="1216"/>
      <c r="G212" s="1218"/>
      <c r="H212" s="915"/>
      <c r="I212" s="1224">
        <v>0.5</v>
      </c>
      <c r="J212" s="1224">
        <v>0.5</v>
      </c>
      <c r="K212" s="1249">
        <v>0.85</v>
      </c>
      <c r="L212" s="915"/>
      <c r="M212" s="941" t="str">
        <f t="shared" si="153"/>
        <v/>
      </c>
      <c r="N212" s="941" t="str">
        <f t="shared" si="154"/>
        <v/>
      </c>
      <c r="O212" s="941" t="str">
        <f>IF(AND(ISNUMBER(G212),ISNUMBER(K212)),G212*K212,"")</f>
        <v/>
      </c>
      <c r="P212" s="940" t="str">
        <f t="shared" si="155"/>
        <v/>
      </c>
      <c r="Q212" s="916"/>
      <c r="R212" s="1293">
        <f t="shared" si="156"/>
        <v>0</v>
      </c>
    </row>
    <row r="213" spans="1:18" ht="15" customHeight="1" x14ac:dyDescent="0.2">
      <c r="A213" s="914"/>
      <c r="B213" s="1237" t="s">
        <v>942</v>
      </c>
      <c r="C213" s="1311"/>
      <c r="D213" s="1215"/>
      <c r="E213" s="1215"/>
      <c r="F213" s="1215"/>
      <c r="G213" s="1261"/>
      <c r="H213" s="915"/>
      <c r="I213" s="1223"/>
      <c r="J213" s="1220"/>
      <c r="K213" s="1261"/>
      <c r="L213" s="915"/>
      <c r="M213" s="1246"/>
      <c r="N213" s="1220"/>
      <c r="O213" s="613"/>
      <c r="P213" s="615"/>
      <c r="Q213" s="916"/>
    </row>
    <row r="214" spans="1:18" ht="15" customHeight="1" x14ac:dyDescent="0.2">
      <c r="A214" s="914"/>
      <c r="B214" s="1301" t="s">
        <v>1014</v>
      </c>
      <c r="C214" s="1309"/>
      <c r="D214" s="1216"/>
      <c r="E214" s="1216"/>
      <c r="F214" s="1216"/>
      <c r="G214" s="1218"/>
      <c r="H214" s="915"/>
      <c r="I214" s="1224">
        <v>0.5</v>
      </c>
      <c r="J214" s="1224">
        <v>0.5</v>
      </c>
      <c r="K214" s="1249">
        <v>0.85</v>
      </c>
      <c r="L214" s="915"/>
      <c r="M214" s="941" t="str">
        <f t="shared" ref="M214:M216" si="157">IF(AND(ISNUMBER(C214),ISNUMBER(D214),ISNUMBER(I214)),SUM(C214:D214)*I214,"")</f>
        <v/>
      </c>
      <c r="N214" s="941" t="str">
        <f t="shared" ref="N214:N216" si="158">IF(AND(ISNUMBER(E214),ISNUMBER(F214),ISNUMBER(J214)),SUM(E214:F214)*J214,"")</f>
        <v/>
      </c>
      <c r="O214" s="941" t="str">
        <f>IF(AND(ISNUMBER(G214),ISNUMBER(K214)),G214*K214,"")</f>
        <v/>
      </c>
      <c r="P214" s="940" t="str">
        <f t="shared" ref="P214:P216" si="159">IF(AND(ISNUMBER(M214),ISNUMBER(O214)),SUM(M214:O214),"")</f>
        <v/>
      </c>
      <c r="Q214" s="916"/>
      <c r="R214" s="1293">
        <f t="shared" ref="R214:R216" si="160">IF(ISNUMBER(P214),1,0)</f>
        <v>0</v>
      </c>
    </row>
    <row r="215" spans="1:18" ht="15" customHeight="1" x14ac:dyDescent="0.2">
      <c r="A215" s="914"/>
      <c r="B215" s="1301" t="s">
        <v>1015</v>
      </c>
      <c r="C215" s="1309"/>
      <c r="D215" s="1216"/>
      <c r="E215" s="1216"/>
      <c r="F215" s="1216"/>
      <c r="G215" s="1218"/>
      <c r="H215" s="915"/>
      <c r="I215" s="1224">
        <v>0.5</v>
      </c>
      <c r="J215" s="1224">
        <v>0.5</v>
      </c>
      <c r="K215" s="1249">
        <v>0.85</v>
      </c>
      <c r="L215" s="915"/>
      <c r="M215" s="941" t="str">
        <f t="shared" si="157"/>
        <v/>
      </c>
      <c r="N215" s="941" t="str">
        <f t="shared" si="158"/>
        <v/>
      </c>
      <c r="O215" s="941" t="str">
        <f>IF(AND(ISNUMBER(G215),ISNUMBER(K215)),G215*K215,"")</f>
        <v/>
      </c>
      <c r="P215" s="940" t="str">
        <f t="shared" si="159"/>
        <v/>
      </c>
      <c r="Q215" s="916"/>
      <c r="R215" s="1293">
        <f t="shared" si="160"/>
        <v>0</v>
      </c>
    </row>
    <row r="216" spans="1:18" ht="15" customHeight="1" x14ac:dyDescent="0.2">
      <c r="A216" s="914"/>
      <c r="B216" s="1301" t="s">
        <v>976</v>
      </c>
      <c r="C216" s="1309"/>
      <c r="D216" s="1216"/>
      <c r="E216" s="1216"/>
      <c r="F216" s="1216"/>
      <c r="G216" s="1218"/>
      <c r="H216" s="915"/>
      <c r="I216" s="1224">
        <v>1</v>
      </c>
      <c r="J216" s="1224">
        <v>1</v>
      </c>
      <c r="K216" s="1249">
        <v>1</v>
      </c>
      <c r="L216" s="915"/>
      <c r="M216" s="941" t="str">
        <f t="shared" si="157"/>
        <v/>
      </c>
      <c r="N216" s="941" t="str">
        <f t="shared" si="158"/>
        <v/>
      </c>
      <c r="O216" s="941" t="str">
        <f>IF(AND(ISNUMBER(G216),ISNUMBER(K216)),G216*K216,"")</f>
        <v/>
      </c>
      <c r="P216" s="940" t="str">
        <f t="shared" si="159"/>
        <v/>
      </c>
      <c r="Q216" s="916"/>
      <c r="R216" s="1293">
        <f t="shared" si="160"/>
        <v>0</v>
      </c>
    </row>
    <row r="217" spans="1:18" ht="15" customHeight="1" x14ac:dyDescent="0.2">
      <c r="A217" s="914"/>
      <c r="B217" s="1214" t="s">
        <v>1022</v>
      </c>
      <c r="C217" s="1311"/>
      <c r="D217" s="1215"/>
      <c r="E217" s="1215"/>
      <c r="F217" s="1215"/>
      <c r="G217" s="1261"/>
      <c r="H217" s="915"/>
      <c r="I217" s="1223"/>
      <c r="J217" s="1220"/>
      <c r="K217" s="1261"/>
      <c r="L217" s="915"/>
      <c r="M217" s="1246"/>
      <c r="N217" s="613"/>
      <c r="O217" s="613"/>
      <c r="P217" s="615"/>
      <c r="Q217" s="916"/>
    </row>
    <row r="218" spans="1:18" ht="15" customHeight="1" x14ac:dyDescent="0.2">
      <c r="A218" s="914"/>
      <c r="B218" s="1213" t="s">
        <v>940</v>
      </c>
      <c r="C218" s="1311"/>
      <c r="D218" s="1215"/>
      <c r="E218" s="1215"/>
      <c r="F218" s="1215"/>
      <c r="G218" s="1218"/>
      <c r="H218" s="915"/>
      <c r="I218" s="1223"/>
      <c r="J218" s="1220"/>
      <c r="K218" s="1249">
        <v>0.85</v>
      </c>
      <c r="L218" s="915"/>
      <c r="M218" s="1246"/>
      <c r="N218" s="1220"/>
      <c r="O218" s="941" t="str">
        <f>IF(AND(ISNUMBER(G218),ISNUMBER(K218)),G218*K218,"")</f>
        <v/>
      </c>
      <c r="P218" s="940" t="str">
        <f>IF(ISNUMBER(O218),O218,"")</f>
        <v/>
      </c>
      <c r="Q218" s="916"/>
      <c r="R218" s="1293">
        <f>IF(ISNUMBER(P218),1,0)</f>
        <v>0</v>
      </c>
    </row>
    <row r="219" spans="1:18" ht="15" customHeight="1" x14ac:dyDescent="0.2">
      <c r="A219" s="914"/>
      <c r="B219" s="1213" t="s">
        <v>941</v>
      </c>
      <c r="C219" s="1311"/>
      <c r="D219" s="1215"/>
      <c r="E219" s="1215"/>
      <c r="F219" s="1215"/>
      <c r="G219" s="1261"/>
      <c r="H219" s="915"/>
      <c r="I219" s="1223"/>
      <c r="J219" s="1220"/>
      <c r="K219" s="1261"/>
      <c r="L219" s="915"/>
      <c r="M219" s="1246"/>
      <c r="N219" s="1220"/>
      <c r="O219" s="1220"/>
      <c r="P219" s="615"/>
      <c r="Q219" s="916"/>
    </row>
    <row r="220" spans="1:18" ht="15" customHeight="1" x14ac:dyDescent="0.2">
      <c r="A220" s="914"/>
      <c r="B220" s="1301" t="s">
        <v>1014</v>
      </c>
      <c r="C220" s="1311"/>
      <c r="D220" s="1215"/>
      <c r="E220" s="1215"/>
      <c r="F220" s="1215"/>
      <c r="G220" s="1218"/>
      <c r="H220" s="915"/>
      <c r="I220" s="1223"/>
      <c r="J220" s="1220"/>
      <c r="K220" s="1249">
        <v>0.85</v>
      </c>
      <c r="L220" s="915"/>
      <c r="M220" s="1246"/>
      <c r="N220" s="1220"/>
      <c r="O220" s="941" t="str">
        <f>IF(AND(ISNUMBER(G220),ISNUMBER(K220)),G220*K220,"")</f>
        <v/>
      </c>
      <c r="P220" s="940" t="str">
        <f t="shared" ref="P220:P222" si="161">IF(ISNUMBER(O220),O220,"")</f>
        <v/>
      </c>
      <c r="Q220" s="916"/>
      <c r="R220" s="1293">
        <f t="shared" ref="R220:R222" si="162">IF(ISNUMBER(P220),1,0)</f>
        <v>0</v>
      </c>
    </row>
    <row r="221" spans="1:18" ht="15" customHeight="1" x14ac:dyDescent="0.2">
      <c r="A221" s="914"/>
      <c r="B221" s="1301" t="s">
        <v>1015</v>
      </c>
      <c r="C221" s="1311"/>
      <c r="D221" s="1215"/>
      <c r="E221" s="1215"/>
      <c r="F221" s="1215"/>
      <c r="G221" s="1218"/>
      <c r="H221" s="915"/>
      <c r="I221" s="1223"/>
      <c r="J221" s="1220"/>
      <c r="K221" s="1249">
        <v>0.85</v>
      </c>
      <c r="L221" s="915"/>
      <c r="M221" s="1246"/>
      <c r="N221" s="1220"/>
      <c r="O221" s="941" t="str">
        <f>IF(AND(ISNUMBER(G221),ISNUMBER(K221)),G221*K221,"")</f>
        <v/>
      </c>
      <c r="P221" s="940" t="str">
        <f t="shared" si="161"/>
        <v/>
      </c>
      <c r="Q221" s="916"/>
      <c r="R221" s="1293">
        <f t="shared" si="162"/>
        <v>0</v>
      </c>
    </row>
    <row r="222" spans="1:18" ht="15" customHeight="1" x14ac:dyDescent="0.2">
      <c r="A222" s="914"/>
      <c r="B222" s="1301" t="s">
        <v>976</v>
      </c>
      <c r="C222" s="1311"/>
      <c r="D222" s="1215"/>
      <c r="E222" s="1215"/>
      <c r="F222" s="1215"/>
      <c r="G222" s="1218"/>
      <c r="H222" s="915"/>
      <c r="I222" s="1223"/>
      <c r="J222" s="1220"/>
      <c r="K222" s="1249">
        <v>0.85</v>
      </c>
      <c r="L222" s="915"/>
      <c r="M222" s="1246"/>
      <c r="N222" s="1220"/>
      <c r="O222" s="941" t="str">
        <f>IF(AND(ISNUMBER(G222),ISNUMBER(K222)),G222*K222,"")</f>
        <v/>
      </c>
      <c r="P222" s="940" t="str">
        <f t="shared" si="161"/>
        <v/>
      </c>
      <c r="Q222" s="916"/>
      <c r="R222" s="1293">
        <f t="shared" si="162"/>
        <v>0</v>
      </c>
    </row>
    <row r="223" spans="1:18" ht="15" customHeight="1" x14ac:dyDescent="0.2">
      <c r="A223" s="914"/>
      <c r="B223" s="1213" t="s">
        <v>942</v>
      </c>
      <c r="C223" s="1311"/>
      <c r="D223" s="1215"/>
      <c r="E223" s="1215"/>
      <c r="F223" s="1215"/>
      <c r="G223" s="1261"/>
      <c r="H223" s="915"/>
      <c r="I223" s="1223"/>
      <c r="J223" s="1220"/>
      <c r="K223" s="1261"/>
      <c r="L223" s="915"/>
      <c r="M223" s="1246"/>
      <c r="N223" s="1220"/>
      <c r="O223" s="1220"/>
      <c r="P223" s="615"/>
      <c r="Q223" s="916"/>
    </row>
    <row r="224" spans="1:18" ht="15" customHeight="1" x14ac:dyDescent="0.2">
      <c r="A224" s="914"/>
      <c r="B224" s="1301" t="s">
        <v>1014</v>
      </c>
      <c r="C224" s="1311"/>
      <c r="D224" s="1215"/>
      <c r="E224" s="1215"/>
      <c r="F224" s="1215"/>
      <c r="G224" s="1218"/>
      <c r="H224" s="915"/>
      <c r="I224" s="1223"/>
      <c r="J224" s="1220"/>
      <c r="K224" s="1249">
        <v>0.85</v>
      </c>
      <c r="L224" s="915"/>
      <c r="M224" s="1246"/>
      <c r="N224" s="1220"/>
      <c r="O224" s="941" t="str">
        <f>IF(AND(ISNUMBER(G224),ISNUMBER(K224)),G224*K224,"")</f>
        <v/>
      </c>
      <c r="P224" s="940" t="str">
        <f t="shared" ref="P224:P226" si="163">IF(ISNUMBER(O224),O224,"")</f>
        <v/>
      </c>
      <c r="Q224" s="916"/>
      <c r="R224" s="1293">
        <f t="shared" ref="R224:R226" si="164">IF(ISNUMBER(P224),1,0)</f>
        <v>0</v>
      </c>
    </row>
    <row r="225" spans="1:18" ht="15" customHeight="1" x14ac:dyDescent="0.2">
      <c r="A225" s="914"/>
      <c r="B225" s="1301" t="s">
        <v>1015</v>
      </c>
      <c r="C225" s="1311"/>
      <c r="D225" s="1215"/>
      <c r="E225" s="1215"/>
      <c r="F225" s="1215"/>
      <c r="G225" s="1218"/>
      <c r="H225" s="915"/>
      <c r="I225" s="1223"/>
      <c r="J225" s="1220"/>
      <c r="K225" s="1249">
        <v>0.85</v>
      </c>
      <c r="L225" s="915"/>
      <c r="M225" s="1246"/>
      <c r="N225" s="1220"/>
      <c r="O225" s="941" t="str">
        <f>IF(AND(ISNUMBER(G225),ISNUMBER(K225)),G225*K225,"")</f>
        <v/>
      </c>
      <c r="P225" s="940" t="str">
        <f t="shared" si="163"/>
        <v/>
      </c>
      <c r="Q225" s="916"/>
      <c r="R225" s="1293">
        <f t="shared" si="164"/>
        <v>0</v>
      </c>
    </row>
    <row r="226" spans="1:18" ht="15" customHeight="1" x14ac:dyDescent="0.2">
      <c r="A226" s="914"/>
      <c r="B226" s="1301" t="s">
        <v>976</v>
      </c>
      <c r="C226" s="1311"/>
      <c r="D226" s="1215"/>
      <c r="E226" s="1215"/>
      <c r="F226" s="1215"/>
      <c r="G226" s="1218"/>
      <c r="H226" s="915"/>
      <c r="I226" s="1223"/>
      <c r="J226" s="1220"/>
      <c r="K226" s="1249">
        <v>1</v>
      </c>
      <c r="L226" s="915"/>
      <c r="M226" s="1246"/>
      <c r="N226" s="1220"/>
      <c r="O226" s="941" t="str">
        <f>IF(AND(ISNUMBER(G226),ISNUMBER(K226)),G226*K226,"")</f>
        <v/>
      </c>
      <c r="P226" s="940" t="str">
        <f t="shared" si="163"/>
        <v/>
      </c>
      <c r="Q226" s="916"/>
      <c r="R226" s="1293">
        <f t="shared" si="164"/>
        <v>0</v>
      </c>
    </row>
    <row r="227" spans="1:18" ht="15" customHeight="1" x14ac:dyDescent="0.2">
      <c r="A227" s="914"/>
      <c r="B227" s="1240" t="s">
        <v>1023</v>
      </c>
      <c r="C227" s="1311"/>
      <c r="D227" s="1215"/>
      <c r="E227" s="1215"/>
      <c r="F227" s="1215"/>
      <c r="G227" s="1261"/>
      <c r="H227" s="915"/>
      <c r="I227" s="1223"/>
      <c r="J227" s="1220"/>
      <c r="K227" s="1261"/>
      <c r="L227" s="915"/>
      <c r="M227" s="1246"/>
      <c r="N227" s="613"/>
      <c r="O227" s="613"/>
      <c r="P227" s="615"/>
      <c r="Q227" s="916"/>
    </row>
    <row r="228" spans="1:18" ht="15" customHeight="1" x14ac:dyDescent="0.2">
      <c r="A228" s="914"/>
      <c r="B228" s="1237" t="s">
        <v>940</v>
      </c>
      <c r="C228" s="1309"/>
      <c r="D228" s="1216"/>
      <c r="E228" s="1216"/>
      <c r="F228" s="1216"/>
      <c r="G228" s="1218"/>
      <c r="H228" s="915"/>
      <c r="I228" s="1224">
        <v>0.5</v>
      </c>
      <c r="J228" s="1224">
        <v>0.5</v>
      </c>
      <c r="K228" s="1249">
        <v>0.85</v>
      </c>
      <c r="L228" s="915"/>
      <c r="M228" s="941" t="str">
        <f>IF(AND(ISNUMBER(C228),ISNUMBER(D228),ISNUMBER(I228)),SUM(C228:D228)*I228,"")</f>
        <v/>
      </c>
      <c r="N228" s="941" t="str">
        <f>IF(AND(ISNUMBER(E228),ISNUMBER(F228),ISNUMBER(J228)),SUM(E228:F228)*J228,"")</f>
        <v/>
      </c>
      <c r="O228" s="941" t="str">
        <f>IF(AND(ISNUMBER(G228),ISNUMBER(K228)),G228*K228,"")</f>
        <v/>
      </c>
      <c r="P228" s="940" t="str">
        <f>IF(AND(ISNUMBER(M228),ISNUMBER(O228)),SUM(M228:O228),"")</f>
        <v/>
      </c>
      <c r="Q228" s="916"/>
      <c r="R228" s="1293">
        <f>IF(ISNUMBER(P228),1,0)</f>
        <v>0</v>
      </c>
    </row>
    <row r="229" spans="1:18" ht="15" customHeight="1" x14ac:dyDescent="0.2">
      <c r="A229" s="914"/>
      <c r="B229" s="1237" t="s">
        <v>941</v>
      </c>
      <c r="C229" s="1311"/>
      <c r="D229" s="1215"/>
      <c r="E229" s="1215"/>
      <c r="F229" s="1215"/>
      <c r="G229" s="1261"/>
      <c r="H229" s="915"/>
      <c r="I229" s="1223"/>
      <c r="J229" s="1220"/>
      <c r="K229" s="1261"/>
      <c r="L229" s="915"/>
      <c r="M229" s="1246"/>
      <c r="N229" s="613"/>
      <c r="O229" s="613"/>
      <c r="P229" s="615"/>
      <c r="Q229" s="916"/>
    </row>
    <row r="230" spans="1:18" ht="15" customHeight="1" x14ac:dyDescent="0.2">
      <c r="A230" s="914"/>
      <c r="B230" s="1301" t="s">
        <v>1014</v>
      </c>
      <c r="C230" s="1309"/>
      <c r="D230" s="1216"/>
      <c r="E230" s="1216"/>
      <c r="F230" s="1216"/>
      <c r="G230" s="1218"/>
      <c r="H230" s="915"/>
      <c r="I230" s="1224">
        <v>0.5</v>
      </c>
      <c r="J230" s="1224">
        <v>0.5</v>
      </c>
      <c r="K230" s="1249">
        <v>0.85</v>
      </c>
      <c r="L230" s="915"/>
      <c r="M230" s="941" t="str">
        <f t="shared" ref="M230:M232" si="165">IF(AND(ISNUMBER(C230),ISNUMBER(D230),ISNUMBER(I230)),SUM(C230:D230)*I230,"")</f>
        <v/>
      </c>
      <c r="N230" s="941" t="str">
        <f t="shared" ref="N230:N232" si="166">IF(AND(ISNUMBER(E230),ISNUMBER(F230),ISNUMBER(J230)),SUM(E230:F230)*J230,"")</f>
        <v/>
      </c>
      <c r="O230" s="941" t="str">
        <f>IF(AND(ISNUMBER(G230),ISNUMBER(K230)),G230*K230,"")</f>
        <v/>
      </c>
      <c r="P230" s="940" t="str">
        <f>IF(AND(ISNUMBER(M230),ISNUMBER(O230)),SUM(M230:O230),"")</f>
        <v/>
      </c>
      <c r="Q230" s="916"/>
      <c r="R230" s="1293">
        <f t="shared" ref="R230:R232" si="167">IF(ISNUMBER(P230),1,0)</f>
        <v>0</v>
      </c>
    </row>
    <row r="231" spans="1:18" ht="15" customHeight="1" x14ac:dyDescent="0.2">
      <c r="A231" s="914"/>
      <c r="B231" s="1301" t="s">
        <v>1015</v>
      </c>
      <c r="C231" s="1309"/>
      <c r="D231" s="1216"/>
      <c r="E231" s="1216"/>
      <c r="F231" s="1216"/>
      <c r="G231" s="1218"/>
      <c r="H231" s="915"/>
      <c r="I231" s="1224">
        <v>0.5</v>
      </c>
      <c r="J231" s="1224">
        <v>0.5</v>
      </c>
      <c r="K231" s="1249">
        <v>0.85</v>
      </c>
      <c r="L231" s="915"/>
      <c r="M231" s="941" t="str">
        <f t="shared" si="165"/>
        <v/>
      </c>
      <c r="N231" s="941" t="str">
        <f t="shared" si="166"/>
        <v/>
      </c>
      <c r="O231" s="941" t="str">
        <f>IF(AND(ISNUMBER(G231),ISNUMBER(K231)),G231*K231,"")</f>
        <v/>
      </c>
      <c r="P231" s="940" t="str">
        <f>IF(AND(ISNUMBER(M231),ISNUMBER(O231)),SUM(M231:O231),"")</f>
        <v/>
      </c>
      <c r="Q231" s="916"/>
      <c r="R231" s="1293">
        <f t="shared" si="167"/>
        <v>0</v>
      </c>
    </row>
    <row r="232" spans="1:18" ht="15" customHeight="1" x14ac:dyDescent="0.2">
      <c r="A232" s="914"/>
      <c r="B232" s="1301" t="s">
        <v>976</v>
      </c>
      <c r="C232" s="1309"/>
      <c r="D232" s="1216"/>
      <c r="E232" s="1216"/>
      <c r="F232" s="1216"/>
      <c r="G232" s="1218"/>
      <c r="H232" s="915"/>
      <c r="I232" s="1224">
        <v>0.5</v>
      </c>
      <c r="J232" s="1224">
        <v>0.5</v>
      </c>
      <c r="K232" s="1249">
        <v>0.85</v>
      </c>
      <c r="L232" s="915"/>
      <c r="M232" s="941" t="str">
        <f t="shared" si="165"/>
        <v/>
      </c>
      <c r="N232" s="941" t="str">
        <f t="shared" si="166"/>
        <v/>
      </c>
      <c r="O232" s="941" t="str">
        <f>IF(AND(ISNUMBER(G232),ISNUMBER(K232)),G232*K232,"")</f>
        <v/>
      </c>
      <c r="P232" s="940" t="str">
        <f>IF(AND(ISNUMBER(M232),ISNUMBER(O232)),SUM(M232:O232),"")</f>
        <v/>
      </c>
      <c r="Q232" s="916"/>
      <c r="R232" s="1293">
        <f t="shared" si="167"/>
        <v>0</v>
      </c>
    </row>
    <row r="233" spans="1:18" ht="15" customHeight="1" x14ac:dyDescent="0.2">
      <c r="A233" s="914"/>
      <c r="B233" s="1237" t="s">
        <v>942</v>
      </c>
      <c r="C233" s="1311"/>
      <c r="D233" s="1215"/>
      <c r="E233" s="1215"/>
      <c r="F233" s="1215"/>
      <c r="G233" s="1261"/>
      <c r="H233" s="915"/>
      <c r="I233" s="1223"/>
      <c r="J233" s="1220"/>
      <c r="K233" s="1261"/>
      <c r="L233" s="915"/>
      <c r="M233" s="1246"/>
      <c r="N233" s="613"/>
      <c r="O233" s="613"/>
      <c r="P233" s="615"/>
      <c r="Q233" s="916"/>
    </row>
    <row r="234" spans="1:18" ht="15" customHeight="1" x14ac:dyDescent="0.2">
      <c r="A234" s="914"/>
      <c r="B234" s="1301" t="s">
        <v>1014</v>
      </c>
      <c r="C234" s="1309"/>
      <c r="D234" s="1216"/>
      <c r="E234" s="1216"/>
      <c r="F234" s="1216"/>
      <c r="G234" s="1218"/>
      <c r="H234" s="915"/>
      <c r="I234" s="1224">
        <v>0.5</v>
      </c>
      <c r="J234" s="1224">
        <v>0.5</v>
      </c>
      <c r="K234" s="1249">
        <v>0.85</v>
      </c>
      <c r="L234" s="915"/>
      <c r="M234" s="941" t="str">
        <f t="shared" ref="M234:M236" si="168">IF(AND(ISNUMBER(C234),ISNUMBER(D234),ISNUMBER(I234)),SUM(C234:D234)*I234,"")</f>
        <v/>
      </c>
      <c r="N234" s="941" t="str">
        <f t="shared" ref="N234:N236" si="169">IF(AND(ISNUMBER(E234),ISNUMBER(F234),ISNUMBER(J234)),SUM(E234:F234)*J234,"")</f>
        <v/>
      </c>
      <c r="O234" s="941" t="str">
        <f>IF(AND(ISNUMBER(G234),ISNUMBER(K234)),G234*K234,"")</f>
        <v/>
      </c>
      <c r="P234" s="940" t="str">
        <f>IF(AND(ISNUMBER(M234),ISNUMBER(O234)),SUM(M234:O234),"")</f>
        <v/>
      </c>
      <c r="Q234" s="916"/>
      <c r="R234" s="1293">
        <f t="shared" ref="R234:R236" si="170">IF(ISNUMBER(P234),1,0)</f>
        <v>0</v>
      </c>
    </row>
    <row r="235" spans="1:18" ht="15" customHeight="1" x14ac:dyDescent="0.2">
      <c r="A235" s="914"/>
      <c r="B235" s="1301" t="s">
        <v>1015</v>
      </c>
      <c r="C235" s="1309"/>
      <c r="D235" s="1216"/>
      <c r="E235" s="1216"/>
      <c r="F235" s="1216"/>
      <c r="G235" s="1218"/>
      <c r="H235" s="915"/>
      <c r="I235" s="1224">
        <v>0.5</v>
      </c>
      <c r="J235" s="1224">
        <v>0.5</v>
      </c>
      <c r="K235" s="1249">
        <v>0.85</v>
      </c>
      <c r="L235" s="915"/>
      <c r="M235" s="941" t="str">
        <f t="shared" si="168"/>
        <v/>
      </c>
      <c r="N235" s="941" t="str">
        <f t="shared" si="169"/>
        <v/>
      </c>
      <c r="O235" s="941" t="str">
        <f>IF(AND(ISNUMBER(G235),ISNUMBER(K235)),G235*K235,"")</f>
        <v/>
      </c>
      <c r="P235" s="940" t="str">
        <f>IF(AND(ISNUMBER(M235),ISNUMBER(O235)),SUM(M235:O235),"")</f>
        <v/>
      </c>
      <c r="Q235" s="916"/>
      <c r="R235" s="1293">
        <f t="shared" si="170"/>
        <v>0</v>
      </c>
    </row>
    <row r="236" spans="1:18" ht="15" customHeight="1" x14ac:dyDescent="0.2">
      <c r="A236" s="914"/>
      <c r="B236" s="1301" t="s">
        <v>976</v>
      </c>
      <c r="C236" s="1309"/>
      <c r="D236" s="1216"/>
      <c r="E236" s="1216"/>
      <c r="F236" s="1216"/>
      <c r="G236" s="1218"/>
      <c r="H236" s="915"/>
      <c r="I236" s="1224">
        <v>1</v>
      </c>
      <c r="J236" s="1224">
        <v>1</v>
      </c>
      <c r="K236" s="1249">
        <v>1</v>
      </c>
      <c r="L236" s="915"/>
      <c r="M236" s="941" t="str">
        <f t="shared" si="168"/>
        <v/>
      </c>
      <c r="N236" s="941" t="str">
        <f t="shared" si="169"/>
        <v/>
      </c>
      <c r="O236" s="941" t="str">
        <f>IF(AND(ISNUMBER(G236),ISNUMBER(K236)),G236*K236,"")</f>
        <v/>
      </c>
      <c r="P236" s="940" t="str">
        <f>IF(AND(ISNUMBER(M236),ISNUMBER(O236)),SUM(M236:O236),"")</f>
        <v/>
      </c>
      <c r="Q236" s="916"/>
      <c r="R236" s="1293">
        <f t="shared" si="170"/>
        <v>0</v>
      </c>
    </row>
    <row r="237" spans="1:18" ht="15" customHeight="1" x14ac:dyDescent="0.2">
      <c r="A237" s="914"/>
      <c r="B237" s="1214" t="s">
        <v>1024</v>
      </c>
      <c r="C237" s="1311"/>
      <c r="D237" s="1215"/>
      <c r="E237" s="1215"/>
      <c r="F237" s="1215"/>
      <c r="G237" s="1261"/>
      <c r="H237" s="915"/>
      <c r="I237" s="1223"/>
      <c r="J237" s="1220"/>
      <c r="K237" s="1261"/>
      <c r="L237" s="915"/>
      <c r="M237" s="1246"/>
      <c r="N237" s="613"/>
      <c r="O237" s="613"/>
      <c r="P237" s="615"/>
      <c r="Q237" s="916"/>
    </row>
    <row r="238" spans="1:18" ht="15" customHeight="1" x14ac:dyDescent="0.2">
      <c r="A238" s="914"/>
      <c r="B238" s="1213" t="s">
        <v>940</v>
      </c>
      <c r="C238" s="1311"/>
      <c r="D238" s="1215"/>
      <c r="E238" s="1215"/>
      <c r="F238" s="1215"/>
      <c r="G238" s="1218"/>
      <c r="H238" s="915"/>
      <c r="I238" s="1223"/>
      <c r="J238" s="1220"/>
      <c r="K238" s="1249">
        <v>0.85</v>
      </c>
      <c r="L238" s="915"/>
      <c r="M238" s="1246"/>
      <c r="N238" s="613"/>
      <c r="O238" s="941" t="str">
        <f>IF(AND(ISNUMBER(G238),ISNUMBER(K238)),G238*K238,"")</f>
        <v/>
      </c>
      <c r="P238" s="940" t="str">
        <f>IF(ISNUMBER(O238),O238,"")</f>
        <v/>
      </c>
      <c r="Q238" s="916"/>
      <c r="R238" s="1293">
        <f>IF(ISNUMBER(P238),1,0)</f>
        <v>0</v>
      </c>
    </row>
    <row r="239" spans="1:18" ht="15" customHeight="1" x14ac:dyDescent="0.2">
      <c r="A239" s="914"/>
      <c r="B239" s="1213" t="s">
        <v>941</v>
      </c>
      <c r="C239" s="1311"/>
      <c r="D239" s="1215"/>
      <c r="E239" s="1215"/>
      <c r="F239" s="1215"/>
      <c r="G239" s="1261"/>
      <c r="H239" s="915"/>
      <c r="I239" s="1223"/>
      <c r="J239" s="1220"/>
      <c r="K239" s="1261"/>
      <c r="L239" s="915"/>
      <c r="M239" s="1246"/>
      <c r="N239" s="613"/>
      <c r="O239" s="613"/>
      <c r="P239" s="615"/>
      <c r="Q239" s="916"/>
    </row>
    <row r="240" spans="1:18" ht="15" customHeight="1" x14ac:dyDescent="0.2">
      <c r="A240" s="914"/>
      <c r="B240" s="1301" t="s">
        <v>1014</v>
      </c>
      <c r="C240" s="1311"/>
      <c r="D240" s="1215"/>
      <c r="E240" s="1215"/>
      <c r="F240" s="1215"/>
      <c r="G240" s="1218"/>
      <c r="H240" s="915"/>
      <c r="I240" s="1223"/>
      <c r="J240" s="1220"/>
      <c r="K240" s="1249">
        <v>0.85</v>
      </c>
      <c r="L240" s="915"/>
      <c r="M240" s="1246"/>
      <c r="N240" s="613"/>
      <c r="O240" s="941" t="str">
        <f>IF(AND(ISNUMBER(G240),ISNUMBER(K240)),G240*K240,"")</f>
        <v/>
      </c>
      <c r="P240" s="940" t="str">
        <f t="shared" ref="P240:P242" si="171">IF(ISNUMBER(O240),O240,"")</f>
        <v/>
      </c>
      <c r="Q240" s="916"/>
      <c r="R240" s="1293">
        <f t="shared" ref="R240:R242" si="172">IF(ISNUMBER(P240),1,0)</f>
        <v>0</v>
      </c>
    </row>
    <row r="241" spans="1:18" ht="15" customHeight="1" x14ac:dyDescent="0.2">
      <c r="A241" s="914"/>
      <c r="B241" s="1301" t="s">
        <v>1015</v>
      </c>
      <c r="C241" s="1311"/>
      <c r="D241" s="1215"/>
      <c r="E241" s="1215"/>
      <c r="F241" s="1215"/>
      <c r="G241" s="1218"/>
      <c r="H241" s="915"/>
      <c r="I241" s="1223"/>
      <c r="J241" s="1220"/>
      <c r="K241" s="1249">
        <v>0.85</v>
      </c>
      <c r="L241" s="915"/>
      <c r="M241" s="1246"/>
      <c r="N241" s="613"/>
      <c r="O241" s="941" t="str">
        <f>IF(AND(ISNUMBER(G241),ISNUMBER(K241)),G241*K241,"")</f>
        <v/>
      </c>
      <c r="P241" s="940" t="str">
        <f t="shared" si="171"/>
        <v/>
      </c>
      <c r="Q241" s="916"/>
      <c r="R241" s="1293">
        <f t="shared" si="172"/>
        <v>0</v>
      </c>
    </row>
    <row r="242" spans="1:18" ht="15" customHeight="1" x14ac:dyDescent="0.2">
      <c r="A242" s="914"/>
      <c r="B242" s="1301" t="s">
        <v>976</v>
      </c>
      <c r="C242" s="1311"/>
      <c r="D242" s="1215"/>
      <c r="E242" s="1215"/>
      <c r="F242" s="1215"/>
      <c r="G242" s="1218"/>
      <c r="H242" s="915"/>
      <c r="I242" s="1223"/>
      <c r="J242" s="1220"/>
      <c r="K242" s="1249">
        <v>0.85</v>
      </c>
      <c r="L242" s="915"/>
      <c r="M242" s="1246"/>
      <c r="N242" s="613"/>
      <c r="O242" s="941" t="str">
        <f>IF(AND(ISNUMBER(G242),ISNUMBER(K242)),G242*K242,"")</f>
        <v/>
      </c>
      <c r="P242" s="940" t="str">
        <f t="shared" si="171"/>
        <v/>
      </c>
      <c r="Q242" s="916"/>
      <c r="R242" s="1293">
        <f t="shared" si="172"/>
        <v>0</v>
      </c>
    </row>
    <row r="243" spans="1:18" ht="15" customHeight="1" x14ac:dyDescent="0.2">
      <c r="A243" s="914"/>
      <c r="B243" s="1213" t="s">
        <v>942</v>
      </c>
      <c r="C243" s="1311"/>
      <c r="D243" s="1215"/>
      <c r="E243" s="1215"/>
      <c r="F243" s="1215"/>
      <c r="G243" s="1261"/>
      <c r="H243" s="915"/>
      <c r="I243" s="1223"/>
      <c r="J243" s="1220"/>
      <c r="K243" s="1261"/>
      <c r="L243" s="915"/>
      <c r="M243" s="1246"/>
      <c r="N243" s="613"/>
      <c r="O243" s="613"/>
      <c r="P243" s="615"/>
      <c r="Q243" s="916"/>
    </row>
    <row r="244" spans="1:18" ht="15" customHeight="1" x14ac:dyDescent="0.2">
      <c r="A244" s="914"/>
      <c r="B244" s="1301" t="s">
        <v>1014</v>
      </c>
      <c r="C244" s="1311"/>
      <c r="D244" s="1215"/>
      <c r="E244" s="1215"/>
      <c r="F244" s="1215"/>
      <c r="G244" s="1218"/>
      <c r="H244" s="915"/>
      <c r="I244" s="1223"/>
      <c r="J244" s="1220"/>
      <c r="K244" s="1249">
        <v>0.85</v>
      </c>
      <c r="L244" s="915"/>
      <c r="M244" s="1246"/>
      <c r="N244" s="613"/>
      <c r="O244" s="941" t="str">
        <f>IF(AND(ISNUMBER(G244),ISNUMBER(K244)),G244*K244,"")</f>
        <v/>
      </c>
      <c r="P244" s="940" t="str">
        <f t="shared" ref="P244:P245" si="173">IF(ISNUMBER(O244),O244,"")</f>
        <v/>
      </c>
      <c r="Q244" s="916"/>
      <c r="R244" s="1293">
        <f t="shared" ref="R244:R246" si="174">IF(ISNUMBER(P244),1,0)</f>
        <v>0</v>
      </c>
    </row>
    <row r="245" spans="1:18" ht="15" customHeight="1" x14ac:dyDescent="0.2">
      <c r="A245" s="914"/>
      <c r="B245" s="1301" t="s">
        <v>1015</v>
      </c>
      <c r="C245" s="1311"/>
      <c r="D245" s="1215"/>
      <c r="E245" s="1215"/>
      <c r="F245" s="1215"/>
      <c r="G245" s="1218"/>
      <c r="H245" s="915"/>
      <c r="I245" s="1223"/>
      <c r="J245" s="1220"/>
      <c r="K245" s="1249">
        <v>0.85</v>
      </c>
      <c r="L245" s="915"/>
      <c r="M245" s="1246"/>
      <c r="N245" s="613"/>
      <c r="O245" s="941" t="str">
        <f>IF(AND(ISNUMBER(G245),ISNUMBER(K245)),G245*K245,"")</f>
        <v/>
      </c>
      <c r="P245" s="940" t="str">
        <f t="shared" si="173"/>
        <v/>
      </c>
      <c r="Q245" s="916"/>
      <c r="R245" s="1293">
        <f t="shared" si="174"/>
        <v>0</v>
      </c>
    </row>
    <row r="246" spans="1:18" ht="15" customHeight="1" x14ac:dyDescent="0.2">
      <c r="A246" s="914"/>
      <c r="B246" s="1301" t="s">
        <v>976</v>
      </c>
      <c r="C246" s="1311"/>
      <c r="D246" s="1215"/>
      <c r="E246" s="1215"/>
      <c r="F246" s="1215"/>
      <c r="G246" s="1218"/>
      <c r="H246" s="915"/>
      <c r="I246" s="1223"/>
      <c r="J246" s="1220"/>
      <c r="K246" s="1249">
        <v>1</v>
      </c>
      <c r="L246" s="915"/>
      <c r="M246" s="1246"/>
      <c r="N246" s="613"/>
      <c r="O246" s="941" t="str">
        <f>IF(AND(ISNUMBER(G246),ISNUMBER(K246)),G246*K246,"")</f>
        <v/>
      </c>
      <c r="P246" s="940" t="str">
        <f>IF(ISNUMBER(O246),O246,"")</f>
        <v/>
      </c>
      <c r="Q246" s="916"/>
      <c r="R246" s="1293">
        <f t="shared" si="174"/>
        <v>0</v>
      </c>
    </row>
    <row r="247" spans="1:18" ht="15" customHeight="1" x14ac:dyDescent="0.2">
      <c r="A247" s="914"/>
      <c r="B247" s="1214" t="s">
        <v>1025</v>
      </c>
      <c r="C247" s="1311"/>
      <c r="D247" s="1215"/>
      <c r="E247" s="1215"/>
      <c r="F247" s="1215"/>
      <c r="G247" s="1261"/>
      <c r="H247" s="915"/>
      <c r="I247" s="1223"/>
      <c r="J247" s="1220"/>
      <c r="K247" s="1261"/>
      <c r="L247" s="915"/>
      <c r="M247" s="1246"/>
      <c r="N247" s="613"/>
      <c r="O247" s="613"/>
      <c r="P247" s="615"/>
      <c r="Q247" s="916"/>
    </row>
    <row r="248" spans="1:18" ht="15" customHeight="1" x14ac:dyDescent="0.2">
      <c r="A248" s="914"/>
      <c r="B248" s="1213" t="s">
        <v>940</v>
      </c>
      <c r="C248" s="1311"/>
      <c r="D248" s="1215"/>
      <c r="E248" s="1215"/>
      <c r="F248" s="1215"/>
      <c r="G248" s="1218"/>
      <c r="H248" s="915"/>
      <c r="I248" s="1223"/>
      <c r="J248" s="1220"/>
      <c r="K248" s="1249">
        <v>0.85</v>
      </c>
      <c r="L248" s="915"/>
      <c r="M248" s="1246"/>
      <c r="N248" s="1223"/>
      <c r="O248" s="941" t="str">
        <f>IF(AND(ISNUMBER(G248),ISNUMBER(K248)),G248*K248,"")</f>
        <v/>
      </c>
      <c r="P248" s="940" t="str">
        <f>IF(ISNUMBER(O248),O248,"")</f>
        <v/>
      </c>
      <c r="Q248" s="916"/>
      <c r="R248" s="1293">
        <f>IF(ISNUMBER(P248),1,0)</f>
        <v>0</v>
      </c>
    </row>
    <row r="249" spans="1:18" ht="15" customHeight="1" x14ac:dyDescent="0.2">
      <c r="A249" s="914"/>
      <c r="B249" s="1213" t="s">
        <v>941</v>
      </c>
      <c r="C249" s="1311"/>
      <c r="D249" s="1215"/>
      <c r="E249" s="1215"/>
      <c r="F249" s="1215"/>
      <c r="G249" s="1261"/>
      <c r="H249" s="915"/>
      <c r="I249" s="1223"/>
      <c r="J249" s="1220"/>
      <c r="K249" s="1261"/>
      <c r="L249" s="915"/>
      <c r="M249" s="1246"/>
      <c r="N249" s="1223"/>
      <c r="O249" s="613"/>
      <c r="P249" s="615"/>
      <c r="Q249" s="916"/>
    </row>
    <row r="250" spans="1:18" ht="15" customHeight="1" x14ac:dyDescent="0.2">
      <c r="A250" s="914"/>
      <c r="B250" s="1301" t="s">
        <v>1014</v>
      </c>
      <c r="C250" s="1311"/>
      <c r="D250" s="1215"/>
      <c r="E250" s="1215"/>
      <c r="F250" s="1215"/>
      <c r="G250" s="1218"/>
      <c r="H250" s="915"/>
      <c r="I250" s="1223"/>
      <c r="J250" s="1220"/>
      <c r="K250" s="1249">
        <v>0.85</v>
      </c>
      <c r="L250" s="915"/>
      <c r="M250" s="1246"/>
      <c r="N250" s="1223"/>
      <c r="O250" s="941" t="str">
        <f>IF(AND(ISNUMBER(G250),ISNUMBER(K250)),G250*K250,"")</f>
        <v/>
      </c>
      <c r="P250" s="940" t="str">
        <f t="shared" ref="P250:P252" si="175">IF(ISNUMBER(O250),O250,"")</f>
        <v/>
      </c>
      <c r="Q250" s="916"/>
      <c r="R250" s="1293">
        <f t="shared" ref="R250:R252" si="176">IF(ISNUMBER(P250),1,0)</f>
        <v>0</v>
      </c>
    </row>
    <row r="251" spans="1:18" ht="15" customHeight="1" x14ac:dyDescent="0.2">
      <c r="A251" s="914"/>
      <c r="B251" s="1301" t="s">
        <v>1015</v>
      </c>
      <c r="C251" s="1311"/>
      <c r="D251" s="1215"/>
      <c r="E251" s="1215"/>
      <c r="F251" s="1215"/>
      <c r="G251" s="1218"/>
      <c r="H251" s="915"/>
      <c r="I251" s="1223"/>
      <c r="J251" s="1220"/>
      <c r="K251" s="1249">
        <v>0.85</v>
      </c>
      <c r="L251" s="915"/>
      <c r="M251" s="1246"/>
      <c r="N251" s="1223"/>
      <c r="O251" s="941" t="str">
        <f>IF(AND(ISNUMBER(G251),ISNUMBER(K251)),G251*K251,"")</f>
        <v/>
      </c>
      <c r="P251" s="940" t="str">
        <f t="shared" si="175"/>
        <v/>
      </c>
      <c r="Q251" s="916"/>
      <c r="R251" s="1293">
        <f t="shared" si="176"/>
        <v>0</v>
      </c>
    </row>
    <row r="252" spans="1:18" ht="15" customHeight="1" x14ac:dyDescent="0.2">
      <c r="A252" s="914"/>
      <c r="B252" s="1301" t="s">
        <v>976</v>
      </c>
      <c r="C252" s="1311"/>
      <c r="D252" s="1215"/>
      <c r="E252" s="1215"/>
      <c r="F252" s="1215"/>
      <c r="G252" s="1218"/>
      <c r="H252" s="915"/>
      <c r="I252" s="1223"/>
      <c r="J252" s="1220"/>
      <c r="K252" s="1249">
        <v>0.85</v>
      </c>
      <c r="L252" s="915"/>
      <c r="M252" s="1246"/>
      <c r="N252" s="1223"/>
      <c r="O252" s="941" t="str">
        <f>IF(AND(ISNUMBER(G252),ISNUMBER(K252)),G252*K252,"")</f>
        <v/>
      </c>
      <c r="P252" s="940" t="str">
        <f t="shared" si="175"/>
        <v/>
      </c>
      <c r="Q252" s="916"/>
      <c r="R252" s="1293">
        <f t="shared" si="176"/>
        <v>0</v>
      </c>
    </row>
    <row r="253" spans="1:18" ht="15" customHeight="1" x14ac:dyDescent="0.2">
      <c r="A253" s="914"/>
      <c r="B253" s="1213" t="s">
        <v>942</v>
      </c>
      <c r="C253" s="1311"/>
      <c r="D253" s="1215"/>
      <c r="E253" s="1215"/>
      <c r="F253" s="1215"/>
      <c r="G253" s="1261"/>
      <c r="H253" s="915"/>
      <c r="I253" s="1223"/>
      <c r="J253" s="1220"/>
      <c r="K253" s="1261"/>
      <c r="L253" s="915"/>
      <c r="M253" s="1246"/>
      <c r="N253" s="1223"/>
      <c r="O253" s="613"/>
      <c r="P253" s="615"/>
      <c r="Q253" s="916"/>
    </row>
    <row r="254" spans="1:18" ht="15" customHeight="1" x14ac:dyDescent="0.2">
      <c r="A254" s="914"/>
      <c r="B254" s="1301" t="s">
        <v>1014</v>
      </c>
      <c r="C254" s="1311"/>
      <c r="D254" s="1215"/>
      <c r="E254" s="1215"/>
      <c r="F254" s="1215"/>
      <c r="G254" s="1218"/>
      <c r="H254" s="915"/>
      <c r="I254" s="1223"/>
      <c r="J254" s="1220"/>
      <c r="K254" s="1249">
        <v>0.85</v>
      </c>
      <c r="L254" s="915"/>
      <c r="M254" s="1246"/>
      <c r="N254" s="1223"/>
      <c r="O254" s="941" t="str">
        <f t="shared" ref="O254:O261" si="177">IF(AND(ISNUMBER(G254),ISNUMBER(K254)),G254*K254,"")</f>
        <v/>
      </c>
      <c r="P254" s="940" t="str">
        <f t="shared" ref="P254:P256" si="178">IF(ISNUMBER(O254),O254,"")</f>
        <v/>
      </c>
      <c r="Q254" s="916"/>
      <c r="R254" s="1293">
        <f t="shared" ref="R254:R257" si="179">IF(ISNUMBER(P254),1,0)</f>
        <v>0</v>
      </c>
    </row>
    <row r="255" spans="1:18" ht="15" customHeight="1" x14ac:dyDescent="0.2">
      <c r="A255" s="914"/>
      <c r="B255" s="1301" t="s">
        <v>1015</v>
      </c>
      <c r="C255" s="1311"/>
      <c r="D255" s="1215"/>
      <c r="E255" s="1215"/>
      <c r="F255" s="1215"/>
      <c r="G255" s="1218"/>
      <c r="H255" s="915"/>
      <c r="I255" s="1223"/>
      <c r="J255" s="1220"/>
      <c r="K255" s="1249">
        <v>0.85</v>
      </c>
      <c r="L255" s="915"/>
      <c r="M255" s="1246"/>
      <c r="N255" s="1223"/>
      <c r="O255" s="941" t="str">
        <f t="shared" si="177"/>
        <v/>
      </c>
      <c r="P255" s="940" t="str">
        <f t="shared" si="178"/>
        <v/>
      </c>
      <c r="Q255" s="916"/>
      <c r="R255" s="1293">
        <f t="shared" si="179"/>
        <v>0</v>
      </c>
    </row>
    <row r="256" spans="1:18" ht="15" customHeight="1" x14ac:dyDescent="0.2">
      <c r="A256" s="914"/>
      <c r="B256" s="1301" t="s">
        <v>976</v>
      </c>
      <c r="C256" s="1311"/>
      <c r="D256" s="1215"/>
      <c r="E256" s="1215"/>
      <c r="F256" s="1215"/>
      <c r="G256" s="1218"/>
      <c r="H256" s="915"/>
      <c r="I256" s="1223"/>
      <c r="J256" s="1220"/>
      <c r="K256" s="1249">
        <v>1</v>
      </c>
      <c r="L256" s="915"/>
      <c r="M256" s="1246"/>
      <c r="N256" s="1223"/>
      <c r="O256" s="941" t="str">
        <f t="shared" si="177"/>
        <v/>
      </c>
      <c r="P256" s="940" t="str">
        <f t="shared" si="178"/>
        <v/>
      </c>
      <c r="Q256" s="916"/>
      <c r="R256" s="1293">
        <f t="shared" si="179"/>
        <v>0</v>
      </c>
    </row>
    <row r="257" spans="1:18" ht="15" customHeight="1" x14ac:dyDescent="0.2">
      <c r="A257" s="914"/>
      <c r="B257" s="1236" t="s">
        <v>951</v>
      </c>
      <c r="C257" s="1311"/>
      <c r="D257" s="1215"/>
      <c r="E257" s="1215"/>
      <c r="F257" s="1215"/>
      <c r="G257" s="1218"/>
      <c r="H257" s="915"/>
      <c r="I257" s="1223"/>
      <c r="J257" s="1223"/>
      <c r="K257" s="1230">
        <v>1</v>
      </c>
      <c r="L257" s="915"/>
      <c r="M257" s="1246"/>
      <c r="N257" s="613"/>
      <c r="O257" s="941" t="str">
        <f>IF(AND(ISNUMBER(G257),ISNUMBER(G48),ISNUMBER(K257)),MAX((G257-G48),0)*K257,"")</f>
        <v/>
      </c>
      <c r="P257" s="940" t="str">
        <f t="shared" ref="P257" si="180">IF(ISNUMBER(O257),O257,"")</f>
        <v/>
      </c>
      <c r="Q257" s="916"/>
      <c r="R257" s="1293">
        <f t="shared" si="179"/>
        <v>0</v>
      </c>
    </row>
    <row r="258" spans="1:18" ht="15" customHeight="1" x14ac:dyDescent="0.2">
      <c r="A258" s="914"/>
      <c r="B258" s="1302" t="s">
        <v>1026</v>
      </c>
      <c r="C258" s="1309"/>
      <c r="D258" s="1218"/>
      <c r="E258" s="1218"/>
      <c r="F258" s="1218"/>
      <c r="G258" s="1218"/>
      <c r="H258" s="915"/>
      <c r="I258" s="1228">
        <v>1</v>
      </c>
      <c r="J258" s="1229">
        <v>1</v>
      </c>
      <c r="K258" s="1230">
        <v>1</v>
      </c>
      <c r="L258" s="915"/>
      <c r="M258" s="941" t="str">
        <f t="shared" ref="M258:M261" si="181">IF(AND(ISNUMBER(C258),ISNUMBER(D258),ISNUMBER(I258)),SUM(C258:D258)*I258,"")</f>
        <v/>
      </c>
      <c r="N258" s="941" t="str">
        <f t="shared" ref="N258:N261" si="182">IF(AND(ISNUMBER(E258),ISNUMBER(F258),ISNUMBER(J258)),SUM(E258:F258)*J258,"")</f>
        <v/>
      </c>
      <c r="O258" s="941" t="str">
        <f t="shared" si="177"/>
        <v/>
      </c>
      <c r="P258" s="940" t="str">
        <f t="shared" ref="P258:P261" si="183">IF(AND(ISNUMBER(M258),ISNUMBER(O258)),SUM(M258:O258),"")</f>
        <v/>
      </c>
      <c r="Q258" s="916"/>
      <c r="R258" s="1293">
        <f>IF(ISNUMBER(P258),1,0)</f>
        <v>0</v>
      </c>
    </row>
    <row r="259" spans="1:18" ht="15" customHeight="1" x14ac:dyDescent="0.2">
      <c r="A259" s="914"/>
      <c r="B259" s="1302" t="s">
        <v>1027</v>
      </c>
      <c r="C259" s="1309"/>
      <c r="D259" s="1218"/>
      <c r="E259" s="1218"/>
      <c r="F259" s="1218"/>
      <c r="G259" s="1218"/>
      <c r="H259" s="915"/>
      <c r="I259" s="1228">
        <v>1</v>
      </c>
      <c r="J259" s="1229">
        <v>1</v>
      </c>
      <c r="K259" s="1230">
        <v>1</v>
      </c>
      <c r="L259" s="915"/>
      <c r="M259" s="941" t="str">
        <f t="shared" si="181"/>
        <v/>
      </c>
      <c r="N259" s="941" t="str">
        <f t="shared" si="182"/>
        <v/>
      </c>
      <c r="O259" s="941" t="str">
        <f t="shared" si="177"/>
        <v/>
      </c>
      <c r="P259" s="940" t="str">
        <f t="shared" si="183"/>
        <v/>
      </c>
      <c r="Q259" s="916"/>
      <c r="R259" s="1293">
        <f t="shared" ref="R259:R261" si="184">IF(ISNUMBER(P259),1,0)</f>
        <v>0</v>
      </c>
    </row>
    <row r="260" spans="1:18" ht="15" customHeight="1" x14ac:dyDescent="0.2">
      <c r="A260" s="914"/>
      <c r="B260" s="1302" t="s">
        <v>1028</v>
      </c>
      <c r="C260" s="1309"/>
      <c r="D260" s="1218"/>
      <c r="E260" s="1218"/>
      <c r="F260" s="1218"/>
      <c r="G260" s="1218"/>
      <c r="H260" s="915"/>
      <c r="I260" s="1228">
        <v>1</v>
      </c>
      <c r="J260" s="1229">
        <v>1</v>
      </c>
      <c r="K260" s="1230">
        <v>1</v>
      </c>
      <c r="L260" s="915"/>
      <c r="M260" s="941" t="str">
        <f t="shared" si="181"/>
        <v/>
      </c>
      <c r="N260" s="941" t="str">
        <f t="shared" si="182"/>
        <v/>
      </c>
      <c r="O260" s="941" t="str">
        <f t="shared" si="177"/>
        <v/>
      </c>
      <c r="P260" s="940" t="str">
        <f t="shared" si="183"/>
        <v/>
      </c>
      <c r="Q260" s="916"/>
      <c r="R260" s="1293">
        <f t="shared" si="184"/>
        <v>0</v>
      </c>
    </row>
    <row r="261" spans="1:18" ht="15" customHeight="1" x14ac:dyDescent="0.2">
      <c r="A261" s="914"/>
      <c r="B261" s="1306" t="s">
        <v>1029</v>
      </c>
      <c r="C261" s="1312"/>
      <c r="D261" s="1219"/>
      <c r="E261" s="1219"/>
      <c r="F261" s="1219"/>
      <c r="G261" s="1219"/>
      <c r="H261" s="915"/>
      <c r="I261" s="1228">
        <v>1</v>
      </c>
      <c r="J261" s="1229">
        <v>1</v>
      </c>
      <c r="K261" s="1230">
        <v>1</v>
      </c>
      <c r="L261" s="915"/>
      <c r="M261" s="941" t="str">
        <f t="shared" si="181"/>
        <v/>
      </c>
      <c r="N261" s="941" t="str">
        <f t="shared" si="182"/>
        <v/>
      </c>
      <c r="O261" s="941" t="str">
        <f t="shared" si="177"/>
        <v/>
      </c>
      <c r="P261" s="940" t="str">
        <f t="shared" si="183"/>
        <v/>
      </c>
      <c r="Q261" s="916"/>
      <c r="R261" s="1293">
        <f t="shared" si="184"/>
        <v>0</v>
      </c>
    </row>
    <row r="262" spans="1:18" ht="30" customHeight="1" x14ac:dyDescent="0.2">
      <c r="A262" s="914"/>
      <c r="B262" s="1307" t="str">
        <f>CONCATENATE("Check: balances of all other assets in row ",ROW(C261)," with maturities less than one year are greater than zero")</f>
        <v>Check: balances of all other assets in row 261 with maturities less than one year are greater than zero</v>
      </c>
      <c r="C262" s="1313" t="str">
        <f>IF(SUM(C261:F261)&gt;0,"Pass","Fail")</f>
        <v>Fail</v>
      </c>
      <c r="D262" s="1222"/>
      <c r="E262" s="1222"/>
      <c r="F262" s="1222"/>
      <c r="G262" s="960"/>
      <c r="H262" s="915"/>
      <c r="I262" s="625"/>
      <c r="J262" s="625"/>
      <c r="K262" s="960"/>
      <c r="L262" s="915"/>
      <c r="M262" s="931"/>
      <c r="N262" s="1222"/>
      <c r="O262" s="1222"/>
      <c r="P262" s="960"/>
      <c r="Q262" s="916"/>
    </row>
    <row r="263" spans="1:18" s="114" customFormat="1" ht="45" customHeight="1" x14ac:dyDescent="0.25">
      <c r="A263" s="20" t="s">
        <v>952</v>
      </c>
      <c r="B263" s="49"/>
      <c r="C263" s="118"/>
      <c r="D263" s="118"/>
      <c r="E263" s="119"/>
      <c r="F263" s="120"/>
      <c r="G263" s="120"/>
      <c r="H263" s="120"/>
      <c r="I263" s="120"/>
      <c r="J263" s="120"/>
      <c r="K263" s="9"/>
      <c r="L263" s="120"/>
      <c r="M263" s="120"/>
      <c r="N263" s="120"/>
      <c r="O263" s="120"/>
      <c r="P263" s="120"/>
      <c r="Q263" s="213"/>
      <c r="R263" s="1296"/>
    </row>
    <row r="264" spans="1:18" ht="15" customHeight="1" x14ac:dyDescent="0.2">
      <c r="A264" s="914"/>
      <c r="B264" s="915"/>
      <c r="C264" s="915"/>
      <c r="D264" s="915"/>
      <c r="E264" s="915"/>
      <c r="F264" s="915"/>
      <c r="G264" s="915"/>
      <c r="H264" s="915"/>
      <c r="I264" s="915"/>
      <c r="J264" s="915"/>
      <c r="K264" s="915"/>
      <c r="L264" s="915"/>
      <c r="M264" s="915"/>
      <c r="N264" s="915"/>
      <c r="O264" s="915"/>
      <c r="P264" s="915"/>
      <c r="Q264" s="916"/>
    </row>
    <row r="265" spans="1:18" ht="30" customHeight="1" x14ac:dyDescent="0.2">
      <c r="A265" s="914"/>
      <c r="B265" s="923"/>
      <c r="C265" s="910" t="s">
        <v>536</v>
      </c>
      <c r="D265" s="915"/>
      <c r="E265" s="915"/>
      <c r="F265" s="915"/>
      <c r="G265" s="915"/>
      <c r="H265" s="915"/>
      <c r="I265" s="912" t="s">
        <v>969</v>
      </c>
      <c r="J265" s="915"/>
      <c r="K265" s="915"/>
      <c r="L265" s="915"/>
      <c r="M265" s="1692"/>
      <c r="N265" s="1692"/>
      <c r="O265" s="1692"/>
      <c r="P265" s="912" t="s">
        <v>970</v>
      </c>
      <c r="Q265" s="916"/>
    </row>
    <row r="266" spans="1:18" ht="15" customHeight="1" x14ac:dyDescent="0.2">
      <c r="A266" s="914"/>
      <c r="B266" s="915" t="s">
        <v>953</v>
      </c>
      <c r="C266" s="945"/>
      <c r="D266" s="915"/>
      <c r="E266" s="915"/>
      <c r="F266" s="915"/>
      <c r="G266" s="915"/>
      <c r="H266" s="915"/>
      <c r="I266" s="949">
        <v>0.05</v>
      </c>
      <c r="J266" s="915"/>
      <c r="K266" s="915"/>
      <c r="L266" s="915"/>
      <c r="M266" s="947"/>
      <c r="N266" s="943"/>
      <c r="O266" s="943"/>
      <c r="P266" s="950" t="str">
        <f>IF(AND(ISNUMBER(C266),ISNUMBER(I266)),SUM(C266)*I266,"")</f>
        <v/>
      </c>
      <c r="Q266" s="916"/>
      <c r="R266" s="1293">
        <f t="shared" ref="R266:R271" si="185">IF(ISNUMBER(P266),1,0)</f>
        <v>0</v>
      </c>
    </row>
    <row r="267" spans="1:18" ht="15" customHeight="1" x14ac:dyDescent="0.2">
      <c r="A267" s="914"/>
      <c r="B267" s="915" t="s">
        <v>954</v>
      </c>
      <c r="C267" s="928"/>
      <c r="D267" s="915"/>
      <c r="E267" s="915"/>
      <c r="F267" s="915"/>
      <c r="G267" s="915"/>
      <c r="H267" s="915"/>
      <c r="I267" s="944">
        <v>0.05</v>
      </c>
      <c r="J267" s="915"/>
      <c r="K267" s="915"/>
      <c r="L267" s="915"/>
      <c r="M267" s="925"/>
      <c r="N267" s="613"/>
      <c r="O267" s="613"/>
      <c r="P267" s="940" t="str">
        <f>IF(AND(ISNUMBER(C267),ISNUMBER(I267)),SUM(C267)*I267,"")</f>
        <v/>
      </c>
      <c r="Q267" s="916"/>
      <c r="R267" s="1293">
        <f t="shared" si="185"/>
        <v>0</v>
      </c>
    </row>
    <row r="268" spans="1:18" ht="15" customHeight="1" x14ac:dyDescent="0.2">
      <c r="A268" s="914"/>
      <c r="B268" s="1265" t="s">
        <v>1033</v>
      </c>
      <c r="C268" s="928"/>
      <c r="D268" s="915"/>
      <c r="E268" s="915"/>
      <c r="F268" s="915"/>
      <c r="G268" s="915"/>
      <c r="H268" s="915"/>
      <c r="I268" s="944">
        <f>Parameters!F76</f>
        <v>0</v>
      </c>
      <c r="J268" s="915"/>
      <c r="K268" s="915"/>
      <c r="L268" s="915"/>
      <c r="M268" s="925"/>
      <c r="N268" s="613"/>
      <c r="O268" s="613"/>
      <c r="P268" s="940" t="str">
        <f t="shared" ref="P268:P275" si="186">IF(AND(ISNUMBER(C268),ISNUMBER(I268)),SUM(C268)*I268,"")</f>
        <v/>
      </c>
      <c r="Q268" s="916"/>
      <c r="R268" s="1293">
        <f t="shared" si="185"/>
        <v>0</v>
      </c>
    </row>
    <row r="269" spans="1:18" ht="15" customHeight="1" x14ac:dyDescent="0.2">
      <c r="A269" s="914"/>
      <c r="B269" s="1265" t="s">
        <v>1034</v>
      </c>
      <c r="C269" s="928"/>
      <c r="D269" s="915"/>
      <c r="E269" s="915"/>
      <c r="F269" s="915"/>
      <c r="G269" s="915"/>
      <c r="H269" s="915"/>
      <c r="I269" s="944">
        <f>Parameters!F77</f>
        <v>0</v>
      </c>
      <c r="J269" s="915"/>
      <c r="K269" s="915"/>
      <c r="L269" s="915"/>
      <c r="M269" s="925"/>
      <c r="N269" s="613"/>
      <c r="O269" s="613"/>
      <c r="P269" s="940" t="str">
        <f t="shared" si="186"/>
        <v/>
      </c>
      <c r="Q269" s="916"/>
      <c r="R269" s="1293">
        <f t="shared" si="185"/>
        <v>0</v>
      </c>
    </row>
    <row r="270" spans="1:18" ht="15" customHeight="1" x14ac:dyDescent="0.2">
      <c r="A270" s="914"/>
      <c r="B270" s="915" t="s">
        <v>732</v>
      </c>
      <c r="C270" s="928"/>
      <c r="D270" s="915"/>
      <c r="E270" s="915"/>
      <c r="F270" s="915"/>
      <c r="G270" s="915"/>
      <c r="H270" s="915"/>
      <c r="I270" s="944">
        <f>Parameters!F78</f>
        <v>0</v>
      </c>
      <c r="J270" s="915"/>
      <c r="K270" s="915"/>
      <c r="L270" s="915"/>
      <c r="M270" s="925"/>
      <c r="N270" s="613"/>
      <c r="O270" s="613"/>
      <c r="P270" s="940" t="str">
        <f>IF(AND(ISNUMBER(C270),ISNUMBER(I270)),SUM(C270)*I270,"")</f>
        <v/>
      </c>
      <c r="Q270" s="916"/>
      <c r="R270" s="1293">
        <f t="shared" si="185"/>
        <v>0</v>
      </c>
    </row>
    <row r="271" spans="1:18" ht="15" customHeight="1" x14ac:dyDescent="0.2">
      <c r="A271" s="914"/>
      <c r="B271" s="915" t="s">
        <v>733</v>
      </c>
      <c r="C271" s="928"/>
      <c r="D271" s="915"/>
      <c r="E271" s="915"/>
      <c r="F271" s="915"/>
      <c r="G271" s="915"/>
      <c r="H271" s="915"/>
      <c r="I271" s="944">
        <f>Parameters!F79</f>
        <v>0</v>
      </c>
      <c r="J271" s="915"/>
      <c r="K271" s="915"/>
      <c r="L271" s="915"/>
      <c r="M271" s="925"/>
      <c r="N271" s="613"/>
      <c r="O271" s="613"/>
      <c r="P271" s="940" t="str">
        <f t="shared" si="186"/>
        <v/>
      </c>
      <c r="Q271" s="916"/>
      <c r="R271" s="1293">
        <f t="shared" si="185"/>
        <v>0</v>
      </c>
    </row>
    <row r="272" spans="1:18" ht="15" customHeight="1" x14ac:dyDescent="0.2">
      <c r="A272" s="914"/>
      <c r="B272" s="915" t="s">
        <v>632</v>
      </c>
      <c r="C272" s="615"/>
      <c r="D272" s="915"/>
      <c r="E272" s="915"/>
      <c r="F272" s="915"/>
      <c r="G272" s="915"/>
      <c r="H272" s="915"/>
      <c r="I272" s="925"/>
      <c r="J272" s="915"/>
      <c r="K272" s="915"/>
      <c r="L272" s="915"/>
      <c r="M272" s="925"/>
      <c r="N272" s="613"/>
      <c r="O272" s="613"/>
      <c r="P272" s="615"/>
      <c r="Q272" s="916"/>
    </row>
    <row r="273" spans="1:18" ht="15" customHeight="1" x14ac:dyDescent="0.2">
      <c r="A273" s="914"/>
      <c r="B273" s="948" t="s">
        <v>445</v>
      </c>
      <c r="C273" s="928"/>
      <c r="D273" s="915"/>
      <c r="E273" s="915"/>
      <c r="F273" s="915"/>
      <c r="G273" s="915"/>
      <c r="H273" s="915"/>
      <c r="I273" s="944">
        <f>Parameters!F81</f>
        <v>0</v>
      </c>
      <c r="J273" s="915"/>
      <c r="K273" s="915"/>
      <c r="L273" s="915"/>
      <c r="M273" s="925"/>
      <c r="N273" s="613"/>
      <c r="O273" s="613"/>
      <c r="P273" s="940" t="str">
        <f t="shared" si="186"/>
        <v/>
      </c>
      <c r="Q273" s="916"/>
      <c r="R273" s="1293">
        <f t="shared" ref="R273:R277" si="187">IF(ISNUMBER(P273),1,0)</f>
        <v>0</v>
      </c>
    </row>
    <row r="274" spans="1:18" ht="15" customHeight="1" x14ac:dyDescent="0.2">
      <c r="A274" s="914"/>
      <c r="B274" s="948" t="s">
        <v>13</v>
      </c>
      <c r="C274" s="928"/>
      <c r="D274" s="915"/>
      <c r="E274" s="915"/>
      <c r="F274" s="915"/>
      <c r="G274" s="915"/>
      <c r="H274" s="915"/>
      <c r="I274" s="944">
        <f>Parameters!F82</f>
        <v>0</v>
      </c>
      <c r="J274" s="915"/>
      <c r="K274" s="915"/>
      <c r="L274" s="915"/>
      <c r="M274" s="925"/>
      <c r="N274" s="613"/>
      <c r="O274" s="613"/>
      <c r="P274" s="940" t="str">
        <f t="shared" si="186"/>
        <v/>
      </c>
      <c r="Q274" s="916"/>
      <c r="R274" s="1293">
        <f t="shared" si="187"/>
        <v>0</v>
      </c>
    </row>
    <row r="275" spans="1:18" ht="15" customHeight="1" x14ac:dyDescent="0.2">
      <c r="A275" s="914"/>
      <c r="B275" s="948" t="s">
        <v>633</v>
      </c>
      <c r="C275" s="928"/>
      <c r="D275" s="915"/>
      <c r="E275" s="915"/>
      <c r="F275" s="915"/>
      <c r="G275" s="915"/>
      <c r="H275" s="915"/>
      <c r="I275" s="944">
        <f>Parameters!F83</f>
        <v>0</v>
      </c>
      <c r="J275" s="915"/>
      <c r="K275" s="915"/>
      <c r="L275" s="915"/>
      <c r="M275" s="925"/>
      <c r="N275" s="613"/>
      <c r="O275" s="613"/>
      <c r="P275" s="940" t="str">
        <f t="shared" si="186"/>
        <v/>
      </c>
      <c r="Q275" s="916"/>
      <c r="R275" s="1293">
        <f t="shared" si="187"/>
        <v>0</v>
      </c>
    </row>
    <row r="276" spans="1:18" ht="15" customHeight="1" x14ac:dyDescent="0.2">
      <c r="A276" s="914"/>
      <c r="B276" s="948" t="s">
        <v>14</v>
      </c>
      <c r="C276" s="928"/>
      <c r="D276" s="915"/>
      <c r="E276" s="915"/>
      <c r="F276" s="915"/>
      <c r="G276" s="915"/>
      <c r="H276" s="915"/>
      <c r="I276" s="944">
        <f>Parameters!F84</f>
        <v>0</v>
      </c>
      <c r="J276" s="915"/>
      <c r="K276" s="915"/>
      <c r="L276" s="915"/>
      <c r="M276" s="925"/>
      <c r="N276" s="613"/>
      <c r="O276" s="613"/>
      <c r="P276" s="940" t="str">
        <f>IF(AND(ISNUMBER(C276),ISNUMBER(I276)),SUM(C276)*I276,"")</f>
        <v/>
      </c>
      <c r="Q276" s="916"/>
      <c r="R276" s="1293">
        <f t="shared" si="187"/>
        <v>0</v>
      </c>
    </row>
    <row r="277" spans="1:18" ht="15" customHeight="1" x14ac:dyDescent="0.2">
      <c r="A277" s="914"/>
      <c r="B277" s="47" t="s">
        <v>226</v>
      </c>
      <c r="C277" s="955"/>
      <c r="D277" s="915"/>
      <c r="E277" s="915"/>
      <c r="F277" s="915"/>
      <c r="G277" s="915"/>
      <c r="H277" s="915"/>
      <c r="I277" s="956">
        <f>Parameters!F85</f>
        <v>0</v>
      </c>
      <c r="J277" s="915"/>
      <c r="K277" s="915"/>
      <c r="L277" s="915"/>
      <c r="M277" s="931"/>
      <c r="N277" s="625"/>
      <c r="O277" s="625"/>
      <c r="P277" s="942" t="str">
        <f>IF(AND(ISNUMBER(C277),ISNUMBER(I277)),SUM(C277)*I277,"")</f>
        <v/>
      </c>
      <c r="Q277" s="916"/>
      <c r="R277" s="1293">
        <f t="shared" si="187"/>
        <v>0</v>
      </c>
    </row>
    <row r="278" spans="1:18" ht="15" customHeight="1" x14ac:dyDescent="0.2">
      <c r="A278" s="914"/>
      <c r="B278" s="951"/>
      <c r="C278" s="951"/>
      <c r="D278" s="915"/>
      <c r="E278" s="915"/>
      <c r="F278" s="915"/>
      <c r="G278" s="915"/>
      <c r="H278" s="915"/>
      <c r="I278" s="936"/>
      <c r="J278" s="915"/>
      <c r="K278" s="915"/>
      <c r="L278" s="915"/>
      <c r="M278" s="952" t="s">
        <v>955</v>
      </c>
      <c r="N278" s="952"/>
      <c r="O278" s="953"/>
      <c r="P278" s="954" t="str">
        <f>IF(SUM(R61:R277)=151,SUM(P61:P277),"")</f>
        <v/>
      </c>
      <c r="Q278" s="916"/>
    </row>
    <row r="279" spans="1:18" ht="15" customHeight="1" x14ac:dyDescent="0.2">
      <c r="A279" s="914"/>
      <c r="B279" s="915"/>
      <c r="C279" s="915"/>
      <c r="D279" s="915"/>
      <c r="E279" s="915"/>
      <c r="F279" s="915"/>
      <c r="G279" s="915"/>
      <c r="H279" s="915"/>
      <c r="I279" s="915"/>
      <c r="J279" s="915"/>
      <c r="K279" s="915"/>
      <c r="L279" s="915"/>
      <c r="M279" s="915"/>
      <c r="N279" s="915"/>
      <c r="O279" s="915"/>
      <c r="P279" s="915"/>
      <c r="Q279" s="916"/>
    </row>
    <row r="280" spans="1:18" s="117" customFormat="1" ht="30" customHeight="1" x14ac:dyDescent="0.25">
      <c r="A280" s="1479" t="s">
        <v>956</v>
      </c>
      <c r="B280" s="115"/>
      <c r="C280" s="115"/>
      <c r="D280" s="115"/>
      <c r="E280" s="115"/>
      <c r="F280" s="115"/>
      <c r="G280" s="115"/>
      <c r="H280" s="115"/>
      <c r="I280" s="152"/>
      <c r="J280" s="152"/>
      <c r="K280" s="115"/>
      <c r="L280" s="920"/>
      <c r="M280" s="920"/>
      <c r="N280" s="920"/>
      <c r="O280" s="920"/>
      <c r="P280" s="920"/>
      <c r="Q280" s="921"/>
      <c r="R280" s="1295"/>
    </row>
    <row r="281" spans="1:18" ht="15" customHeight="1" x14ac:dyDescent="0.2">
      <c r="A281" s="914"/>
      <c r="B281" s="915"/>
      <c r="C281" s="915"/>
      <c r="D281" s="915"/>
      <c r="E281" s="915"/>
      <c r="F281" s="915"/>
      <c r="G281" s="915"/>
      <c r="H281" s="915"/>
      <c r="I281" s="915"/>
      <c r="J281" s="915"/>
      <c r="K281" s="915"/>
      <c r="L281" s="915"/>
      <c r="M281" s="915"/>
      <c r="N281" s="915"/>
      <c r="O281" s="915"/>
      <c r="P281" s="915"/>
      <c r="Q281" s="916"/>
    </row>
    <row r="282" spans="1:18" ht="15" customHeight="1" x14ac:dyDescent="0.2">
      <c r="A282" s="914"/>
      <c r="B282" s="915"/>
      <c r="C282" s="915"/>
      <c r="D282" s="915"/>
      <c r="E282" s="915"/>
      <c r="F282" s="915"/>
      <c r="G282" s="915"/>
      <c r="H282" s="915"/>
      <c r="I282" s="915"/>
      <c r="J282" s="915"/>
      <c r="K282" s="915"/>
      <c r="L282" s="915"/>
      <c r="M282" s="957" t="s">
        <v>957</v>
      </c>
      <c r="N282" s="957"/>
      <c r="O282" s="958"/>
      <c r="P282" s="1303" t="str">
        <f>IF(AND(ISNUMBER(P278),ISNUMBER(P54)),IF(P278&gt;0,P54/P278,""),"")</f>
        <v/>
      </c>
      <c r="Q282" s="916"/>
    </row>
    <row r="283" spans="1:18" ht="15" customHeight="1" x14ac:dyDescent="0.2">
      <c r="A283" s="914"/>
      <c r="B283" s="915"/>
      <c r="C283" s="915"/>
      <c r="D283" s="915"/>
      <c r="E283" s="915"/>
      <c r="F283" s="915"/>
      <c r="G283" s="915"/>
      <c r="H283" s="915"/>
      <c r="I283" s="915"/>
      <c r="J283" s="915"/>
      <c r="K283" s="915"/>
      <c r="L283" s="915"/>
      <c r="M283" s="915"/>
      <c r="N283" s="915"/>
      <c r="O283" s="915"/>
      <c r="P283" s="915"/>
      <c r="Q283" s="916"/>
    </row>
    <row r="284" spans="1:18" s="117" customFormat="1" ht="30" customHeight="1" x14ac:dyDescent="0.25">
      <c r="A284" s="1479" t="s">
        <v>958</v>
      </c>
      <c r="B284" s="115"/>
      <c r="C284" s="115"/>
      <c r="D284" s="115"/>
      <c r="E284" s="115"/>
      <c r="F284" s="115"/>
      <c r="G284" s="115"/>
      <c r="H284" s="115"/>
      <c r="I284" s="152"/>
      <c r="J284" s="152"/>
      <c r="K284" s="115"/>
      <c r="L284" s="920"/>
      <c r="M284" s="920"/>
      <c r="N284" s="920"/>
      <c r="O284" s="920"/>
      <c r="P284" s="920"/>
      <c r="Q284" s="921"/>
      <c r="R284" s="1295"/>
    </row>
    <row r="285" spans="1:18" ht="15" customHeight="1" x14ac:dyDescent="0.2">
      <c r="A285" s="914"/>
      <c r="B285" s="915"/>
      <c r="C285" s="915"/>
      <c r="D285" s="915"/>
      <c r="E285" s="915"/>
      <c r="F285" s="915"/>
      <c r="G285" s="915"/>
      <c r="H285" s="915"/>
      <c r="I285" s="915"/>
      <c r="J285" s="915"/>
      <c r="K285" s="915"/>
      <c r="L285" s="915"/>
      <c r="M285" s="915"/>
      <c r="N285" s="915"/>
      <c r="O285" s="915"/>
      <c r="P285" s="915"/>
      <c r="Q285" s="916"/>
    </row>
    <row r="286" spans="1:18" ht="15" customHeight="1" x14ac:dyDescent="0.2">
      <c r="A286" s="914"/>
      <c r="B286" s="1686"/>
      <c r="C286" s="1683" t="s">
        <v>536</v>
      </c>
      <c r="D286" s="1684"/>
      <c r="E286" s="1684"/>
      <c r="F286" s="1684"/>
      <c r="G286" s="1685"/>
      <c r="H286" s="915"/>
      <c r="I286" s="1679" t="s">
        <v>963</v>
      </c>
      <c r="J286" s="1688"/>
      <c r="K286" s="1677"/>
      <c r="L286" s="915"/>
      <c r="M286" s="1678" t="s">
        <v>964</v>
      </c>
      <c r="N286" s="1678"/>
      <c r="O286" s="1678"/>
      <c r="P286" s="1678"/>
      <c r="Q286" s="916"/>
    </row>
    <row r="287" spans="1:18" ht="51" x14ac:dyDescent="0.2">
      <c r="A287" s="914"/>
      <c r="B287" s="1687"/>
      <c r="C287" s="926" t="s">
        <v>138</v>
      </c>
      <c r="D287" s="922" t="s">
        <v>609</v>
      </c>
      <c r="E287" s="922" t="s">
        <v>610</v>
      </c>
      <c r="F287" s="922" t="s">
        <v>611</v>
      </c>
      <c r="G287" s="924" t="s">
        <v>612</v>
      </c>
      <c r="H287" s="915"/>
      <c r="I287" s="913" t="s">
        <v>965</v>
      </c>
      <c r="J287" s="1234" t="s">
        <v>1008</v>
      </c>
      <c r="K287" s="330" t="s">
        <v>966</v>
      </c>
      <c r="L287" s="915"/>
      <c r="M287" s="926" t="s">
        <v>965</v>
      </c>
      <c r="N287" s="1235" t="s">
        <v>1008</v>
      </c>
      <c r="O287" s="922" t="s">
        <v>966</v>
      </c>
      <c r="P287" s="924" t="s">
        <v>929</v>
      </c>
      <c r="Q287" s="916"/>
    </row>
    <row r="288" spans="1:18" ht="30" customHeight="1" x14ac:dyDescent="0.2">
      <c r="A288" s="914"/>
      <c r="B288" s="1242" t="s">
        <v>1009</v>
      </c>
      <c r="C288" s="943"/>
      <c r="D288" s="943"/>
      <c r="E288" s="943"/>
      <c r="F288" s="943"/>
      <c r="G288" s="945"/>
      <c r="H288" s="915"/>
      <c r="I288" s="1247"/>
      <c r="J288" s="1243"/>
      <c r="K288" s="1248">
        <v>1</v>
      </c>
      <c r="L288" s="915"/>
      <c r="M288" s="925"/>
      <c r="N288" s="613"/>
      <c r="O288" s="941" t="str">
        <f t="shared" ref="O288:O289" si="188">IF(AND(ISNUMBER(G288),ISNUMBER(K288)),SUM(G288)*K288,"")</f>
        <v/>
      </c>
      <c r="P288" s="940" t="str">
        <f>O288</f>
        <v/>
      </c>
      <c r="Q288" s="916"/>
    </row>
    <row r="289" spans="1:17" ht="30" customHeight="1" x14ac:dyDescent="0.2">
      <c r="A289" s="914"/>
      <c r="B289" s="1239" t="s">
        <v>1030</v>
      </c>
      <c r="C289" s="613"/>
      <c r="D289" s="613"/>
      <c r="E289" s="613"/>
      <c r="F289" s="613"/>
      <c r="G289" s="928"/>
      <c r="H289" s="915"/>
      <c r="I289" s="1246"/>
      <c r="J289" s="1244"/>
      <c r="K289" s="1249">
        <v>1</v>
      </c>
      <c r="L289" s="915"/>
      <c r="M289" s="925"/>
      <c r="N289" s="613"/>
      <c r="O289" s="941" t="str">
        <f t="shared" si="188"/>
        <v/>
      </c>
      <c r="P289" s="940" t="str">
        <f>O289</f>
        <v/>
      </c>
      <c r="Q289" s="916"/>
    </row>
    <row r="290" spans="1:17" ht="30" customHeight="1" x14ac:dyDescent="0.2">
      <c r="A290" s="914"/>
      <c r="B290" s="1236" t="s">
        <v>959</v>
      </c>
      <c r="C290" s="945"/>
      <c r="D290" s="945"/>
      <c r="E290" s="945"/>
      <c r="F290" s="945"/>
      <c r="G290" s="945"/>
      <c r="H290" s="915"/>
      <c r="I290" s="1250">
        <v>0.85</v>
      </c>
      <c r="J290" s="1251">
        <v>0.85</v>
      </c>
      <c r="K290" s="1249">
        <v>1</v>
      </c>
      <c r="L290" s="915"/>
      <c r="M290" s="941" t="str">
        <f t="shared" ref="M290:M295" si="189">IF(AND(ISNUMBER(C290),ISNUMBER(D290),ISNUMBER(I290)),SUM(C290:D290)*I290,"")</f>
        <v/>
      </c>
      <c r="N290" s="941" t="str">
        <f t="shared" ref="N290:N295" si="190">IF(AND(ISNUMBER(E290),ISNUMBER(F290),ISNUMBER(J290)),SUM(E290:F290)*J290,"")</f>
        <v/>
      </c>
      <c r="O290" s="941" t="str">
        <f t="shared" ref="O290:O295" si="191">IF(AND(ISNUMBER(G290),ISNUMBER(K290)),G290*K290,"")</f>
        <v/>
      </c>
      <c r="P290" s="940" t="str">
        <f t="shared" ref="P290:P295" si="192">IF(AND(ISNUMBER(M290),ISNUMBER(O290)),SUM(M290:O290),"")</f>
        <v/>
      </c>
      <c r="Q290" s="916"/>
    </row>
    <row r="291" spans="1:17" ht="30" customHeight="1" x14ac:dyDescent="0.2">
      <c r="A291" s="914"/>
      <c r="B291" s="1236" t="s">
        <v>916</v>
      </c>
      <c r="C291" s="945"/>
      <c r="D291" s="945"/>
      <c r="E291" s="945"/>
      <c r="F291" s="945"/>
      <c r="G291" s="945"/>
      <c r="H291" s="915"/>
      <c r="I291" s="1250">
        <v>0.85</v>
      </c>
      <c r="J291" s="1251">
        <v>0.85</v>
      </c>
      <c r="K291" s="1249">
        <v>1</v>
      </c>
      <c r="L291" s="915"/>
      <c r="M291" s="941" t="str">
        <f t="shared" si="189"/>
        <v/>
      </c>
      <c r="N291" s="941" t="str">
        <f t="shared" si="190"/>
        <v/>
      </c>
      <c r="O291" s="941" t="str">
        <f t="shared" si="191"/>
        <v/>
      </c>
      <c r="P291" s="940" t="str">
        <f t="shared" si="192"/>
        <v/>
      </c>
      <c r="Q291" s="916"/>
    </row>
    <row r="292" spans="1:17" ht="15" customHeight="1" x14ac:dyDescent="0.2">
      <c r="A292" s="914"/>
      <c r="B292" s="1236" t="s">
        <v>917</v>
      </c>
      <c r="C292" s="945"/>
      <c r="D292" s="945"/>
      <c r="E292" s="945"/>
      <c r="F292" s="945"/>
      <c r="G292" s="945"/>
      <c r="H292" s="915"/>
      <c r="I292" s="1250">
        <v>0.5</v>
      </c>
      <c r="J292" s="1251">
        <v>0.5</v>
      </c>
      <c r="K292" s="1249">
        <v>1</v>
      </c>
      <c r="L292" s="915"/>
      <c r="M292" s="941" t="str">
        <f t="shared" si="189"/>
        <v/>
      </c>
      <c r="N292" s="941" t="str">
        <f t="shared" si="190"/>
        <v/>
      </c>
      <c r="O292" s="941" t="str">
        <f t="shared" si="191"/>
        <v/>
      </c>
      <c r="P292" s="940" t="str">
        <f t="shared" si="192"/>
        <v/>
      </c>
      <c r="Q292" s="916"/>
    </row>
    <row r="293" spans="1:17" ht="15" customHeight="1" x14ac:dyDescent="0.2">
      <c r="A293" s="914"/>
      <c r="B293" s="1240" t="s">
        <v>1011</v>
      </c>
      <c r="C293" s="945"/>
      <c r="D293" s="945"/>
      <c r="E293" s="945"/>
      <c r="F293" s="945"/>
      <c r="G293" s="945"/>
      <c r="H293" s="915"/>
      <c r="I293" s="1250">
        <v>0.5</v>
      </c>
      <c r="J293" s="1251">
        <v>0.5</v>
      </c>
      <c r="K293" s="1249">
        <v>1</v>
      </c>
      <c r="L293" s="915"/>
      <c r="M293" s="941" t="str">
        <f t="shared" si="189"/>
        <v/>
      </c>
      <c r="N293" s="941" t="str">
        <f t="shared" si="190"/>
        <v/>
      </c>
      <c r="O293" s="941" t="str">
        <f t="shared" si="191"/>
        <v/>
      </c>
      <c r="P293" s="940" t="str">
        <f t="shared" si="192"/>
        <v/>
      </c>
      <c r="Q293" s="916"/>
    </row>
    <row r="294" spans="1:17" ht="15" customHeight="1" x14ac:dyDescent="0.2">
      <c r="A294" s="914"/>
      <c r="B294" s="1236" t="s">
        <v>920</v>
      </c>
      <c r="C294" s="945"/>
      <c r="D294" s="945"/>
      <c r="E294" s="945"/>
      <c r="F294" s="945"/>
      <c r="G294" s="945"/>
      <c r="H294" s="915"/>
      <c r="I294" s="1250">
        <v>0</v>
      </c>
      <c r="J294" s="1251">
        <v>0.5</v>
      </c>
      <c r="K294" s="1249">
        <v>1</v>
      </c>
      <c r="L294" s="915"/>
      <c r="M294" s="941" t="str">
        <f t="shared" ref="M294" si="193">IF(AND(ISNUMBER(C294),ISNUMBER(D294),ISNUMBER(I294)),SUM(C294:D294)*I294,"")</f>
        <v/>
      </c>
      <c r="N294" s="941" t="str">
        <f t="shared" si="190"/>
        <v/>
      </c>
      <c r="O294" s="941" t="str">
        <f t="shared" si="191"/>
        <v/>
      </c>
      <c r="P294" s="940" t="str">
        <f t="shared" si="192"/>
        <v/>
      </c>
      <c r="Q294" s="916"/>
    </row>
    <row r="295" spans="1:17" ht="25.5" x14ac:dyDescent="0.2">
      <c r="A295" s="914"/>
      <c r="B295" s="1236" t="s">
        <v>921</v>
      </c>
      <c r="C295" s="945"/>
      <c r="D295" s="945"/>
      <c r="E295" s="945"/>
      <c r="F295" s="945"/>
      <c r="G295" s="945"/>
      <c r="H295" s="915"/>
      <c r="I295" s="1250">
        <v>0</v>
      </c>
      <c r="J295" s="1251">
        <v>0.5</v>
      </c>
      <c r="K295" s="1249">
        <v>1</v>
      </c>
      <c r="L295" s="915"/>
      <c r="M295" s="941" t="str">
        <f t="shared" si="189"/>
        <v/>
      </c>
      <c r="N295" s="941" t="str">
        <f t="shared" si="190"/>
        <v/>
      </c>
      <c r="O295" s="941" t="str">
        <f t="shared" si="191"/>
        <v/>
      </c>
      <c r="P295" s="940" t="str">
        <f t="shared" si="192"/>
        <v/>
      </c>
      <c r="Q295" s="916"/>
    </row>
    <row r="296" spans="1:17" ht="30" customHeight="1" x14ac:dyDescent="0.2">
      <c r="A296" s="914"/>
      <c r="B296" s="1236" t="s">
        <v>960</v>
      </c>
      <c r="C296" s="943"/>
      <c r="D296" s="943"/>
      <c r="E296" s="943"/>
      <c r="F296" s="943"/>
      <c r="G296" s="1261"/>
      <c r="H296" s="915"/>
      <c r="I296" s="1246"/>
      <c r="J296" s="1244"/>
      <c r="K296" s="1245"/>
      <c r="L296" s="915"/>
      <c r="M296" s="947"/>
      <c r="N296" s="943"/>
      <c r="O296" s="943"/>
      <c r="P296" s="946"/>
      <c r="Q296" s="916"/>
    </row>
    <row r="297" spans="1:17" ht="15" customHeight="1" x14ac:dyDescent="0.2">
      <c r="A297" s="914"/>
      <c r="B297" s="1238" t="s">
        <v>923</v>
      </c>
      <c r="C297" s="943"/>
      <c r="D297" s="943"/>
      <c r="E297" s="943"/>
      <c r="F297" s="943"/>
      <c r="G297" s="1226"/>
      <c r="H297" s="915"/>
      <c r="I297" s="1246"/>
      <c r="J297" s="1244"/>
      <c r="K297" s="1245"/>
      <c r="L297" s="915"/>
      <c r="M297" s="947"/>
      <c r="N297" s="943"/>
      <c r="O297" s="943"/>
      <c r="P297" s="946"/>
      <c r="Q297" s="916"/>
    </row>
    <row r="298" spans="1:17" ht="15" customHeight="1" x14ac:dyDescent="0.2">
      <c r="A298" s="914"/>
      <c r="B298" s="1238" t="s">
        <v>924</v>
      </c>
      <c r="C298" s="943"/>
      <c r="D298" s="943"/>
      <c r="E298" s="943"/>
      <c r="F298" s="943"/>
      <c r="G298" s="1226"/>
      <c r="H298" s="915"/>
      <c r="I298" s="1246"/>
      <c r="J298" s="1244"/>
      <c r="K298" s="1245"/>
      <c r="L298" s="915"/>
      <c r="M298" s="947"/>
      <c r="N298" s="943"/>
      <c r="O298" s="943"/>
      <c r="P298" s="946"/>
      <c r="Q298" s="916"/>
    </row>
    <row r="299" spans="1:17" ht="15" customHeight="1" x14ac:dyDescent="0.2">
      <c r="A299" s="914"/>
      <c r="B299" s="1237" t="s">
        <v>925</v>
      </c>
      <c r="C299" s="945"/>
      <c r="D299" s="945"/>
      <c r="E299" s="945"/>
      <c r="F299" s="945"/>
      <c r="G299" s="945"/>
      <c r="H299" s="915"/>
      <c r="I299" s="1250">
        <v>0</v>
      </c>
      <c r="J299" s="1251">
        <v>0.5</v>
      </c>
      <c r="K299" s="1249">
        <v>1</v>
      </c>
      <c r="L299" s="915"/>
      <c r="M299" s="941" t="str">
        <f t="shared" ref="M299:M303" si="194">IF(AND(ISNUMBER(C299),ISNUMBER(D299),ISNUMBER(I299)),SUM(C299:D299)*I299,"")</f>
        <v/>
      </c>
      <c r="N299" s="941" t="str">
        <f t="shared" ref="N299:N303" si="195">IF(AND(ISNUMBER(E299),ISNUMBER(F299),ISNUMBER(J299)),SUM(E299:F299)*J299,"")</f>
        <v/>
      </c>
      <c r="O299" s="941" t="str">
        <f t="shared" ref="O299:O303" si="196">IF(AND(ISNUMBER(G299),ISNUMBER(K299)),G299*K299,"")</f>
        <v/>
      </c>
      <c r="P299" s="940" t="str">
        <f t="shared" ref="P299:P303" si="197">IF(AND(ISNUMBER(M299),ISNUMBER(O299)),SUM(M299:O299),"")</f>
        <v/>
      </c>
      <c r="Q299" s="916"/>
    </row>
    <row r="300" spans="1:17" ht="15" customHeight="1" x14ac:dyDescent="0.2">
      <c r="A300" s="914"/>
      <c r="B300" s="1237" t="s">
        <v>44</v>
      </c>
      <c r="C300" s="945"/>
      <c r="D300" s="945"/>
      <c r="E300" s="945"/>
      <c r="F300" s="945"/>
      <c r="G300" s="945"/>
      <c r="H300" s="915"/>
      <c r="I300" s="1250">
        <v>0.5</v>
      </c>
      <c r="J300" s="1251">
        <v>0.5</v>
      </c>
      <c r="K300" s="1249">
        <v>1</v>
      </c>
      <c r="L300" s="915"/>
      <c r="M300" s="941" t="str">
        <f t="shared" si="194"/>
        <v/>
      </c>
      <c r="N300" s="941" t="str">
        <f t="shared" si="195"/>
        <v/>
      </c>
      <c r="O300" s="941" t="str">
        <f t="shared" si="196"/>
        <v/>
      </c>
      <c r="P300" s="940" t="str">
        <f t="shared" si="197"/>
        <v/>
      </c>
      <c r="Q300" s="916"/>
    </row>
    <row r="301" spans="1:17" ht="15" customHeight="1" x14ac:dyDescent="0.2">
      <c r="A301" s="914"/>
      <c r="B301" s="1237" t="s">
        <v>415</v>
      </c>
      <c r="C301" s="945"/>
      <c r="D301" s="945"/>
      <c r="E301" s="945"/>
      <c r="F301" s="945"/>
      <c r="G301" s="945"/>
      <c r="H301" s="915"/>
      <c r="I301" s="1250">
        <v>0</v>
      </c>
      <c r="J301" s="1251">
        <v>0.5</v>
      </c>
      <c r="K301" s="1249">
        <v>1</v>
      </c>
      <c r="L301" s="915"/>
      <c r="M301" s="941" t="str">
        <f t="shared" si="194"/>
        <v/>
      </c>
      <c r="N301" s="941" t="str">
        <f t="shared" si="195"/>
        <v/>
      </c>
      <c r="O301" s="941" t="str">
        <f t="shared" si="196"/>
        <v/>
      </c>
      <c r="P301" s="940" t="str">
        <f t="shared" si="197"/>
        <v/>
      </c>
      <c r="Q301" s="916"/>
    </row>
    <row r="302" spans="1:17" ht="15" customHeight="1" x14ac:dyDescent="0.2">
      <c r="A302" s="914"/>
      <c r="B302" s="1241" t="s">
        <v>1012</v>
      </c>
      <c r="C302" s="945"/>
      <c r="D302" s="945"/>
      <c r="E302" s="945"/>
      <c r="F302" s="945"/>
      <c r="G302" s="945"/>
      <c r="H302" s="915"/>
      <c r="I302" s="1250">
        <v>0.5</v>
      </c>
      <c r="J302" s="1251">
        <v>0.5</v>
      </c>
      <c r="K302" s="1249">
        <v>1</v>
      </c>
      <c r="L302" s="915"/>
      <c r="M302" s="941" t="str">
        <f t="shared" si="194"/>
        <v/>
      </c>
      <c r="N302" s="941" t="str">
        <f t="shared" si="195"/>
        <v/>
      </c>
      <c r="O302" s="941" t="str">
        <f t="shared" si="196"/>
        <v/>
      </c>
      <c r="P302" s="940" t="str">
        <f t="shared" si="197"/>
        <v/>
      </c>
      <c r="Q302" s="916"/>
    </row>
    <row r="303" spans="1:17" ht="15" customHeight="1" x14ac:dyDescent="0.2">
      <c r="A303" s="914"/>
      <c r="B303" s="1237" t="s">
        <v>926</v>
      </c>
      <c r="C303" s="945"/>
      <c r="D303" s="945"/>
      <c r="E303" s="945"/>
      <c r="F303" s="945"/>
      <c r="G303" s="945"/>
      <c r="H303" s="915"/>
      <c r="I303" s="1250">
        <v>0</v>
      </c>
      <c r="J303" s="1251">
        <v>0.5</v>
      </c>
      <c r="K303" s="1249">
        <v>1</v>
      </c>
      <c r="L303" s="915"/>
      <c r="M303" s="941" t="str">
        <f t="shared" si="194"/>
        <v/>
      </c>
      <c r="N303" s="941" t="str">
        <f t="shared" si="195"/>
        <v/>
      </c>
      <c r="O303" s="941" t="str">
        <f t="shared" si="196"/>
        <v/>
      </c>
      <c r="P303" s="940" t="str">
        <f t="shared" si="197"/>
        <v/>
      </c>
      <c r="Q303" s="916"/>
    </row>
    <row r="304" spans="1:17" ht="15" customHeight="1" x14ac:dyDescent="0.2">
      <c r="A304" s="914"/>
      <c r="B304" s="1236" t="s">
        <v>927</v>
      </c>
      <c r="C304" s="945"/>
      <c r="D304" s="945"/>
      <c r="E304" s="945"/>
      <c r="F304" s="945"/>
      <c r="G304" s="945"/>
      <c r="H304" s="915"/>
      <c r="I304" s="1246"/>
      <c r="J304" s="1244"/>
      <c r="K304" s="1249">
        <v>0</v>
      </c>
      <c r="L304" s="915"/>
      <c r="M304" s="925"/>
      <c r="N304" s="925"/>
      <c r="O304" s="941" t="str">
        <f>IF(AND(ISNUMBER(G304),ISNUMBER(G257),ISNUMBER(K304)),MAX((G304-G257),0)*K304,"")</f>
        <v/>
      </c>
      <c r="P304" s="940" t="str">
        <f>O304</f>
        <v/>
      </c>
      <c r="Q304" s="916"/>
    </row>
    <row r="305" spans="1:18" ht="15" customHeight="1" x14ac:dyDescent="0.2">
      <c r="A305" s="914"/>
      <c r="B305" s="1236" t="s">
        <v>961</v>
      </c>
      <c r="C305" s="945"/>
      <c r="D305" s="945"/>
      <c r="E305" s="945"/>
      <c r="F305" s="945"/>
      <c r="G305" s="945"/>
      <c r="H305" s="915"/>
      <c r="I305" s="1250">
        <v>0</v>
      </c>
      <c r="J305" s="1251">
        <v>0.5</v>
      </c>
      <c r="K305" s="1249">
        <v>1</v>
      </c>
      <c r="L305" s="915"/>
      <c r="M305" s="941" t="str">
        <f t="shared" ref="M305" si="198">IF(AND(ISNUMBER(C305),ISNUMBER(D305),ISNUMBER(I305)),SUM(C305:D305)*I305,"")</f>
        <v/>
      </c>
      <c r="N305" s="941" t="str">
        <f t="shared" ref="N305" si="199">IF(AND(ISNUMBER(E305),ISNUMBER(F305),ISNUMBER(J305)),SUM(E305:F305)*J305,"")</f>
        <v/>
      </c>
      <c r="O305" s="941" t="str">
        <f>IF(AND(ISNUMBER(G305),ISNUMBER(K305)),G305*K305,"")</f>
        <v/>
      </c>
      <c r="P305" s="940" t="str">
        <f>IF(AND(ISNUMBER(M305),ISNUMBER(O305)),SUM(M305:O305),"")</f>
        <v/>
      </c>
      <c r="Q305" s="916"/>
    </row>
    <row r="306" spans="1:18" ht="30" customHeight="1" x14ac:dyDescent="0.2">
      <c r="A306" s="914"/>
      <c r="B306" s="959" t="str">
        <f>CONCATENATE("Check: the sum of each of the columns for rows ", ROW(B288), " to ", ROW(B305), " should equal the corresponding column in row ", ROW(B39))</f>
        <v>Check: the sum of each of the columns for rows 288 to 305 should equal the corresponding column in row 39</v>
      </c>
      <c r="C306" s="962" t="str">
        <f>IF(SUM(C288:C305)=C39,"Pass","Fail")</f>
        <v>Pass</v>
      </c>
      <c r="D306" s="962" t="str">
        <f>IF(SUM(D288:D305)=D39,"Pass","Fail")</f>
        <v>Pass</v>
      </c>
      <c r="E306" s="962" t="str">
        <f>IF(SUM(E288:E305)=E39,"Pass","Fail")</f>
        <v>Pass</v>
      </c>
      <c r="F306" s="686" t="str">
        <f>IF(SUM(F288:F305)=F39,"Pass","Fail")</f>
        <v>Pass</v>
      </c>
      <c r="G306" s="962" t="str">
        <f>IF(SUM(G288:G305)=G39,"Pass","Fail")</f>
        <v>Pass</v>
      </c>
      <c r="H306" s="915"/>
      <c r="I306" s="931"/>
      <c r="J306" s="625"/>
      <c r="K306" s="960"/>
      <c r="L306" s="915"/>
      <c r="M306" s="936"/>
      <c r="N306" s="961"/>
      <c r="O306" s="961"/>
      <c r="P306" s="951"/>
      <c r="Q306" s="916"/>
    </row>
    <row r="307" spans="1:18" ht="15" customHeight="1" x14ac:dyDescent="0.2">
      <c r="A307" s="914"/>
      <c r="B307" s="915"/>
      <c r="C307" s="915"/>
      <c r="D307" s="915"/>
      <c r="E307" s="915"/>
      <c r="F307" s="915"/>
      <c r="G307" s="915"/>
      <c r="H307" s="915"/>
      <c r="I307" s="915"/>
      <c r="J307" s="915"/>
      <c r="K307" s="915"/>
      <c r="L307" s="915"/>
      <c r="M307" s="915"/>
      <c r="N307" s="915"/>
      <c r="O307" s="915"/>
      <c r="P307" s="915"/>
      <c r="Q307" s="916"/>
    </row>
    <row r="308" spans="1:18" s="117" customFormat="1" ht="30" customHeight="1" x14ac:dyDescent="0.25">
      <c r="A308" s="1479" t="s">
        <v>962</v>
      </c>
      <c r="B308" s="115"/>
      <c r="C308" s="115"/>
      <c r="D308" s="115"/>
      <c r="E308" s="115"/>
      <c r="F308" s="115"/>
      <c r="G308" s="115"/>
      <c r="H308" s="115"/>
      <c r="I308" s="152"/>
      <c r="J308" s="152"/>
      <c r="K308" s="115"/>
      <c r="L308" s="920"/>
      <c r="M308" s="920"/>
      <c r="N308" s="920"/>
      <c r="O308" s="920"/>
      <c r="P308" s="920"/>
      <c r="Q308" s="921"/>
      <c r="R308" s="1295"/>
    </row>
    <row r="309" spans="1:18" ht="30" customHeight="1" x14ac:dyDescent="0.2">
      <c r="A309" s="963" t="str">
        <f>CONCATENATE("Note:  While supplemental information is being requested in Panel E on certain Level 2B asset types, please ensure that amounts reported here are also included in the amounts provided in rows ", ROW(B127), " to ", ROW(B136), " on Level 2B assets above.")</f>
        <v>Note:  While supplemental information is being requested in Panel E on certain Level 2B asset types, please ensure that amounts reported here are also included in the amounts provided in rows 127 to 136 on Level 2B assets above.</v>
      </c>
      <c r="B309" s="964"/>
      <c r="C309" s="964"/>
      <c r="D309" s="964"/>
      <c r="E309" s="964"/>
      <c r="F309" s="964"/>
      <c r="G309" s="964"/>
      <c r="H309" s="964"/>
      <c r="I309" s="964"/>
      <c r="J309" s="964"/>
      <c r="K309" s="964"/>
      <c r="L309" s="964"/>
      <c r="M309" s="964"/>
      <c r="N309" s="964"/>
      <c r="O309" s="964"/>
      <c r="P309" s="964"/>
      <c r="Q309" s="965"/>
    </row>
    <row r="310" spans="1:18" ht="15" customHeight="1" x14ac:dyDescent="0.2">
      <c r="A310" s="914"/>
      <c r="B310" s="47"/>
      <c r="C310" s="47"/>
      <c r="D310" s="47"/>
      <c r="E310" s="47"/>
      <c r="F310" s="47"/>
      <c r="G310" s="47"/>
      <c r="H310" s="915"/>
      <c r="I310" s="915"/>
      <c r="J310" s="915"/>
      <c r="K310" s="915"/>
      <c r="L310" s="915"/>
      <c r="M310" s="915"/>
      <c r="N310" s="915"/>
      <c r="O310" s="915"/>
      <c r="P310" s="915"/>
      <c r="Q310" s="916"/>
    </row>
    <row r="311" spans="1:18" ht="15" customHeight="1" x14ac:dyDescent="0.2">
      <c r="A311" s="914"/>
      <c r="B311" s="1686"/>
      <c r="C311" s="1683" t="s">
        <v>536</v>
      </c>
      <c r="D311" s="1684"/>
      <c r="E311" s="1684"/>
      <c r="F311" s="1684"/>
      <c r="G311" s="1685"/>
      <c r="H311" s="915"/>
      <c r="I311" s="915"/>
      <c r="J311" s="915"/>
      <c r="K311" s="915"/>
      <c r="L311" s="915"/>
      <c r="M311" s="915"/>
      <c r="N311" s="915"/>
      <c r="O311" s="915"/>
      <c r="P311" s="915"/>
      <c r="Q311" s="916"/>
    </row>
    <row r="312" spans="1:18" ht="30" customHeight="1" x14ac:dyDescent="0.2">
      <c r="A312" s="914"/>
      <c r="B312" s="1687"/>
      <c r="C312" s="926" t="s">
        <v>138</v>
      </c>
      <c r="D312" s="922" t="s">
        <v>971</v>
      </c>
      <c r="E312" s="922" t="s">
        <v>972</v>
      </c>
      <c r="F312" s="922" t="s">
        <v>973</v>
      </c>
      <c r="G312" s="924" t="s">
        <v>612</v>
      </c>
      <c r="H312" s="915"/>
      <c r="I312" s="915"/>
      <c r="J312" s="915"/>
      <c r="K312" s="915"/>
      <c r="L312" s="915"/>
      <c r="M312" s="915"/>
      <c r="N312" s="915"/>
      <c r="O312" s="915"/>
      <c r="P312" s="915"/>
      <c r="Q312" s="916"/>
    </row>
    <row r="313" spans="1:18" ht="15" customHeight="1" x14ac:dyDescent="0.2">
      <c r="A313" s="914"/>
      <c r="B313" s="1252" t="s">
        <v>974</v>
      </c>
      <c r="C313" s="1259"/>
      <c r="D313" s="1259"/>
      <c r="E313" s="1259"/>
      <c r="F313" s="1259"/>
      <c r="G313" s="1264"/>
      <c r="H313" s="915"/>
      <c r="I313" s="915"/>
      <c r="J313" s="915"/>
      <c r="K313" s="915"/>
      <c r="L313" s="915"/>
      <c r="M313" s="915"/>
      <c r="N313" s="915"/>
      <c r="O313" s="915"/>
      <c r="P313" s="915"/>
      <c r="Q313" s="916"/>
    </row>
    <row r="314" spans="1:18" ht="15" customHeight="1" x14ac:dyDescent="0.2">
      <c r="A314" s="914"/>
      <c r="B314" s="1254" t="s">
        <v>940</v>
      </c>
      <c r="C314" s="1262"/>
      <c r="D314" s="1262"/>
      <c r="E314" s="1262"/>
      <c r="F314" s="1262"/>
      <c r="G314" s="694"/>
      <c r="H314" s="915"/>
      <c r="I314" s="915"/>
      <c r="J314" s="915"/>
      <c r="K314" s="915"/>
      <c r="L314" s="915"/>
      <c r="M314" s="915"/>
      <c r="N314" s="915"/>
      <c r="O314" s="915"/>
      <c r="P314" s="915"/>
      <c r="Q314" s="916"/>
    </row>
    <row r="315" spans="1:18" ht="15" customHeight="1" x14ac:dyDescent="0.2">
      <c r="A315" s="914"/>
      <c r="B315" s="1255" t="s">
        <v>941</v>
      </c>
      <c r="C315" s="1263"/>
      <c r="D315" s="1263"/>
      <c r="E315" s="1263"/>
      <c r="F315" s="1263"/>
      <c r="G315" s="1226"/>
      <c r="H315" s="915"/>
      <c r="I315" s="915"/>
      <c r="J315" s="915"/>
      <c r="K315" s="915"/>
      <c r="L315" s="915"/>
      <c r="M315" s="915"/>
      <c r="N315" s="915"/>
      <c r="O315" s="915"/>
      <c r="P315" s="915"/>
      <c r="Q315" s="916"/>
    </row>
    <row r="316" spans="1:18" ht="15" customHeight="1" x14ac:dyDescent="0.2">
      <c r="A316" s="914"/>
      <c r="B316" s="1256" t="s">
        <v>1014</v>
      </c>
      <c r="C316" s="1262"/>
      <c r="D316" s="1262"/>
      <c r="E316" s="1262"/>
      <c r="F316" s="1262"/>
      <c r="G316" s="694"/>
      <c r="H316" s="915"/>
      <c r="I316" s="915"/>
      <c r="J316" s="915"/>
      <c r="K316" s="915"/>
      <c r="L316" s="915"/>
      <c r="M316" s="915"/>
      <c r="N316" s="915"/>
      <c r="O316" s="915"/>
      <c r="P316" s="915"/>
      <c r="Q316" s="916"/>
    </row>
    <row r="317" spans="1:18" ht="15" customHeight="1" x14ac:dyDescent="0.2">
      <c r="A317" s="914"/>
      <c r="B317" s="1256" t="s">
        <v>1015</v>
      </c>
      <c r="C317" s="1262"/>
      <c r="D317" s="1262"/>
      <c r="E317" s="1262"/>
      <c r="F317" s="1262"/>
      <c r="G317" s="694"/>
      <c r="H317" s="915"/>
      <c r="I317" s="915"/>
      <c r="J317" s="915"/>
      <c r="K317" s="915"/>
      <c r="L317" s="915"/>
      <c r="M317" s="915"/>
      <c r="N317" s="915"/>
      <c r="O317" s="915"/>
      <c r="P317" s="915"/>
      <c r="Q317" s="916"/>
    </row>
    <row r="318" spans="1:18" ht="15" customHeight="1" x14ac:dyDescent="0.2">
      <c r="A318" s="914"/>
      <c r="B318" s="1256" t="s">
        <v>976</v>
      </c>
      <c r="C318" s="1262"/>
      <c r="D318" s="1262"/>
      <c r="E318" s="1262"/>
      <c r="F318" s="1262"/>
      <c r="G318" s="694"/>
      <c r="H318" s="915"/>
      <c r="I318" s="915"/>
      <c r="J318" s="915"/>
      <c r="K318" s="915"/>
      <c r="L318" s="915"/>
      <c r="M318" s="915"/>
      <c r="N318" s="915"/>
      <c r="O318" s="915"/>
      <c r="P318" s="915"/>
      <c r="Q318" s="916"/>
    </row>
    <row r="319" spans="1:18" ht="15" customHeight="1" x14ac:dyDescent="0.2">
      <c r="A319" s="914"/>
      <c r="B319" s="1257" t="s">
        <v>977</v>
      </c>
      <c r="C319" s="1263"/>
      <c r="D319" s="1263"/>
      <c r="E319" s="1263"/>
      <c r="F319" s="1263"/>
      <c r="G319" s="1226"/>
      <c r="H319" s="915"/>
      <c r="I319" s="915"/>
      <c r="J319" s="915"/>
      <c r="K319" s="915"/>
      <c r="L319" s="915"/>
      <c r="M319" s="915"/>
      <c r="N319" s="915"/>
      <c r="O319" s="915"/>
      <c r="P319" s="915"/>
      <c r="Q319" s="916"/>
    </row>
    <row r="320" spans="1:18" ht="15" customHeight="1" x14ac:dyDescent="0.2">
      <c r="A320" s="914"/>
      <c r="B320" s="1256" t="s">
        <v>1014</v>
      </c>
      <c r="C320" s="1262"/>
      <c r="D320" s="1262"/>
      <c r="E320" s="1262"/>
      <c r="F320" s="1262"/>
      <c r="G320" s="694"/>
      <c r="H320" s="915"/>
      <c r="I320" s="915"/>
      <c r="J320" s="915"/>
      <c r="K320" s="915"/>
      <c r="L320" s="915"/>
      <c r="M320" s="915"/>
      <c r="N320" s="915"/>
      <c r="O320" s="915"/>
      <c r="P320" s="915"/>
      <c r="Q320" s="916"/>
    </row>
    <row r="321" spans="1:17" ht="15" customHeight="1" x14ac:dyDescent="0.2">
      <c r="A321" s="914"/>
      <c r="B321" s="1256" t="s">
        <v>1015</v>
      </c>
      <c r="C321" s="1262"/>
      <c r="D321" s="1262"/>
      <c r="E321" s="1262"/>
      <c r="F321" s="1262"/>
      <c r="G321" s="694"/>
      <c r="H321" s="915"/>
      <c r="I321" s="915"/>
      <c r="J321" s="915"/>
      <c r="K321" s="915"/>
      <c r="L321" s="915"/>
      <c r="M321" s="915"/>
      <c r="N321" s="915"/>
      <c r="O321" s="915"/>
      <c r="P321" s="915"/>
      <c r="Q321" s="916"/>
    </row>
    <row r="322" spans="1:17" ht="15" customHeight="1" x14ac:dyDescent="0.2">
      <c r="A322" s="914"/>
      <c r="B322" s="1258" t="s">
        <v>976</v>
      </c>
      <c r="C322" s="1262"/>
      <c r="D322" s="1262"/>
      <c r="E322" s="1262"/>
      <c r="F322" s="1262"/>
      <c r="G322" s="694"/>
      <c r="H322" s="915"/>
      <c r="I322" s="915"/>
      <c r="J322" s="915"/>
      <c r="K322" s="915"/>
      <c r="L322" s="915"/>
      <c r="M322" s="915"/>
      <c r="N322" s="915"/>
      <c r="O322" s="915"/>
      <c r="P322" s="915"/>
      <c r="Q322" s="916"/>
    </row>
    <row r="323" spans="1:17" ht="30" customHeight="1" x14ac:dyDescent="0.2">
      <c r="A323" s="914"/>
      <c r="B323" s="1253" t="s">
        <v>975</v>
      </c>
      <c r="C323" s="1260"/>
      <c r="D323" s="1260"/>
      <c r="E323" s="1260"/>
      <c r="F323" s="1260"/>
      <c r="G323" s="1261"/>
      <c r="H323" s="915"/>
      <c r="I323" s="915"/>
      <c r="J323" s="915"/>
      <c r="K323" s="915"/>
      <c r="L323" s="915"/>
      <c r="M323" s="915"/>
      <c r="N323" s="915"/>
      <c r="O323" s="915"/>
      <c r="P323" s="915"/>
      <c r="Q323" s="916"/>
    </row>
    <row r="324" spans="1:17" ht="15" customHeight="1" x14ac:dyDescent="0.2">
      <c r="A324" s="914"/>
      <c r="B324" s="1254" t="s">
        <v>940</v>
      </c>
      <c r="C324" s="1262"/>
      <c r="D324" s="1262"/>
      <c r="E324" s="1262"/>
      <c r="F324" s="1262"/>
      <c r="G324" s="694"/>
      <c r="H324" s="915"/>
      <c r="I324" s="915"/>
      <c r="J324" s="915"/>
      <c r="K324" s="915"/>
      <c r="L324" s="915"/>
      <c r="M324" s="915"/>
      <c r="N324" s="915"/>
      <c r="O324" s="915"/>
      <c r="P324" s="915"/>
      <c r="Q324" s="916"/>
    </row>
    <row r="325" spans="1:17" ht="15" customHeight="1" x14ac:dyDescent="0.2">
      <c r="A325" s="914"/>
      <c r="B325" s="1255" t="s">
        <v>941</v>
      </c>
      <c r="C325" s="1263"/>
      <c r="D325" s="1263"/>
      <c r="E325" s="1263"/>
      <c r="F325" s="1263"/>
      <c r="G325" s="1226"/>
      <c r="H325" s="915"/>
      <c r="I325" s="915"/>
      <c r="J325" s="915"/>
      <c r="K325" s="915"/>
      <c r="L325" s="915"/>
      <c r="M325" s="915"/>
      <c r="N325" s="915"/>
      <c r="O325" s="915"/>
      <c r="P325" s="915"/>
      <c r="Q325" s="916"/>
    </row>
    <row r="326" spans="1:17" ht="15" customHeight="1" x14ac:dyDescent="0.2">
      <c r="A326" s="914"/>
      <c r="B326" s="1256" t="s">
        <v>1014</v>
      </c>
      <c r="C326" s="1262"/>
      <c r="D326" s="1262"/>
      <c r="E326" s="1262"/>
      <c r="F326" s="1262"/>
      <c r="G326" s="694"/>
      <c r="H326" s="915"/>
      <c r="I326" s="915"/>
      <c r="J326" s="915"/>
      <c r="K326" s="915"/>
      <c r="L326" s="915"/>
      <c r="M326" s="915"/>
      <c r="N326" s="915"/>
      <c r="O326" s="915"/>
      <c r="P326" s="915"/>
      <c r="Q326" s="916"/>
    </row>
    <row r="327" spans="1:17" ht="15" customHeight="1" x14ac:dyDescent="0.2">
      <c r="A327" s="914"/>
      <c r="B327" s="1256" t="s">
        <v>1015</v>
      </c>
      <c r="C327" s="1262"/>
      <c r="D327" s="1262"/>
      <c r="E327" s="1262"/>
      <c r="F327" s="1262"/>
      <c r="G327" s="694"/>
      <c r="H327" s="915"/>
      <c r="I327" s="915"/>
      <c r="J327" s="915"/>
      <c r="K327" s="915"/>
      <c r="L327" s="915"/>
      <c r="M327" s="915"/>
      <c r="N327" s="915"/>
      <c r="O327" s="915"/>
      <c r="P327" s="915"/>
      <c r="Q327" s="916"/>
    </row>
    <row r="328" spans="1:17" ht="15" customHeight="1" x14ac:dyDescent="0.2">
      <c r="A328" s="914"/>
      <c r="B328" s="1256" t="s">
        <v>976</v>
      </c>
      <c r="C328" s="1262"/>
      <c r="D328" s="1262"/>
      <c r="E328" s="1262"/>
      <c r="F328" s="1262"/>
      <c r="G328" s="694"/>
      <c r="H328" s="915"/>
      <c r="I328" s="915"/>
      <c r="J328" s="915"/>
      <c r="K328" s="915"/>
      <c r="L328" s="915"/>
      <c r="M328" s="915"/>
      <c r="N328" s="915"/>
      <c r="O328" s="915"/>
      <c r="P328" s="915"/>
      <c r="Q328" s="916"/>
    </row>
    <row r="329" spans="1:17" ht="15" customHeight="1" x14ac:dyDescent="0.2">
      <c r="A329" s="914"/>
      <c r="B329" s="1255" t="s">
        <v>942</v>
      </c>
      <c r="C329" s="1263"/>
      <c r="D329" s="1263"/>
      <c r="E329" s="1263"/>
      <c r="F329" s="1263"/>
      <c r="G329" s="1226"/>
      <c r="H329" s="915"/>
      <c r="I329" s="915"/>
      <c r="J329" s="915"/>
      <c r="K329" s="915"/>
      <c r="L329" s="915"/>
      <c r="M329" s="915"/>
      <c r="N329" s="915"/>
      <c r="O329" s="915"/>
      <c r="P329" s="915"/>
      <c r="Q329" s="916"/>
    </row>
    <row r="330" spans="1:17" ht="15" customHeight="1" x14ac:dyDescent="0.2">
      <c r="A330" s="914"/>
      <c r="B330" s="1256" t="s">
        <v>1014</v>
      </c>
      <c r="C330" s="1262"/>
      <c r="D330" s="1262"/>
      <c r="E330" s="1262"/>
      <c r="F330" s="1262"/>
      <c r="G330" s="694"/>
      <c r="H330" s="915"/>
      <c r="I330" s="915"/>
      <c r="J330" s="915"/>
      <c r="K330" s="915"/>
      <c r="L330" s="915"/>
      <c r="M330" s="915"/>
      <c r="N330" s="915"/>
      <c r="O330" s="915"/>
      <c r="P330" s="915"/>
      <c r="Q330" s="916"/>
    </row>
    <row r="331" spans="1:17" ht="15" customHeight="1" x14ac:dyDescent="0.2">
      <c r="A331" s="914"/>
      <c r="B331" s="1256" t="s">
        <v>1015</v>
      </c>
      <c r="C331" s="1262"/>
      <c r="D331" s="1262"/>
      <c r="E331" s="1262"/>
      <c r="F331" s="1262"/>
      <c r="G331" s="694"/>
      <c r="H331" s="915"/>
      <c r="I331" s="915"/>
      <c r="J331" s="915"/>
      <c r="K331" s="915"/>
      <c r="L331" s="915"/>
      <c r="M331" s="915"/>
      <c r="N331" s="915"/>
      <c r="O331" s="915"/>
      <c r="P331" s="915"/>
      <c r="Q331" s="916"/>
    </row>
    <row r="332" spans="1:17" ht="15" customHeight="1" x14ac:dyDescent="0.2">
      <c r="A332" s="914"/>
      <c r="B332" s="1233" t="s">
        <v>976</v>
      </c>
      <c r="C332" s="1298"/>
      <c r="D332" s="1298"/>
      <c r="E332" s="1298"/>
      <c r="F332" s="1298"/>
      <c r="G332" s="1299"/>
      <c r="H332" s="915"/>
      <c r="I332" s="915"/>
      <c r="J332" s="915"/>
      <c r="K332" s="915"/>
      <c r="L332" s="915"/>
      <c r="M332" s="915"/>
      <c r="N332" s="915"/>
      <c r="O332" s="915"/>
      <c r="P332" s="915"/>
      <c r="Q332" s="916"/>
    </row>
    <row r="333" spans="1:17" ht="15" customHeight="1" x14ac:dyDescent="0.2">
      <c r="A333" s="917"/>
      <c r="B333" s="47"/>
      <c r="C333" s="47"/>
      <c r="D333" s="47"/>
      <c r="E333" s="47"/>
      <c r="F333" s="47"/>
      <c r="G333" s="47"/>
      <c r="H333" s="47"/>
      <c r="I333" s="47"/>
      <c r="J333" s="47"/>
      <c r="K333" s="47"/>
      <c r="L333" s="47"/>
      <c r="M333" s="47"/>
      <c r="N333" s="47"/>
      <c r="O333" s="47"/>
      <c r="P333" s="47"/>
      <c r="Q333" s="918"/>
    </row>
  </sheetData>
  <mergeCells count="15">
    <mergeCell ref="C311:G311"/>
    <mergeCell ref="B311:B312"/>
    <mergeCell ref="C4:G4"/>
    <mergeCell ref="I4:K4"/>
    <mergeCell ref="M4:P4"/>
    <mergeCell ref="B4:B5"/>
    <mergeCell ref="B59:B60"/>
    <mergeCell ref="C59:G59"/>
    <mergeCell ref="I59:K59"/>
    <mergeCell ref="M59:P59"/>
    <mergeCell ref="B286:B287"/>
    <mergeCell ref="C286:G286"/>
    <mergeCell ref="I286:K286"/>
    <mergeCell ref="M286:P286"/>
    <mergeCell ref="M265:O265"/>
  </mergeCells>
  <phoneticPr fontId="8" type="noConversion"/>
  <conditionalFormatting sqref="G7 C10 C12 C17:C19 D19:G19 C24:G24 C29:G29 C30:C31 C36:C38 D38:G38 C40 C53 C64:C66 D66:G66 C262 C306:G306">
    <cfRule type="cellIs" dxfId="1330" priority="1" stopIfTrue="1" operator="equal">
      <formula>"Fail"</formula>
    </cfRule>
    <cfRule type="cellIs" dxfId="1329" priority="2" stopIfTrue="1" operator="equal">
      <formula>"Pass"</formula>
    </cfRule>
  </conditionalFormatting>
  <printOptions headings="1"/>
  <pageMargins left="0.78740157480314965" right="0.78740157480314965" top="0.98425196850393704" bottom="0.98425196850393704" header="0.51181102362204722" footer="0.51181102362204722"/>
  <pageSetup paperSize="9" scale="50" fitToHeight="4" orientation="landscape" r:id="rId1"/>
  <headerFooter alignWithMargins="0">
    <oddHeader>&amp;L&amp;"Arial,Bold"&amp;14Basel Committee on Banking Supervision
Basel III monitoring template&amp;C&amp;14&amp;F
&amp;A&amp;R&amp;"Arial,Bold"&amp;14Confidential when completed</oddHeader>
    <oddFooter>&amp;L&amp;14&amp;D  &amp;T&amp;R&amp;14Page &amp;P of &amp;N</oddFooter>
  </headerFooter>
  <rowBreaks count="7" manualBreakCount="7">
    <brk id="41" max="16" man="1"/>
    <brk id="76" max="16" man="1"/>
    <brk id="126" max="16" man="1"/>
    <brk id="176" max="16" man="1"/>
    <brk id="226" max="16" man="1"/>
    <brk id="279" max="16" man="1"/>
    <brk id="307" max="16" man="1"/>
  </rowBreaks>
  <ignoredErrors>
    <ignoredError sqref="M288:P293 C306:G306 M305:P305 I266:P267 C61:P61 C6:O8 C33:O38 P34:P54 C258:P260 C257:N257 B53:C53 D52:O52 C40:O50 D39:O39 B262:P262 D261:P261 C10:O31 D9:O9 D51:O51 C63:P256 D62:P62 I278:P278 I272:P272 J268:P268 J269:P269 J270:P270 J271:P271 J277:P277 J273:P273 J274:P274 J275:P275 J276:P276 D53:O53" emptyCellReference="1"/>
    <ignoredError sqref="M294:P304 O257" formula="1" emptyCellReferenc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J40"/>
  <sheetViews>
    <sheetView zoomScale="75" zoomScaleNormal="75" workbookViewId="0">
      <pane ySplit="1" topLeftCell="A2" activePane="bottomLeft" state="frozen"/>
      <selection pane="bottomLeft"/>
    </sheetView>
  </sheetViews>
  <sheetFormatPr defaultColWidth="9.140625" defaultRowHeight="15" customHeight="1" x14ac:dyDescent="0.2"/>
  <cols>
    <col min="1" max="1" width="1.7109375" style="207" customWidth="1"/>
    <col min="2" max="2" width="50.7109375" style="207" customWidth="1"/>
    <col min="3" max="3" width="16.7109375" style="1074" customWidth="1"/>
    <col min="4" max="9" width="16.7109375" style="207" customWidth="1"/>
    <col min="10" max="10" width="1.7109375" style="207" customWidth="1"/>
    <col min="11" max="16384" width="9.140625" style="1074"/>
  </cols>
  <sheetData>
    <row r="1" spans="1:10" s="1052" customFormat="1" ht="30" customHeight="1" x14ac:dyDescent="0.4">
      <c r="A1" s="1055" t="s">
        <v>1099</v>
      </c>
      <c r="B1" s="44"/>
      <c r="C1" s="44"/>
      <c r="D1" s="44"/>
      <c r="E1" s="44"/>
      <c r="F1" s="44"/>
      <c r="G1" s="44"/>
      <c r="H1" s="44"/>
      <c r="I1" s="44"/>
      <c r="J1" s="169"/>
    </row>
    <row r="2" spans="1:10" s="207" customFormat="1" ht="30" customHeight="1" x14ac:dyDescent="0.25">
      <c r="A2" s="1377" t="s">
        <v>1108</v>
      </c>
      <c r="B2" s="18"/>
      <c r="C2" s="16"/>
      <c r="D2" s="203"/>
      <c r="E2" s="203"/>
      <c r="F2" s="203"/>
      <c r="G2" s="203"/>
      <c r="H2" s="203"/>
      <c r="I2" s="203"/>
      <c r="J2" s="32"/>
    </row>
    <row r="3" spans="1:10" ht="15" customHeight="1" x14ac:dyDescent="0.2">
      <c r="A3" s="1076"/>
      <c r="B3" s="1074"/>
      <c r="D3" s="1074"/>
      <c r="E3" s="1074"/>
      <c r="F3" s="1074"/>
      <c r="G3" s="1074"/>
      <c r="H3" s="1074"/>
      <c r="I3" s="1074"/>
      <c r="J3" s="1075"/>
    </row>
    <row r="4" spans="1:10" ht="15" customHeight="1" x14ac:dyDescent="0.2">
      <c r="A4" s="1076"/>
      <c r="B4" s="1358"/>
      <c r="C4" s="1694" t="s">
        <v>1109</v>
      </c>
      <c r="D4" s="1695"/>
      <c r="E4" s="1508" t="s">
        <v>1110</v>
      </c>
      <c r="F4" s="1074"/>
      <c r="G4" s="1074"/>
      <c r="H4" s="1074"/>
      <c r="I4" s="1074"/>
      <c r="J4" s="1075"/>
    </row>
    <row r="5" spans="1:10" ht="30" customHeight="1" x14ac:dyDescent="0.2">
      <c r="A5" s="1076"/>
      <c r="B5" s="1360"/>
      <c r="C5" s="1235" t="s">
        <v>1119</v>
      </c>
      <c r="D5" s="1355" t="s">
        <v>1100</v>
      </c>
      <c r="E5" s="1356" t="s">
        <v>178</v>
      </c>
      <c r="F5" s="1074"/>
      <c r="G5" s="1074"/>
      <c r="H5" s="1074"/>
      <c r="I5" s="1074"/>
      <c r="J5" s="1075"/>
    </row>
    <row r="6" spans="1:10" ht="15" customHeight="1" x14ac:dyDescent="0.2">
      <c r="A6" s="1076"/>
      <c r="B6" s="1364" t="s">
        <v>1103</v>
      </c>
      <c r="C6" s="1065"/>
      <c r="D6" s="1065"/>
      <c r="E6" s="1065"/>
      <c r="F6" s="1074"/>
      <c r="G6" s="1074"/>
      <c r="H6" s="1074"/>
      <c r="I6" s="1074"/>
      <c r="J6" s="1075"/>
    </row>
    <row r="7" spans="1:10" ht="15" customHeight="1" x14ac:dyDescent="0.2">
      <c r="A7" s="1076"/>
      <c r="B7" s="1362" t="s">
        <v>1104</v>
      </c>
      <c r="C7" s="1065"/>
      <c r="D7" s="1065"/>
      <c r="E7" s="1065"/>
      <c r="F7" s="1074"/>
      <c r="G7" s="1074"/>
      <c r="H7" s="1074"/>
      <c r="I7" s="1074"/>
      <c r="J7" s="1075"/>
    </row>
    <row r="8" spans="1:10" ht="15" customHeight="1" x14ac:dyDescent="0.2">
      <c r="A8" s="1076"/>
      <c r="B8" s="1362" t="s">
        <v>1105</v>
      </c>
      <c r="C8" s="1065"/>
      <c r="D8" s="1065"/>
      <c r="E8" s="1065"/>
      <c r="F8" s="1074"/>
      <c r="G8" s="1074"/>
      <c r="H8" s="1074"/>
      <c r="I8" s="1074"/>
      <c r="J8" s="1075"/>
    </row>
    <row r="9" spans="1:10" ht="15" customHeight="1" x14ac:dyDescent="0.2">
      <c r="A9" s="1076"/>
      <c r="B9" s="1362" t="s">
        <v>1106</v>
      </c>
      <c r="C9" s="1065"/>
      <c r="D9" s="1065"/>
      <c r="E9" s="1065"/>
      <c r="F9" s="1074"/>
      <c r="G9" s="1074"/>
      <c r="H9" s="1074"/>
      <c r="I9" s="1074"/>
      <c r="J9" s="1075"/>
    </row>
    <row r="10" spans="1:10" ht="15" customHeight="1" x14ac:dyDescent="0.2">
      <c r="A10" s="1076"/>
      <c r="B10" s="1366" t="s">
        <v>1107</v>
      </c>
      <c r="C10" s="1342"/>
      <c r="D10" s="1342"/>
      <c r="E10" s="1342"/>
      <c r="F10" s="1074"/>
      <c r="G10" s="1074"/>
      <c r="H10" s="1074"/>
      <c r="I10" s="1074"/>
      <c r="J10" s="1075"/>
    </row>
    <row r="11" spans="1:10" ht="15" customHeight="1" x14ac:dyDescent="0.2">
      <c r="A11" s="1076"/>
      <c r="B11" s="1367" t="str">
        <f>"Check: sum of rows " &amp; ROW(D6) &amp; " to " &amp; ROW(D9) &amp; " should equal row " &amp; ROW(D10)</f>
        <v>Check: sum of rows 6 to 9 should equal row 10</v>
      </c>
      <c r="C11" s="1222"/>
      <c r="D11" s="962" t="str">
        <f>IF(SUM(D6:D9)=D10,"Pass","Fail")</f>
        <v>Pass</v>
      </c>
      <c r="E11" s="962" t="str">
        <f>IF(SUM(E6:E9)=E10,"Pass","Fail")</f>
        <v>Pass</v>
      </c>
      <c r="F11" s="1074"/>
      <c r="G11" s="1074"/>
      <c r="H11" s="1074"/>
      <c r="I11" s="1074"/>
      <c r="J11" s="1075"/>
    </row>
    <row r="12" spans="1:10" ht="15" customHeight="1" x14ac:dyDescent="0.2">
      <c r="A12" s="1076"/>
      <c r="B12" s="1074"/>
      <c r="D12" s="1074"/>
      <c r="E12" s="1074"/>
      <c r="F12" s="1074"/>
      <c r="G12" s="1074"/>
      <c r="H12" s="1074"/>
      <c r="I12" s="1074"/>
      <c r="J12" s="1075"/>
    </row>
    <row r="13" spans="1:10" s="207" customFormat="1" ht="30" customHeight="1" x14ac:dyDescent="0.25">
      <c r="A13" s="1377" t="s">
        <v>1111</v>
      </c>
      <c r="B13" s="18"/>
      <c r="C13" s="16"/>
      <c r="D13" s="203"/>
      <c r="E13" s="203"/>
      <c r="F13" s="203"/>
      <c r="G13" s="203"/>
      <c r="H13" s="203"/>
      <c r="I13" s="203"/>
      <c r="J13" s="32"/>
    </row>
    <row r="14" spans="1:10" ht="15" customHeight="1" x14ac:dyDescent="0.2">
      <c r="A14" s="1076"/>
      <c r="B14" s="1074"/>
      <c r="D14" s="1074"/>
      <c r="E14" s="1074"/>
      <c r="F14" s="1074"/>
      <c r="G14" s="1074"/>
      <c r="H14" s="1074"/>
      <c r="I14" s="1074"/>
      <c r="J14" s="1075"/>
    </row>
    <row r="15" spans="1:10" ht="15" customHeight="1" x14ac:dyDescent="0.2">
      <c r="A15" s="1076"/>
      <c r="B15" s="1358"/>
      <c r="C15" s="1694" t="s">
        <v>1109</v>
      </c>
      <c r="D15" s="1696"/>
      <c r="E15" s="1696"/>
      <c r="F15" s="1695"/>
      <c r="G15" s="1694" t="s">
        <v>1110</v>
      </c>
      <c r="H15" s="1696"/>
      <c r="I15" s="1696"/>
      <c r="J15" s="1075"/>
    </row>
    <row r="16" spans="1:10" ht="15" customHeight="1" x14ac:dyDescent="0.2">
      <c r="A16" s="1076"/>
      <c r="B16" s="1359"/>
      <c r="C16" s="1694" t="s">
        <v>1112</v>
      </c>
      <c r="D16" s="1695"/>
      <c r="E16" s="1694" t="s">
        <v>1101</v>
      </c>
      <c r="F16" s="1695"/>
      <c r="G16" s="1694" t="s">
        <v>1120</v>
      </c>
      <c r="H16" s="1695"/>
      <c r="I16" s="1508" t="s">
        <v>1101</v>
      </c>
      <c r="J16" s="1075"/>
    </row>
    <row r="17" spans="1:10" ht="30" customHeight="1" x14ac:dyDescent="0.2">
      <c r="A17" s="1076"/>
      <c r="B17" s="1360"/>
      <c r="C17" s="1235" t="s">
        <v>1119</v>
      </c>
      <c r="D17" s="1357" t="s">
        <v>1100</v>
      </c>
      <c r="E17" s="1235" t="s">
        <v>1119</v>
      </c>
      <c r="F17" s="1357" t="s">
        <v>1100</v>
      </c>
      <c r="G17" s="1357" t="s">
        <v>178</v>
      </c>
      <c r="H17" s="1357" t="s">
        <v>1102</v>
      </c>
      <c r="I17" s="1356" t="s">
        <v>178</v>
      </c>
      <c r="J17" s="1075"/>
    </row>
    <row r="18" spans="1:10" ht="15" customHeight="1" x14ac:dyDescent="0.2">
      <c r="A18" s="1076"/>
      <c r="B18" s="1361" t="s">
        <v>1103</v>
      </c>
      <c r="C18" s="1065"/>
      <c r="D18" s="1065"/>
      <c r="E18" s="1065"/>
      <c r="F18" s="1065"/>
      <c r="G18" s="1065"/>
      <c r="H18" s="1533"/>
      <c r="I18" s="1065"/>
      <c r="J18" s="1075"/>
    </row>
    <row r="19" spans="1:10" ht="15" customHeight="1" x14ac:dyDescent="0.2">
      <c r="A19" s="1076"/>
      <c r="B19" s="1362" t="s">
        <v>1104</v>
      </c>
      <c r="C19" s="1065"/>
      <c r="D19" s="1065"/>
      <c r="E19" s="1065"/>
      <c r="F19" s="1065"/>
      <c r="G19" s="1065"/>
      <c r="H19" s="908"/>
      <c r="I19" s="1065"/>
      <c r="J19" s="1075"/>
    </row>
    <row r="20" spans="1:10" ht="15" customHeight="1" x14ac:dyDescent="0.2">
      <c r="A20" s="1076"/>
      <c r="B20" s="1362" t="s">
        <v>1105</v>
      </c>
      <c r="C20" s="1065"/>
      <c r="D20" s="1065"/>
      <c r="E20" s="1065"/>
      <c r="F20" s="1065"/>
      <c r="G20" s="1065"/>
      <c r="H20" s="908"/>
      <c r="I20" s="1065"/>
      <c r="J20" s="1075"/>
    </row>
    <row r="21" spans="1:10" ht="15" customHeight="1" x14ac:dyDescent="0.2">
      <c r="A21" s="1076"/>
      <c r="B21" s="1362" t="s">
        <v>1106</v>
      </c>
      <c r="C21" s="1260"/>
      <c r="D21" s="1260"/>
      <c r="E21" s="1065"/>
      <c r="F21" s="1065"/>
      <c r="G21" s="1260"/>
      <c r="H21" s="1260"/>
      <c r="I21" s="1065"/>
      <c r="J21" s="1075"/>
    </row>
    <row r="22" spans="1:10" ht="15" customHeight="1" x14ac:dyDescent="0.2">
      <c r="A22" s="1076"/>
      <c r="B22" s="1366" t="s">
        <v>1107</v>
      </c>
      <c r="C22" s="1342"/>
      <c r="D22" s="1342"/>
      <c r="E22" s="1342"/>
      <c r="F22" s="1342"/>
      <c r="G22" s="1342"/>
      <c r="H22" s="633"/>
      <c r="I22" s="1342"/>
      <c r="J22" s="1075"/>
    </row>
    <row r="23" spans="1:10" ht="15" customHeight="1" x14ac:dyDescent="0.2">
      <c r="A23" s="1076"/>
      <c r="B23" s="1367" t="str">
        <f>"Check: sum of rows " &amp; ROW(D18) &amp; " to " &amp; ROW(D21) &amp; " should equal row " &amp; ROW(D22)</f>
        <v>Check: sum of rows 18 to 21 should equal row 22</v>
      </c>
      <c r="C23" s="1222"/>
      <c r="D23" s="1222"/>
      <c r="E23" s="1222"/>
      <c r="F23" s="962" t="str">
        <f>IF(SUM(F18:F21)=F22,"Pass","Fail")</f>
        <v>Pass</v>
      </c>
      <c r="G23" s="962" t="str">
        <f>IF(SUM(G18:G21)=G22,"Pass","Fail")</f>
        <v>Pass</v>
      </c>
      <c r="H23" s="1222"/>
      <c r="I23" s="962" t="str">
        <f>IF(SUM(I18:I21)=I22,"Pass","Fail")</f>
        <v>Pass</v>
      </c>
      <c r="J23" s="1075"/>
    </row>
    <row r="24" spans="1:10" ht="15" customHeight="1" x14ac:dyDescent="0.2">
      <c r="A24" s="1076"/>
      <c r="B24" s="1074"/>
      <c r="D24" s="1074"/>
      <c r="E24" s="1074"/>
      <c r="F24" s="1074"/>
      <c r="G24" s="1074"/>
      <c r="H24" s="1074"/>
      <c r="I24" s="1074"/>
      <c r="J24" s="1075"/>
    </row>
    <row r="25" spans="1:10" s="207" customFormat="1" ht="30" customHeight="1" x14ac:dyDescent="0.25">
      <c r="A25" s="1377" t="s">
        <v>1455</v>
      </c>
      <c r="B25" s="18"/>
      <c r="C25" s="16"/>
      <c r="D25" s="203"/>
      <c r="E25" s="203"/>
      <c r="F25" s="203"/>
      <c r="G25" s="203"/>
      <c r="H25" s="203"/>
      <c r="I25" s="203"/>
      <c r="J25" s="32"/>
    </row>
    <row r="26" spans="1:10" ht="15" customHeight="1" x14ac:dyDescent="0.2">
      <c r="A26" s="1076"/>
      <c r="B26" s="1074"/>
      <c r="D26" s="1074"/>
      <c r="E26" s="1074"/>
      <c r="F26" s="1074"/>
      <c r="G26" s="1074"/>
      <c r="H26" s="1074"/>
      <c r="I26" s="1074"/>
      <c r="J26" s="1075"/>
    </row>
    <row r="27" spans="1:10" ht="15" customHeight="1" x14ac:dyDescent="0.2">
      <c r="A27" s="1076"/>
      <c r="B27" s="1693" t="s">
        <v>1461</v>
      </c>
      <c r="C27" s="1697" t="s">
        <v>1456</v>
      </c>
      <c r="D27" s="1697"/>
      <c r="E27" s="1697"/>
      <c r="F27" s="1697" t="s">
        <v>1457</v>
      </c>
      <c r="G27" s="1697"/>
      <c r="H27" s="1698"/>
      <c r="I27" s="1074"/>
      <c r="J27" s="1075"/>
    </row>
    <row r="28" spans="1:10" ht="15" customHeight="1" x14ac:dyDescent="0.2">
      <c r="A28" s="1076"/>
      <c r="B28" s="1693"/>
      <c r="C28" s="1530" t="s">
        <v>1458</v>
      </c>
      <c r="D28" s="1530" t="s">
        <v>1459</v>
      </c>
      <c r="E28" s="1530" t="s">
        <v>1460</v>
      </c>
      <c r="F28" s="1530" t="s">
        <v>1458</v>
      </c>
      <c r="G28" s="1530" t="s">
        <v>1459</v>
      </c>
      <c r="H28" s="1531" t="s">
        <v>1460</v>
      </c>
      <c r="I28" s="1074"/>
      <c r="J28" s="1075"/>
    </row>
    <row r="29" spans="1:10" ht="15" customHeight="1" x14ac:dyDescent="0.2">
      <c r="A29" s="1076"/>
      <c r="B29" s="1361" t="s">
        <v>1462</v>
      </c>
      <c r="C29" s="1066"/>
      <c r="D29" s="1066"/>
      <c r="E29" s="1066"/>
      <c r="F29" s="1066"/>
      <c r="G29" s="1066"/>
      <c r="H29" s="1066"/>
      <c r="I29" s="1074"/>
      <c r="J29" s="1075"/>
    </row>
    <row r="30" spans="1:10" ht="15" customHeight="1" x14ac:dyDescent="0.2">
      <c r="A30" s="1076"/>
      <c r="B30" s="1362" t="s">
        <v>1463</v>
      </c>
      <c r="C30" s="1065"/>
      <c r="D30" s="1065"/>
      <c r="E30" s="1065"/>
      <c r="F30" s="1065"/>
      <c r="G30" s="1065"/>
      <c r="H30" s="1065"/>
      <c r="I30" s="1074"/>
      <c r="J30" s="1075"/>
    </row>
    <row r="31" spans="1:10" ht="15" customHeight="1" x14ac:dyDescent="0.2">
      <c r="A31" s="1076"/>
      <c r="B31" s="1362" t="s">
        <v>1464</v>
      </c>
      <c r="C31" s="1065"/>
      <c r="D31" s="1065"/>
      <c r="E31" s="1065"/>
      <c r="F31" s="1065"/>
      <c r="G31" s="1065"/>
      <c r="H31" s="1065"/>
      <c r="I31" s="1074"/>
      <c r="J31" s="1075"/>
    </row>
    <row r="32" spans="1:10" ht="15" customHeight="1" x14ac:dyDescent="0.2">
      <c r="A32" s="1076"/>
      <c r="B32" s="1362" t="s">
        <v>1465</v>
      </c>
      <c r="C32" s="1065"/>
      <c r="D32" s="1065"/>
      <c r="E32" s="1065"/>
      <c r="F32" s="1065"/>
      <c r="G32" s="1065"/>
      <c r="H32" s="1065"/>
      <c r="I32" s="1074"/>
      <c r="J32" s="1075"/>
    </row>
    <row r="33" spans="1:10" ht="15" customHeight="1" x14ac:dyDescent="0.2">
      <c r="A33" s="1076"/>
      <c r="B33" s="1362" t="s">
        <v>1466</v>
      </c>
      <c r="C33" s="1065"/>
      <c r="D33" s="1065"/>
      <c r="E33" s="1065"/>
      <c r="F33" s="1065"/>
      <c r="G33" s="1065"/>
      <c r="H33" s="1065"/>
      <c r="I33" s="1074"/>
      <c r="J33" s="1075"/>
    </row>
    <row r="34" spans="1:10" ht="15" customHeight="1" x14ac:dyDescent="0.2">
      <c r="A34" s="1076"/>
      <c r="B34" s="1363" t="s">
        <v>1467</v>
      </c>
      <c r="C34" s="1067"/>
      <c r="D34" s="1067"/>
      <c r="E34" s="1067"/>
      <c r="F34" s="1067"/>
      <c r="G34" s="1067"/>
      <c r="H34" s="1067"/>
      <c r="I34" s="1074"/>
      <c r="J34" s="1075"/>
    </row>
    <row r="35" spans="1:10" ht="15" customHeight="1" x14ac:dyDescent="0.2">
      <c r="A35" s="1076"/>
      <c r="B35" s="1074"/>
      <c r="D35" s="1074"/>
      <c r="E35" s="1074"/>
      <c r="F35" s="1074"/>
      <c r="G35" s="1074"/>
      <c r="H35" s="1074"/>
      <c r="I35" s="1074"/>
      <c r="J35" s="1075"/>
    </row>
    <row r="36" spans="1:10" s="207" customFormat="1" ht="30" customHeight="1" x14ac:dyDescent="0.25">
      <c r="A36" s="1377" t="s">
        <v>1468</v>
      </c>
      <c r="B36" s="18"/>
      <c r="C36" s="16"/>
      <c r="D36" s="203"/>
      <c r="E36" s="203"/>
      <c r="F36" s="203"/>
      <c r="G36" s="203"/>
      <c r="H36" s="203"/>
      <c r="I36" s="203"/>
      <c r="J36" s="32"/>
    </row>
    <row r="37" spans="1:10" ht="15" customHeight="1" x14ac:dyDescent="0.2">
      <c r="A37" s="1076"/>
      <c r="B37" s="1074"/>
      <c r="D37" s="1074"/>
      <c r="E37" s="1074"/>
      <c r="F37" s="1074"/>
      <c r="G37" s="1074"/>
      <c r="H37" s="1074"/>
      <c r="I37" s="1074"/>
      <c r="J37" s="1075"/>
    </row>
    <row r="38" spans="1:10" ht="30" customHeight="1" x14ac:dyDescent="0.2">
      <c r="A38" s="1076"/>
      <c r="B38" s="1523"/>
      <c r="C38" s="1508" t="s">
        <v>1470</v>
      </c>
      <c r="D38" s="1074"/>
      <c r="E38" s="1074"/>
      <c r="F38" s="1074"/>
      <c r="G38" s="1074"/>
      <c r="H38" s="1074"/>
      <c r="I38" s="1074"/>
      <c r="J38" s="1075"/>
    </row>
    <row r="39" spans="1:10" ht="15" customHeight="1" x14ac:dyDescent="0.2">
      <c r="A39" s="1076"/>
      <c r="B39" s="1523" t="s">
        <v>1469</v>
      </c>
      <c r="C39" s="1532"/>
      <c r="D39" s="1074"/>
      <c r="E39" s="1074"/>
      <c r="F39" s="1074"/>
      <c r="G39" s="1074"/>
      <c r="H39" s="1074"/>
      <c r="I39" s="1074"/>
      <c r="J39" s="1075"/>
    </row>
    <row r="40" spans="1:10" ht="15" customHeight="1" x14ac:dyDescent="0.2">
      <c r="A40" s="214"/>
      <c r="B40" s="1070"/>
      <c r="C40" s="1070"/>
      <c r="D40" s="1070"/>
      <c r="E40" s="1070"/>
      <c r="F40" s="1070"/>
      <c r="G40" s="1070"/>
      <c r="H40" s="1070"/>
      <c r="I40" s="1070"/>
      <c r="J40" s="1071"/>
    </row>
  </sheetData>
  <mergeCells count="9">
    <mergeCell ref="B27:B28"/>
    <mergeCell ref="C4:D4"/>
    <mergeCell ref="C15:F15"/>
    <mergeCell ref="G15:I15"/>
    <mergeCell ref="C16:D16"/>
    <mergeCell ref="E16:F16"/>
    <mergeCell ref="G16:H16"/>
    <mergeCell ref="C27:E27"/>
    <mergeCell ref="F27:H27"/>
  </mergeCells>
  <conditionalFormatting sqref="D11">
    <cfRule type="cellIs" dxfId="1328" priority="13" stopIfTrue="1" operator="equal">
      <formula>"Fail"</formula>
    </cfRule>
    <cfRule type="cellIs" dxfId="1327" priority="14" stopIfTrue="1" operator="equal">
      <formula>"Pass"</formula>
    </cfRule>
  </conditionalFormatting>
  <conditionalFormatting sqref="E11">
    <cfRule type="cellIs" dxfId="1326" priority="11" stopIfTrue="1" operator="equal">
      <formula>"Fail"</formula>
    </cfRule>
    <cfRule type="cellIs" dxfId="1325" priority="12" stopIfTrue="1" operator="equal">
      <formula>"Pass"</formula>
    </cfRule>
  </conditionalFormatting>
  <conditionalFormatting sqref="F23">
    <cfRule type="cellIs" dxfId="1324" priority="5" stopIfTrue="1" operator="equal">
      <formula>"Fail"</formula>
    </cfRule>
    <cfRule type="cellIs" dxfId="1323" priority="6" stopIfTrue="1" operator="equal">
      <formula>"Pass"</formula>
    </cfRule>
  </conditionalFormatting>
  <conditionalFormatting sqref="G23">
    <cfRule type="cellIs" dxfId="1322" priority="3" stopIfTrue="1" operator="equal">
      <formula>"Fail"</formula>
    </cfRule>
    <cfRule type="cellIs" dxfId="1321" priority="4" stopIfTrue="1" operator="equal">
      <formula>"Pass"</formula>
    </cfRule>
  </conditionalFormatting>
  <conditionalFormatting sqref="I23">
    <cfRule type="cellIs" dxfId="1320" priority="1" stopIfTrue="1" operator="equal">
      <formula>"Fail"</formula>
    </cfRule>
    <cfRule type="cellIs" dxfId="1319" priority="2" stopIfTrue="1" operator="equal">
      <formula>"Pass"</formula>
    </cfRule>
  </conditionalFormatting>
  <dataValidations count="2">
    <dataValidation type="list" allowBlank="1" showInputMessage="1" showErrorMessage="1" sqref="H19:H20">
      <formula1>CreditRisk</formula1>
    </dataValidation>
    <dataValidation type="list" allowBlank="1" showInputMessage="1" showErrorMessage="1" sqref="H18">
      <formula1>CreditRiskEquity</formula1>
    </dataValidation>
  </dataValidations>
  <printOptions headings="1"/>
  <pageMargins left="0.70866141732283472" right="0.70866141732283472" top="0.74803149606299213" bottom="0.74803149606299213" header="0.31496062992125984" footer="0.31496062992125984"/>
  <pageSetup paperSize="9" scale="50" pageOrder="overThenDown" orientation="landscape" r:id="rId1"/>
  <headerFooter>
    <oddHeader>&amp;L&amp;"Arial,Bold"&amp;14Basel Committee on Banking Supervision
Basel III monitoring template&amp;C&amp;14&amp;F
&amp;A&amp;R&amp;"Arial,Bold"&amp;14Confidential when completed</oddHeader>
    <oddFooter>&amp;L&amp;14&amp;D  &amp;T&amp;R&amp;14Page &amp;P of &amp;N</oddFooter>
  </headerFooter>
  <ignoredErrors>
    <ignoredError sqref="C11:I23" emptyCellReferenc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BK313"/>
  <sheetViews>
    <sheetView zoomScale="75" zoomScaleNormal="75" zoomScaleSheetLayoutView="75" workbookViewId="0">
      <pane xSplit="5" ySplit="1" topLeftCell="F2" activePane="bottomRight" state="frozen"/>
      <selection pane="topRight"/>
      <selection pane="bottomLeft"/>
      <selection pane="bottomRight"/>
    </sheetView>
  </sheetViews>
  <sheetFormatPr defaultColWidth="9.140625" defaultRowHeight="15" customHeight="1" x14ac:dyDescent="0.2"/>
  <cols>
    <col min="1" max="1" width="1.7109375" style="207" customWidth="1"/>
    <col min="2" max="2" width="8.7109375" style="207" customWidth="1"/>
    <col min="3" max="4" width="12.7109375" style="1074" customWidth="1"/>
    <col min="5" max="5" width="24.7109375" style="1074" customWidth="1"/>
    <col min="6" max="6" width="16.7109375" style="1074" customWidth="1"/>
    <col min="7" max="10" width="16.7109375" style="207" customWidth="1"/>
    <col min="11" max="62" width="16.7109375" style="1074" customWidth="1"/>
    <col min="63" max="63" width="1.7109375" style="1074" customWidth="1"/>
    <col min="64" max="16384" width="9.140625" style="1074"/>
  </cols>
  <sheetData>
    <row r="1" spans="1:63" s="1052" customFormat="1" ht="30" customHeight="1" x14ac:dyDescent="0.4">
      <c r="A1" s="1440" t="s">
        <v>1329</v>
      </c>
      <c r="B1" s="1441"/>
      <c r="C1" s="1441"/>
      <c r="D1" s="1441"/>
      <c r="E1" s="1441"/>
      <c r="F1" s="1441"/>
      <c r="G1" s="1441"/>
      <c r="H1" s="1441"/>
      <c r="I1" s="1441"/>
      <c r="J1" s="1441"/>
      <c r="K1" s="1453"/>
      <c r="L1" s="1453"/>
      <c r="M1" s="1453"/>
      <c r="N1" s="1453"/>
      <c r="O1" s="1453"/>
      <c r="P1" s="1453"/>
      <c r="Q1" s="1453"/>
      <c r="R1" s="1453"/>
      <c r="S1" s="1453"/>
      <c r="T1" s="1453"/>
      <c r="U1" s="1453"/>
      <c r="V1" s="1453"/>
      <c r="W1" s="1453"/>
      <c r="X1" s="1453"/>
      <c r="Y1" s="1453"/>
      <c r="Z1" s="1453"/>
      <c r="AA1" s="1453"/>
      <c r="AB1" s="1453"/>
      <c r="AC1" s="1453"/>
      <c r="AD1" s="1453"/>
      <c r="AE1" s="1453"/>
      <c r="AF1" s="1453"/>
      <c r="AG1" s="1453"/>
      <c r="AH1" s="1453"/>
      <c r="AI1" s="1453"/>
      <c r="AJ1" s="1453"/>
      <c r="AK1" s="1453"/>
      <c r="AL1" s="1453"/>
      <c r="AM1" s="1453"/>
      <c r="AN1" s="1453"/>
      <c r="AO1" s="1453"/>
      <c r="AP1" s="1453"/>
      <c r="AQ1" s="1453"/>
      <c r="AR1" s="1453"/>
      <c r="AS1" s="1453"/>
      <c r="AT1" s="1453"/>
      <c r="AU1" s="1453"/>
      <c r="AV1" s="1453"/>
      <c r="AW1" s="1453"/>
      <c r="AX1" s="1453"/>
      <c r="AY1" s="1453"/>
      <c r="AZ1" s="1453"/>
      <c r="BA1" s="1453"/>
      <c r="BB1" s="1453"/>
      <c r="BC1" s="1453"/>
      <c r="BD1" s="1453"/>
      <c r="BE1" s="1453"/>
      <c r="BF1" s="1453"/>
      <c r="BG1" s="1453"/>
      <c r="BH1" s="1453"/>
      <c r="BI1" s="1453"/>
      <c r="BJ1" s="1453"/>
      <c r="BK1" s="1454"/>
    </row>
    <row r="2" spans="1:63" s="207" customFormat="1" ht="30" customHeight="1" x14ac:dyDescent="0.25">
      <c r="A2" s="1377" t="s">
        <v>1213</v>
      </c>
      <c r="B2" s="18"/>
      <c r="C2" s="16"/>
      <c r="D2" s="16"/>
      <c r="E2" s="16"/>
      <c r="F2" s="16"/>
      <c r="G2" s="203"/>
      <c r="H2" s="203"/>
      <c r="I2" s="203"/>
      <c r="J2" s="203"/>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0"/>
      <c r="AT2" s="180"/>
      <c r="AU2" s="180"/>
      <c r="AV2" s="180"/>
      <c r="AW2" s="180"/>
      <c r="AX2" s="180"/>
      <c r="AY2" s="180"/>
      <c r="AZ2" s="180"/>
      <c r="BA2" s="180"/>
      <c r="BB2" s="180"/>
      <c r="BC2" s="180"/>
      <c r="BD2" s="180"/>
      <c r="BE2" s="180"/>
      <c r="BF2" s="180"/>
      <c r="BG2" s="180"/>
      <c r="BH2" s="180"/>
      <c r="BI2" s="180"/>
      <c r="BJ2" s="180"/>
      <c r="BK2" s="181"/>
    </row>
    <row r="3" spans="1:63" s="1073" customFormat="1" ht="15" customHeight="1" x14ac:dyDescent="0.25">
      <c r="A3" s="1053"/>
      <c r="B3" s="46"/>
      <c r="C3" s="46"/>
      <c r="D3" s="46"/>
      <c r="E3" s="46"/>
      <c r="F3" s="46"/>
      <c r="G3" s="46"/>
      <c r="H3" s="46"/>
      <c r="I3" s="46"/>
      <c r="J3" s="46"/>
      <c r="BK3" s="1072"/>
    </row>
    <row r="4" spans="1:63" s="1168" customFormat="1" ht="15" customHeight="1" x14ac:dyDescent="0.2">
      <c r="A4" s="74"/>
      <c r="B4" s="1788" t="s">
        <v>1214</v>
      </c>
      <c r="C4" s="1788"/>
      <c r="D4" s="1788"/>
      <c r="E4" s="1789"/>
      <c r="F4" s="1628" t="s">
        <v>1215</v>
      </c>
      <c r="G4" s="1743" t="s">
        <v>1216</v>
      </c>
      <c r="H4" s="1727" t="s">
        <v>1417</v>
      </c>
      <c r="I4" s="1722"/>
      <c r="J4" s="1722"/>
      <c r="K4" s="1722"/>
      <c r="L4" s="1722"/>
      <c r="M4" s="1722"/>
      <c r="N4" s="1722"/>
      <c r="O4" s="1722"/>
      <c r="P4" s="1722"/>
      <c r="Q4" s="1722"/>
      <c r="R4" s="1728"/>
      <c r="S4" s="1727" t="s">
        <v>1418</v>
      </c>
      <c r="T4" s="1722"/>
      <c r="U4" s="1722"/>
      <c r="V4" s="1722"/>
      <c r="W4" s="1722"/>
      <c r="X4" s="1722"/>
      <c r="Y4" s="1722"/>
      <c r="Z4" s="1722"/>
      <c r="AA4" s="1722"/>
      <c r="AB4" s="1722"/>
      <c r="AC4" s="1728"/>
      <c r="AD4" s="1722" t="s">
        <v>1419</v>
      </c>
      <c r="AE4" s="1722"/>
      <c r="AF4" s="1722"/>
      <c r="AG4" s="1722"/>
      <c r="AH4" s="1722"/>
      <c r="AI4" s="1722"/>
      <c r="AJ4" s="1722"/>
      <c r="AK4" s="1722"/>
      <c r="AL4" s="1722"/>
      <c r="AM4" s="1722"/>
      <c r="AN4" s="1728"/>
      <c r="AO4" s="1727" t="s">
        <v>1420</v>
      </c>
      <c r="AP4" s="1722"/>
      <c r="AQ4" s="1722"/>
      <c r="AR4" s="1722"/>
      <c r="AS4" s="1722"/>
      <c r="AT4" s="1722"/>
      <c r="AU4" s="1722"/>
      <c r="AV4" s="1722"/>
      <c r="AW4" s="1722"/>
      <c r="AX4" s="1722"/>
      <c r="AY4" s="1728"/>
      <c r="AZ4" s="1727" t="s">
        <v>1421</v>
      </c>
      <c r="BA4" s="1722"/>
      <c r="BB4" s="1722"/>
      <c r="BC4" s="1722"/>
      <c r="BD4" s="1722"/>
      <c r="BE4" s="1722"/>
      <c r="BF4" s="1722"/>
      <c r="BG4" s="1722"/>
      <c r="BH4" s="1722"/>
      <c r="BI4" s="1722"/>
      <c r="BJ4" s="1722"/>
      <c r="BK4" s="1143"/>
    </row>
    <row r="5" spans="1:63" s="1168" customFormat="1" ht="15" customHeight="1" x14ac:dyDescent="0.2">
      <c r="A5" s="63"/>
      <c r="B5" s="1790"/>
      <c r="C5" s="1790"/>
      <c r="D5" s="1790"/>
      <c r="E5" s="1791"/>
      <c r="F5" s="1629"/>
      <c r="G5" s="1744"/>
      <c r="H5" s="1556" t="s">
        <v>1405</v>
      </c>
      <c r="I5" s="1548" t="s">
        <v>1406</v>
      </c>
      <c r="J5" s="1548" t="s">
        <v>1407</v>
      </c>
      <c r="K5" s="1548" t="s">
        <v>1408</v>
      </c>
      <c r="L5" s="1548" t="s">
        <v>1409</v>
      </c>
      <c r="M5" s="1548" t="s">
        <v>1410</v>
      </c>
      <c r="N5" s="1548" t="s">
        <v>1411</v>
      </c>
      <c r="O5" s="1548" t="s">
        <v>1412</v>
      </c>
      <c r="P5" s="1548" t="s">
        <v>1413</v>
      </c>
      <c r="Q5" s="1555" t="s">
        <v>1414</v>
      </c>
      <c r="R5" s="1553" t="s">
        <v>1492</v>
      </c>
      <c r="S5" s="1556" t="s">
        <v>1405</v>
      </c>
      <c r="T5" s="1548" t="s">
        <v>1406</v>
      </c>
      <c r="U5" s="1548" t="s">
        <v>1407</v>
      </c>
      <c r="V5" s="1548" t="s">
        <v>1408</v>
      </c>
      <c r="W5" s="1548" t="s">
        <v>1409</v>
      </c>
      <c r="X5" s="1548" t="s">
        <v>1410</v>
      </c>
      <c r="Y5" s="1548" t="s">
        <v>1411</v>
      </c>
      <c r="Z5" s="1548" t="s">
        <v>1412</v>
      </c>
      <c r="AA5" s="1548" t="s">
        <v>1413</v>
      </c>
      <c r="AB5" s="1555" t="s">
        <v>1414</v>
      </c>
      <c r="AC5" s="1553" t="s">
        <v>1492</v>
      </c>
      <c r="AD5" s="1556" t="s">
        <v>1405</v>
      </c>
      <c r="AE5" s="1548" t="s">
        <v>1406</v>
      </c>
      <c r="AF5" s="1548" t="s">
        <v>1407</v>
      </c>
      <c r="AG5" s="1548" t="s">
        <v>1408</v>
      </c>
      <c r="AH5" s="1548" t="s">
        <v>1409</v>
      </c>
      <c r="AI5" s="1548" t="s">
        <v>1410</v>
      </c>
      <c r="AJ5" s="1548" t="s">
        <v>1411</v>
      </c>
      <c r="AK5" s="1548" t="s">
        <v>1412</v>
      </c>
      <c r="AL5" s="1548" t="s">
        <v>1413</v>
      </c>
      <c r="AM5" s="1555" t="s">
        <v>1414</v>
      </c>
      <c r="AN5" s="1553" t="s">
        <v>1492</v>
      </c>
      <c r="AO5" s="1556" t="s">
        <v>1405</v>
      </c>
      <c r="AP5" s="1548" t="s">
        <v>1406</v>
      </c>
      <c r="AQ5" s="1548" t="s">
        <v>1407</v>
      </c>
      <c r="AR5" s="1548" t="s">
        <v>1408</v>
      </c>
      <c r="AS5" s="1548" t="s">
        <v>1409</v>
      </c>
      <c r="AT5" s="1548" t="s">
        <v>1410</v>
      </c>
      <c r="AU5" s="1548" t="s">
        <v>1411</v>
      </c>
      <c r="AV5" s="1548" t="s">
        <v>1412</v>
      </c>
      <c r="AW5" s="1548" t="s">
        <v>1413</v>
      </c>
      <c r="AX5" s="1555" t="s">
        <v>1414</v>
      </c>
      <c r="AY5" s="1553" t="s">
        <v>1492</v>
      </c>
      <c r="AZ5" s="1556" t="s">
        <v>1405</v>
      </c>
      <c r="BA5" s="1548" t="s">
        <v>1406</v>
      </c>
      <c r="BB5" s="1548" t="s">
        <v>1407</v>
      </c>
      <c r="BC5" s="1548" t="s">
        <v>1408</v>
      </c>
      <c r="BD5" s="1548" t="s">
        <v>1409</v>
      </c>
      <c r="BE5" s="1548" t="s">
        <v>1410</v>
      </c>
      <c r="BF5" s="1548" t="s">
        <v>1411</v>
      </c>
      <c r="BG5" s="1548" t="s">
        <v>1412</v>
      </c>
      <c r="BH5" s="1548" t="s">
        <v>1413</v>
      </c>
      <c r="BI5" s="1555" t="s">
        <v>1414</v>
      </c>
      <c r="BJ5" s="1555" t="s">
        <v>1492</v>
      </c>
      <c r="BK5" s="1143"/>
    </row>
    <row r="6" spans="1:63" s="1168" customFormat="1" ht="15" customHeight="1" x14ac:dyDescent="0.2">
      <c r="A6" s="63"/>
      <c r="B6" s="1458" t="s">
        <v>886</v>
      </c>
      <c r="C6" s="1458"/>
      <c r="D6" s="1458"/>
      <c r="E6" s="1458"/>
      <c r="F6" s="314"/>
      <c r="G6" s="314"/>
      <c r="H6" s="1426"/>
      <c r="I6" s="314"/>
      <c r="J6" s="314"/>
      <c r="K6" s="314"/>
      <c r="L6" s="314"/>
      <c r="M6" s="314"/>
      <c r="N6" s="314"/>
      <c r="O6" s="314"/>
      <c r="P6" s="314"/>
      <c r="Q6" s="1424"/>
      <c r="R6" s="1427"/>
      <c r="S6" s="1426"/>
      <c r="T6" s="314"/>
      <c r="U6" s="314"/>
      <c r="V6" s="314"/>
      <c r="W6" s="314"/>
      <c r="X6" s="314"/>
      <c r="Y6" s="314"/>
      <c r="Z6" s="314"/>
      <c r="AA6" s="314"/>
      <c r="AB6" s="1424"/>
      <c r="AC6" s="1427"/>
      <c r="AD6" s="1426"/>
      <c r="AE6" s="314"/>
      <c r="AF6" s="314"/>
      <c r="AG6" s="314"/>
      <c r="AH6" s="314"/>
      <c r="AI6" s="314"/>
      <c r="AJ6" s="314"/>
      <c r="AK6" s="314"/>
      <c r="AL6" s="314"/>
      <c r="AM6" s="1424"/>
      <c r="AN6" s="1427"/>
      <c r="AO6" s="1426"/>
      <c r="AP6" s="314"/>
      <c r="AQ6" s="314"/>
      <c r="AR6" s="314"/>
      <c r="AS6" s="314"/>
      <c r="AT6" s="314"/>
      <c r="AU6" s="314"/>
      <c r="AV6" s="314"/>
      <c r="AW6" s="314"/>
      <c r="AX6" s="1424"/>
      <c r="AY6" s="1427"/>
      <c r="AZ6" s="1426"/>
      <c r="BA6" s="314"/>
      <c r="BB6" s="314"/>
      <c r="BC6" s="314"/>
      <c r="BD6" s="314"/>
      <c r="BE6" s="314"/>
      <c r="BF6" s="314"/>
      <c r="BG6" s="314"/>
      <c r="BH6" s="314"/>
      <c r="BI6" s="1424"/>
      <c r="BJ6" s="1424"/>
      <c r="BK6" s="1143"/>
    </row>
    <row r="7" spans="1:63" s="1168" customFormat="1" ht="15" customHeight="1" x14ac:dyDescent="0.2">
      <c r="A7" s="63"/>
      <c r="B7" s="1456" t="s">
        <v>887</v>
      </c>
      <c r="C7" s="1456"/>
      <c r="D7" s="1456"/>
      <c r="E7" s="1456"/>
      <c r="F7" s="265"/>
      <c r="G7" s="265"/>
      <c r="H7" s="1428"/>
      <c r="I7" s="265"/>
      <c r="J7" s="265"/>
      <c r="K7" s="265"/>
      <c r="L7" s="265"/>
      <c r="M7" s="265"/>
      <c r="N7" s="265"/>
      <c r="O7" s="265"/>
      <c r="P7" s="265"/>
      <c r="Q7" s="273"/>
      <c r="R7" s="1429"/>
      <c r="S7" s="1428"/>
      <c r="T7" s="265"/>
      <c r="U7" s="265"/>
      <c r="V7" s="265"/>
      <c r="W7" s="265"/>
      <c r="X7" s="265"/>
      <c r="Y7" s="265"/>
      <c r="Z7" s="265"/>
      <c r="AA7" s="265"/>
      <c r="AB7" s="273"/>
      <c r="AC7" s="1429"/>
      <c r="AD7" s="1428"/>
      <c r="AE7" s="265"/>
      <c r="AF7" s="265"/>
      <c r="AG7" s="265"/>
      <c r="AH7" s="265"/>
      <c r="AI7" s="265"/>
      <c r="AJ7" s="265"/>
      <c r="AK7" s="265"/>
      <c r="AL7" s="265"/>
      <c r="AM7" s="273"/>
      <c r="AN7" s="1429"/>
      <c r="AO7" s="1428"/>
      <c r="AP7" s="265"/>
      <c r="AQ7" s="265"/>
      <c r="AR7" s="265"/>
      <c r="AS7" s="265"/>
      <c r="AT7" s="265"/>
      <c r="AU7" s="265"/>
      <c r="AV7" s="265"/>
      <c r="AW7" s="265"/>
      <c r="AX7" s="273"/>
      <c r="AY7" s="1429"/>
      <c r="AZ7" s="1428"/>
      <c r="BA7" s="265"/>
      <c r="BB7" s="265"/>
      <c r="BC7" s="265"/>
      <c r="BD7" s="265"/>
      <c r="BE7" s="265"/>
      <c r="BF7" s="265"/>
      <c r="BG7" s="265"/>
      <c r="BH7" s="265"/>
      <c r="BI7" s="273"/>
      <c r="BJ7" s="273"/>
      <c r="BK7" s="1143"/>
    </row>
    <row r="8" spans="1:63" s="1168" customFormat="1" ht="15" customHeight="1" x14ac:dyDescent="0.2">
      <c r="A8" s="63"/>
      <c r="B8" s="1456" t="s">
        <v>1220</v>
      </c>
      <c r="C8" s="1456"/>
      <c r="D8" s="1456"/>
      <c r="E8" s="1456"/>
      <c r="F8" s="265"/>
      <c r="G8" s="265"/>
      <c r="H8" s="1428"/>
      <c r="I8" s="265"/>
      <c r="J8" s="265"/>
      <c r="K8" s="265"/>
      <c r="L8" s="265"/>
      <c r="M8" s="265"/>
      <c r="N8" s="265"/>
      <c r="O8" s="265"/>
      <c r="P8" s="265"/>
      <c r="Q8" s="273"/>
      <c r="R8" s="1429"/>
      <c r="S8" s="1428"/>
      <c r="T8" s="265"/>
      <c r="U8" s="265"/>
      <c r="V8" s="265"/>
      <c r="W8" s="265"/>
      <c r="X8" s="265"/>
      <c r="Y8" s="265"/>
      <c r="Z8" s="265"/>
      <c r="AA8" s="265"/>
      <c r="AB8" s="273"/>
      <c r="AC8" s="1429"/>
      <c r="AD8" s="1428"/>
      <c r="AE8" s="265"/>
      <c r="AF8" s="265"/>
      <c r="AG8" s="265"/>
      <c r="AH8" s="265"/>
      <c r="AI8" s="265"/>
      <c r="AJ8" s="265"/>
      <c r="AK8" s="265"/>
      <c r="AL8" s="265"/>
      <c r="AM8" s="273"/>
      <c r="AN8" s="1429"/>
      <c r="AO8" s="1428"/>
      <c r="AP8" s="265"/>
      <c r="AQ8" s="265"/>
      <c r="AR8" s="265"/>
      <c r="AS8" s="265"/>
      <c r="AT8" s="265"/>
      <c r="AU8" s="265"/>
      <c r="AV8" s="265"/>
      <c r="AW8" s="265"/>
      <c r="AX8" s="273"/>
      <c r="AY8" s="1429"/>
      <c r="AZ8" s="1428"/>
      <c r="BA8" s="265"/>
      <c r="BB8" s="265"/>
      <c r="BC8" s="265"/>
      <c r="BD8" s="265"/>
      <c r="BE8" s="265"/>
      <c r="BF8" s="265"/>
      <c r="BG8" s="265"/>
      <c r="BH8" s="265"/>
      <c r="BI8" s="273"/>
      <c r="BJ8" s="273"/>
      <c r="BK8" s="1143"/>
    </row>
    <row r="9" spans="1:63" s="1168" customFormat="1" ht="15" customHeight="1" x14ac:dyDescent="0.2">
      <c r="A9" s="63"/>
      <c r="B9" s="1456" t="s">
        <v>888</v>
      </c>
      <c r="C9" s="1456"/>
      <c r="D9" s="1456"/>
      <c r="E9" s="1456"/>
      <c r="F9" s="265"/>
      <c r="G9" s="265"/>
      <c r="H9" s="1428"/>
      <c r="I9" s="265"/>
      <c r="J9" s="265"/>
      <c r="K9" s="265"/>
      <c r="L9" s="265"/>
      <c r="M9" s="265"/>
      <c r="N9" s="265"/>
      <c r="O9" s="265"/>
      <c r="P9" s="265"/>
      <c r="Q9" s="273"/>
      <c r="R9" s="1429"/>
      <c r="S9" s="1428"/>
      <c r="T9" s="265"/>
      <c r="U9" s="265"/>
      <c r="V9" s="265"/>
      <c r="W9" s="265"/>
      <c r="X9" s="265"/>
      <c r="Y9" s="265"/>
      <c r="Z9" s="265"/>
      <c r="AA9" s="265"/>
      <c r="AB9" s="273"/>
      <c r="AC9" s="1429"/>
      <c r="AD9" s="1428"/>
      <c r="AE9" s="265"/>
      <c r="AF9" s="265"/>
      <c r="AG9" s="265"/>
      <c r="AH9" s="265"/>
      <c r="AI9" s="265"/>
      <c r="AJ9" s="265"/>
      <c r="AK9" s="265"/>
      <c r="AL9" s="265"/>
      <c r="AM9" s="273"/>
      <c r="AN9" s="1429"/>
      <c r="AO9" s="1428"/>
      <c r="AP9" s="265"/>
      <c r="AQ9" s="265"/>
      <c r="AR9" s="265"/>
      <c r="AS9" s="265"/>
      <c r="AT9" s="265"/>
      <c r="AU9" s="265"/>
      <c r="AV9" s="265"/>
      <c r="AW9" s="265"/>
      <c r="AX9" s="273"/>
      <c r="AY9" s="1429"/>
      <c r="AZ9" s="1428"/>
      <c r="BA9" s="265"/>
      <c r="BB9" s="265"/>
      <c r="BC9" s="265"/>
      <c r="BD9" s="265"/>
      <c r="BE9" s="265"/>
      <c r="BF9" s="265"/>
      <c r="BG9" s="265"/>
      <c r="BH9" s="265"/>
      <c r="BI9" s="273"/>
      <c r="BJ9" s="273"/>
      <c r="BK9" s="1143"/>
    </row>
    <row r="10" spans="1:63" s="1168" customFormat="1" ht="15" customHeight="1" x14ac:dyDescent="0.2">
      <c r="A10" s="63"/>
      <c r="B10" s="1456" t="s">
        <v>1221</v>
      </c>
      <c r="C10" s="1456"/>
      <c r="D10" s="1456"/>
      <c r="E10" s="1456"/>
      <c r="F10" s="265"/>
      <c r="G10" s="265"/>
      <c r="H10" s="1428"/>
      <c r="I10" s="265"/>
      <c r="J10" s="265"/>
      <c r="K10" s="265"/>
      <c r="L10" s="265"/>
      <c r="M10" s="265"/>
      <c r="N10" s="265"/>
      <c r="O10" s="265"/>
      <c r="P10" s="265"/>
      <c r="Q10" s="273"/>
      <c r="R10" s="1429"/>
      <c r="S10" s="1428"/>
      <c r="T10" s="265"/>
      <c r="U10" s="265"/>
      <c r="V10" s="265"/>
      <c r="W10" s="265"/>
      <c r="X10" s="265"/>
      <c r="Y10" s="265"/>
      <c r="Z10" s="265"/>
      <c r="AA10" s="265"/>
      <c r="AB10" s="273"/>
      <c r="AC10" s="1429"/>
      <c r="AD10" s="1428"/>
      <c r="AE10" s="265"/>
      <c r="AF10" s="265"/>
      <c r="AG10" s="265"/>
      <c r="AH10" s="265"/>
      <c r="AI10" s="265"/>
      <c r="AJ10" s="265"/>
      <c r="AK10" s="265"/>
      <c r="AL10" s="265"/>
      <c r="AM10" s="273"/>
      <c r="AN10" s="1429"/>
      <c r="AO10" s="1428"/>
      <c r="AP10" s="265"/>
      <c r="AQ10" s="265"/>
      <c r="AR10" s="265"/>
      <c r="AS10" s="265"/>
      <c r="AT10" s="265"/>
      <c r="AU10" s="265"/>
      <c r="AV10" s="265"/>
      <c r="AW10" s="265"/>
      <c r="AX10" s="273"/>
      <c r="AY10" s="1429"/>
      <c r="AZ10" s="1428"/>
      <c r="BA10" s="265"/>
      <c r="BB10" s="265"/>
      <c r="BC10" s="265"/>
      <c r="BD10" s="265"/>
      <c r="BE10" s="265"/>
      <c r="BF10" s="265"/>
      <c r="BG10" s="265"/>
      <c r="BH10" s="265"/>
      <c r="BI10" s="273"/>
      <c r="BJ10" s="273"/>
      <c r="BK10" s="1143"/>
    </row>
    <row r="11" spans="1:63" s="1168" customFormat="1" ht="15" customHeight="1" x14ac:dyDescent="0.2">
      <c r="A11" s="63"/>
      <c r="B11" s="1456" t="s">
        <v>1222</v>
      </c>
      <c r="C11" s="1456"/>
      <c r="D11" s="1456"/>
      <c r="E11" s="1456"/>
      <c r="F11" s="265"/>
      <c r="G11" s="265"/>
      <c r="H11" s="1428"/>
      <c r="I11" s="265"/>
      <c r="J11" s="265"/>
      <c r="K11" s="265"/>
      <c r="L11" s="265"/>
      <c r="M11" s="265"/>
      <c r="N11" s="265"/>
      <c r="O11" s="265"/>
      <c r="P11" s="265"/>
      <c r="Q11" s="273"/>
      <c r="R11" s="1429"/>
      <c r="S11" s="1428"/>
      <c r="T11" s="265"/>
      <c r="U11" s="265"/>
      <c r="V11" s="265"/>
      <c r="W11" s="265"/>
      <c r="X11" s="265"/>
      <c r="Y11" s="265"/>
      <c r="Z11" s="265"/>
      <c r="AA11" s="265"/>
      <c r="AB11" s="273"/>
      <c r="AC11" s="1429"/>
      <c r="AD11" s="1428"/>
      <c r="AE11" s="265"/>
      <c r="AF11" s="265"/>
      <c r="AG11" s="265"/>
      <c r="AH11" s="265"/>
      <c r="AI11" s="265"/>
      <c r="AJ11" s="265"/>
      <c r="AK11" s="265"/>
      <c r="AL11" s="265"/>
      <c r="AM11" s="273"/>
      <c r="AN11" s="1429"/>
      <c r="AO11" s="1428"/>
      <c r="AP11" s="265"/>
      <c r="AQ11" s="265"/>
      <c r="AR11" s="265"/>
      <c r="AS11" s="265"/>
      <c r="AT11" s="265"/>
      <c r="AU11" s="265"/>
      <c r="AV11" s="265"/>
      <c r="AW11" s="265"/>
      <c r="AX11" s="273"/>
      <c r="AY11" s="1429"/>
      <c r="AZ11" s="1428"/>
      <c r="BA11" s="265"/>
      <c r="BB11" s="265"/>
      <c r="BC11" s="265"/>
      <c r="BD11" s="265"/>
      <c r="BE11" s="265"/>
      <c r="BF11" s="265"/>
      <c r="BG11" s="265"/>
      <c r="BH11" s="265"/>
      <c r="BI11" s="273"/>
      <c r="BJ11" s="273"/>
      <c r="BK11" s="1143"/>
    </row>
    <row r="12" spans="1:63" s="1168" customFormat="1" ht="15" customHeight="1" x14ac:dyDescent="0.2">
      <c r="A12" s="63"/>
      <c r="B12" s="1456" t="s">
        <v>1223</v>
      </c>
      <c r="C12" s="1456"/>
      <c r="D12" s="1456"/>
      <c r="E12" s="1456"/>
      <c r="F12" s="265"/>
      <c r="G12" s="265"/>
      <c r="H12" s="1428"/>
      <c r="I12" s="265"/>
      <c r="J12" s="265"/>
      <c r="K12" s="265"/>
      <c r="L12" s="265"/>
      <c r="M12" s="265"/>
      <c r="N12" s="265"/>
      <c r="O12" s="265"/>
      <c r="P12" s="265"/>
      <c r="Q12" s="273"/>
      <c r="R12" s="1429"/>
      <c r="S12" s="1428"/>
      <c r="T12" s="265"/>
      <c r="U12" s="265"/>
      <c r="V12" s="265"/>
      <c r="W12" s="265"/>
      <c r="X12" s="265"/>
      <c r="Y12" s="265"/>
      <c r="Z12" s="265"/>
      <c r="AA12" s="265"/>
      <c r="AB12" s="273"/>
      <c r="AC12" s="1429"/>
      <c r="AD12" s="1428"/>
      <c r="AE12" s="265"/>
      <c r="AF12" s="265"/>
      <c r="AG12" s="265"/>
      <c r="AH12" s="265"/>
      <c r="AI12" s="265"/>
      <c r="AJ12" s="265"/>
      <c r="AK12" s="265"/>
      <c r="AL12" s="265"/>
      <c r="AM12" s="273"/>
      <c r="AN12" s="1429"/>
      <c r="AO12" s="1428"/>
      <c r="AP12" s="265"/>
      <c r="AQ12" s="265"/>
      <c r="AR12" s="265"/>
      <c r="AS12" s="265"/>
      <c r="AT12" s="265"/>
      <c r="AU12" s="265"/>
      <c r="AV12" s="265"/>
      <c r="AW12" s="265"/>
      <c r="AX12" s="273"/>
      <c r="AY12" s="1429"/>
      <c r="AZ12" s="1428"/>
      <c r="BA12" s="265"/>
      <c r="BB12" s="265"/>
      <c r="BC12" s="265"/>
      <c r="BD12" s="265"/>
      <c r="BE12" s="265"/>
      <c r="BF12" s="265"/>
      <c r="BG12" s="265"/>
      <c r="BH12" s="265"/>
      <c r="BI12" s="273"/>
      <c r="BJ12" s="273"/>
      <c r="BK12" s="1143"/>
    </row>
    <row r="13" spans="1:63" s="1168" customFormat="1" ht="15" customHeight="1" x14ac:dyDescent="0.2">
      <c r="A13" s="63"/>
      <c r="B13" s="1456" t="s">
        <v>1224</v>
      </c>
      <c r="C13" s="1456"/>
      <c r="D13" s="1456"/>
      <c r="E13" s="1456"/>
      <c r="F13" s="265"/>
      <c r="G13" s="265"/>
      <c r="H13" s="1428"/>
      <c r="I13" s="265"/>
      <c r="J13" s="265"/>
      <c r="K13" s="265"/>
      <c r="L13" s="265"/>
      <c r="M13" s="265"/>
      <c r="N13" s="265"/>
      <c r="O13" s="265"/>
      <c r="P13" s="265"/>
      <c r="Q13" s="273"/>
      <c r="R13" s="1429"/>
      <c r="S13" s="1428"/>
      <c r="T13" s="265"/>
      <c r="U13" s="265"/>
      <c r="V13" s="265"/>
      <c r="W13" s="265"/>
      <c r="X13" s="265"/>
      <c r="Y13" s="265"/>
      <c r="Z13" s="265"/>
      <c r="AA13" s="265"/>
      <c r="AB13" s="273"/>
      <c r="AC13" s="1429"/>
      <c r="AD13" s="1428"/>
      <c r="AE13" s="265"/>
      <c r="AF13" s="265"/>
      <c r="AG13" s="265"/>
      <c r="AH13" s="265"/>
      <c r="AI13" s="265"/>
      <c r="AJ13" s="265"/>
      <c r="AK13" s="265"/>
      <c r="AL13" s="265"/>
      <c r="AM13" s="273"/>
      <c r="AN13" s="1429"/>
      <c r="AO13" s="1428"/>
      <c r="AP13" s="265"/>
      <c r="AQ13" s="265"/>
      <c r="AR13" s="265"/>
      <c r="AS13" s="265"/>
      <c r="AT13" s="265"/>
      <c r="AU13" s="265"/>
      <c r="AV13" s="265"/>
      <c r="AW13" s="265"/>
      <c r="AX13" s="273"/>
      <c r="AY13" s="1429"/>
      <c r="AZ13" s="1428"/>
      <c r="BA13" s="265"/>
      <c r="BB13" s="265"/>
      <c r="BC13" s="265"/>
      <c r="BD13" s="265"/>
      <c r="BE13" s="265"/>
      <c r="BF13" s="265"/>
      <c r="BG13" s="265"/>
      <c r="BH13" s="265"/>
      <c r="BI13" s="273"/>
      <c r="BJ13" s="273"/>
      <c r="BK13" s="1143"/>
    </row>
    <row r="14" spans="1:63" s="1168" customFormat="1" ht="15" customHeight="1" x14ac:dyDescent="0.2">
      <c r="A14" s="63"/>
      <c r="B14" s="1456" t="s">
        <v>1225</v>
      </c>
      <c r="C14" s="1456"/>
      <c r="D14" s="1456"/>
      <c r="E14" s="1456"/>
      <c r="F14" s="265"/>
      <c r="G14" s="265"/>
      <c r="H14" s="1428"/>
      <c r="I14" s="265"/>
      <c r="J14" s="265"/>
      <c r="K14" s="265"/>
      <c r="L14" s="265"/>
      <c r="M14" s="265"/>
      <c r="N14" s="265"/>
      <c r="O14" s="265"/>
      <c r="P14" s="265"/>
      <c r="Q14" s="273"/>
      <c r="R14" s="1429"/>
      <c r="S14" s="1428"/>
      <c r="T14" s="265"/>
      <c r="U14" s="265"/>
      <c r="V14" s="265"/>
      <c r="W14" s="265"/>
      <c r="X14" s="265"/>
      <c r="Y14" s="265"/>
      <c r="Z14" s="265"/>
      <c r="AA14" s="265"/>
      <c r="AB14" s="273"/>
      <c r="AC14" s="1429"/>
      <c r="AD14" s="1428"/>
      <c r="AE14" s="265"/>
      <c r="AF14" s="265"/>
      <c r="AG14" s="265"/>
      <c r="AH14" s="265"/>
      <c r="AI14" s="265"/>
      <c r="AJ14" s="265"/>
      <c r="AK14" s="265"/>
      <c r="AL14" s="265"/>
      <c r="AM14" s="273"/>
      <c r="AN14" s="1429"/>
      <c r="AO14" s="1428"/>
      <c r="AP14" s="265"/>
      <c r="AQ14" s="265"/>
      <c r="AR14" s="265"/>
      <c r="AS14" s="265"/>
      <c r="AT14" s="265"/>
      <c r="AU14" s="265"/>
      <c r="AV14" s="265"/>
      <c r="AW14" s="265"/>
      <c r="AX14" s="273"/>
      <c r="AY14" s="1429"/>
      <c r="AZ14" s="1428"/>
      <c r="BA14" s="265"/>
      <c r="BB14" s="265"/>
      <c r="BC14" s="265"/>
      <c r="BD14" s="265"/>
      <c r="BE14" s="265"/>
      <c r="BF14" s="265"/>
      <c r="BG14" s="265"/>
      <c r="BH14" s="265"/>
      <c r="BI14" s="273"/>
      <c r="BJ14" s="273"/>
      <c r="BK14" s="1143"/>
    </row>
    <row r="15" spans="1:63" s="1168" customFormat="1" ht="15" customHeight="1" x14ac:dyDescent="0.2">
      <c r="A15" s="63"/>
      <c r="B15" s="1456" t="s">
        <v>1226</v>
      </c>
      <c r="C15" s="1456"/>
      <c r="D15" s="1456"/>
      <c r="E15" s="1456"/>
      <c r="F15" s="265"/>
      <c r="G15" s="265"/>
      <c r="H15" s="1428"/>
      <c r="I15" s="265"/>
      <c r="J15" s="265"/>
      <c r="K15" s="265"/>
      <c r="L15" s="265"/>
      <c r="M15" s="265"/>
      <c r="N15" s="265"/>
      <c r="O15" s="265"/>
      <c r="P15" s="265"/>
      <c r="Q15" s="273"/>
      <c r="R15" s="1429"/>
      <c r="S15" s="1428"/>
      <c r="T15" s="265"/>
      <c r="U15" s="265"/>
      <c r="V15" s="265"/>
      <c r="W15" s="265"/>
      <c r="X15" s="265"/>
      <c r="Y15" s="265"/>
      <c r="Z15" s="265"/>
      <c r="AA15" s="265"/>
      <c r="AB15" s="273"/>
      <c r="AC15" s="1429"/>
      <c r="AD15" s="1428"/>
      <c r="AE15" s="265"/>
      <c r="AF15" s="265"/>
      <c r="AG15" s="265"/>
      <c r="AH15" s="265"/>
      <c r="AI15" s="265"/>
      <c r="AJ15" s="265"/>
      <c r="AK15" s="265"/>
      <c r="AL15" s="265"/>
      <c r="AM15" s="273"/>
      <c r="AN15" s="1429"/>
      <c r="AO15" s="1428"/>
      <c r="AP15" s="265"/>
      <c r="AQ15" s="265"/>
      <c r="AR15" s="265"/>
      <c r="AS15" s="265"/>
      <c r="AT15" s="265"/>
      <c r="AU15" s="265"/>
      <c r="AV15" s="265"/>
      <c r="AW15" s="265"/>
      <c r="AX15" s="273"/>
      <c r="AY15" s="1429"/>
      <c r="AZ15" s="1428"/>
      <c r="BA15" s="265"/>
      <c r="BB15" s="265"/>
      <c r="BC15" s="265"/>
      <c r="BD15" s="265"/>
      <c r="BE15" s="265"/>
      <c r="BF15" s="265"/>
      <c r="BG15" s="265"/>
      <c r="BH15" s="265"/>
      <c r="BI15" s="273"/>
      <c r="BJ15" s="273"/>
      <c r="BK15" s="1143"/>
    </row>
    <row r="16" spans="1:63" s="1168" customFormat="1" ht="15" customHeight="1" x14ac:dyDescent="0.2">
      <c r="A16" s="63"/>
      <c r="B16" s="1456" t="s">
        <v>1227</v>
      </c>
      <c r="C16" s="1456"/>
      <c r="D16" s="1456"/>
      <c r="E16" s="1456"/>
      <c r="F16" s="265"/>
      <c r="G16" s="265"/>
      <c r="H16" s="1428"/>
      <c r="I16" s="265"/>
      <c r="J16" s="265"/>
      <c r="K16" s="265"/>
      <c r="L16" s="265"/>
      <c r="M16" s="265"/>
      <c r="N16" s="265"/>
      <c r="O16" s="265"/>
      <c r="P16" s="265"/>
      <c r="Q16" s="273"/>
      <c r="R16" s="1429"/>
      <c r="S16" s="1428"/>
      <c r="T16" s="265"/>
      <c r="U16" s="265"/>
      <c r="V16" s="265"/>
      <c r="W16" s="265"/>
      <c r="X16" s="265"/>
      <c r="Y16" s="265"/>
      <c r="Z16" s="265"/>
      <c r="AA16" s="265"/>
      <c r="AB16" s="273"/>
      <c r="AC16" s="1429"/>
      <c r="AD16" s="1428"/>
      <c r="AE16" s="265"/>
      <c r="AF16" s="265"/>
      <c r="AG16" s="265"/>
      <c r="AH16" s="265"/>
      <c r="AI16" s="265"/>
      <c r="AJ16" s="265"/>
      <c r="AK16" s="265"/>
      <c r="AL16" s="265"/>
      <c r="AM16" s="273"/>
      <c r="AN16" s="1429"/>
      <c r="AO16" s="1428"/>
      <c r="AP16" s="265"/>
      <c r="AQ16" s="265"/>
      <c r="AR16" s="265"/>
      <c r="AS16" s="265"/>
      <c r="AT16" s="265"/>
      <c r="AU16" s="265"/>
      <c r="AV16" s="265"/>
      <c r="AW16" s="265"/>
      <c r="AX16" s="273"/>
      <c r="AY16" s="1429"/>
      <c r="AZ16" s="1428"/>
      <c r="BA16" s="265"/>
      <c r="BB16" s="265"/>
      <c r="BC16" s="265"/>
      <c r="BD16" s="265"/>
      <c r="BE16" s="265"/>
      <c r="BF16" s="265"/>
      <c r="BG16" s="265"/>
      <c r="BH16" s="265"/>
      <c r="BI16" s="273"/>
      <c r="BJ16" s="273"/>
      <c r="BK16" s="1143"/>
    </row>
    <row r="17" spans="1:63" s="1168" customFormat="1" ht="15.75" customHeight="1" x14ac:dyDescent="0.2">
      <c r="A17" s="63"/>
      <c r="B17" s="1456" t="s">
        <v>1228</v>
      </c>
      <c r="C17" s="1456"/>
      <c r="D17" s="1456"/>
      <c r="E17" s="1456"/>
      <c r="F17" s="265"/>
      <c r="G17" s="265"/>
      <c r="H17" s="1428"/>
      <c r="I17" s="265"/>
      <c r="J17" s="265"/>
      <c r="K17" s="265"/>
      <c r="L17" s="265"/>
      <c r="M17" s="265"/>
      <c r="N17" s="265"/>
      <c r="O17" s="265"/>
      <c r="P17" s="265"/>
      <c r="Q17" s="273"/>
      <c r="R17" s="1429"/>
      <c r="S17" s="1428"/>
      <c r="T17" s="265"/>
      <c r="U17" s="265"/>
      <c r="V17" s="265"/>
      <c r="W17" s="265"/>
      <c r="X17" s="265"/>
      <c r="Y17" s="265"/>
      <c r="Z17" s="265"/>
      <c r="AA17" s="265"/>
      <c r="AB17" s="273"/>
      <c r="AC17" s="1429"/>
      <c r="AD17" s="1428"/>
      <c r="AE17" s="265"/>
      <c r="AF17" s="265"/>
      <c r="AG17" s="265"/>
      <c r="AH17" s="265"/>
      <c r="AI17" s="265"/>
      <c r="AJ17" s="265"/>
      <c r="AK17" s="265"/>
      <c r="AL17" s="265"/>
      <c r="AM17" s="273"/>
      <c r="AN17" s="1429"/>
      <c r="AO17" s="1428"/>
      <c r="AP17" s="265"/>
      <c r="AQ17" s="265"/>
      <c r="AR17" s="265"/>
      <c r="AS17" s="265"/>
      <c r="AT17" s="265"/>
      <c r="AU17" s="265"/>
      <c r="AV17" s="265"/>
      <c r="AW17" s="265"/>
      <c r="AX17" s="273"/>
      <c r="AY17" s="1429"/>
      <c r="AZ17" s="1428"/>
      <c r="BA17" s="265"/>
      <c r="BB17" s="265"/>
      <c r="BC17" s="265"/>
      <c r="BD17" s="265"/>
      <c r="BE17" s="265"/>
      <c r="BF17" s="265"/>
      <c r="BG17" s="265"/>
      <c r="BH17" s="265"/>
      <c r="BI17" s="273"/>
      <c r="BJ17" s="273"/>
      <c r="BK17" s="1143"/>
    </row>
    <row r="18" spans="1:63" s="1168" customFormat="1" ht="15" customHeight="1" x14ac:dyDescent="0.2">
      <c r="A18" s="63"/>
      <c r="B18" s="1456" t="s">
        <v>1229</v>
      </c>
      <c r="C18" s="1456"/>
      <c r="D18" s="1456"/>
      <c r="E18" s="1456"/>
      <c r="F18" s="265"/>
      <c r="G18" s="265"/>
      <c r="H18" s="1428"/>
      <c r="I18" s="265"/>
      <c r="J18" s="265"/>
      <c r="K18" s="265"/>
      <c r="L18" s="265"/>
      <c r="M18" s="265"/>
      <c r="N18" s="265"/>
      <c r="O18" s="265"/>
      <c r="P18" s="265"/>
      <c r="Q18" s="273"/>
      <c r="R18" s="1429"/>
      <c r="S18" s="1428"/>
      <c r="T18" s="265"/>
      <c r="U18" s="265"/>
      <c r="V18" s="265"/>
      <c r="W18" s="265"/>
      <c r="X18" s="265"/>
      <c r="Y18" s="265"/>
      <c r="Z18" s="265"/>
      <c r="AA18" s="265"/>
      <c r="AB18" s="273"/>
      <c r="AC18" s="1429"/>
      <c r="AD18" s="1428"/>
      <c r="AE18" s="265"/>
      <c r="AF18" s="265"/>
      <c r="AG18" s="265"/>
      <c r="AH18" s="265"/>
      <c r="AI18" s="265"/>
      <c r="AJ18" s="265"/>
      <c r="AK18" s="265"/>
      <c r="AL18" s="265"/>
      <c r="AM18" s="273"/>
      <c r="AN18" s="1429"/>
      <c r="AO18" s="1428"/>
      <c r="AP18" s="265"/>
      <c r="AQ18" s="265"/>
      <c r="AR18" s="265"/>
      <c r="AS18" s="265"/>
      <c r="AT18" s="265"/>
      <c r="AU18" s="265"/>
      <c r="AV18" s="265"/>
      <c r="AW18" s="265"/>
      <c r="AX18" s="273"/>
      <c r="AY18" s="1429"/>
      <c r="AZ18" s="1428"/>
      <c r="BA18" s="265"/>
      <c r="BB18" s="265"/>
      <c r="BC18" s="265"/>
      <c r="BD18" s="265"/>
      <c r="BE18" s="265"/>
      <c r="BF18" s="265"/>
      <c r="BG18" s="265"/>
      <c r="BH18" s="265"/>
      <c r="BI18" s="273"/>
      <c r="BJ18" s="273"/>
      <c r="BK18" s="1143"/>
    </row>
    <row r="19" spans="1:63" s="1168" customFormat="1" ht="15" customHeight="1" x14ac:dyDescent="0.2">
      <c r="A19" s="63"/>
      <c r="B19" s="1456" t="s">
        <v>1230</v>
      </c>
      <c r="C19" s="1456"/>
      <c r="D19" s="1456"/>
      <c r="E19" s="1456"/>
      <c r="F19" s="265"/>
      <c r="G19" s="265"/>
      <c r="H19" s="1428"/>
      <c r="I19" s="265"/>
      <c r="J19" s="265"/>
      <c r="K19" s="265"/>
      <c r="L19" s="265"/>
      <c r="M19" s="265"/>
      <c r="N19" s="265"/>
      <c r="O19" s="265"/>
      <c r="P19" s="265"/>
      <c r="Q19" s="273"/>
      <c r="R19" s="1429"/>
      <c r="S19" s="1428"/>
      <c r="T19" s="265"/>
      <c r="U19" s="265"/>
      <c r="V19" s="265"/>
      <c r="W19" s="265"/>
      <c r="X19" s="265"/>
      <c r="Y19" s="265"/>
      <c r="Z19" s="265"/>
      <c r="AA19" s="265"/>
      <c r="AB19" s="273"/>
      <c r="AC19" s="1429"/>
      <c r="AD19" s="1428"/>
      <c r="AE19" s="265"/>
      <c r="AF19" s="265"/>
      <c r="AG19" s="265"/>
      <c r="AH19" s="265"/>
      <c r="AI19" s="265"/>
      <c r="AJ19" s="265"/>
      <c r="AK19" s="265"/>
      <c r="AL19" s="265"/>
      <c r="AM19" s="273"/>
      <c r="AN19" s="1429"/>
      <c r="AO19" s="1428"/>
      <c r="AP19" s="265"/>
      <c r="AQ19" s="265"/>
      <c r="AR19" s="265"/>
      <c r="AS19" s="265"/>
      <c r="AT19" s="265"/>
      <c r="AU19" s="265"/>
      <c r="AV19" s="265"/>
      <c r="AW19" s="265"/>
      <c r="AX19" s="273"/>
      <c r="AY19" s="1429"/>
      <c r="AZ19" s="1428"/>
      <c r="BA19" s="265"/>
      <c r="BB19" s="265"/>
      <c r="BC19" s="265"/>
      <c r="BD19" s="265"/>
      <c r="BE19" s="265"/>
      <c r="BF19" s="265"/>
      <c r="BG19" s="265"/>
      <c r="BH19" s="265"/>
      <c r="BI19" s="273"/>
      <c r="BJ19" s="273"/>
      <c r="BK19" s="1143"/>
    </row>
    <row r="20" spans="1:63" s="1168" customFormat="1" ht="15" customHeight="1" x14ac:dyDescent="0.2">
      <c r="A20" s="63"/>
      <c r="B20" s="1456" t="s">
        <v>1231</v>
      </c>
      <c r="C20" s="1456"/>
      <c r="D20" s="1456"/>
      <c r="E20" s="1456"/>
      <c r="F20" s="265"/>
      <c r="G20" s="265"/>
      <c r="H20" s="1428"/>
      <c r="I20" s="265"/>
      <c r="J20" s="265"/>
      <c r="K20" s="265"/>
      <c r="L20" s="265"/>
      <c r="M20" s="265"/>
      <c r="N20" s="265"/>
      <c r="O20" s="265"/>
      <c r="P20" s="265"/>
      <c r="Q20" s="273"/>
      <c r="R20" s="1429"/>
      <c r="S20" s="1428"/>
      <c r="T20" s="265"/>
      <c r="U20" s="265"/>
      <c r="V20" s="265"/>
      <c r="W20" s="265"/>
      <c r="X20" s="265"/>
      <c r="Y20" s="265"/>
      <c r="Z20" s="265"/>
      <c r="AA20" s="265"/>
      <c r="AB20" s="273"/>
      <c r="AC20" s="1429"/>
      <c r="AD20" s="1428"/>
      <c r="AE20" s="265"/>
      <c r="AF20" s="265"/>
      <c r="AG20" s="265"/>
      <c r="AH20" s="265"/>
      <c r="AI20" s="265"/>
      <c r="AJ20" s="265"/>
      <c r="AK20" s="265"/>
      <c r="AL20" s="265"/>
      <c r="AM20" s="273"/>
      <c r="AN20" s="1429"/>
      <c r="AO20" s="1428"/>
      <c r="AP20" s="265"/>
      <c r="AQ20" s="265"/>
      <c r="AR20" s="265"/>
      <c r="AS20" s="265"/>
      <c r="AT20" s="265"/>
      <c r="AU20" s="265"/>
      <c r="AV20" s="265"/>
      <c r="AW20" s="265"/>
      <c r="AX20" s="273"/>
      <c r="AY20" s="1429"/>
      <c r="AZ20" s="1428"/>
      <c r="BA20" s="265"/>
      <c r="BB20" s="265"/>
      <c r="BC20" s="265"/>
      <c r="BD20" s="265"/>
      <c r="BE20" s="265"/>
      <c r="BF20" s="265"/>
      <c r="BG20" s="265"/>
      <c r="BH20" s="265"/>
      <c r="BI20" s="273"/>
      <c r="BJ20" s="273"/>
      <c r="BK20" s="1143"/>
    </row>
    <row r="21" spans="1:63" s="1168" customFormat="1" ht="15" customHeight="1" x14ac:dyDescent="0.2">
      <c r="A21" s="63"/>
      <c r="B21" s="1456" t="s">
        <v>1232</v>
      </c>
      <c r="C21" s="1456"/>
      <c r="D21" s="1456"/>
      <c r="E21" s="1456"/>
      <c r="F21" s="265"/>
      <c r="G21" s="265"/>
      <c r="H21" s="1428"/>
      <c r="I21" s="265"/>
      <c r="J21" s="265"/>
      <c r="K21" s="265"/>
      <c r="L21" s="265"/>
      <c r="M21" s="265"/>
      <c r="N21" s="265"/>
      <c r="O21" s="265"/>
      <c r="P21" s="265"/>
      <c r="Q21" s="273"/>
      <c r="R21" s="1429"/>
      <c r="S21" s="1428"/>
      <c r="T21" s="265"/>
      <c r="U21" s="265"/>
      <c r="V21" s="265"/>
      <c r="W21" s="265"/>
      <c r="X21" s="265"/>
      <c r="Y21" s="265"/>
      <c r="Z21" s="265"/>
      <c r="AA21" s="265"/>
      <c r="AB21" s="273"/>
      <c r="AC21" s="1429"/>
      <c r="AD21" s="1428"/>
      <c r="AE21" s="265"/>
      <c r="AF21" s="265"/>
      <c r="AG21" s="265"/>
      <c r="AH21" s="265"/>
      <c r="AI21" s="265"/>
      <c r="AJ21" s="265"/>
      <c r="AK21" s="265"/>
      <c r="AL21" s="265"/>
      <c r="AM21" s="273"/>
      <c r="AN21" s="1429"/>
      <c r="AO21" s="1428"/>
      <c r="AP21" s="265"/>
      <c r="AQ21" s="265"/>
      <c r="AR21" s="265"/>
      <c r="AS21" s="265"/>
      <c r="AT21" s="265"/>
      <c r="AU21" s="265"/>
      <c r="AV21" s="265"/>
      <c r="AW21" s="265"/>
      <c r="AX21" s="273"/>
      <c r="AY21" s="1429"/>
      <c r="AZ21" s="1428"/>
      <c r="BA21" s="265"/>
      <c r="BB21" s="265"/>
      <c r="BC21" s="265"/>
      <c r="BD21" s="265"/>
      <c r="BE21" s="265"/>
      <c r="BF21" s="265"/>
      <c r="BG21" s="265"/>
      <c r="BH21" s="265"/>
      <c r="BI21" s="273"/>
      <c r="BJ21" s="273"/>
      <c r="BK21" s="1143"/>
    </row>
    <row r="22" spans="1:63" s="1168" customFormat="1" ht="15" customHeight="1" x14ac:dyDescent="0.2">
      <c r="A22" s="63"/>
      <c r="B22" s="1456" t="s">
        <v>1233</v>
      </c>
      <c r="C22" s="1456"/>
      <c r="D22" s="1456"/>
      <c r="E22" s="1456"/>
      <c r="F22" s="265"/>
      <c r="G22" s="265"/>
      <c r="H22" s="1428"/>
      <c r="I22" s="265"/>
      <c r="J22" s="265"/>
      <c r="K22" s="265"/>
      <c r="L22" s="265"/>
      <c r="M22" s="265"/>
      <c r="N22" s="265"/>
      <c r="O22" s="265"/>
      <c r="P22" s="265"/>
      <c r="Q22" s="273"/>
      <c r="R22" s="1429"/>
      <c r="S22" s="1428"/>
      <c r="T22" s="265"/>
      <c r="U22" s="265"/>
      <c r="V22" s="265"/>
      <c r="W22" s="265"/>
      <c r="X22" s="265"/>
      <c r="Y22" s="265"/>
      <c r="Z22" s="265"/>
      <c r="AA22" s="265"/>
      <c r="AB22" s="273"/>
      <c r="AC22" s="1429"/>
      <c r="AD22" s="1428"/>
      <c r="AE22" s="265"/>
      <c r="AF22" s="265"/>
      <c r="AG22" s="265"/>
      <c r="AH22" s="265"/>
      <c r="AI22" s="265"/>
      <c r="AJ22" s="265"/>
      <c r="AK22" s="265"/>
      <c r="AL22" s="265"/>
      <c r="AM22" s="273"/>
      <c r="AN22" s="1429"/>
      <c r="AO22" s="1428"/>
      <c r="AP22" s="265"/>
      <c r="AQ22" s="265"/>
      <c r="AR22" s="265"/>
      <c r="AS22" s="265"/>
      <c r="AT22" s="265"/>
      <c r="AU22" s="265"/>
      <c r="AV22" s="265"/>
      <c r="AW22" s="265"/>
      <c r="AX22" s="273"/>
      <c r="AY22" s="1429"/>
      <c r="AZ22" s="1428"/>
      <c r="BA22" s="265"/>
      <c r="BB22" s="265"/>
      <c r="BC22" s="265"/>
      <c r="BD22" s="265"/>
      <c r="BE22" s="265"/>
      <c r="BF22" s="265"/>
      <c r="BG22" s="265"/>
      <c r="BH22" s="265"/>
      <c r="BI22" s="273"/>
      <c r="BJ22" s="273"/>
      <c r="BK22" s="1143"/>
    </row>
    <row r="23" spans="1:63" s="1168" customFormat="1" ht="15" customHeight="1" x14ac:dyDescent="0.2">
      <c r="A23" s="63"/>
      <c r="B23" s="1456" t="s">
        <v>1234</v>
      </c>
      <c r="C23" s="1456"/>
      <c r="D23" s="1456"/>
      <c r="E23" s="1456"/>
      <c r="F23" s="265"/>
      <c r="G23" s="265"/>
      <c r="H23" s="1428"/>
      <c r="I23" s="265"/>
      <c r="J23" s="265"/>
      <c r="K23" s="265"/>
      <c r="L23" s="265"/>
      <c r="M23" s="265"/>
      <c r="N23" s="265"/>
      <c r="O23" s="265"/>
      <c r="P23" s="265"/>
      <c r="Q23" s="273"/>
      <c r="R23" s="1429"/>
      <c r="S23" s="1428"/>
      <c r="T23" s="265"/>
      <c r="U23" s="265"/>
      <c r="V23" s="265"/>
      <c r="W23" s="265"/>
      <c r="X23" s="265"/>
      <c r="Y23" s="265"/>
      <c r="Z23" s="265"/>
      <c r="AA23" s="265"/>
      <c r="AB23" s="273"/>
      <c r="AC23" s="1429"/>
      <c r="AD23" s="1428"/>
      <c r="AE23" s="265"/>
      <c r="AF23" s="265"/>
      <c r="AG23" s="265"/>
      <c r="AH23" s="265"/>
      <c r="AI23" s="265"/>
      <c r="AJ23" s="265"/>
      <c r="AK23" s="265"/>
      <c r="AL23" s="265"/>
      <c r="AM23" s="273"/>
      <c r="AN23" s="1429"/>
      <c r="AO23" s="1428"/>
      <c r="AP23" s="265"/>
      <c r="AQ23" s="265"/>
      <c r="AR23" s="265"/>
      <c r="AS23" s="265"/>
      <c r="AT23" s="265"/>
      <c r="AU23" s="265"/>
      <c r="AV23" s="265"/>
      <c r="AW23" s="265"/>
      <c r="AX23" s="273"/>
      <c r="AY23" s="1429"/>
      <c r="AZ23" s="1428"/>
      <c r="BA23" s="265"/>
      <c r="BB23" s="265"/>
      <c r="BC23" s="265"/>
      <c r="BD23" s="265"/>
      <c r="BE23" s="265"/>
      <c r="BF23" s="265"/>
      <c r="BG23" s="265"/>
      <c r="BH23" s="265"/>
      <c r="BI23" s="273"/>
      <c r="BJ23" s="273"/>
      <c r="BK23" s="1143"/>
    </row>
    <row r="24" spans="1:63" s="1168" customFormat="1" ht="15" customHeight="1" x14ac:dyDescent="0.2">
      <c r="A24" s="63"/>
      <c r="B24" s="1456" t="s">
        <v>1235</v>
      </c>
      <c r="C24" s="1456"/>
      <c r="D24" s="1456"/>
      <c r="E24" s="1456"/>
      <c r="F24" s="265"/>
      <c r="G24" s="265"/>
      <c r="H24" s="1428"/>
      <c r="I24" s="265"/>
      <c r="J24" s="265"/>
      <c r="K24" s="265"/>
      <c r="L24" s="265"/>
      <c r="M24" s="265"/>
      <c r="N24" s="265"/>
      <c r="O24" s="265"/>
      <c r="P24" s="265"/>
      <c r="Q24" s="273"/>
      <c r="R24" s="1429"/>
      <c r="S24" s="1428"/>
      <c r="T24" s="265"/>
      <c r="U24" s="265"/>
      <c r="V24" s="265"/>
      <c r="W24" s="265"/>
      <c r="X24" s="265"/>
      <c r="Y24" s="265"/>
      <c r="Z24" s="265"/>
      <c r="AA24" s="265"/>
      <c r="AB24" s="273"/>
      <c r="AC24" s="1429"/>
      <c r="AD24" s="1428"/>
      <c r="AE24" s="265"/>
      <c r="AF24" s="265"/>
      <c r="AG24" s="265"/>
      <c r="AH24" s="265"/>
      <c r="AI24" s="265"/>
      <c r="AJ24" s="265"/>
      <c r="AK24" s="265"/>
      <c r="AL24" s="265"/>
      <c r="AM24" s="273"/>
      <c r="AN24" s="1429"/>
      <c r="AO24" s="1428"/>
      <c r="AP24" s="265"/>
      <c r="AQ24" s="265"/>
      <c r="AR24" s="265"/>
      <c r="AS24" s="265"/>
      <c r="AT24" s="265"/>
      <c r="AU24" s="265"/>
      <c r="AV24" s="265"/>
      <c r="AW24" s="265"/>
      <c r="AX24" s="273"/>
      <c r="AY24" s="1429"/>
      <c r="AZ24" s="1428"/>
      <c r="BA24" s="265"/>
      <c r="BB24" s="265"/>
      <c r="BC24" s="265"/>
      <c r="BD24" s="265"/>
      <c r="BE24" s="265"/>
      <c r="BF24" s="265"/>
      <c r="BG24" s="265"/>
      <c r="BH24" s="265"/>
      <c r="BI24" s="273"/>
      <c r="BJ24" s="273"/>
      <c r="BK24" s="1143"/>
    </row>
    <row r="25" spans="1:63" s="1168" customFormat="1" ht="15" customHeight="1" x14ac:dyDescent="0.2">
      <c r="A25" s="63"/>
      <c r="B25" s="1456" t="s">
        <v>1236</v>
      </c>
      <c r="C25" s="1456"/>
      <c r="D25" s="1456"/>
      <c r="E25" s="1456"/>
      <c r="F25" s="265"/>
      <c r="G25" s="265"/>
      <c r="H25" s="1428"/>
      <c r="I25" s="265"/>
      <c r="J25" s="265"/>
      <c r="K25" s="265"/>
      <c r="L25" s="265"/>
      <c r="M25" s="265"/>
      <c r="N25" s="265"/>
      <c r="O25" s="265"/>
      <c r="P25" s="265"/>
      <c r="Q25" s="273"/>
      <c r="R25" s="1429"/>
      <c r="S25" s="1428"/>
      <c r="T25" s="265"/>
      <c r="U25" s="265"/>
      <c r="V25" s="265"/>
      <c r="W25" s="265"/>
      <c r="X25" s="265"/>
      <c r="Y25" s="265"/>
      <c r="Z25" s="265"/>
      <c r="AA25" s="265"/>
      <c r="AB25" s="273"/>
      <c r="AC25" s="1429"/>
      <c r="AD25" s="1428"/>
      <c r="AE25" s="265"/>
      <c r="AF25" s="265"/>
      <c r="AG25" s="265"/>
      <c r="AH25" s="265"/>
      <c r="AI25" s="265"/>
      <c r="AJ25" s="265"/>
      <c r="AK25" s="265"/>
      <c r="AL25" s="265"/>
      <c r="AM25" s="273"/>
      <c r="AN25" s="1429"/>
      <c r="AO25" s="1428"/>
      <c r="AP25" s="265"/>
      <c r="AQ25" s="265"/>
      <c r="AR25" s="265"/>
      <c r="AS25" s="265"/>
      <c r="AT25" s="265"/>
      <c r="AU25" s="265"/>
      <c r="AV25" s="265"/>
      <c r="AW25" s="265"/>
      <c r="AX25" s="273"/>
      <c r="AY25" s="1429"/>
      <c r="AZ25" s="1428"/>
      <c r="BA25" s="265"/>
      <c r="BB25" s="265"/>
      <c r="BC25" s="265"/>
      <c r="BD25" s="265"/>
      <c r="BE25" s="265"/>
      <c r="BF25" s="265"/>
      <c r="BG25" s="265"/>
      <c r="BH25" s="265"/>
      <c r="BI25" s="273"/>
      <c r="BJ25" s="273"/>
      <c r="BK25" s="1143"/>
    </row>
    <row r="26" spans="1:63" s="1168" customFormat="1" ht="15" customHeight="1" x14ac:dyDescent="0.2">
      <c r="A26" s="63"/>
      <c r="B26" s="1456" t="s">
        <v>1237</v>
      </c>
      <c r="C26" s="1456"/>
      <c r="D26" s="1456"/>
      <c r="E26" s="1456"/>
      <c r="F26" s="265"/>
      <c r="G26" s="265"/>
      <c r="H26" s="1428"/>
      <c r="I26" s="265"/>
      <c r="J26" s="265"/>
      <c r="K26" s="265"/>
      <c r="L26" s="265"/>
      <c r="M26" s="265"/>
      <c r="N26" s="265"/>
      <c r="O26" s="265"/>
      <c r="P26" s="265"/>
      <c r="Q26" s="273"/>
      <c r="R26" s="1429"/>
      <c r="S26" s="1428"/>
      <c r="T26" s="265"/>
      <c r="U26" s="265"/>
      <c r="V26" s="265"/>
      <c r="W26" s="265"/>
      <c r="X26" s="265"/>
      <c r="Y26" s="265"/>
      <c r="Z26" s="265"/>
      <c r="AA26" s="265"/>
      <c r="AB26" s="273"/>
      <c r="AC26" s="1429"/>
      <c r="AD26" s="1428"/>
      <c r="AE26" s="265"/>
      <c r="AF26" s="265"/>
      <c r="AG26" s="265"/>
      <c r="AH26" s="265"/>
      <c r="AI26" s="265"/>
      <c r="AJ26" s="265"/>
      <c r="AK26" s="265"/>
      <c r="AL26" s="265"/>
      <c r="AM26" s="273"/>
      <c r="AN26" s="1429"/>
      <c r="AO26" s="1428"/>
      <c r="AP26" s="265"/>
      <c r="AQ26" s="265"/>
      <c r="AR26" s="265"/>
      <c r="AS26" s="265"/>
      <c r="AT26" s="265"/>
      <c r="AU26" s="265"/>
      <c r="AV26" s="265"/>
      <c r="AW26" s="265"/>
      <c r="AX26" s="273"/>
      <c r="AY26" s="1429"/>
      <c r="AZ26" s="1428"/>
      <c r="BA26" s="265"/>
      <c r="BB26" s="265"/>
      <c r="BC26" s="265"/>
      <c r="BD26" s="265"/>
      <c r="BE26" s="265"/>
      <c r="BF26" s="265"/>
      <c r="BG26" s="265"/>
      <c r="BH26" s="265"/>
      <c r="BI26" s="273"/>
      <c r="BJ26" s="273"/>
      <c r="BK26" s="1143"/>
    </row>
    <row r="27" spans="1:63" s="1168" customFormat="1" ht="15" customHeight="1" x14ac:dyDescent="0.2">
      <c r="A27" s="63"/>
      <c r="B27" s="1456" t="s">
        <v>1238</v>
      </c>
      <c r="C27" s="1456"/>
      <c r="D27" s="1456"/>
      <c r="E27" s="1456"/>
      <c r="F27" s="265"/>
      <c r="G27" s="265"/>
      <c r="H27" s="1428"/>
      <c r="I27" s="265"/>
      <c r="J27" s="265"/>
      <c r="K27" s="265"/>
      <c r="L27" s="265"/>
      <c r="M27" s="265"/>
      <c r="N27" s="265"/>
      <c r="O27" s="265"/>
      <c r="P27" s="265"/>
      <c r="Q27" s="273"/>
      <c r="R27" s="1429"/>
      <c r="S27" s="1428"/>
      <c r="T27" s="265"/>
      <c r="U27" s="265"/>
      <c r="V27" s="265"/>
      <c r="W27" s="265"/>
      <c r="X27" s="265"/>
      <c r="Y27" s="265"/>
      <c r="Z27" s="265"/>
      <c r="AA27" s="265"/>
      <c r="AB27" s="273"/>
      <c r="AC27" s="1429"/>
      <c r="AD27" s="1428"/>
      <c r="AE27" s="265"/>
      <c r="AF27" s="265"/>
      <c r="AG27" s="265"/>
      <c r="AH27" s="265"/>
      <c r="AI27" s="265"/>
      <c r="AJ27" s="265"/>
      <c r="AK27" s="265"/>
      <c r="AL27" s="265"/>
      <c r="AM27" s="273"/>
      <c r="AN27" s="1429"/>
      <c r="AO27" s="1428"/>
      <c r="AP27" s="265"/>
      <c r="AQ27" s="265"/>
      <c r="AR27" s="265"/>
      <c r="AS27" s="265"/>
      <c r="AT27" s="265"/>
      <c r="AU27" s="265"/>
      <c r="AV27" s="265"/>
      <c r="AW27" s="265"/>
      <c r="AX27" s="273"/>
      <c r="AY27" s="1429"/>
      <c r="AZ27" s="1428"/>
      <c r="BA27" s="265"/>
      <c r="BB27" s="265"/>
      <c r="BC27" s="265"/>
      <c r="BD27" s="265"/>
      <c r="BE27" s="265"/>
      <c r="BF27" s="265"/>
      <c r="BG27" s="265"/>
      <c r="BH27" s="265"/>
      <c r="BI27" s="273"/>
      <c r="BJ27" s="273"/>
      <c r="BK27" s="1143"/>
    </row>
    <row r="28" spans="1:63" s="1168" customFormat="1" ht="15" customHeight="1" x14ac:dyDescent="0.2">
      <c r="A28" s="63"/>
      <c r="B28" s="1456" t="s">
        <v>1239</v>
      </c>
      <c r="C28" s="1456"/>
      <c r="D28" s="1456"/>
      <c r="E28" s="1456"/>
      <c r="F28" s="265"/>
      <c r="G28" s="265"/>
      <c r="H28" s="1428"/>
      <c r="I28" s="265"/>
      <c r="J28" s="265"/>
      <c r="K28" s="265"/>
      <c r="L28" s="265"/>
      <c r="M28" s="265"/>
      <c r="N28" s="265"/>
      <c r="O28" s="265"/>
      <c r="P28" s="265"/>
      <c r="Q28" s="273"/>
      <c r="R28" s="1429"/>
      <c r="S28" s="1428"/>
      <c r="T28" s="265"/>
      <c r="U28" s="265"/>
      <c r="V28" s="265"/>
      <c r="W28" s="265"/>
      <c r="X28" s="265"/>
      <c r="Y28" s="265"/>
      <c r="Z28" s="265"/>
      <c r="AA28" s="265"/>
      <c r="AB28" s="273"/>
      <c r="AC28" s="1429"/>
      <c r="AD28" s="1428"/>
      <c r="AE28" s="265"/>
      <c r="AF28" s="265"/>
      <c r="AG28" s="265"/>
      <c r="AH28" s="265"/>
      <c r="AI28" s="265"/>
      <c r="AJ28" s="265"/>
      <c r="AK28" s="265"/>
      <c r="AL28" s="265"/>
      <c r="AM28" s="273"/>
      <c r="AN28" s="1429"/>
      <c r="AO28" s="1428"/>
      <c r="AP28" s="265"/>
      <c r="AQ28" s="265"/>
      <c r="AR28" s="265"/>
      <c r="AS28" s="265"/>
      <c r="AT28" s="265"/>
      <c r="AU28" s="265"/>
      <c r="AV28" s="265"/>
      <c r="AW28" s="265"/>
      <c r="AX28" s="273"/>
      <c r="AY28" s="1429"/>
      <c r="AZ28" s="1428"/>
      <c r="BA28" s="265"/>
      <c r="BB28" s="265"/>
      <c r="BC28" s="265"/>
      <c r="BD28" s="265"/>
      <c r="BE28" s="265"/>
      <c r="BF28" s="265"/>
      <c r="BG28" s="265"/>
      <c r="BH28" s="265"/>
      <c r="BI28" s="273"/>
      <c r="BJ28" s="273"/>
      <c r="BK28" s="1143"/>
    </row>
    <row r="29" spans="1:63" s="1168" customFormat="1" ht="15" customHeight="1" x14ac:dyDescent="0.2">
      <c r="A29" s="63"/>
      <c r="B29" s="1456" t="s">
        <v>1240</v>
      </c>
      <c r="C29" s="1456"/>
      <c r="D29" s="1456"/>
      <c r="E29" s="1456"/>
      <c r="F29" s="265"/>
      <c r="G29" s="265"/>
      <c r="H29" s="1428"/>
      <c r="I29" s="265"/>
      <c r="J29" s="265"/>
      <c r="K29" s="265"/>
      <c r="L29" s="265"/>
      <c r="M29" s="265"/>
      <c r="N29" s="265"/>
      <c r="O29" s="265"/>
      <c r="P29" s="265"/>
      <c r="Q29" s="273"/>
      <c r="R29" s="1429"/>
      <c r="S29" s="1428"/>
      <c r="T29" s="265"/>
      <c r="U29" s="265"/>
      <c r="V29" s="265"/>
      <c r="W29" s="265"/>
      <c r="X29" s="265"/>
      <c r="Y29" s="265"/>
      <c r="Z29" s="265"/>
      <c r="AA29" s="265"/>
      <c r="AB29" s="273"/>
      <c r="AC29" s="1429"/>
      <c r="AD29" s="1428"/>
      <c r="AE29" s="265"/>
      <c r="AF29" s="265"/>
      <c r="AG29" s="265"/>
      <c r="AH29" s="265"/>
      <c r="AI29" s="265"/>
      <c r="AJ29" s="265"/>
      <c r="AK29" s="265"/>
      <c r="AL29" s="265"/>
      <c r="AM29" s="273"/>
      <c r="AN29" s="1429"/>
      <c r="AO29" s="1428"/>
      <c r="AP29" s="265"/>
      <c r="AQ29" s="265"/>
      <c r="AR29" s="265"/>
      <c r="AS29" s="265"/>
      <c r="AT29" s="265"/>
      <c r="AU29" s="265"/>
      <c r="AV29" s="265"/>
      <c r="AW29" s="265"/>
      <c r="AX29" s="273"/>
      <c r="AY29" s="1429"/>
      <c r="AZ29" s="1428"/>
      <c r="BA29" s="265"/>
      <c r="BB29" s="265"/>
      <c r="BC29" s="265"/>
      <c r="BD29" s="265"/>
      <c r="BE29" s="265"/>
      <c r="BF29" s="265"/>
      <c r="BG29" s="265"/>
      <c r="BH29" s="265"/>
      <c r="BI29" s="273"/>
      <c r="BJ29" s="273"/>
      <c r="BK29" s="1143"/>
    </row>
    <row r="30" spans="1:63" s="1168" customFormat="1" ht="15" customHeight="1" x14ac:dyDescent="0.2">
      <c r="A30" s="63"/>
      <c r="B30" s="1456" t="s">
        <v>1241</v>
      </c>
      <c r="C30" s="1456"/>
      <c r="D30" s="1456"/>
      <c r="E30" s="1456"/>
      <c r="F30" s="265"/>
      <c r="G30" s="265"/>
      <c r="H30" s="1428"/>
      <c r="I30" s="265"/>
      <c r="J30" s="265"/>
      <c r="K30" s="265"/>
      <c r="L30" s="265"/>
      <c r="M30" s="265"/>
      <c r="N30" s="265"/>
      <c r="O30" s="265"/>
      <c r="P30" s="265"/>
      <c r="Q30" s="273"/>
      <c r="R30" s="1429"/>
      <c r="S30" s="1428"/>
      <c r="T30" s="265"/>
      <c r="U30" s="265"/>
      <c r="V30" s="265"/>
      <c r="W30" s="265"/>
      <c r="X30" s="265"/>
      <c r="Y30" s="265"/>
      <c r="Z30" s="265"/>
      <c r="AA30" s="265"/>
      <c r="AB30" s="273"/>
      <c r="AC30" s="1429"/>
      <c r="AD30" s="1428"/>
      <c r="AE30" s="265"/>
      <c r="AF30" s="265"/>
      <c r="AG30" s="265"/>
      <c r="AH30" s="265"/>
      <c r="AI30" s="265"/>
      <c r="AJ30" s="265"/>
      <c r="AK30" s="265"/>
      <c r="AL30" s="265"/>
      <c r="AM30" s="273"/>
      <c r="AN30" s="1429"/>
      <c r="AO30" s="1428"/>
      <c r="AP30" s="265"/>
      <c r="AQ30" s="265"/>
      <c r="AR30" s="265"/>
      <c r="AS30" s="265"/>
      <c r="AT30" s="265"/>
      <c r="AU30" s="265"/>
      <c r="AV30" s="265"/>
      <c r="AW30" s="265"/>
      <c r="AX30" s="273"/>
      <c r="AY30" s="1429"/>
      <c r="AZ30" s="1428"/>
      <c r="BA30" s="265"/>
      <c r="BB30" s="265"/>
      <c r="BC30" s="265"/>
      <c r="BD30" s="265"/>
      <c r="BE30" s="265"/>
      <c r="BF30" s="265"/>
      <c r="BG30" s="265"/>
      <c r="BH30" s="265"/>
      <c r="BI30" s="273"/>
      <c r="BJ30" s="273"/>
      <c r="BK30" s="1143"/>
    </row>
    <row r="31" spans="1:63" s="1168" customFormat="1" ht="15" customHeight="1" x14ac:dyDescent="0.2">
      <c r="A31" s="63"/>
      <c r="B31" s="1456" t="s">
        <v>1242</v>
      </c>
      <c r="C31" s="1456"/>
      <c r="D31" s="1456"/>
      <c r="E31" s="1456"/>
      <c r="F31" s="265"/>
      <c r="G31" s="265"/>
      <c r="H31" s="1428"/>
      <c r="I31" s="265"/>
      <c r="J31" s="265"/>
      <c r="K31" s="265"/>
      <c r="L31" s="265"/>
      <c r="M31" s="265"/>
      <c r="N31" s="265"/>
      <c r="O31" s="265"/>
      <c r="P31" s="265"/>
      <c r="Q31" s="273"/>
      <c r="R31" s="1429"/>
      <c r="S31" s="1428"/>
      <c r="T31" s="265"/>
      <c r="U31" s="265"/>
      <c r="V31" s="265"/>
      <c r="W31" s="265"/>
      <c r="X31" s="265"/>
      <c r="Y31" s="265"/>
      <c r="Z31" s="265"/>
      <c r="AA31" s="265"/>
      <c r="AB31" s="273"/>
      <c r="AC31" s="1429"/>
      <c r="AD31" s="1428"/>
      <c r="AE31" s="265"/>
      <c r="AF31" s="265"/>
      <c r="AG31" s="265"/>
      <c r="AH31" s="265"/>
      <c r="AI31" s="265"/>
      <c r="AJ31" s="265"/>
      <c r="AK31" s="265"/>
      <c r="AL31" s="265"/>
      <c r="AM31" s="273"/>
      <c r="AN31" s="1429"/>
      <c r="AO31" s="1428"/>
      <c r="AP31" s="265"/>
      <c r="AQ31" s="265"/>
      <c r="AR31" s="265"/>
      <c r="AS31" s="265"/>
      <c r="AT31" s="265"/>
      <c r="AU31" s="265"/>
      <c r="AV31" s="265"/>
      <c r="AW31" s="265"/>
      <c r="AX31" s="273"/>
      <c r="AY31" s="1429"/>
      <c r="AZ31" s="1428"/>
      <c r="BA31" s="265"/>
      <c r="BB31" s="265"/>
      <c r="BC31" s="265"/>
      <c r="BD31" s="265"/>
      <c r="BE31" s="265"/>
      <c r="BF31" s="265"/>
      <c r="BG31" s="265"/>
      <c r="BH31" s="265"/>
      <c r="BI31" s="273"/>
      <c r="BJ31" s="273"/>
      <c r="BK31" s="1143"/>
    </row>
    <row r="32" spans="1:63" s="1168" customFormat="1" ht="15" customHeight="1" x14ac:dyDescent="0.2">
      <c r="A32" s="63"/>
      <c r="B32" s="1456" t="s">
        <v>1243</v>
      </c>
      <c r="C32" s="1456"/>
      <c r="D32" s="1456"/>
      <c r="E32" s="1456"/>
      <c r="F32" s="265"/>
      <c r="G32" s="265"/>
      <c r="H32" s="1428"/>
      <c r="I32" s="265"/>
      <c r="J32" s="265"/>
      <c r="K32" s="265"/>
      <c r="L32" s="265"/>
      <c r="M32" s="265"/>
      <c r="N32" s="265"/>
      <c r="O32" s="265"/>
      <c r="P32" s="265"/>
      <c r="Q32" s="273"/>
      <c r="R32" s="1429"/>
      <c r="S32" s="1428"/>
      <c r="T32" s="265"/>
      <c r="U32" s="265"/>
      <c r="V32" s="265"/>
      <c r="W32" s="265"/>
      <c r="X32" s="265"/>
      <c r="Y32" s="265"/>
      <c r="Z32" s="265"/>
      <c r="AA32" s="265"/>
      <c r="AB32" s="273"/>
      <c r="AC32" s="1429"/>
      <c r="AD32" s="1428"/>
      <c r="AE32" s="265"/>
      <c r="AF32" s="265"/>
      <c r="AG32" s="265"/>
      <c r="AH32" s="265"/>
      <c r="AI32" s="265"/>
      <c r="AJ32" s="265"/>
      <c r="AK32" s="265"/>
      <c r="AL32" s="265"/>
      <c r="AM32" s="273"/>
      <c r="AN32" s="1429"/>
      <c r="AO32" s="1428"/>
      <c r="AP32" s="265"/>
      <c r="AQ32" s="265"/>
      <c r="AR32" s="265"/>
      <c r="AS32" s="265"/>
      <c r="AT32" s="265"/>
      <c r="AU32" s="265"/>
      <c r="AV32" s="265"/>
      <c r="AW32" s="265"/>
      <c r="AX32" s="273"/>
      <c r="AY32" s="1429"/>
      <c r="AZ32" s="1428"/>
      <c r="BA32" s="265"/>
      <c r="BB32" s="265"/>
      <c r="BC32" s="265"/>
      <c r="BD32" s="265"/>
      <c r="BE32" s="265"/>
      <c r="BF32" s="265"/>
      <c r="BG32" s="265"/>
      <c r="BH32" s="265"/>
      <c r="BI32" s="273"/>
      <c r="BJ32" s="273"/>
      <c r="BK32" s="1143"/>
    </row>
    <row r="33" spans="1:63" s="1168" customFormat="1" ht="15" customHeight="1" x14ac:dyDescent="0.2">
      <c r="A33" s="63"/>
      <c r="B33" s="1456" t="s">
        <v>1244</v>
      </c>
      <c r="C33" s="1456"/>
      <c r="D33" s="1456"/>
      <c r="E33" s="1456"/>
      <c r="F33" s="265"/>
      <c r="G33" s="265"/>
      <c r="H33" s="1428"/>
      <c r="I33" s="265"/>
      <c r="J33" s="265"/>
      <c r="K33" s="265"/>
      <c r="L33" s="265"/>
      <c r="M33" s="265"/>
      <c r="N33" s="265"/>
      <c r="O33" s="265"/>
      <c r="P33" s="265"/>
      <c r="Q33" s="273"/>
      <c r="R33" s="1429"/>
      <c r="S33" s="1428"/>
      <c r="T33" s="265"/>
      <c r="U33" s="265"/>
      <c r="V33" s="265"/>
      <c r="W33" s="265"/>
      <c r="X33" s="265"/>
      <c r="Y33" s="265"/>
      <c r="Z33" s="265"/>
      <c r="AA33" s="265"/>
      <c r="AB33" s="273"/>
      <c r="AC33" s="1429"/>
      <c r="AD33" s="1428"/>
      <c r="AE33" s="265"/>
      <c r="AF33" s="265"/>
      <c r="AG33" s="265"/>
      <c r="AH33" s="265"/>
      <c r="AI33" s="265"/>
      <c r="AJ33" s="265"/>
      <c r="AK33" s="265"/>
      <c r="AL33" s="265"/>
      <c r="AM33" s="273"/>
      <c r="AN33" s="1429"/>
      <c r="AO33" s="1428"/>
      <c r="AP33" s="265"/>
      <c r="AQ33" s="265"/>
      <c r="AR33" s="265"/>
      <c r="AS33" s="265"/>
      <c r="AT33" s="265"/>
      <c r="AU33" s="265"/>
      <c r="AV33" s="265"/>
      <c r="AW33" s="265"/>
      <c r="AX33" s="273"/>
      <c r="AY33" s="1429"/>
      <c r="AZ33" s="1428"/>
      <c r="BA33" s="265"/>
      <c r="BB33" s="265"/>
      <c r="BC33" s="265"/>
      <c r="BD33" s="265"/>
      <c r="BE33" s="265"/>
      <c r="BF33" s="265"/>
      <c r="BG33" s="265"/>
      <c r="BH33" s="265"/>
      <c r="BI33" s="273"/>
      <c r="BJ33" s="273"/>
      <c r="BK33" s="1143"/>
    </row>
    <row r="34" spans="1:63" s="1168" customFormat="1" ht="15" customHeight="1" x14ac:dyDescent="0.2">
      <c r="A34" s="63"/>
      <c r="B34" s="1456" t="s">
        <v>1245</v>
      </c>
      <c r="C34" s="1456"/>
      <c r="D34" s="1456"/>
      <c r="E34" s="1456"/>
      <c r="F34" s="265"/>
      <c r="G34" s="265"/>
      <c r="H34" s="1428"/>
      <c r="I34" s="265"/>
      <c r="J34" s="265"/>
      <c r="K34" s="265"/>
      <c r="L34" s="265"/>
      <c r="M34" s="265"/>
      <c r="N34" s="265"/>
      <c r="O34" s="265"/>
      <c r="P34" s="265"/>
      <c r="Q34" s="273"/>
      <c r="R34" s="1429"/>
      <c r="S34" s="1428"/>
      <c r="T34" s="265"/>
      <c r="U34" s="265"/>
      <c r="V34" s="265"/>
      <c r="W34" s="265"/>
      <c r="X34" s="265"/>
      <c r="Y34" s="265"/>
      <c r="Z34" s="265"/>
      <c r="AA34" s="265"/>
      <c r="AB34" s="273"/>
      <c r="AC34" s="1429"/>
      <c r="AD34" s="1428"/>
      <c r="AE34" s="265"/>
      <c r="AF34" s="265"/>
      <c r="AG34" s="265"/>
      <c r="AH34" s="265"/>
      <c r="AI34" s="265"/>
      <c r="AJ34" s="265"/>
      <c r="AK34" s="265"/>
      <c r="AL34" s="265"/>
      <c r="AM34" s="273"/>
      <c r="AN34" s="1429"/>
      <c r="AO34" s="1428"/>
      <c r="AP34" s="265"/>
      <c r="AQ34" s="265"/>
      <c r="AR34" s="265"/>
      <c r="AS34" s="265"/>
      <c r="AT34" s="265"/>
      <c r="AU34" s="265"/>
      <c r="AV34" s="265"/>
      <c r="AW34" s="265"/>
      <c r="AX34" s="273"/>
      <c r="AY34" s="1429"/>
      <c r="AZ34" s="1428"/>
      <c r="BA34" s="265"/>
      <c r="BB34" s="265"/>
      <c r="BC34" s="265"/>
      <c r="BD34" s="265"/>
      <c r="BE34" s="265"/>
      <c r="BF34" s="265"/>
      <c r="BG34" s="265"/>
      <c r="BH34" s="265"/>
      <c r="BI34" s="273"/>
      <c r="BJ34" s="273"/>
      <c r="BK34" s="1143"/>
    </row>
    <row r="35" spans="1:63" s="1168" customFormat="1" ht="15" customHeight="1" x14ac:dyDescent="0.2">
      <c r="A35" s="63"/>
      <c r="B35" s="1456" t="s">
        <v>889</v>
      </c>
      <c r="C35" s="1456"/>
      <c r="D35" s="1456"/>
      <c r="E35" s="1456"/>
      <c r="F35" s="265"/>
      <c r="G35" s="265"/>
      <c r="H35" s="1428"/>
      <c r="I35" s="265"/>
      <c r="J35" s="265"/>
      <c r="K35" s="265"/>
      <c r="L35" s="265"/>
      <c r="M35" s="265"/>
      <c r="N35" s="265"/>
      <c r="O35" s="265"/>
      <c r="P35" s="265"/>
      <c r="Q35" s="273"/>
      <c r="R35" s="1429"/>
      <c r="S35" s="1428"/>
      <c r="T35" s="265"/>
      <c r="U35" s="265"/>
      <c r="V35" s="265"/>
      <c r="W35" s="265"/>
      <c r="X35" s="265"/>
      <c r="Y35" s="265"/>
      <c r="Z35" s="265"/>
      <c r="AA35" s="265"/>
      <c r="AB35" s="273"/>
      <c r="AC35" s="1429"/>
      <c r="AD35" s="1428"/>
      <c r="AE35" s="265"/>
      <c r="AF35" s="265"/>
      <c r="AG35" s="265"/>
      <c r="AH35" s="265"/>
      <c r="AI35" s="265"/>
      <c r="AJ35" s="265"/>
      <c r="AK35" s="265"/>
      <c r="AL35" s="265"/>
      <c r="AM35" s="273"/>
      <c r="AN35" s="1429"/>
      <c r="AO35" s="1428"/>
      <c r="AP35" s="265"/>
      <c r="AQ35" s="265"/>
      <c r="AR35" s="265"/>
      <c r="AS35" s="265"/>
      <c r="AT35" s="265"/>
      <c r="AU35" s="265"/>
      <c r="AV35" s="265"/>
      <c r="AW35" s="265"/>
      <c r="AX35" s="273"/>
      <c r="AY35" s="1429"/>
      <c r="AZ35" s="1428"/>
      <c r="BA35" s="265"/>
      <c r="BB35" s="265"/>
      <c r="BC35" s="265"/>
      <c r="BD35" s="265"/>
      <c r="BE35" s="265"/>
      <c r="BF35" s="265"/>
      <c r="BG35" s="265"/>
      <c r="BH35" s="265"/>
      <c r="BI35" s="273"/>
      <c r="BJ35" s="273"/>
      <c r="BK35" s="1143"/>
    </row>
    <row r="36" spans="1:63" s="1168" customFormat="1" ht="15" customHeight="1" x14ac:dyDescent="0.2">
      <c r="A36" s="63"/>
      <c r="B36" s="1457" t="s">
        <v>1246</v>
      </c>
      <c r="C36" s="1457"/>
      <c r="D36" s="1457"/>
      <c r="E36" s="1457"/>
      <c r="F36" s="321"/>
      <c r="G36" s="321"/>
      <c r="H36" s="1430"/>
      <c r="I36" s="321"/>
      <c r="J36" s="321"/>
      <c r="K36" s="321"/>
      <c r="L36" s="321"/>
      <c r="M36" s="321"/>
      <c r="N36" s="321"/>
      <c r="O36" s="321"/>
      <c r="P36" s="321"/>
      <c r="Q36" s="275"/>
      <c r="R36" s="1431"/>
      <c r="S36" s="1430"/>
      <c r="T36" s="321"/>
      <c r="U36" s="321"/>
      <c r="V36" s="321"/>
      <c r="W36" s="321"/>
      <c r="X36" s="321"/>
      <c r="Y36" s="321"/>
      <c r="Z36" s="321"/>
      <c r="AA36" s="321"/>
      <c r="AB36" s="275"/>
      <c r="AC36" s="1431"/>
      <c r="AD36" s="1430"/>
      <c r="AE36" s="321"/>
      <c r="AF36" s="321"/>
      <c r="AG36" s="321"/>
      <c r="AH36" s="321"/>
      <c r="AI36" s="321"/>
      <c r="AJ36" s="321"/>
      <c r="AK36" s="321"/>
      <c r="AL36" s="321"/>
      <c r="AM36" s="275"/>
      <c r="AN36" s="1431"/>
      <c r="AO36" s="1430"/>
      <c r="AP36" s="321"/>
      <c r="AQ36" s="321"/>
      <c r="AR36" s="321"/>
      <c r="AS36" s="321"/>
      <c r="AT36" s="321"/>
      <c r="AU36" s="321"/>
      <c r="AV36" s="321"/>
      <c r="AW36" s="321"/>
      <c r="AX36" s="275"/>
      <c r="AY36" s="1431"/>
      <c r="AZ36" s="1430"/>
      <c r="BA36" s="321"/>
      <c r="BB36" s="321"/>
      <c r="BC36" s="321"/>
      <c r="BD36" s="321"/>
      <c r="BE36" s="321"/>
      <c r="BF36" s="321"/>
      <c r="BG36" s="321"/>
      <c r="BH36" s="321"/>
      <c r="BI36" s="275"/>
      <c r="BJ36" s="275"/>
      <c r="BK36" s="1143"/>
    </row>
    <row r="37" spans="1:63" s="1168" customFormat="1" ht="15" customHeight="1" x14ac:dyDescent="0.2">
      <c r="A37" s="74"/>
      <c r="B37" s="1169"/>
      <c r="C37" s="1169"/>
      <c r="D37" s="1169"/>
      <c r="E37" s="1169"/>
      <c r="F37" s="1169"/>
      <c r="G37" s="1170"/>
      <c r="H37" s="204"/>
      <c r="I37" s="204"/>
      <c r="J37" s="204"/>
      <c r="K37" s="204"/>
      <c r="L37" s="1170"/>
      <c r="M37" s="204"/>
      <c r="N37" s="204"/>
      <c r="O37" s="204"/>
      <c r="P37" s="204"/>
      <c r="Q37" s="1170"/>
      <c r="R37" s="1170"/>
      <c r="S37" s="204"/>
      <c r="T37" s="204"/>
      <c r="U37" s="204"/>
      <c r="V37" s="204"/>
      <c r="W37" s="1170"/>
      <c r="X37" s="204"/>
      <c r="Y37" s="204"/>
      <c r="Z37" s="204"/>
      <c r="AA37" s="204"/>
      <c r="AB37" s="1170"/>
      <c r="AC37" s="1170"/>
      <c r="AD37" s="204"/>
      <c r="AE37" s="204"/>
      <c r="AF37" s="204"/>
      <c r="AG37" s="204"/>
      <c r="AH37" s="1170"/>
      <c r="AI37" s="204"/>
      <c r="AJ37" s="204"/>
      <c r="AK37" s="204"/>
      <c r="AL37" s="204"/>
      <c r="AM37" s="1170"/>
      <c r="AN37" s="1170"/>
      <c r="AO37" s="204"/>
      <c r="AP37" s="204"/>
      <c r="AQ37" s="204"/>
      <c r="AR37" s="204"/>
      <c r="AS37" s="1170"/>
      <c r="AT37" s="204"/>
      <c r="AU37" s="204"/>
      <c r="AV37" s="204"/>
      <c r="AW37" s="204"/>
      <c r="AX37" s="1170"/>
      <c r="AY37" s="1170"/>
      <c r="AZ37" s="204"/>
      <c r="BA37" s="204"/>
      <c r="BB37" s="204"/>
      <c r="BC37" s="204"/>
      <c r="BD37" s="1170"/>
      <c r="BE37" s="204"/>
      <c r="BF37" s="204"/>
      <c r="BG37" s="204"/>
      <c r="BH37" s="204"/>
      <c r="BI37" s="1170"/>
      <c r="BJ37" s="1170"/>
      <c r="BK37" s="1143"/>
    </row>
    <row r="38" spans="1:63" s="1168" customFormat="1" ht="15" customHeight="1" x14ac:dyDescent="0.2">
      <c r="A38" s="63"/>
      <c r="B38" s="1723" t="s">
        <v>178</v>
      </c>
      <c r="C38" s="1723"/>
      <c r="D38" s="1723"/>
      <c r="E38" s="1723"/>
      <c r="F38" s="1425"/>
      <c r="G38" s="1464"/>
      <c r="H38" s="1517"/>
      <c r="I38" s="629"/>
      <c r="J38" s="629"/>
      <c r="K38" s="629"/>
      <c r="L38" s="629"/>
      <c r="M38" s="629"/>
      <c r="N38" s="629"/>
      <c r="O38" s="629"/>
      <c r="P38" s="629"/>
      <c r="Q38" s="1465"/>
      <c r="R38" s="1464"/>
      <c r="S38" s="1517"/>
      <c r="T38" s="629"/>
      <c r="U38" s="629"/>
      <c r="V38" s="629"/>
      <c r="W38" s="629"/>
      <c r="X38" s="629"/>
      <c r="Y38" s="629"/>
      <c r="Z38" s="629"/>
      <c r="AA38" s="629"/>
      <c r="AB38" s="1465"/>
      <c r="AC38" s="1464"/>
      <c r="AD38" s="1518"/>
      <c r="AE38" s="1517"/>
      <c r="AF38" s="629"/>
      <c r="AG38" s="629"/>
      <c r="AH38" s="629"/>
      <c r="AI38" s="629"/>
      <c r="AJ38" s="629"/>
      <c r="AK38" s="629"/>
      <c r="AL38" s="629"/>
      <c r="AM38" s="1465"/>
      <c r="AN38" s="1465"/>
      <c r="AO38" s="1518"/>
      <c r="AP38" s="1517"/>
      <c r="AQ38" s="629"/>
      <c r="AR38" s="629"/>
      <c r="AS38" s="629"/>
      <c r="AT38" s="629"/>
      <c r="AU38" s="629"/>
      <c r="AV38" s="629"/>
      <c r="AW38" s="629"/>
      <c r="AX38" s="1465"/>
      <c r="AY38" s="1464"/>
      <c r="AZ38" s="1517"/>
      <c r="BA38" s="629"/>
      <c r="BB38" s="629"/>
      <c r="BC38" s="629"/>
      <c r="BD38" s="629"/>
      <c r="BE38" s="629"/>
      <c r="BF38" s="629"/>
      <c r="BG38" s="629"/>
      <c r="BH38" s="629"/>
      <c r="BI38" s="1465"/>
      <c r="BJ38" s="1465"/>
      <c r="BK38" s="1143"/>
    </row>
    <row r="39" spans="1:63" ht="15" customHeight="1" x14ac:dyDescent="0.2">
      <c r="A39" s="1076"/>
      <c r="B39" s="1074"/>
      <c r="G39" s="1074"/>
      <c r="H39" s="1074"/>
      <c r="I39" s="1074"/>
      <c r="J39" s="1074"/>
      <c r="AB39" s="1320"/>
      <c r="BK39" s="1075"/>
    </row>
    <row r="40" spans="1:63" ht="15" customHeight="1" x14ac:dyDescent="0.2">
      <c r="A40" s="1076"/>
      <c r="B40" s="1516" t="s">
        <v>1319</v>
      </c>
      <c r="C40" s="1516"/>
      <c r="D40" s="1516"/>
      <c r="E40" s="1516"/>
      <c r="F40" s="1455" t="str">
        <f>IF(AND(ISNUMBER(F38), ISNUMBER(AD38),ISNUMBER(AO38)), F38+AD38+AO38, "")</f>
        <v/>
      </c>
      <c r="G40" s="183"/>
      <c r="H40" s="183"/>
      <c r="I40" s="183"/>
      <c r="J40" s="183"/>
      <c r="K40" s="183"/>
      <c r="M40" s="183"/>
      <c r="N40" s="183"/>
      <c r="BK40" s="1075"/>
    </row>
    <row r="41" spans="1:63" ht="15" customHeight="1" x14ac:dyDescent="0.2">
      <c r="A41" s="1076"/>
      <c r="B41" s="1074"/>
      <c r="G41" s="1074"/>
      <c r="H41" s="1074"/>
      <c r="I41" s="1074"/>
      <c r="J41" s="1074"/>
      <c r="BK41" s="1075"/>
    </row>
    <row r="42" spans="1:63" s="207" customFormat="1" ht="30" customHeight="1" x14ac:dyDescent="0.25">
      <c r="A42" s="1377" t="s">
        <v>1330</v>
      </c>
      <c r="B42" s="18"/>
      <c r="C42" s="16"/>
      <c r="D42" s="16"/>
      <c r="E42" s="16"/>
      <c r="F42" s="16"/>
      <c r="G42" s="203"/>
      <c r="H42" s="203"/>
      <c r="I42" s="203"/>
      <c r="J42" s="203"/>
      <c r="K42" s="180"/>
      <c r="L42" s="180"/>
      <c r="M42" s="180"/>
      <c r="N42" s="180"/>
      <c r="O42" s="180"/>
      <c r="P42" s="180"/>
      <c r="Q42" s="180"/>
      <c r="R42" s="180"/>
      <c r="S42" s="180"/>
      <c r="T42" s="180"/>
      <c r="U42" s="180"/>
      <c r="V42" s="180"/>
      <c r="W42" s="180"/>
      <c r="X42" s="180"/>
      <c r="Y42" s="180"/>
      <c r="Z42" s="180"/>
      <c r="AA42" s="180"/>
      <c r="AB42" s="180"/>
      <c r="AC42" s="180"/>
      <c r="AD42" s="180"/>
      <c r="AE42" s="180"/>
      <c r="AF42" s="180"/>
      <c r="AG42" s="180"/>
      <c r="AH42" s="180"/>
      <c r="AI42" s="180"/>
      <c r="AJ42" s="180"/>
      <c r="AK42" s="180"/>
      <c r="AL42" s="180"/>
      <c r="AM42" s="180"/>
      <c r="AN42" s="180"/>
      <c r="AO42" s="180"/>
      <c r="AP42" s="180"/>
      <c r="AQ42" s="180"/>
      <c r="AR42" s="180"/>
      <c r="AS42" s="180"/>
      <c r="AT42" s="180"/>
      <c r="AU42" s="180"/>
      <c r="AV42" s="180"/>
      <c r="AW42" s="180"/>
      <c r="AX42" s="180"/>
      <c r="AY42" s="180"/>
      <c r="AZ42" s="180"/>
      <c r="BA42" s="180"/>
      <c r="BB42" s="180"/>
      <c r="BC42" s="180"/>
      <c r="BD42" s="180"/>
      <c r="BE42" s="180"/>
      <c r="BF42" s="180"/>
      <c r="BG42" s="180"/>
      <c r="BH42" s="180"/>
      <c r="BI42" s="180"/>
      <c r="BJ42" s="180"/>
      <c r="BK42" s="181"/>
    </row>
    <row r="43" spans="1:63" s="1073" customFormat="1" ht="30" customHeight="1" x14ac:dyDescent="0.25">
      <c r="A43" s="1053" t="s">
        <v>1416</v>
      </c>
      <c r="B43" s="46"/>
      <c r="C43" s="46"/>
      <c r="D43" s="46"/>
      <c r="E43" s="46"/>
      <c r="F43" s="46"/>
      <c r="G43" s="46"/>
      <c r="H43" s="46"/>
      <c r="I43" s="46"/>
      <c r="J43" s="46"/>
      <c r="BK43" s="1072"/>
    </row>
    <row r="44" spans="1:63" ht="15" customHeight="1" x14ac:dyDescent="0.2">
      <c r="A44" s="1076"/>
      <c r="B44" s="1074"/>
      <c r="G44" s="1074"/>
      <c r="H44" s="1074"/>
      <c r="I44" s="1074"/>
      <c r="J44" s="1074"/>
      <c r="BK44" s="1075"/>
    </row>
    <row r="45" spans="1:63" ht="15" customHeight="1" x14ac:dyDescent="0.2">
      <c r="A45" s="1076"/>
      <c r="B45" s="1751" t="s">
        <v>1415</v>
      </c>
      <c r="C45" s="1769" t="s">
        <v>1250</v>
      </c>
      <c r="D45" s="1771" t="s">
        <v>1251</v>
      </c>
      <c r="E45" s="1782"/>
      <c r="F45" s="1677" t="s">
        <v>1247</v>
      </c>
      <c r="G45" s="1678"/>
      <c r="H45" s="1678"/>
      <c r="I45" s="1678"/>
      <c r="J45" s="1678"/>
      <c r="K45" s="1678"/>
      <c r="L45" s="1726"/>
      <c r="M45" s="1727" t="s">
        <v>1248</v>
      </c>
      <c r="N45" s="1728"/>
      <c r="O45" s="1727" t="s">
        <v>1249</v>
      </c>
      <c r="P45" s="1722"/>
      <c r="BK45" s="1075"/>
    </row>
    <row r="46" spans="1:63" ht="15" customHeight="1" x14ac:dyDescent="0.2">
      <c r="A46" s="1076"/>
      <c r="B46" s="1752"/>
      <c r="C46" s="1781"/>
      <c r="D46" s="1783"/>
      <c r="E46" s="1784"/>
      <c r="F46" s="1628" t="s">
        <v>1215</v>
      </c>
      <c r="G46" s="1628" t="s">
        <v>1216</v>
      </c>
      <c r="H46" s="1628" t="s">
        <v>1217</v>
      </c>
      <c r="I46" s="1677" t="s">
        <v>1331</v>
      </c>
      <c r="J46" s="1679"/>
      <c r="K46" s="1698" t="s">
        <v>1332</v>
      </c>
      <c r="L46" s="1728"/>
      <c r="M46" s="1777" t="s">
        <v>1215</v>
      </c>
      <c r="N46" s="1743" t="s">
        <v>1216</v>
      </c>
      <c r="O46" s="1777" t="s">
        <v>1215</v>
      </c>
      <c r="P46" s="1773" t="s">
        <v>1216</v>
      </c>
      <c r="BK46" s="1075"/>
    </row>
    <row r="47" spans="1:63" ht="15" customHeight="1" x14ac:dyDescent="0.2">
      <c r="A47" s="1076"/>
      <c r="B47" s="1753"/>
      <c r="C47" s="1770"/>
      <c r="D47" s="1772"/>
      <c r="E47" s="1785"/>
      <c r="F47" s="1629"/>
      <c r="G47" s="1629"/>
      <c r="H47" s="1629"/>
      <c r="I47" s="1546" t="s">
        <v>1218</v>
      </c>
      <c r="J47" s="1546" t="s">
        <v>1219</v>
      </c>
      <c r="K47" s="1546" t="s">
        <v>1218</v>
      </c>
      <c r="L47" s="1547" t="s">
        <v>1219</v>
      </c>
      <c r="M47" s="1778"/>
      <c r="N47" s="1744"/>
      <c r="O47" s="1778"/>
      <c r="P47" s="1639"/>
      <c r="BK47" s="1075"/>
    </row>
    <row r="48" spans="1:63" ht="15" customHeight="1" x14ac:dyDescent="0.2">
      <c r="A48" s="1076"/>
      <c r="B48" s="1433">
        <v>1</v>
      </c>
      <c r="C48" s="1765" t="s">
        <v>1253</v>
      </c>
      <c r="D48" s="1786" t="s">
        <v>1256</v>
      </c>
      <c r="E48" s="1787"/>
      <c r="F48" s="1435"/>
      <c r="G48" s="1436"/>
      <c r="H48" s="1436"/>
      <c r="I48" s="1436"/>
      <c r="J48" s="1437"/>
      <c r="K48" s="1436"/>
      <c r="L48" s="1439"/>
      <c r="M48" s="1438"/>
      <c r="N48" s="1439"/>
      <c r="O48" s="1438"/>
      <c r="P48" s="1437"/>
      <c r="BK48" s="1075"/>
    </row>
    <row r="49" spans="1:63" ht="30" customHeight="1" x14ac:dyDescent="0.2">
      <c r="A49" s="1076"/>
      <c r="B49" s="970">
        <v>2</v>
      </c>
      <c r="C49" s="1766"/>
      <c r="D49" s="1729" t="s">
        <v>1257</v>
      </c>
      <c r="E49" s="1730"/>
      <c r="F49" s="265"/>
      <c r="G49" s="265"/>
      <c r="H49" s="265"/>
      <c r="I49" s="265"/>
      <c r="J49" s="273"/>
      <c r="K49" s="265"/>
      <c r="L49" s="1429"/>
      <c r="M49" s="1428"/>
      <c r="N49" s="1429"/>
      <c r="O49" s="1428"/>
      <c r="P49" s="273"/>
      <c r="BK49" s="1075"/>
    </row>
    <row r="50" spans="1:63" ht="15" customHeight="1" x14ac:dyDescent="0.2">
      <c r="A50" s="1076"/>
      <c r="B50" s="970">
        <v>3</v>
      </c>
      <c r="C50" s="1766"/>
      <c r="D50" s="1729" t="s">
        <v>1258</v>
      </c>
      <c r="E50" s="1730"/>
      <c r="F50" s="265"/>
      <c r="G50" s="265"/>
      <c r="H50" s="265"/>
      <c r="I50" s="265"/>
      <c r="J50" s="273"/>
      <c r="K50" s="265"/>
      <c r="L50" s="1429"/>
      <c r="M50" s="1428"/>
      <c r="N50" s="1429"/>
      <c r="O50" s="1428"/>
      <c r="P50" s="273"/>
      <c r="BK50" s="1075"/>
    </row>
    <row r="51" spans="1:63" ht="15" customHeight="1" x14ac:dyDescent="0.2">
      <c r="A51" s="1076"/>
      <c r="B51" s="970">
        <v>4</v>
      </c>
      <c r="C51" s="1766"/>
      <c r="D51" s="1729" t="s">
        <v>1255</v>
      </c>
      <c r="E51" s="1730"/>
      <c r="F51" s="265"/>
      <c r="G51" s="265"/>
      <c r="H51" s="265"/>
      <c r="I51" s="265"/>
      <c r="J51" s="273"/>
      <c r="K51" s="265"/>
      <c r="L51" s="1429"/>
      <c r="M51" s="1428"/>
      <c r="N51" s="1429"/>
      <c r="O51" s="1428"/>
      <c r="P51" s="273"/>
      <c r="BK51" s="1075"/>
    </row>
    <row r="52" spans="1:63" ht="15" customHeight="1" x14ac:dyDescent="0.2">
      <c r="A52" s="1076"/>
      <c r="B52" s="970">
        <v>5</v>
      </c>
      <c r="C52" s="1766"/>
      <c r="D52" s="1729" t="s">
        <v>1259</v>
      </c>
      <c r="E52" s="1730"/>
      <c r="F52" s="265"/>
      <c r="G52" s="265"/>
      <c r="H52" s="265"/>
      <c r="I52" s="265"/>
      <c r="J52" s="273"/>
      <c r="K52" s="265"/>
      <c r="L52" s="1429"/>
      <c r="M52" s="1428"/>
      <c r="N52" s="1429"/>
      <c r="O52" s="1428"/>
      <c r="P52" s="273"/>
      <c r="BK52" s="1075"/>
    </row>
    <row r="53" spans="1:63" ht="45" customHeight="1" x14ac:dyDescent="0.2">
      <c r="A53" s="1076"/>
      <c r="B53" s="970">
        <v>6</v>
      </c>
      <c r="C53" s="1767"/>
      <c r="D53" s="1729" t="s">
        <v>1260</v>
      </c>
      <c r="E53" s="1730"/>
      <c r="F53" s="265"/>
      <c r="G53" s="265"/>
      <c r="H53" s="265"/>
      <c r="I53" s="265"/>
      <c r="J53" s="273"/>
      <c r="K53" s="265"/>
      <c r="L53" s="1429"/>
      <c r="M53" s="1428"/>
      <c r="N53" s="1429"/>
      <c r="O53" s="1428"/>
      <c r="P53" s="273"/>
      <c r="BK53" s="1075"/>
    </row>
    <row r="54" spans="1:63" ht="15" customHeight="1" x14ac:dyDescent="0.2">
      <c r="A54" s="1076"/>
      <c r="B54" s="1434">
        <v>7</v>
      </c>
      <c r="C54" s="1768" t="s">
        <v>1254</v>
      </c>
      <c r="D54" s="1729" t="s">
        <v>1256</v>
      </c>
      <c r="E54" s="1730"/>
      <c r="F54" s="265"/>
      <c r="G54" s="265"/>
      <c r="H54" s="265"/>
      <c r="I54" s="265"/>
      <c r="J54" s="273"/>
      <c r="K54" s="265"/>
      <c r="L54" s="1429"/>
      <c r="M54" s="1428"/>
      <c r="N54" s="1429"/>
      <c r="O54" s="1428"/>
      <c r="P54" s="273"/>
      <c r="BK54" s="1075"/>
    </row>
    <row r="55" spans="1:63" ht="30" customHeight="1" x14ac:dyDescent="0.2">
      <c r="A55" s="1076"/>
      <c r="B55" s="970">
        <v>8</v>
      </c>
      <c r="C55" s="1766"/>
      <c r="D55" s="1729" t="s">
        <v>1257</v>
      </c>
      <c r="E55" s="1730"/>
      <c r="F55" s="265"/>
      <c r="G55" s="265"/>
      <c r="H55" s="265"/>
      <c r="I55" s="265"/>
      <c r="J55" s="273"/>
      <c r="K55" s="265"/>
      <c r="L55" s="1429"/>
      <c r="M55" s="1428"/>
      <c r="N55" s="1429"/>
      <c r="O55" s="1428"/>
      <c r="P55" s="273"/>
      <c r="BK55" s="1075"/>
    </row>
    <row r="56" spans="1:63" ht="15" customHeight="1" x14ac:dyDescent="0.2">
      <c r="A56" s="1076"/>
      <c r="B56" s="970">
        <v>9</v>
      </c>
      <c r="C56" s="1766"/>
      <c r="D56" s="1729" t="s">
        <v>1258</v>
      </c>
      <c r="E56" s="1730"/>
      <c r="F56" s="265"/>
      <c r="G56" s="265"/>
      <c r="H56" s="265"/>
      <c r="I56" s="265"/>
      <c r="J56" s="273"/>
      <c r="K56" s="265"/>
      <c r="L56" s="1429"/>
      <c r="M56" s="1428"/>
      <c r="N56" s="1429"/>
      <c r="O56" s="1428"/>
      <c r="P56" s="273"/>
      <c r="BK56" s="1075"/>
    </row>
    <row r="57" spans="1:63" ht="15" customHeight="1" x14ac:dyDescent="0.2">
      <c r="A57" s="1076"/>
      <c r="B57" s="970">
        <v>10</v>
      </c>
      <c r="C57" s="1766"/>
      <c r="D57" s="1729" t="s">
        <v>1255</v>
      </c>
      <c r="E57" s="1730"/>
      <c r="F57" s="265"/>
      <c r="G57" s="265"/>
      <c r="H57" s="265"/>
      <c r="I57" s="265"/>
      <c r="J57" s="273"/>
      <c r="K57" s="265"/>
      <c r="L57" s="1429"/>
      <c r="M57" s="1428"/>
      <c r="N57" s="1429"/>
      <c r="O57" s="1428"/>
      <c r="P57" s="273"/>
      <c r="BK57" s="1075"/>
    </row>
    <row r="58" spans="1:63" ht="15" customHeight="1" x14ac:dyDescent="0.2">
      <c r="A58" s="1076"/>
      <c r="B58" s="970">
        <v>11</v>
      </c>
      <c r="C58" s="1766"/>
      <c r="D58" s="1729" t="s">
        <v>1259</v>
      </c>
      <c r="E58" s="1730"/>
      <c r="F58" s="265"/>
      <c r="G58" s="265"/>
      <c r="H58" s="265"/>
      <c r="I58" s="265"/>
      <c r="J58" s="273"/>
      <c r="K58" s="265"/>
      <c r="L58" s="1429"/>
      <c r="M58" s="1428"/>
      <c r="N58" s="1429"/>
      <c r="O58" s="1428"/>
      <c r="P58" s="273"/>
      <c r="BK58" s="1075"/>
    </row>
    <row r="59" spans="1:63" ht="45" customHeight="1" x14ac:dyDescent="0.2">
      <c r="A59" s="1076"/>
      <c r="B59" s="970">
        <v>12</v>
      </c>
      <c r="C59" s="1767"/>
      <c r="D59" s="1729" t="s">
        <v>1260</v>
      </c>
      <c r="E59" s="1730"/>
      <c r="F59" s="265"/>
      <c r="G59" s="265"/>
      <c r="H59" s="265"/>
      <c r="I59" s="265"/>
      <c r="J59" s="273"/>
      <c r="K59" s="265"/>
      <c r="L59" s="1429"/>
      <c r="M59" s="1428"/>
      <c r="N59" s="1429"/>
      <c r="O59" s="1428"/>
      <c r="P59" s="273"/>
      <c r="BK59" s="1075"/>
    </row>
    <row r="60" spans="1:63" ht="15" customHeight="1" x14ac:dyDescent="0.2">
      <c r="A60" s="1076"/>
      <c r="B60" s="971" t="s">
        <v>1252</v>
      </c>
      <c r="C60" s="1749"/>
      <c r="D60" s="1750"/>
      <c r="E60" s="1750"/>
      <c r="F60" s="321"/>
      <c r="G60" s="1222"/>
      <c r="H60" s="321"/>
      <c r="I60" s="275"/>
      <c r="J60" s="275"/>
      <c r="K60" s="1222"/>
      <c r="L60" s="1222"/>
      <c r="M60" s="1430"/>
      <c r="N60" s="1222"/>
      <c r="O60" s="1430"/>
      <c r="P60" s="1222"/>
      <c r="BK60" s="1075"/>
    </row>
    <row r="61" spans="1:63" ht="15" customHeight="1" x14ac:dyDescent="0.2">
      <c r="A61" s="1076"/>
      <c r="B61" s="1074"/>
      <c r="G61" s="1074"/>
      <c r="H61" s="1074"/>
      <c r="I61" s="1074"/>
      <c r="J61" s="1074"/>
      <c r="BK61" s="1075"/>
    </row>
    <row r="62" spans="1:63" s="1168" customFormat="1" ht="15" customHeight="1" x14ac:dyDescent="0.2">
      <c r="A62" s="63"/>
      <c r="B62" s="1723" t="s">
        <v>178</v>
      </c>
      <c r="C62" s="1723"/>
      <c r="D62" s="1723"/>
      <c r="E62" s="1723"/>
      <c r="F62" s="1425"/>
      <c r="G62" s="629"/>
      <c r="H62" s="629"/>
      <c r="I62" s="629"/>
      <c r="J62" s="629"/>
      <c r="K62" s="629"/>
      <c r="L62" s="1464"/>
      <c r="M62" s="1514"/>
      <c r="N62" s="1464"/>
      <c r="O62" s="1514"/>
      <c r="P62" s="1465"/>
      <c r="Q62" s="1170"/>
      <c r="R62" s="1170"/>
      <c r="S62" s="1170"/>
      <c r="T62" s="1170"/>
      <c r="U62" s="1170"/>
      <c r="V62" s="1170"/>
      <c r="W62" s="1170"/>
      <c r="X62" s="1170"/>
      <c r="Y62" s="1170"/>
      <c r="Z62" s="1170"/>
      <c r="AA62" s="1170"/>
      <c r="AB62" s="1170"/>
      <c r="AC62" s="1170"/>
      <c r="AD62" s="1170"/>
      <c r="AE62" s="1170"/>
      <c r="AF62" s="1170"/>
      <c r="AG62" s="1170"/>
      <c r="AH62" s="1170"/>
      <c r="AI62" s="1170"/>
      <c r="AJ62" s="1170"/>
      <c r="AK62" s="1170"/>
      <c r="AL62" s="1170"/>
      <c r="AM62" s="1170"/>
      <c r="AN62" s="1170"/>
      <c r="AO62" s="1170"/>
      <c r="AP62" s="1170"/>
      <c r="AQ62" s="1170"/>
      <c r="AR62" s="1170"/>
      <c r="AS62" s="1170"/>
      <c r="AT62" s="1170"/>
      <c r="AU62" s="1170"/>
      <c r="AV62" s="1170"/>
      <c r="AW62" s="1170"/>
      <c r="AX62" s="1170"/>
      <c r="AY62" s="1170"/>
      <c r="AZ62" s="1170"/>
      <c r="BA62" s="1170"/>
      <c r="BB62" s="1170"/>
      <c r="BC62" s="1170"/>
      <c r="BD62" s="1170"/>
      <c r="BE62" s="1170"/>
      <c r="BF62" s="1170"/>
      <c r="BG62" s="1170"/>
      <c r="BH62" s="1170"/>
      <c r="BI62" s="1170"/>
      <c r="BJ62" s="1170"/>
      <c r="BK62" s="1143"/>
    </row>
    <row r="63" spans="1:63" ht="15" customHeight="1" x14ac:dyDescent="0.2">
      <c r="A63" s="1076"/>
      <c r="B63" s="1074"/>
      <c r="G63" s="1074"/>
      <c r="H63" s="1074"/>
      <c r="I63" s="1074"/>
      <c r="J63" s="1074"/>
      <c r="BK63" s="1075"/>
    </row>
    <row r="64" spans="1:63" ht="15" customHeight="1" x14ac:dyDescent="0.2">
      <c r="A64" s="1076"/>
      <c r="B64" s="1516" t="s">
        <v>1320</v>
      </c>
      <c r="C64" s="1516"/>
      <c r="D64" s="1516"/>
      <c r="E64" s="1516"/>
      <c r="F64" s="1455" t="str">
        <f>IF(AND(ISNUMBER(F62),ISNUMBER(M62),ISNUMBER(O62)),F62+M62+O62,"")</f>
        <v/>
      </c>
      <c r="G64" s="46"/>
      <c r="H64" s="1074"/>
      <c r="I64" s="183"/>
      <c r="J64" s="183"/>
      <c r="K64" s="183"/>
      <c r="L64" s="183"/>
      <c r="M64" s="183"/>
      <c r="N64" s="183"/>
      <c r="BK64" s="1075"/>
    </row>
    <row r="65" spans="1:63" s="1073" customFormat="1" ht="45" customHeight="1" x14ac:dyDescent="0.25">
      <c r="A65" s="1053" t="s">
        <v>1339</v>
      </c>
      <c r="B65" s="1442"/>
      <c r="C65" s="1442"/>
      <c r="D65" s="1442"/>
      <c r="E65" s="1442"/>
      <c r="F65" s="1442"/>
      <c r="G65" s="46"/>
      <c r="H65" s="46"/>
      <c r="I65" s="46"/>
      <c r="J65" s="46"/>
      <c r="BK65" s="1072"/>
    </row>
    <row r="66" spans="1:63" s="1073" customFormat="1" ht="30" customHeight="1" x14ac:dyDescent="0.25">
      <c r="A66" s="1053" t="s">
        <v>1493</v>
      </c>
      <c r="B66" s="46"/>
      <c r="C66" s="46"/>
      <c r="D66" s="46"/>
      <c r="E66" s="46"/>
      <c r="F66" s="46"/>
      <c r="G66" s="46"/>
      <c r="H66" s="46"/>
      <c r="I66" s="46"/>
      <c r="J66" s="46"/>
      <c r="BK66" s="1072"/>
    </row>
    <row r="67" spans="1:63" ht="15" customHeight="1" x14ac:dyDescent="0.2">
      <c r="A67" s="1076"/>
      <c r="B67" s="1074"/>
      <c r="G67" s="1074"/>
      <c r="H67" s="1074"/>
      <c r="I67" s="1074"/>
      <c r="J67" s="1074"/>
      <c r="BK67" s="1075"/>
    </row>
    <row r="68" spans="1:63" ht="15" customHeight="1" x14ac:dyDescent="0.2">
      <c r="A68" s="1076"/>
      <c r="B68" s="1751" t="s">
        <v>1415</v>
      </c>
      <c r="C68" s="1769" t="s">
        <v>1250</v>
      </c>
      <c r="D68" s="1771" t="s">
        <v>1251</v>
      </c>
      <c r="E68" s="1782"/>
      <c r="F68" s="1677" t="s">
        <v>1247</v>
      </c>
      <c r="G68" s="1678"/>
      <c r="H68" s="1678"/>
      <c r="I68" s="1678"/>
      <c r="J68" s="1678"/>
      <c r="K68" s="1678"/>
      <c r="L68" s="1726"/>
      <c r="M68" s="1727" t="s">
        <v>1248</v>
      </c>
      <c r="N68" s="1728"/>
      <c r="O68" s="1727" t="s">
        <v>1249</v>
      </c>
      <c r="P68" s="1722"/>
      <c r="BK68" s="1075"/>
    </row>
    <row r="69" spans="1:63" ht="15" customHeight="1" x14ac:dyDescent="0.2">
      <c r="A69" s="1076"/>
      <c r="B69" s="1752"/>
      <c r="C69" s="1781"/>
      <c r="D69" s="1783"/>
      <c r="E69" s="1784"/>
      <c r="F69" s="1628" t="s">
        <v>1215</v>
      </c>
      <c r="G69" s="1628" t="s">
        <v>1216</v>
      </c>
      <c r="H69" s="1628" t="s">
        <v>1217</v>
      </c>
      <c r="I69" s="1677" t="s">
        <v>1331</v>
      </c>
      <c r="J69" s="1679"/>
      <c r="K69" s="1698" t="s">
        <v>1332</v>
      </c>
      <c r="L69" s="1728"/>
      <c r="M69" s="1777" t="s">
        <v>1215</v>
      </c>
      <c r="N69" s="1743" t="s">
        <v>1216</v>
      </c>
      <c r="O69" s="1777" t="s">
        <v>1215</v>
      </c>
      <c r="P69" s="1773" t="s">
        <v>1216</v>
      </c>
      <c r="BK69" s="1075"/>
    </row>
    <row r="70" spans="1:63" ht="15" customHeight="1" x14ac:dyDescent="0.2">
      <c r="A70" s="1076"/>
      <c r="B70" s="1753"/>
      <c r="C70" s="1770"/>
      <c r="D70" s="1772"/>
      <c r="E70" s="1785"/>
      <c r="F70" s="1629"/>
      <c r="G70" s="1629"/>
      <c r="H70" s="1629"/>
      <c r="I70" s="1546" t="s">
        <v>1218</v>
      </c>
      <c r="J70" s="1546" t="s">
        <v>1219</v>
      </c>
      <c r="K70" s="1546" t="s">
        <v>1218</v>
      </c>
      <c r="L70" s="1547" t="s">
        <v>1219</v>
      </c>
      <c r="M70" s="1778"/>
      <c r="N70" s="1744"/>
      <c r="O70" s="1778"/>
      <c r="P70" s="1639"/>
      <c r="BK70" s="1075"/>
    </row>
    <row r="71" spans="1:63" ht="15" customHeight="1" x14ac:dyDescent="0.2">
      <c r="A71" s="1076"/>
      <c r="B71" s="1433">
        <v>1</v>
      </c>
      <c r="C71" s="1765" t="s">
        <v>1253</v>
      </c>
      <c r="D71" s="1786" t="s">
        <v>1256</v>
      </c>
      <c r="E71" s="1787"/>
      <c r="F71" s="1435"/>
      <c r="G71" s="1436"/>
      <c r="H71" s="1436"/>
      <c r="I71" s="1436"/>
      <c r="J71" s="1437"/>
      <c r="K71" s="1436"/>
      <c r="L71" s="1439"/>
      <c r="M71" s="1438"/>
      <c r="N71" s="1439"/>
      <c r="O71" s="1438"/>
      <c r="P71" s="1437"/>
      <c r="BK71" s="1075"/>
    </row>
    <row r="72" spans="1:63" ht="30" customHeight="1" x14ac:dyDescent="0.2">
      <c r="A72" s="1076"/>
      <c r="B72" s="970">
        <v>2</v>
      </c>
      <c r="C72" s="1766"/>
      <c r="D72" s="1729" t="s">
        <v>1257</v>
      </c>
      <c r="E72" s="1730"/>
      <c r="F72" s="265"/>
      <c r="G72" s="265"/>
      <c r="H72" s="265"/>
      <c r="I72" s="265"/>
      <c r="J72" s="273"/>
      <c r="K72" s="265"/>
      <c r="L72" s="1429"/>
      <c r="M72" s="1428"/>
      <c r="N72" s="1429"/>
      <c r="O72" s="1428"/>
      <c r="P72" s="273"/>
      <c r="BK72" s="1075"/>
    </row>
    <row r="73" spans="1:63" ht="15" customHeight="1" x14ac:dyDescent="0.2">
      <c r="A73" s="1076"/>
      <c r="B73" s="970">
        <v>3</v>
      </c>
      <c r="C73" s="1766"/>
      <c r="D73" s="1729" t="s">
        <v>1258</v>
      </c>
      <c r="E73" s="1730"/>
      <c r="F73" s="265"/>
      <c r="G73" s="265"/>
      <c r="H73" s="265"/>
      <c r="I73" s="265"/>
      <c r="J73" s="273"/>
      <c r="K73" s="265"/>
      <c r="L73" s="1429"/>
      <c r="M73" s="1428"/>
      <c r="N73" s="1429"/>
      <c r="O73" s="1428"/>
      <c r="P73" s="273"/>
      <c r="BK73" s="1075"/>
    </row>
    <row r="74" spans="1:63" ht="15" customHeight="1" x14ac:dyDescent="0.2">
      <c r="A74" s="1076"/>
      <c r="B74" s="970">
        <v>4</v>
      </c>
      <c r="C74" s="1766"/>
      <c r="D74" s="1729" t="s">
        <v>1255</v>
      </c>
      <c r="E74" s="1730"/>
      <c r="F74" s="265"/>
      <c r="G74" s="265"/>
      <c r="H74" s="265"/>
      <c r="I74" s="265"/>
      <c r="J74" s="273"/>
      <c r="K74" s="265"/>
      <c r="L74" s="1429"/>
      <c r="M74" s="1428"/>
      <c r="N74" s="1429"/>
      <c r="O74" s="1428"/>
      <c r="P74" s="273"/>
      <c r="BK74" s="1075"/>
    </row>
    <row r="75" spans="1:63" ht="15" customHeight="1" x14ac:dyDescent="0.2">
      <c r="A75" s="1076"/>
      <c r="B75" s="970">
        <v>5</v>
      </c>
      <c r="C75" s="1766"/>
      <c r="D75" s="1729" t="s">
        <v>1259</v>
      </c>
      <c r="E75" s="1730"/>
      <c r="F75" s="265"/>
      <c r="G75" s="265"/>
      <c r="H75" s="265"/>
      <c r="I75" s="265"/>
      <c r="J75" s="273"/>
      <c r="K75" s="265"/>
      <c r="L75" s="1429"/>
      <c r="M75" s="1428"/>
      <c r="N75" s="1429"/>
      <c r="O75" s="1428"/>
      <c r="P75" s="273"/>
      <c r="BK75" s="1075"/>
    </row>
    <row r="76" spans="1:63" ht="45" customHeight="1" x14ac:dyDescent="0.2">
      <c r="A76" s="1076"/>
      <c r="B76" s="970">
        <v>6</v>
      </c>
      <c r="C76" s="1767"/>
      <c r="D76" s="1729" t="s">
        <v>1260</v>
      </c>
      <c r="E76" s="1730"/>
      <c r="F76" s="265"/>
      <c r="G76" s="265"/>
      <c r="H76" s="265"/>
      <c r="I76" s="265"/>
      <c r="J76" s="273"/>
      <c r="K76" s="265"/>
      <c r="L76" s="1429"/>
      <c r="M76" s="1428"/>
      <c r="N76" s="1429"/>
      <c r="O76" s="1428"/>
      <c r="P76" s="273"/>
      <c r="BK76" s="1075"/>
    </row>
    <row r="77" spans="1:63" ht="15" customHeight="1" x14ac:dyDescent="0.2">
      <c r="A77" s="1076"/>
      <c r="B77" s="1434">
        <v>7</v>
      </c>
      <c r="C77" s="1768" t="s">
        <v>1254</v>
      </c>
      <c r="D77" s="1729" t="s">
        <v>1256</v>
      </c>
      <c r="E77" s="1730"/>
      <c r="F77" s="265"/>
      <c r="G77" s="265"/>
      <c r="H77" s="265"/>
      <c r="I77" s="265"/>
      <c r="J77" s="273"/>
      <c r="K77" s="265"/>
      <c r="L77" s="1429"/>
      <c r="M77" s="1428"/>
      <c r="N77" s="1429"/>
      <c r="O77" s="1428"/>
      <c r="P77" s="273"/>
      <c r="BK77" s="1075"/>
    </row>
    <row r="78" spans="1:63" ht="30" customHeight="1" x14ac:dyDescent="0.2">
      <c r="A78" s="1076"/>
      <c r="B78" s="970">
        <v>8</v>
      </c>
      <c r="C78" s="1766"/>
      <c r="D78" s="1729" t="s">
        <v>1257</v>
      </c>
      <c r="E78" s="1730"/>
      <c r="F78" s="265"/>
      <c r="G78" s="265"/>
      <c r="H78" s="265"/>
      <c r="I78" s="265"/>
      <c r="J78" s="273"/>
      <c r="K78" s="265"/>
      <c r="L78" s="1429"/>
      <c r="M78" s="1428"/>
      <c r="N78" s="1429"/>
      <c r="O78" s="1428"/>
      <c r="P78" s="273"/>
      <c r="BK78" s="1075"/>
    </row>
    <row r="79" spans="1:63" ht="15" customHeight="1" x14ac:dyDescent="0.2">
      <c r="A79" s="1076"/>
      <c r="B79" s="970">
        <v>9</v>
      </c>
      <c r="C79" s="1766"/>
      <c r="D79" s="1729" t="s">
        <v>1258</v>
      </c>
      <c r="E79" s="1730"/>
      <c r="F79" s="265"/>
      <c r="G79" s="265"/>
      <c r="H79" s="265"/>
      <c r="I79" s="265"/>
      <c r="J79" s="273"/>
      <c r="K79" s="265"/>
      <c r="L79" s="1429"/>
      <c r="M79" s="1428"/>
      <c r="N79" s="1429"/>
      <c r="O79" s="1428"/>
      <c r="P79" s="273"/>
      <c r="BK79" s="1075"/>
    </row>
    <row r="80" spans="1:63" ht="15" customHeight="1" x14ac:dyDescent="0.2">
      <c r="A80" s="1076"/>
      <c r="B80" s="970">
        <v>10</v>
      </c>
      <c r="C80" s="1766"/>
      <c r="D80" s="1729" t="s">
        <v>1255</v>
      </c>
      <c r="E80" s="1730"/>
      <c r="F80" s="265"/>
      <c r="G80" s="265"/>
      <c r="H80" s="265"/>
      <c r="I80" s="265"/>
      <c r="J80" s="273"/>
      <c r="K80" s="265"/>
      <c r="L80" s="1429"/>
      <c r="M80" s="1428"/>
      <c r="N80" s="1429"/>
      <c r="O80" s="1428"/>
      <c r="P80" s="273"/>
      <c r="BK80" s="1075"/>
    </row>
    <row r="81" spans="1:63" ht="15" customHeight="1" x14ac:dyDescent="0.2">
      <c r="A81" s="1076"/>
      <c r="B81" s="970">
        <v>11</v>
      </c>
      <c r="C81" s="1766"/>
      <c r="D81" s="1729" t="s">
        <v>1259</v>
      </c>
      <c r="E81" s="1730"/>
      <c r="F81" s="265"/>
      <c r="G81" s="265"/>
      <c r="H81" s="265"/>
      <c r="I81" s="265"/>
      <c r="J81" s="273"/>
      <c r="K81" s="265"/>
      <c r="L81" s="1429"/>
      <c r="M81" s="1428"/>
      <c r="N81" s="1429"/>
      <c r="O81" s="1428"/>
      <c r="P81" s="273"/>
      <c r="BK81" s="1075"/>
    </row>
    <row r="82" spans="1:63" ht="45" customHeight="1" x14ac:dyDescent="0.2">
      <c r="A82" s="1076"/>
      <c r="B82" s="970">
        <v>12</v>
      </c>
      <c r="C82" s="1767"/>
      <c r="D82" s="1729" t="s">
        <v>1260</v>
      </c>
      <c r="E82" s="1730"/>
      <c r="F82" s="265"/>
      <c r="G82" s="265"/>
      <c r="H82" s="265"/>
      <c r="I82" s="265"/>
      <c r="J82" s="273"/>
      <c r="K82" s="265"/>
      <c r="L82" s="1429"/>
      <c r="M82" s="1428"/>
      <c r="N82" s="1429"/>
      <c r="O82" s="1428"/>
      <c r="P82" s="273"/>
      <c r="BK82" s="1075"/>
    </row>
    <row r="83" spans="1:63" ht="15" customHeight="1" x14ac:dyDescent="0.2">
      <c r="A83" s="1076"/>
      <c r="B83" s="971" t="s">
        <v>1252</v>
      </c>
      <c r="C83" s="1749"/>
      <c r="D83" s="1750"/>
      <c r="E83" s="1750"/>
      <c r="F83" s="321"/>
      <c r="G83" s="1222"/>
      <c r="H83" s="321"/>
      <c r="I83" s="275"/>
      <c r="J83" s="275"/>
      <c r="K83" s="1222"/>
      <c r="L83" s="1222"/>
      <c r="M83" s="1430"/>
      <c r="N83" s="1222"/>
      <c r="O83" s="1430"/>
      <c r="P83" s="1222"/>
      <c r="BK83" s="1075"/>
    </row>
    <row r="84" spans="1:63" ht="15" customHeight="1" x14ac:dyDescent="0.2">
      <c r="A84" s="1076"/>
      <c r="B84" s="1074"/>
      <c r="G84" s="1074"/>
      <c r="H84" s="1074"/>
      <c r="I84" s="1074"/>
      <c r="J84" s="1074"/>
      <c r="BK84" s="1075"/>
    </row>
    <row r="85" spans="1:63" s="1168" customFormat="1" ht="15" customHeight="1" x14ac:dyDescent="0.2">
      <c r="A85" s="63"/>
      <c r="B85" s="1723" t="s">
        <v>178</v>
      </c>
      <c r="C85" s="1723"/>
      <c r="D85" s="1723"/>
      <c r="E85" s="1723"/>
      <c r="F85" s="1425"/>
      <c r="G85" s="629"/>
      <c r="H85" s="629"/>
      <c r="I85" s="629"/>
      <c r="J85" s="629"/>
      <c r="K85" s="629"/>
      <c r="L85" s="1464"/>
      <c r="M85" s="1514"/>
      <c r="N85" s="1464"/>
      <c r="O85" s="1514"/>
      <c r="P85" s="1465"/>
      <c r="Q85" s="1170"/>
      <c r="R85" s="1170"/>
      <c r="S85" s="1170"/>
      <c r="T85" s="1170"/>
      <c r="U85" s="1170"/>
      <c r="V85" s="1170"/>
      <c r="W85" s="1170"/>
      <c r="X85" s="1170"/>
      <c r="Y85" s="1170"/>
      <c r="Z85" s="1170"/>
      <c r="AA85" s="1170"/>
      <c r="AB85" s="1170"/>
      <c r="AC85" s="1170"/>
      <c r="AD85" s="1170"/>
      <c r="AE85" s="1170"/>
      <c r="AF85" s="1170"/>
      <c r="AG85" s="1170"/>
      <c r="AH85" s="1170"/>
      <c r="AI85" s="1170"/>
      <c r="AJ85" s="1170"/>
      <c r="AK85" s="1170"/>
      <c r="AL85" s="1170"/>
      <c r="AM85" s="1170"/>
      <c r="AN85" s="1170"/>
      <c r="AO85" s="1170"/>
      <c r="AP85" s="1170"/>
      <c r="AQ85" s="1170"/>
      <c r="AR85" s="1170"/>
      <c r="AS85" s="1170"/>
      <c r="AT85" s="1170"/>
      <c r="AU85" s="1170"/>
      <c r="AV85" s="1170"/>
      <c r="AW85" s="1170"/>
      <c r="AX85" s="1170"/>
      <c r="AY85" s="1170"/>
      <c r="AZ85" s="1170"/>
      <c r="BA85" s="1170"/>
      <c r="BB85" s="1170"/>
      <c r="BC85" s="1170"/>
      <c r="BD85" s="1170"/>
      <c r="BE85" s="1170"/>
      <c r="BF85" s="1170"/>
      <c r="BG85" s="1170"/>
      <c r="BH85" s="1170"/>
      <c r="BI85" s="1170"/>
      <c r="BJ85" s="1170"/>
      <c r="BK85" s="1143"/>
    </row>
    <row r="86" spans="1:63" ht="15" customHeight="1" x14ac:dyDescent="0.2">
      <c r="A86" s="1076"/>
      <c r="B86" s="1074"/>
      <c r="G86" s="1074"/>
      <c r="H86" s="1074"/>
      <c r="I86" s="1074"/>
      <c r="J86" s="1074"/>
      <c r="BK86" s="1075"/>
    </row>
    <row r="87" spans="1:63" ht="15" customHeight="1" x14ac:dyDescent="0.2">
      <c r="A87" s="1076"/>
      <c r="B87" s="1516" t="s">
        <v>1320</v>
      </c>
      <c r="C87" s="1516"/>
      <c r="D87" s="1516"/>
      <c r="E87" s="1516"/>
      <c r="F87" s="1455" t="str">
        <f>IF(AND(ISNUMBER(F85),ISNUMBER(M85),ISNUMBER(O85)),F85+M85+O85,"")</f>
        <v/>
      </c>
      <c r="G87" s="46"/>
      <c r="H87" s="1074"/>
      <c r="I87" s="183"/>
      <c r="J87" s="183"/>
      <c r="K87" s="183"/>
      <c r="L87" s="183"/>
      <c r="M87" s="183"/>
      <c r="N87" s="183"/>
      <c r="BK87" s="1075"/>
    </row>
    <row r="88" spans="1:63" s="1073" customFormat="1" ht="45" customHeight="1" x14ac:dyDescent="0.25">
      <c r="A88" s="1053" t="s">
        <v>1494</v>
      </c>
      <c r="B88" s="1442"/>
      <c r="C88" s="1442"/>
      <c r="D88" s="1442"/>
      <c r="E88" s="1442"/>
      <c r="F88" s="1442"/>
      <c r="G88" s="46"/>
      <c r="H88" s="46"/>
      <c r="I88" s="46"/>
      <c r="J88" s="46"/>
      <c r="BK88" s="1072"/>
    </row>
    <row r="89" spans="1:63" ht="15" customHeight="1" x14ac:dyDescent="0.2">
      <c r="A89" s="1076"/>
      <c r="B89" s="1074"/>
      <c r="G89" s="1074"/>
      <c r="H89" s="1074"/>
      <c r="I89" s="1074"/>
      <c r="J89" s="1074"/>
      <c r="BK89" s="1075"/>
    </row>
    <row r="90" spans="1:63" ht="15" customHeight="1" x14ac:dyDescent="0.2">
      <c r="A90" s="1076"/>
      <c r="B90" s="1751" t="s">
        <v>1415</v>
      </c>
      <c r="C90" s="1769" t="s">
        <v>1250</v>
      </c>
      <c r="D90" s="1771" t="s">
        <v>1251</v>
      </c>
      <c r="E90" s="1782"/>
      <c r="F90" s="1688" t="s">
        <v>1247</v>
      </c>
      <c r="G90" s="1688"/>
      <c r="H90" s="1688"/>
      <c r="I90" s="1688"/>
      <c r="J90" s="1688"/>
      <c r="K90" s="1688"/>
      <c r="L90" s="1677"/>
      <c r="M90" s="1774" t="s">
        <v>1248</v>
      </c>
      <c r="N90" s="1775"/>
      <c r="O90" s="1776" t="s">
        <v>1249</v>
      </c>
      <c r="P90" s="1698"/>
      <c r="BK90" s="1075"/>
    </row>
    <row r="91" spans="1:63" ht="15" customHeight="1" x14ac:dyDescent="0.2">
      <c r="A91" s="1076"/>
      <c r="B91" s="1752"/>
      <c r="C91" s="1781"/>
      <c r="D91" s="1783"/>
      <c r="E91" s="1784"/>
      <c r="F91" s="1628" t="s">
        <v>1215</v>
      </c>
      <c r="G91" s="1628" t="s">
        <v>1216</v>
      </c>
      <c r="H91" s="1628" t="s">
        <v>1217</v>
      </c>
      <c r="I91" s="1688" t="s">
        <v>1333</v>
      </c>
      <c r="J91" s="1688"/>
      <c r="K91" s="1697" t="s">
        <v>1334</v>
      </c>
      <c r="L91" s="1698"/>
      <c r="M91" s="1777" t="s">
        <v>1215</v>
      </c>
      <c r="N91" s="1743" t="s">
        <v>1216</v>
      </c>
      <c r="O91" s="1779" t="s">
        <v>1215</v>
      </c>
      <c r="P91" s="1773" t="s">
        <v>1216</v>
      </c>
      <c r="BK91" s="1075"/>
    </row>
    <row r="92" spans="1:63" ht="15" customHeight="1" x14ac:dyDescent="0.2">
      <c r="A92" s="1076"/>
      <c r="B92" s="1753"/>
      <c r="C92" s="1770"/>
      <c r="D92" s="1772"/>
      <c r="E92" s="1785"/>
      <c r="F92" s="1629"/>
      <c r="G92" s="1629"/>
      <c r="H92" s="1629"/>
      <c r="I92" s="1546" t="s">
        <v>1218</v>
      </c>
      <c r="J92" s="1546" t="s">
        <v>1219</v>
      </c>
      <c r="K92" s="1546" t="s">
        <v>1218</v>
      </c>
      <c r="L92" s="1547" t="s">
        <v>1219</v>
      </c>
      <c r="M92" s="1778"/>
      <c r="N92" s="1744"/>
      <c r="O92" s="1780"/>
      <c r="P92" s="1639"/>
      <c r="BK92" s="1075"/>
    </row>
    <row r="93" spans="1:63" ht="15" customHeight="1" x14ac:dyDescent="0.2">
      <c r="A93" s="1076"/>
      <c r="B93" s="970">
        <v>1</v>
      </c>
      <c r="C93" s="1765" t="s">
        <v>1253</v>
      </c>
      <c r="D93" s="1729" t="s">
        <v>1262</v>
      </c>
      <c r="E93" s="1730"/>
      <c r="F93" s="265"/>
      <c r="G93" s="265"/>
      <c r="H93" s="265"/>
      <c r="I93" s="265"/>
      <c r="J93" s="273"/>
      <c r="K93" s="265"/>
      <c r="L93" s="1429"/>
      <c r="M93" s="1428"/>
      <c r="N93" s="1429"/>
      <c r="O93" s="1428"/>
      <c r="P93" s="273"/>
      <c r="BK93" s="1075"/>
    </row>
    <row r="94" spans="1:63" ht="15" customHeight="1" x14ac:dyDescent="0.2">
      <c r="A94" s="1076"/>
      <c r="B94" s="970">
        <v>2</v>
      </c>
      <c r="C94" s="1766"/>
      <c r="D94" s="1729" t="s">
        <v>1263</v>
      </c>
      <c r="E94" s="1730"/>
      <c r="F94" s="265"/>
      <c r="G94" s="265"/>
      <c r="H94" s="265"/>
      <c r="I94" s="265"/>
      <c r="J94" s="273"/>
      <c r="K94" s="265"/>
      <c r="L94" s="1429"/>
      <c r="M94" s="1428"/>
      <c r="N94" s="1429"/>
      <c r="O94" s="1428"/>
      <c r="P94" s="273"/>
      <c r="BK94" s="1075"/>
    </row>
    <row r="95" spans="1:63" ht="15" customHeight="1" x14ac:dyDescent="0.2">
      <c r="A95" s="1076"/>
      <c r="B95" s="970">
        <v>3</v>
      </c>
      <c r="C95" s="1767"/>
      <c r="D95" s="1729" t="s">
        <v>1264</v>
      </c>
      <c r="E95" s="1730"/>
      <c r="F95" s="265"/>
      <c r="G95" s="265"/>
      <c r="H95" s="265"/>
      <c r="I95" s="265"/>
      <c r="J95" s="273"/>
      <c r="K95" s="265"/>
      <c r="L95" s="1429"/>
      <c r="M95" s="1428"/>
      <c r="N95" s="1429"/>
      <c r="O95" s="1428"/>
      <c r="P95" s="273"/>
      <c r="BK95" s="1075"/>
    </row>
    <row r="96" spans="1:63" ht="15" customHeight="1" x14ac:dyDescent="0.2">
      <c r="A96" s="1076"/>
      <c r="B96" s="970">
        <v>4</v>
      </c>
      <c r="C96" s="1768" t="s">
        <v>1254</v>
      </c>
      <c r="D96" s="1729" t="s">
        <v>1262</v>
      </c>
      <c r="E96" s="1730"/>
      <c r="F96" s="265"/>
      <c r="G96" s="265"/>
      <c r="H96" s="265"/>
      <c r="I96" s="265"/>
      <c r="J96" s="273"/>
      <c r="K96" s="265"/>
      <c r="L96" s="1429"/>
      <c r="M96" s="1428"/>
      <c r="N96" s="1429"/>
      <c r="O96" s="1428"/>
      <c r="P96" s="273"/>
      <c r="BK96" s="1075"/>
    </row>
    <row r="97" spans="1:63" ht="15" customHeight="1" x14ac:dyDescent="0.2">
      <c r="A97" s="1076"/>
      <c r="B97" s="970">
        <v>5</v>
      </c>
      <c r="C97" s="1766"/>
      <c r="D97" s="1729" t="s">
        <v>1263</v>
      </c>
      <c r="E97" s="1730"/>
      <c r="F97" s="265"/>
      <c r="G97" s="265"/>
      <c r="H97" s="265"/>
      <c r="I97" s="265"/>
      <c r="J97" s="273"/>
      <c r="K97" s="265"/>
      <c r="L97" s="1429"/>
      <c r="M97" s="1428"/>
      <c r="N97" s="1429"/>
      <c r="O97" s="1428"/>
      <c r="P97" s="273"/>
      <c r="BK97" s="1075"/>
    </row>
    <row r="98" spans="1:63" ht="15" customHeight="1" x14ac:dyDescent="0.2">
      <c r="A98" s="1076"/>
      <c r="B98" s="1445">
        <v>6</v>
      </c>
      <c r="C98" s="1767"/>
      <c r="D98" s="1729" t="s">
        <v>1264</v>
      </c>
      <c r="E98" s="1730"/>
      <c r="F98" s="332"/>
      <c r="G98" s="332"/>
      <c r="H98" s="332"/>
      <c r="I98" s="332"/>
      <c r="J98" s="329"/>
      <c r="K98" s="332"/>
      <c r="L98" s="1463"/>
      <c r="M98" s="1462"/>
      <c r="N98" s="1463"/>
      <c r="O98" s="1462"/>
      <c r="P98" s="329"/>
      <c r="BK98" s="1075"/>
    </row>
    <row r="99" spans="1:63" ht="15" customHeight="1" x14ac:dyDescent="0.2">
      <c r="A99" s="1076"/>
      <c r="B99" s="971" t="s">
        <v>1252</v>
      </c>
      <c r="C99" s="1749"/>
      <c r="D99" s="1750"/>
      <c r="E99" s="1750"/>
      <c r="F99" s="321"/>
      <c r="G99" s="1222"/>
      <c r="H99" s="321"/>
      <c r="I99" s="275"/>
      <c r="J99" s="275"/>
      <c r="K99" s="1222"/>
      <c r="L99" s="1222"/>
      <c r="M99" s="1430"/>
      <c r="N99" s="1222"/>
      <c r="O99" s="1430"/>
      <c r="P99" s="1222"/>
      <c r="BK99" s="1075"/>
    </row>
    <row r="100" spans="1:63" ht="15" customHeight="1" x14ac:dyDescent="0.2">
      <c r="A100" s="1076"/>
      <c r="B100" s="1074"/>
      <c r="G100" s="1074"/>
      <c r="H100" s="1074"/>
      <c r="I100" s="1074"/>
      <c r="J100" s="1074"/>
      <c r="BK100" s="1075"/>
    </row>
    <row r="101" spans="1:63" s="1168" customFormat="1" ht="15" customHeight="1" x14ac:dyDescent="0.2">
      <c r="A101" s="63"/>
      <c r="B101" s="1723" t="s">
        <v>1318</v>
      </c>
      <c r="C101" s="1723"/>
      <c r="D101" s="1723"/>
      <c r="E101" s="1723"/>
      <c r="F101" s="1425"/>
      <c r="G101" s="629"/>
      <c r="H101" s="629"/>
      <c r="I101" s="629"/>
      <c r="J101" s="629"/>
      <c r="K101" s="629"/>
      <c r="L101" s="1464"/>
      <c r="M101" s="1514"/>
      <c r="N101" s="1464"/>
      <c r="O101" s="1514"/>
      <c r="P101" s="1465"/>
      <c r="Q101" s="1170"/>
      <c r="R101" s="1170"/>
      <c r="S101" s="1170"/>
      <c r="T101" s="1170"/>
      <c r="U101" s="1170"/>
      <c r="V101" s="1170"/>
      <c r="W101" s="1170"/>
      <c r="X101" s="1170"/>
      <c r="Y101" s="1170"/>
      <c r="Z101" s="1170"/>
      <c r="AA101" s="1170"/>
      <c r="AB101" s="1170"/>
      <c r="AC101" s="1170"/>
      <c r="AD101" s="1170"/>
      <c r="AE101" s="1170"/>
      <c r="AF101" s="1170"/>
      <c r="AG101" s="1170"/>
      <c r="AH101" s="1170"/>
      <c r="AI101" s="1170"/>
      <c r="AJ101" s="1170"/>
      <c r="AK101" s="1170"/>
      <c r="AL101" s="1170"/>
      <c r="AM101" s="1170"/>
      <c r="AN101" s="1170"/>
      <c r="AO101" s="1170"/>
      <c r="AP101" s="1170"/>
      <c r="AQ101" s="1170"/>
      <c r="AR101" s="1170"/>
      <c r="AS101" s="1170"/>
      <c r="AT101" s="1170"/>
      <c r="AU101" s="1170"/>
      <c r="AV101" s="1170"/>
      <c r="AW101" s="1170"/>
      <c r="AX101" s="1170"/>
      <c r="AY101" s="1170"/>
      <c r="AZ101" s="1170"/>
      <c r="BA101" s="1170"/>
      <c r="BB101" s="1170"/>
      <c r="BC101" s="1170"/>
      <c r="BD101" s="1170"/>
      <c r="BE101" s="1170"/>
      <c r="BF101" s="1170"/>
      <c r="BG101" s="1170"/>
      <c r="BH101" s="1170"/>
      <c r="BI101" s="1170"/>
      <c r="BJ101" s="1170"/>
      <c r="BK101" s="1143"/>
    </row>
    <row r="102" spans="1:63" ht="15" customHeight="1" x14ac:dyDescent="0.2">
      <c r="A102" s="1076"/>
      <c r="B102" s="1074"/>
      <c r="G102" s="1074"/>
      <c r="H102" s="1074"/>
      <c r="I102" s="1074"/>
      <c r="J102" s="1074"/>
      <c r="BK102" s="1075"/>
    </row>
    <row r="103" spans="1:63" ht="15" customHeight="1" x14ac:dyDescent="0.2">
      <c r="A103" s="1076"/>
      <c r="B103" s="1516" t="s">
        <v>1321</v>
      </c>
      <c r="C103" s="1516"/>
      <c r="D103" s="1516"/>
      <c r="E103" s="1516"/>
      <c r="F103" s="1455" t="str">
        <f>IF(AND(ISNUMBER(F101),ISNUMBER(M101),ISNUMBER(O101)),F101+M101+O101,"")</f>
        <v/>
      </c>
      <c r="G103" s="1074"/>
      <c r="H103" s="183"/>
      <c r="I103" s="183"/>
      <c r="J103" s="183"/>
      <c r="K103" s="183"/>
      <c r="L103" s="183"/>
      <c r="M103" s="183"/>
      <c r="N103" s="183"/>
      <c r="BK103" s="1075"/>
    </row>
    <row r="104" spans="1:63" ht="15" customHeight="1" x14ac:dyDescent="0.2">
      <c r="A104" s="1076"/>
      <c r="B104" s="1074"/>
      <c r="G104" s="1074"/>
      <c r="H104" s="1074"/>
      <c r="I104" s="1074"/>
      <c r="J104" s="1074"/>
      <c r="BK104" s="1075"/>
    </row>
    <row r="105" spans="1:63" s="207" customFormat="1" ht="30" customHeight="1" x14ac:dyDescent="0.25">
      <c r="A105" s="1377" t="s">
        <v>1265</v>
      </c>
      <c r="B105" s="18"/>
      <c r="C105" s="16"/>
      <c r="D105" s="16"/>
      <c r="E105" s="16"/>
      <c r="F105" s="16"/>
      <c r="G105" s="203"/>
      <c r="H105" s="203"/>
      <c r="I105" s="203"/>
      <c r="J105" s="203"/>
      <c r="K105" s="180"/>
      <c r="L105" s="180"/>
      <c r="M105" s="180"/>
      <c r="N105" s="180"/>
      <c r="O105" s="180"/>
      <c r="P105" s="180"/>
      <c r="Q105" s="180"/>
      <c r="R105" s="180"/>
      <c r="S105" s="180"/>
      <c r="T105" s="180"/>
      <c r="U105" s="180"/>
      <c r="V105" s="180"/>
      <c r="W105" s="180"/>
      <c r="X105" s="180"/>
      <c r="Y105" s="180"/>
      <c r="Z105" s="180"/>
      <c r="AA105" s="180"/>
      <c r="AB105" s="180"/>
      <c r="AC105" s="180"/>
      <c r="AD105" s="180"/>
      <c r="AE105" s="180"/>
      <c r="AF105" s="180"/>
      <c r="AG105" s="180"/>
      <c r="AH105" s="180"/>
      <c r="AI105" s="180"/>
      <c r="AJ105" s="180"/>
      <c r="AK105" s="180"/>
      <c r="AL105" s="180"/>
      <c r="AM105" s="180"/>
      <c r="AN105" s="180"/>
      <c r="AO105" s="180"/>
      <c r="AP105" s="180"/>
      <c r="AQ105" s="180"/>
      <c r="AR105" s="180"/>
      <c r="AS105" s="180"/>
      <c r="AT105" s="180"/>
      <c r="AU105" s="180"/>
      <c r="AV105" s="180"/>
      <c r="AW105" s="180"/>
      <c r="AX105" s="180"/>
      <c r="AY105" s="180"/>
      <c r="AZ105" s="180"/>
      <c r="BA105" s="180"/>
      <c r="BB105" s="180"/>
      <c r="BC105" s="180"/>
      <c r="BD105" s="180"/>
      <c r="BE105" s="180"/>
      <c r="BF105" s="180"/>
      <c r="BG105" s="180"/>
      <c r="BH105" s="180"/>
      <c r="BI105" s="180"/>
      <c r="BJ105" s="180"/>
      <c r="BK105" s="181"/>
    </row>
    <row r="106" spans="1:63" ht="15" customHeight="1" x14ac:dyDescent="0.2">
      <c r="A106" s="1076"/>
      <c r="B106" s="1074"/>
      <c r="G106" s="1074"/>
      <c r="H106" s="1074"/>
      <c r="I106" s="1074"/>
      <c r="J106" s="1074"/>
      <c r="BK106" s="1075"/>
    </row>
    <row r="107" spans="1:63" ht="15" customHeight="1" x14ac:dyDescent="0.2">
      <c r="A107" s="1076"/>
      <c r="B107" s="1751" t="s">
        <v>1415</v>
      </c>
      <c r="C107" s="1769" t="s">
        <v>1267</v>
      </c>
      <c r="D107" s="1769" t="s">
        <v>1266</v>
      </c>
      <c r="E107" s="1771" t="s">
        <v>1251</v>
      </c>
      <c r="F107" s="1677" t="s">
        <v>1247</v>
      </c>
      <c r="G107" s="1678"/>
      <c r="H107" s="1678"/>
      <c r="I107" s="1678"/>
      <c r="J107" s="1726"/>
      <c r="K107" s="1727" t="s">
        <v>1248</v>
      </c>
      <c r="L107" s="1728"/>
      <c r="M107" s="1727" t="s">
        <v>1249</v>
      </c>
      <c r="N107" s="1722"/>
      <c r="BK107" s="1075"/>
    </row>
    <row r="108" spans="1:63" ht="15" customHeight="1" x14ac:dyDescent="0.2">
      <c r="A108" s="1076"/>
      <c r="B108" s="1753"/>
      <c r="C108" s="1770"/>
      <c r="D108" s="1770"/>
      <c r="E108" s="1772"/>
      <c r="F108" s="1547" t="s">
        <v>1215</v>
      </c>
      <c r="G108" s="1547" t="s">
        <v>1216</v>
      </c>
      <c r="H108" s="1547" t="s">
        <v>1217</v>
      </c>
      <c r="I108" s="1547" t="s">
        <v>1218</v>
      </c>
      <c r="J108" s="1547" t="s">
        <v>1219</v>
      </c>
      <c r="K108" s="1443" t="s">
        <v>1215</v>
      </c>
      <c r="L108" s="1444" t="s">
        <v>1216</v>
      </c>
      <c r="M108" s="1443" t="s">
        <v>1215</v>
      </c>
      <c r="N108" s="1547" t="s">
        <v>1216</v>
      </c>
      <c r="BK108" s="1075"/>
    </row>
    <row r="109" spans="1:63" ht="15" customHeight="1" x14ac:dyDescent="0.2">
      <c r="A109" s="1076"/>
      <c r="B109" s="1433">
        <v>1</v>
      </c>
      <c r="C109" s="1763" t="s">
        <v>1268</v>
      </c>
      <c r="D109" s="1765" t="s">
        <v>1270</v>
      </c>
      <c r="E109" s="1502" t="s">
        <v>1272</v>
      </c>
      <c r="F109" s="265"/>
      <c r="G109" s="265"/>
      <c r="H109" s="265"/>
      <c r="I109" s="265"/>
      <c r="J109" s="273"/>
      <c r="K109" s="1428"/>
      <c r="L109" s="1429"/>
      <c r="M109" s="1428"/>
      <c r="N109" s="273"/>
      <c r="BK109" s="1075"/>
    </row>
    <row r="110" spans="1:63" ht="30" customHeight="1" x14ac:dyDescent="0.2">
      <c r="A110" s="1076"/>
      <c r="B110" s="970">
        <v>2</v>
      </c>
      <c r="C110" s="1764"/>
      <c r="D110" s="1766"/>
      <c r="E110" s="1554" t="s">
        <v>1273</v>
      </c>
      <c r="F110" s="265"/>
      <c r="G110" s="265"/>
      <c r="H110" s="265"/>
      <c r="I110" s="265"/>
      <c r="J110" s="273"/>
      <c r="K110" s="1428"/>
      <c r="L110" s="1429"/>
      <c r="M110" s="1428"/>
      <c r="N110" s="273"/>
      <c r="BK110" s="1075"/>
    </row>
    <row r="111" spans="1:63" ht="15" customHeight="1" x14ac:dyDescent="0.2">
      <c r="A111" s="1076"/>
      <c r="B111" s="970">
        <v>3</v>
      </c>
      <c r="C111" s="1764"/>
      <c r="D111" s="1766"/>
      <c r="E111" s="1503" t="s">
        <v>1274</v>
      </c>
      <c r="F111" s="265"/>
      <c r="G111" s="265"/>
      <c r="H111" s="265"/>
      <c r="I111" s="265"/>
      <c r="J111" s="273"/>
      <c r="K111" s="1428"/>
      <c r="L111" s="1429"/>
      <c r="M111" s="1428"/>
      <c r="N111" s="273"/>
      <c r="BK111" s="1075"/>
    </row>
    <row r="112" spans="1:63" ht="15" customHeight="1" x14ac:dyDescent="0.2">
      <c r="A112" s="1076"/>
      <c r="B112" s="970">
        <v>4</v>
      </c>
      <c r="C112" s="1764"/>
      <c r="D112" s="1767"/>
      <c r="E112" s="1503" t="s">
        <v>1275</v>
      </c>
      <c r="F112" s="265"/>
      <c r="G112" s="265"/>
      <c r="H112" s="265"/>
      <c r="I112" s="265"/>
      <c r="J112" s="273"/>
      <c r="K112" s="1428"/>
      <c r="L112" s="1429"/>
      <c r="M112" s="1428"/>
      <c r="N112" s="273"/>
      <c r="BK112" s="1075"/>
    </row>
    <row r="113" spans="1:63" ht="15" customHeight="1" x14ac:dyDescent="0.2">
      <c r="A113" s="1076"/>
      <c r="B113" s="970">
        <v>5</v>
      </c>
      <c r="C113" s="1764"/>
      <c r="D113" s="1768" t="s">
        <v>1271</v>
      </c>
      <c r="E113" s="1503" t="s">
        <v>1272</v>
      </c>
      <c r="F113" s="265"/>
      <c r="G113" s="265"/>
      <c r="H113" s="265"/>
      <c r="I113" s="265"/>
      <c r="J113" s="273"/>
      <c r="K113" s="1428"/>
      <c r="L113" s="1429"/>
      <c r="M113" s="1428"/>
      <c r="N113" s="273"/>
      <c r="BK113" s="1075"/>
    </row>
    <row r="114" spans="1:63" ht="30" customHeight="1" x14ac:dyDescent="0.2">
      <c r="A114" s="1076"/>
      <c r="B114" s="970">
        <v>6</v>
      </c>
      <c r="C114" s="1764"/>
      <c r="D114" s="1766"/>
      <c r="E114" s="1554" t="s">
        <v>1273</v>
      </c>
      <c r="F114" s="265"/>
      <c r="G114" s="265"/>
      <c r="H114" s="265"/>
      <c r="I114" s="265"/>
      <c r="J114" s="273"/>
      <c r="K114" s="1428"/>
      <c r="L114" s="1429"/>
      <c r="M114" s="1428"/>
      <c r="N114" s="273"/>
      <c r="BK114" s="1075"/>
    </row>
    <row r="115" spans="1:63" ht="15" customHeight="1" x14ac:dyDescent="0.2">
      <c r="A115" s="1076"/>
      <c r="B115" s="1434">
        <v>7</v>
      </c>
      <c r="C115" s="1764"/>
      <c r="D115" s="1766"/>
      <c r="E115" s="1503" t="s">
        <v>1274</v>
      </c>
      <c r="F115" s="265"/>
      <c r="G115" s="265"/>
      <c r="H115" s="265"/>
      <c r="I115" s="265"/>
      <c r="J115" s="273"/>
      <c r="K115" s="1428"/>
      <c r="L115" s="1429"/>
      <c r="M115" s="1428"/>
      <c r="N115" s="273"/>
      <c r="BK115" s="1075"/>
    </row>
    <row r="116" spans="1:63" ht="15" customHeight="1" x14ac:dyDescent="0.2">
      <c r="A116" s="1076"/>
      <c r="B116" s="970">
        <v>8</v>
      </c>
      <c r="C116" s="1748"/>
      <c r="D116" s="1767"/>
      <c r="E116" s="1503" t="s">
        <v>1275</v>
      </c>
      <c r="F116" s="265"/>
      <c r="G116" s="265"/>
      <c r="H116" s="265"/>
      <c r="I116" s="265"/>
      <c r="J116" s="273"/>
      <c r="K116" s="1428"/>
      <c r="L116" s="1429"/>
      <c r="M116" s="1428"/>
      <c r="N116" s="273"/>
      <c r="BK116" s="1075"/>
    </row>
    <row r="117" spans="1:63" ht="30" customHeight="1" x14ac:dyDescent="0.2">
      <c r="A117" s="1076"/>
      <c r="B117" s="970">
        <v>9</v>
      </c>
      <c r="C117" s="1747" t="s">
        <v>1269</v>
      </c>
      <c r="D117" s="1475" t="s">
        <v>1270</v>
      </c>
      <c r="E117" s="1503" t="s">
        <v>1276</v>
      </c>
      <c r="F117" s="265"/>
      <c r="G117" s="265"/>
      <c r="H117" s="265"/>
      <c r="I117" s="265"/>
      <c r="J117" s="273"/>
      <c r="K117" s="1428"/>
      <c r="L117" s="1429"/>
      <c r="M117" s="1428"/>
      <c r="N117" s="273"/>
      <c r="BK117" s="1075"/>
    </row>
    <row r="118" spans="1:63" ht="30" customHeight="1" x14ac:dyDescent="0.2">
      <c r="A118" s="1076"/>
      <c r="B118" s="1445">
        <v>10</v>
      </c>
      <c r="C118" s="1748"/>
      <c r="D118" s="1475" t="s">
        <v>1271</v>
      </c>
      <c r="E118" s="1503" t="s">
        <v>1276</v>
      </c>
      <c r="F118" s="265"/>
      <c r="G118" s="265"/>
      <c r="H118" s="265"/>
      <c r="I118" s="265"/>
      <c r="J118" s="273"/>
      <c r="K118" s="1428"/>
      <c r="L118" s="1429"/>
      <c r="M118" s="1428"/>
      <c r="N118" s="273"/>
      <c r="BK118" s="1075"/>
    </row>
    <row r="119" spans="1:63" ht="15" customHeight="1" x14ac:dyDescent="0.2">
      <c r="A119" s="1076"/>
      <c r="B119" s="971" t="s">
        <v>1252</v>
      </c>
      <c r="C119" s="1749"/>
      <c r="D119" s="1750"/>
      <c r="E119" s="1750"/>
      <c r="F119" s="321"/>
      <c r="G119" s="1222"/>
      <c r="H119" s="321"/>
      <c r="I119" s="321"/>
      <c r="J119" s="275"/>
      <c r="K119" s="1430"/>
      <c r="L119" s="1222"/>
      <c r="M119" s="1430"/>
      <c r="N119" s="1222"/>
      <c r="BK119" s="1075"/>
    </row>
    <row r="120" spans="1:63" ht="15" customHeight="1" x14ac:dyDescent="0.2">
      <c r="A120" s="1076"/>
      <c r="B120" s="1074"/>
      <c r="G120" s="1074"/>
      <c r="H120" s="1074"/>
      <c r="I120" s="1074"/>
      <c r="J120" s="1074"/>
      <c r="BK120" s="1075"/>
    </row>
    <row r="121" spans="1:63" s="1168" customFormat="1" ht="15" customHeight="1" x14ac:dyDescent="0.2">
      <c r="A121" s="63"/>
      <c r="B121" s="1723" t="s">
        <v>178</v>
      </c>
      <c r="C121" s="1723"/>
      <c r="D121" s="1723"/>
      <c r="E121" s="1723"/>
      <c r="F121" s="1425"/>
      <c r="G121" s="629"/>
      <c r="H121" s="629"/>
      <c r="I121" s="1465"/>
      <c r="J121" s="1464"/>
      <c r="K121" s="1514"/>
      <c r="L121" s="1464"/>
      <c r="M121" s="1514"/>
      <c r="N121" s="1465"/>
      <c r="O121" s="1170"/>
      <c r="P121" s="204"/>
      <c r="Q121" s="1170"/>
      <c r="R121" s="1170"/>
      <c r="S121" s="1170"/>
      <c r="T121" s="1170"/>
      <c r="U121" s="1170"/>
      <c r="V121" s="1170"/>
      <c r="W121" s="1170"/>
      <c r="X121" s="1170"/>
      <c r="Y121" s="1170"/>
      <c r="Z121" s="1170"/>
      <c r="AA121" s="1170"/>
      <c r="AB121" s="1170"/>
      <c r="AC121" s="1170"/>
      <c r="AD121" s="1170"/>
      <c r="AE121" s="1170"/>
      <c r="AF121" s="1170"/>
      <c r="AG121" s="1170"/>
      <c r="AH121" s="1170"/>
      <c r="AI121" s="1170"/>
      <c r="AJ121" s="1170"/>
      <c r="AK121" s="1170"/>
      <c r="AL121" s="1170"/>
      <c r="AM121" s="1170"/>
      <c r="AN121" s="1170"/>
      <c r="AO121" s="1170"/>
      <c r="AP121" s="1170"/>
      <c r="AQ121" s="1170"/>
      <c r="AR121" s="1170"/>
      <c r="AS121" s="1170"/>
      <c r="AT121" s="1170"/>
      <c r="AU121" s="1170"/>
      <c r="AV121" s="1170"/>
      <c r="AW121" s="1170"/>
      <c r="AX121" s="1170"/>
      <c r="AY121" s="1170"/>
      <c r="AZ121" s="1170"/>
      <c r="BA121" s="1170"/>
      <c r="BB121" s="1170"/>
      <c r="BC121" s="1170"/>
      <c r="BD121" s="1170"/>
      <c r="BE121" s="1170"/>
      <c r="BF121" s="1170"/>
      <c r="BG121" s="1170"/>
      <c r="BH121" s="1170"/>
      <c r="BI121" s="1170"/>
      <c r="BJ121" s="1170"/>
      <c r="BK121" s="1143"/>
    </row>
    <row r="122" spans="1:63" ht="15" customHeight="1" x14ac:dyDescent="0.2">
      <c r="A122" s="1076"/>
      <c r="B122" s="1074"/>
      <c r="G122" s="1074"/>
      <c r="H122" s="1074"/>
      <c r="I122" s="1074"/>
      <c r="J122" s="1074"/>
      <c r="BK122" s="1075"/>
    </row>
    <row r="123" spans="1:63" ht="15" customHeight="1" x14ac:dyDescent="0.2">
      <c r="A123" s="1076"/>
      <c r="B123" s="1516" t="s">
        <v>1322</v>
      </c>
      <c r="C123" s="1516"/>
      <c r="D123" s="1516"/>
      <c r="E123" s="1516"/>
      <c r="F123" s="1455" t="str">
        <f>IF(AND(ISNUMBER(F121),ISNUMBER(K121),ISNUMBER(M121)),F121+K121+M121,"")</f>
        <v/>
      </c>
      <c r="G123" s="183"/>
      <c r="H123" s="183"/>
      <c r="I123" s="183"/>
      <c r="J123" s="183"/>
      <c r="K123" s="183"/>
      <c r="L123" s="183"/>
      <c r="M123" s="183"/>
      <c r="BK123" s="1075"/>
    </row>
    <row r="124" spans="1:63" ht="15" customHeight="1" x14ac:dyDescent="0.2">
      <c r="A124" s="1076"/>
      <c r="B124" s="1074"/>
      <c r="G124" s="1074"/>
      <c r="H124" s="1074"/>
      <c r="I124" s="1074"/>
      <c r="J124" s="1074"/>
      <c r="BK124" s="1075"/>
    </row>
    <row r="125" spans="1:63" s="207" customFormat="1" ht="30" customHeight="1" x14ac:dyDescent="0.25">
      <c r="A125" s="1377" t="s">
        <v>1277</v>
      </c>
      <c r="B125" s="18"/>
      <c r="C125" s="16"/>
      <c r="D125" s="16"/>
      <c r="E125" s="16"/>
      <c r="F125" s="16"/>
      <c r="G125" s="203"/>
      <c r="H125" s="203"/>
      <c r="I125" s="203"/>
      <c r="J125" s="203"/>
      <c r="K125" s="180"/>
      <c r="L125" s="180"/>
      <c r="M125" s="180"/>
      <c r="N125" s="180"/>
      <c r="O125" s="180"/>
      <c r="P125" s="180"/>
      <c r="Q125" s="180"/>
      <c r="R125" s="180"/>
      <c r="S125" s="180"/>
      <c r="T125" s="180"/>
      <c r="U125" s="180"/>
      <c r="V125" s="180"/>
      <c r="W125" s="180"/>
      <c r="X125" s="180"/>
      <c r="Y125" s="180"/>
      <c r="Z125" s="180"/>
      <c r="AA125" s="180"/>
      <c r="AB125" s="180"/>
      <c r="AC125" s="180"/>
      <c r="AD125" s="180"/>
      <c r="AE125" s="180"/>
      <c r="AF125" s="180"/>
      <c r="AG125" s="180"/>
      <c r="AH125" s="180"/>
      <c r="AI125" s="180"/>
      <c r="AJ125" s="180"/>
      <c r="AK125" s="180"/>
      <c r="AL125" s="180"/>
      <c r="AM125" s="180"/>
      <c r="AN125" s="180"/>
      <c r="AO125" s="180"/>
      <c r="AP125" s="180"/>
      <c r="AQ125" s="180"/>
      <c r="AR125" s="180"/>
      <c r="AS125" s="180"/>
      <c r="AT125" s="180"/>
      <c r="AU125" s="180"/>
      <c r="AV125" s="180"/>
      <c r="AW125" s="180"/>
      <c r="AX125" s="180"/>
      <c r="AY125" s="180"/>
      <c r="AZ125" s="180"/>
      <c r="BA125" s="180"/>
      <c r="BB125" s="180"/>
      <c r="BC125" s="180"/>
      <c r="BD125" s="180"/>
      <c r="BE125" s="180"/>
      <c r="BF125" s="180"/>
      <c r="BG125" s="180"/>
      <c r="BH125" s="180"/>
      <c r="BI125" s="180"/>
      <c r="BJ125" s="180"/>
      <c r="BK125" s="181"/>
    </row>
    <row r="126" spans="1:63" ht="15" customHeight="1" x14ac:dyDescent="0.2">
      <c r="A126" s="1076"/>
      <c r="B126" s="1074"/>
      <c r="G126" s="1074"/>
      <c r="H126" s="1074"/>
      <c r="I126" s="1074"/>
      <c r="J126" s="1074"/>
      <c r="AB126" s="1070"/>
      <c r="BK126" s="1075"/>
    </row>
    <row r="127" spans="1:63" ht="15" customHeight="1" x14ac:dyDescent="0.2">
      <c r="A127" s="1076"/>
      <c r="B127" s="1751" t="s">
        <v>1415</v>
      </c>
      <c r="C127" s="1754" t="s">
        <v>1251</v>
      </c>
      <c r="D127" s="1755"/>
      <c r="E127" s="1756"/>
      <c r="F127" s="1677" t="s">
        <v>1247</v>
      </c>
      <c r="G127" s="1678"/>
      <c r="H127" s="1726"/>
      <c r="I127" s="1727" t="s">
        <v>1422</v>
      </c>
      <c r="J127" s="1722"/>
      <c r="K127" s="1722"/>
      <c r="L127" s="1722"/>
      <c r="M127" s="1722"/>
      <c r="N127" s="1722"/>
      <c r="O127" s="1722"/>
      <c r="P127" s="1722"/>
      <c r="Q127" s="1722"/>
      <c r="R127" s="1722"/>
      <c r="S127" s="1722"/>
      <c r="T127" s="1722"/>
      <c r="U127" s="1727" t="s">
        <v>1423</v>
      </c>
      <c r="V127" s="1722"/>
      <c r="W127" s="1722"/>
      <c r="X127" s="1722"/>
      <c r="Y127" s="1722"/>
      <c r="Z127" s="1722"/>
      <c r="AA127" s="1722"/>
      <c r="AB127" s="1722"/>
      <c r="AC127" s="1722"/>
      <c r="AD127" s="1722"/>
      <c r="AE127" s="1722"/>
      <c r="AF127" s="1722"/>
      <c r="AG127" s="1727" t="s">
        <v>1248</v>
      </c>
      <c r="AH127" s="1728"/>
      <c r="AI127" s="1727" t="s">
        <v>1249</v>
      </c>
      <c r="AJ127" s="1722"/>
      <c r="BK127" s="1075"/>
    </row>
    <row r="128" spans="1:63" ht="15" customHeight="1" x14ac:dyDescent="0.2">
      <c r="A128" s="1076"/>
      <c r="B128" s="1752"/>
      <c r="C128" s="1757"/>
      <c r="D128" s="1758"/>
      <c r="E128" s="1759"/>
      <c r="F128" s="1628" t="s">
        <v>1215</v>
      </c>
      <c r="G128" s="1628" t="s">
        <v>1216</v>
      </c>
      <c r="H128" s="1743" t="s">
        <v>1217</v>
      </c>
      <c r="I128" s="1735" t="s">
        <v>1424</v>
      </c>
      <c r="J128" s="1736"/>
      <c r="K128" s="1736"/>
      <c r="L128" s="1737"/>
      <c r="M128" s="1738" t="s">
        <v>1425</v>
      </c>
      <c r="N128" s="1739"/>
      <c r="O128" s="1739"/>
      <c r="P128" s="1740"/>
      <c r="Q128" s="1739" t="s">
        <v>1430</v>
      </c>
      <c r="R128" s="1739"/>
      <c r="S128" s="1739"/>
      <c r="T128" s="1739"/>
      <c r="U128" s="1735" t="s">
        <v>1424</v>
      </c>
      <c r="V128" s="1736"/>
      <c r="W128" s="1736"/>
      <c r="X128" s="1737"/>
      <c r="Y128" s="1738" t="s">
        <v>1425</v>
      </c>
      <c r="Z128" s="1739"/>
      <c r="AA128" s="1739"/>
      <c r="AB128" s="1740"/>
      <c r="AC128" s="1739" t="s">
        <v>1430</v>
      </c>
      <c r="AD128" s="1739"/>
      <c r="AE128" s="1739"/>
      <c r="AF128" s="1739"/>
      <c r="AG128" s="1741" t="s">
        <v>1215</v>
      </c>
      <c r="AH128" s="1745" t="s">
        <v>1216</v>
      </c>
      <c r="AI128" s="1741" t="s">
        <v>1215</v>
      </c>
      <c r="AJ128" s="1725" t="s">
        <v>1216</v>
      </c>
      <c r="BK128" s="1075"/>
    </row>
    <row r="129" spans="1:63" ht="30" customHeight="1" x14ac:dyDescent="0.2">
      <c r="A129" s="1076"/>
      <c r="B129" s="1753"/>
      <c r="C129" s="1760"/>
      <c r="D129" s="1761"/>
      <c r="E129" s="1762"/>
      <c r="F129" s="1629"/>
      <c r="G129" s="1629"/>
      <c r="H129" s="1744"/>
      <c r="I129" s="1519" t="s">
        <v>1426</v>
      </c>
      <c r="J129" s="1520" t="s">
        <v>1427</v>
      </c>
      <c r="K129" s="1520" t="s">
        <v>1428</v>
      </c>
      <c r="L129" s="1550" t="s">
        <v>1429</v>
      </c>
      <c r="M129" s="1520" t="s">
        <v>1426</v>
      </c>
      <c r="N129" s="1520" t="s">
        <v>1427</v>
      </c>
      <c r="O129" s="1520" t="s">
        <v>1428</v>
      </c>
      <c r="P129" s="1520" t="s">
        <v>1429</v>
      </c>
      <c r="Q129" s="1551" t="s">
        <v>1426</v>
      </c>
      <c r="R129" s="1520" t="s">
        <v>1427</v>
      </c>
      <c r="S129" s="1520" t="s">
        <v>1428</v>
      </c>
      <c r="T129" s="1521" t="s">
        <v>1429</v>
      </c>
      <c r="U129" s="1519" t="s">
        <v>1426</v>
      </c>
      <c r="V129" s="1520" t="s">
        <v>1427</v>
      </c>
      <c r="W129" s="1520" t="s">
        <v>1428</v>
      </c>
      <c r="X129" s="1550" t="s">
        <v>1429</v>
      </c>
      <c r="Y129" s="1520" t="s">
        <v>1426</v>
      </c>
      <c r="Z129" s="1520" t="s">
        <v>1427</v>
      </c>
      <c r="AA129" s="1520" t="s">
        <v>1428</v>
      </c>
      <c r="AB129" s="1520" t="s">
        <v>1429</v>
      </c>
      <c r="AC129" s="1551" t="s">
        <v>1426</v>
      </c>
      <c r="AD129" s="1520" t="s">
        <v>1427</v>
      </c>
      <c r="AE129" s="1520" t="s">
        <v>1428</v>
      </c>
      <c r="AF129" s="1521" t="s">
        <v>1429</v>
      </c>
      <c r="AG129" s="1742"/>
      <c r="AH129" s="1746"/>
      <c r="AI129" s="1742"/>
      <c r="AJ129" s="1640"/>
      <c r="BK129" s="1075"/>
    </row>
    <row r="130" spans="1:63" ht="15" customHeight="1" x14ac:dyDescent="0.2">
      <c r="A130" s="1076"/>
      <c r="B130" s="1433">
        <v>1</v>
      </c>
      <c r="C130" s="1733" t="s">
        <v>1278</v>
      </c>
      <c r="D130" s="1734"/>
      <c r="E130" s="1734"/>
      <c r="F130" s="314"/>
      <c r="G130" s="1437"/>
      <c r="H130" s="1437"/>
      <c r="I130" s="1426"/>
      <c r="J130" s="314"/>
      <c r="K130" s="314"/>
      <c r="L130" s="1424"/>
      <c r="M130" s="314"/>
      <c r="N130" s="314"/>
      <c r="O130" s="314"/>
      <c r="P130" s="314"/>
      <c r="Q130" s="1401"/>
      <c r="R130" s="314"/>
      <c r="S130" s="314"/>
      <c r="T130" s="1427"/>
      <c r="U130" s="1426"/>
      <c r="V130" s="314"/>
      <c r="W130" s="314"/>
      <c r="X130" s="1424"/>
      <c r="Y130" s="314"/>
      <c r="Z130" s="314"/>
      <c r="AA130" s="314"/>
      <c r="AB130" s="314"/>
      <c r="AC130" s="1401"/>
      <c r="AD130" s="314"/>
      <c r="AE130" s="314"/>
      <c r="AF130" s="1427"/>
      <c r="AG130" s="1438"/>
      <c r="AH130" s="1439"/>
      <c r="AI130" s="1438"/>
      <c r="AJ130" s="1437"/>
      <c r="BK130" s="1075"/>
    </row>
    <row r="131" spans="1:63" ht="15" customHeight="1" x14ac:dyDescent="0.2">
      <c r="A131" s="1076"/>
      <c r="B131" s="970">
        <v>2</v>
      </c>
      <c r="C131" s="1729" t="s">
        <v>1282</v>
      </c>
      <c r="D131" s="1730"/>
      <c r="E131" s="1730"/>
      <c r="F131" s="265"/>
      <c r="G131" s="273"/>
      <c r="H131" s="273"/>
      <c r="I131" s="1428"/>
      <c r="J131" s="265"/>
      <c r="K131" s="265"/>
      <c r="L131" s="273"/>
      <c r="M131" s="265"/>
      <c r="N131" s="265"/>
      <c r="O131" s="265"/>
      <c r="P131" s="265"/>
      <c r="Q131" s="1402"/>
      <c r="R131" s="265"/>
      <c r="S131" s="265"/>
      <c r="T131" s="1429"/>
      <c r="U131" s="1428"/>
      <c r="V131" s="265"/>
      <c r="W131" s="265"/>
      <c r="X131" s="273"/>
      <c r="Y131" s="265"/>
      <c r="Z131" s="265"/>
      <c r="AA131" s="265"/>
      <c r="AB131" s="265"/>
      <c r="AC131" s="1402"/>
      <c r="AD131" s="265"/>
      <c r="AE131" s="265"/>
      <c r="AF131" s="1429"/>
      <c r="AG131" s="1428"/>
      <c r="AH131" s="1429"/>
      <c r="AI131" s="1428"/>
      <c r="AJ131" s="273"/>
      <c r="BK131" s="1075"/>
    </row>
    <row r="132" spans="1:63" ht="15" customHeight="1" x14ac:dyDescent="0.2">
      <c r="A132" s="1076"/>
      <c r="B132" s="970">
        <v>3</v>
      </c>
      <c r="C132" s="1729" t="s">
        <v>1279</v>
      </c>
      <c r="D132" s="1730"/>
      <c r="E132" s="1730"/>
      <c r="F132" s="265"/>
      <c r="G132" s="273"/>
      <c r="H132" s="273"/>
      <c r="I132" s="1428"/>
      <c r="J132" s="265"/>
      <c r="K132" s="265"/>
      <c r="L132" s="273"/>
      <c r="M132" s="265"/>
      <c r="N132" s="265"/>
      <c r="O132" s="265"/>
      <c r="P132" s="265"/>
      <c r="Q132" s="1402"/>
      <c r="R132" s="265"/>
      <c r="S132" s="265"/>
      <c r="T132" s="1429"/>
      <c r="U132" s="1428"/>
      <c r="V132" s="265"/>
      <c r="W132" s="265"/>
      <c r="X132" s="273"/>
      <c r="Y132" s="265"/>
      <c r="Z132" s="265"/>
      <c r="AA132" s="265"/>
      <c r="AB132" s="265"/>
      <c r="AC132" s="1402"/>
      <c r="AD132" s="265"/>
      <c r="AE132" s="265"/>
      <c r="AF132" s="1429"/>
      <c r="AG132" s="1428"/>
      <c r="AH132" s="1429"/>
      <c r="AI132" s="1428"/>
      <c r="AJ132" s="273"/>
      <c r="BK132" s="1075"/>
    </row>
    <row r="133" spans="1:63" ht="15" customHeight="1" x14ac:dyDescent="0.2">
      <c r="A133" s="1076"/>
      <c r="B133" s="970">
        <v>4</v>
      </c>
      <c r="C133" s="1729" t="s">
        <v>1280</v>
      </c>
      <c r="D133" s="1730"/>
      <c r="E133" s="1730"/>
      <c r="F133" s="265"/>
      <c r="G133" s="273"/>
      <c r="H133" s="273"/>
      <c r="I133" s="1428"/>
      <c r="J133" s="265"/>
      <c r="K133" s="265"/>
      <c r="L133" s="273"/>
      <c r="M133" s="265"/>
      <c r="N133" s="265"/>
      <c r="O133" s="265"/>
      <c r="P133" s="265"/>
      <c r="Q133" s="1402"/>
      <c r="R133" s="265"/>
      <c r="S133" s="265"/>
      <c r="T133" s="1429"/>
      <c r="U133" s="1428"/>
      <c r="V133" s="265"/>
      <c r="W133" s="265"/>
      <c r="X133" s="273"/>
      <c r="Y133" s="265"/>
      <c r="Z133" s="265"/>
      <c r="AA133" s="265"/>
      <c r="AB133" s="265"/>
      <c r="AC133" s="1402"/>
      <c r="AD133" s="265"/>
      <c r="AE133" s="265"/>
      <c r="AF133" s="1429"/>
      <c r="AG133" s="1428"/>
      <c r="AH133" s="1429"/>
      <c r="AI133" s="1428"/>
      <c r="AJ133" s="273"/>
      <c r="BK133" s="1075"/>
    </row>
    <row r="134" spans="1:63" ht="15" customHeight="1" x14ac:dyDescent="0.2">
      <c r="A134" s="1076"/>
      <c r="B134" s="970">
        <v>5</v>
      </c>
      <c r="C134" s="1729" t="s">
        <v>1281</v>
      </c>
      <c r="D134" s="1730"/>
      <c r="E134" s="1730"/>
      <c r="F134" s="265"/>
      <c r="G134" s="273"/>
      <c r="H134" s="273"/>
      <c r="I134" s="1428"/>
      <c r="J134" s="265"/>
      <c r="K134" s="265"/>
      <c r="L134" s="273"/>
      <c r="M134" s="265"/>
      <c r="N134" s="265"/>
      <c r="O134" s="265"/>
      <c r="P134" s="265"/>
      <c r="Q134" s="1402"/>
      <c r="R134" s="265"/>
      <c r="S134" s="265"/>
      <c r="T134" s="1429"/>
      <c r="U134" s="1428"/>
      <c r="V134" s="265"/>
      <c r="W134" s="265"/>
      <c r="X134" s="273"/>
      <c r="Y134" s="265"/>
      <c r="Z134" s="265"/>
      <c r="AA134" s="265"/>
      <c r="AB134" s="265"/>
      <c r="AC134" s="1402"/>
      <c r="AD134" s="265"/>
      <c r="AE134" s="265"/>
      <c r="AF134" s="1429"/>
      <c r="AG134" s="1428"/>
      <c r="AH134" s="1429"/>
      <c r="AI134" s="1428"/>
      <c r="AJ134" s="273"/>
      <c r="BK134" s="1075"/>
    </row>
    <row r="135" spans="1:63" ht="15" customHeight="1" x14ac:dyDescent="0.2">
      <c r="A135" s="1076"/>
      <c r="B135" s="970">
        <v>6</v>
      </c>
      <c r="C135" s="1729" t="s">
        <v>1283</v>
      </c>
      <c r="D135" s="1730"/>
      <c r="E135" s="1730"/>
      <c r="F135" s="265"/>
      <c r="G135" s="273"/>
      <c r="H135" s="273"/>
      <c r="I135" s="1428"/>
      <c r="J135" s="265"/>
      <c r="K135" s="265"/>
      <c r="L135" s="273"/>
      <c r="M135" s="265"/>
      <c r="N135" s="265"/>
      <c r="O135" s="265"/>
      <c r="P135" s="265"/>
      <c r="Q135" s="1402"/>
      <c r="R135" s="265"/>
      <c r="S135" s="265"/>
      <c r="T135" s="1429"/>
      <c r="U135" s="1428"/>
      <c r="V135" s="265"/>
      <c r="W135" s="265"/>
      <c r="X135" s="273"/>
      <c r="Y135" s="265"/>
      <c r="Z135" s="265"/>
      <c r="AA135" s="265"/>
      <c r="AB135" s="265"/>
      <c r="AC135" s="1402"/>
      <c r="AD135" s="265"/>
      <c r="AE135" s="265"/>
      <c r="AF135" s="1429"/>
      <c r="AG135" s="1428"/>
      <c r="AH135" s="1429"/>
      <c r="AI135" s="1428"/>
      <c r="AJ135" s="273"/>
      <c r="BK135" s="1075"/>
    </row>
    <row r="136" spans="1:63" ht="15" customHeight="1" x14ac:dyDescent="0.2">
      <c r="A136" s="1076"/>
      <c r="B136" s="1434">
        <v>7</v>
      </c>
      <c r="C136" s="1729" t="s">
        <v>1284</v>
      </c>
      <c r="D136" s="1730"/>
      <c r="E136" s="1730"/>
      <c r="F136" s="265"/>
      <c r="G136" s="273"/>
      <c r="H136" s="273"/>
      <c r="I136" s="1428"/>
      <c r="J136" s="265"/>
      <c r="K136" s="265"/>
      <c r="L136" s="273"/>
      <c r="M136" s="265"/>
      <c r="N136" s="265"/>
      <c r="O136" s="265"/>
      <c r="P136" s="265"/>
      <c r="Q136" s="1402"/>
      <c r="R136" s="265"/>
      <c r="S136" s="265"/>
      <c r="T136" s="1429"/>
      <c r="U136" s="1428"/>
      <c r="V136" s="265"/>
      <c r="W136" s="265"/>
      <c r="X136" s="273"/>
      <c r="Y136" s="265"/>
      <c r="Z136" s="265"/>
      <c r="AA136" s="265"/>
      <c r="AB136" s="265"/>
      <c r="AC136" s="1402"/>
      <c r="AD136" s="265"/>
      <c r="AE136" s="265"/>
      <c r="AF136" s="1429"/>
      <c r="AG136" s="1428"/>
      <c r="AH136" s="1429"/>
      <c r="AI136" s="1428"/>
      <c r="AJ136" s="273"/>
      <c r="BK136" s="1075"/>
    </row>
    <row r="137" spans="1:63" ht="15" customHeight="1" x14ac:dyDescent="0.2">
      <c r="A137" s="1076"/>
      <c r="B137" s="970">
        <v>8</v>
      </c>
      <c r="C137" s="1729" t="s">
        <v>72</v>
      </c>
      <c r="D137" s="1730"/>
      <c r="E137" s="1730"/>
      <c r="F137" s="265"/>
      <c r="G137" s="273"/>
      <c r="H137" s="273"/>
      <c r="I137" s="1428"/>
      <c r="J137" s="265"/>
      <c r="K137" s="265"/>
      <c r="L137" s="273"/>
      <c r="M137" s="265"/>
      <c r="N137" s="265"/>
      <c r="O137" s="265"/>
      <c r="P137" s="265"/>
      <c r="Q137" s="1402"/>
      <c r="R137" s="265"/>
      <c r="S137" s="265"/>
      <c r="T137" s="1429"/>
      <c r="U137" s="1428"/>
      <c r="V137" s="265"/>
      <c r="W137" s="265"/>
      <c r="X137" s="273"/>
      <c r="Y137" s="265"/>
      <c r="Z137" s="265"/>
      <c r="AA137" s="265"/>
      <c r="AB137" s="265"/>
      <c r="AC137" s="1402"/>
      <c r="AD137" s="265"/>
      <c r="AE137" s="265"/>
      <c r="AF137" s="1429"/>
      <c r="AG137" s="1428"/>
      <c r="AH137" s="1429"/>
      <c r="AI137" s="1428"/>
      <c r="AJ137" s="273"/>
      <c r="BK137" s="1075"/>
    </row>
    <row r="138" spans="1:63" ht="15" customHeight="1" x14ac:dyDescent="0.2">
      <c r="A138" s="1076"/>
      <c r="B138" s="970">
        <v>9</v>
      </c>
      <c r="C138" s="1729" t="s">
        <v>1285</v>
      </c>
      <c r="D138" s="1730"/>
      <c r="E138" s="1730"/>
      <c r="F138" s="265"/>
      <c r="G138" s="273"/>
      <c r="H138" s="273"/>
      <c r="I138" s="1428"/>
      <c r="J138" s="265"/>
      <c r="K138" s="265"/>
      <c r="L138" s="273"/>
      <c r="M138" s="265"/>
      <c r="N138" s="265"/>
      <c r="O138" s="265"/>
      <c r="P138" s="265"/>
      <c r="Q138" s="1402"/>
      <c r="R138" s="265"/>
      <c r="S138" s="265"/>
      <c r="T138" s="1429"/>
      <c r="U138" s="1428"/>
      <c r="V138" s="265"/>
      <c r="W138" s="265"/>
      <c r="X138" s="273"/>
      <c r="Y138" s="265"/>
      <c r="Z138" s="265"/>
      <c r="AA138" s="265"/>
      <c r="AB138" s="265"/>
      <c r="AC138" s="1402"/>
      <c r="AD138" s="265"/>
      <c r="AE138" s="265"/>
      <c r="AF138" s="1429"/>
      <c r="AG138" s="1428"/>
      <c r="AH138" s="1429"/>
      <c r="AI138" s="1428"/>
      <c r="AJ138" s="273"/>
      <c r="BK138" s="1075"/>
    </row>
    <row r="139" spans="1:63" ht="15" customHeight="1" x14ac:dyDescent="0.2">
      <c r="A139" s="1076"/>
      <c r="B139" s="970">
        <v>10</v>
      </c>
      <c r="C139" s="1729" t="s">
        <v>1286</v>
      </c>
      <c r="D139" s="1730"/>
      <c r="E139" s="1730"/>
      <c r="F139" s="265"/>
      <c r="G139" s="273"/>
      <c r="H139" s="273"/>
      <c r="I139" s="1428"/>
      <c r="J139" s="265"/>
      <c r="K139" s="265"/>
      <c r="L139" s="273"/>
      <c r="M139" s="265"/>
      <c r="N139" s="265"/>
      <c r="O139" s="265"/>
      <c r="P139" s="265"/>
      <c r="Q139" s="1402"/>
      <c r="R139" s="265"/>
      <c r="S139" s="265"/>
      <c r="T139" s="1429"/>
      <c r="U139" s="1428"/>
      <c r="V139" s="265"/>
      <c r="W139" s="265"/>
      <c r="X139" s="273"/>
      <c r="Y139" s="265"/>
      <c r="Z139" s="265"/>
      <c r="AA139" s="265"/>
      <c r="AB139" s="265"/>
      <c r="AC139" s="1402"/>
      <c r="AD139" s="265"/>
      <c r="AE139" s="265"/>
      <c r="AF139" s="1429"/>
      <c r="AG139" s="1428"/>
      <c r="AH139" s="1463"/>
      <c r="AI139" s="1462"/>
      <c r="AJ139" s="329"/>
      <c r="BK139" s="1075"/>
    </row>
    <row r="140" spans="1:63" ht="15" customHeight="1" x14ac:dyDescent="0.2">
      <c r="A140" s="1076"/>
      <c r="B140" s="971">
        <v>11</v>
      </c>
      <c r="C140" s="1731" t="s">
        <v>1287</v>
      </c>
      <c r="D140" s="1732"/>
      <c r="E140" s="1732"/>
      <c r="F140" s="321"/>
      <c r="G140" s="275"/>
      <c r="H140" s="275"/>
      <c r="I140" s="1430"/>
      <c r="J140" s="321"/>
      <c r="K140" s="321"/>
      <c r="L140" s="275"/>
      <c r="M140" s="321"/>
      <c r="N140" s="321"/>
      <c r="O140" s="321"/>
      <c r="P140" s="321"/>
      <c r="Q140" s="1405"/>
      <c r="R140" s="321"/>
      <c r="S140" s="321"/>
      <c r="T140" s="1431"/>
      <c r="U140" s="1430"/>
      <c r="V140" s="321"/>
      <c r="W140" s="321"/>
      <c r="X140" s="275"/>
      <c r="Y140" s="321"/>
      <c r="Z140" s="321"/>
      <c r="AA140" s="321"/>
      <c r="AB140" s="321"/>
      <c r="AC140" s="1405"/>
      <c r="AD140" s="321"/>
      <c r="AE140" s="321"/>
      <c r="AF140" s="1431"/>
      <c r="AG140" s="1430"/>
      <c r="AH140" s="1431"/>
      <c r="AI140" s="1430"/>
      <c r="AJ140" s="275"/>
      <c r="BK140" s="1075"/>
    </row>
    <row r="141" spans="1:63" ht="15" customHeight="1" x14ac:dyDescent="0.2">
      <c r="A141" s="1076"/>
      <c r="B141" s="1074"/>
      <c r="G141" s="1074"/>
      <c r="H141" s="1074"/>
      <c r="I141" s="1170"/>
      <c r="J141" s="1170"/>
      <c r="K141" s="1170"/>
      <c r="L141" s="1170"/>
      <c r="U141" s="1170"/>
      <c r="V141" s="1170"/>
      <c r="W141" s="1170"/>
      <c r="X141" s="1170"/>
      <c r="BK141" s="1075"/>
    </row>
    <row r="142" spans="1:63" s="1168" customFormat="1" ht="15" customHeight="1" x14ac:dyDescent="0.2">
      <c r="A142" s="63"/>
      <c r="B142" s="1723" t="s">
        <v>178</v>
      </c>
      <c r="C142" s="1723"/>
      <c r="D142" s="1723"/>
      <c r="E142" s="1723"/>
      <c r="F142" s="1425"/>
      <c r="G142" s="629"/>
      <c r="H142" s="1465"/>
      <c r="I142" s="1432"/>
      <c r="J142" s="629"/>
      <c r="K142" s="629"/>
      <c r="L142" s="1465"/>
      <c r="M142" s="629"/>
      <c r="N142" s="629"/>
      <c r="O142" s="629"/>
      <c r="P142" s="629"/>
      <c r="Q142" s="1517"/>
      <c r="R142" s="629"/>
      <c r="S142" s="629"/>
      <c r="T142" s="629"/>
      <c r="U142" s="629"/>
      <c r="V142" s="629"/>
      <c r="W142" s="629"/>
      <c r="X142" s="1465"/>
      <c r="Y142" s="629"/>
      <c r="Z142" s="629"/>
      <c r="AA142" s="629"/>
      <c r="AB142" s="629"/>
      <c r="AC142" s="1517"/>
      <c r="AD142" s="629"/>
      <c r="AE142" s="629"/>
      <c r="AF142" s="1465"/>
      <c r="AG142" s="1518"/>
      <c r="AH142" s="1464"/>
      <c r="AI142" s="1518"/>
      <c r="AJ142" s="1465"/>
      <c r="AK142" s="1170"/>
      <c r="AL142" s="1170"/>
      <c r="AM142" s="1170"/>
      <c r="AN142" s="1170"/>
      <c r="AO142" s="1170"/>
      <c r="AP142" s="1170"/>
      <c r="AQ142" s="1170"/>
      <c r="AR142" s="1170"/>
      <c r="AS142" s="1170"/>
      <c r="AT142" s="1170"/>
      <c r="AU142" s="1170"/>
      <c r="AV142" s="1170"/>
      <c r="AW142" s="1170"/>
      <c r="AX142" s="1170"/>
      <c r="AY142" s="1170"/>
      <c r="AZ142" s="1170"/>
      <c r="BA142" s="1170"/>
      <c r="BB142" s="1170"/>
      <c r="BC142" s="1170"/>
      <c r="BD142" s="1170"/>
      <c r="BE142" s="1170"/>
      <c r="BF142" s="1170"/>
      <c r="BG142" s="1170"/>
      <c r="BH142" s="1170"/>
      <c r="BI142" s="1170"/>
      <c r="BJ142" s="1170"/>
      <c r="BK142" s="1143"/>
    </row>
    <row r="143" spans="1:63" ht="15" customHeight="1" x14ac:dyDescent="0.2">
      <c r="A143" s="1076"/>
      <c r="B143" s="1074"/>
      <c r="G143" s="1074"/>
      <c r="H143" s="1074"/>
      <c r="I143" s="1074"/>
      <c r="J143" s="1074"/>
      <c r="N143" s="1467"/>
      <c r="AB143" s="1320"/>
      <c r="BK143" s="1075"/>
    </row>
    <row r="144" spans="1:63" ht="15" customHeight="1" x14ac:dyDescent="0.2">
      <c r="A144" s="1076"/>
      <c r="B144" s="1724" t="s">
        <v>1323</v>
      </c>
      <c r="C144" s="1724"/>
      <c r="D144" s="1724"/>
      <c r="E144" s="1724"/>
      <c r="F144" s="1455" t="str">
        <f>IF(AND(ISNUMBER(F142),ISNUMBER(AG142),ISNUMBER(AI142)),F142+AG142+AI142,"")</f>
        <v/>
      </c>
      <c r="G144" s="183"/>
      <c r="H144" s="183"/>
      <c r="I144" s="183"/>
      <c r="J144" s="183"/>
      <c r="K144" s="183"/>
      <c r="M144" s="183"/>
      <c r="N144" s="183"/>
      <c r="BK144" s="1075"/>
    </row>
    <row r="145" spans="1:63" ht="15" customHeight="1" x14ac:dyDescent="0.2">
      <c r="A145" s="1076"/>
      <c r="B145" s="1074"/>
      <c r="G145" s="1074"/>
      <c r="H145" s="1074"/>
      <c r="I145" s="1074"/>
      <c r="J145" s="1074"/>
      <c r="BK145" s="1075"/>
    </row>
    <row r="146" spans="1:63" s="207" customFormat="1" ht="30" customHeight="1" x14ac:dyDescent="0.25">
      <c r="A146" s="1377" t="s">
        <v>1288</v>
      </c>
      <c r="B146" s="18"/>
      <c r="C146" s="16"/>
      <c r="D146" s="16"/>
      <c r="E146" s="16"/>
      <c r="F146" s="16"/>
      <c r="G146" s="203"/>
      <c r="H146" s="203"/>
      <c r="I146" s="203"/>
      <c r="J146" s="203"/>
      <c r="K146" s="180"/>
      <c r="L146" s="180"/>
      <c r="M146" s="180"/>
      <c r="N146" s="180"/>
      <c r="O146" s="180"/>
      <c r="P146" s="180"/>
      <c r="Q146" s="180"/>
      <c r="R146" s="180"/>
      <c r="S146" s="180"/>
      <c r="T146" s="180"/>
      <c r="U146" s="180"/>
      <c r="V146" s="180"/>
      <c r="W146" s="180"/>
      <c r="X146" s="180"/>
      <c r="Y146" s="180"/>
      <c r="Z146" s="180"/>
      <c r="AA146" s="180"/>
      <c r="AB146" s="180"/>
      <c r="AC146" s="180"/>
      <c r="AD146" s="180"/>
      <c r="AE146" s="180"/>
      <c r="AF146" s="180"/>
      <c r="AG146" s="180"/>
      <c r="AH146" s="180"/>
      <c r="AI146" s="180"/>
      <c r="AJ146" s="180"/>
      <c r="AK146" s="180"/>
      <c r="AL146" s="180"/>
      <c r="AM146" s="180"/>
      <c r="AN146" s="180"/>
      <c r="AO146" s="180"/>
      <c r="AP146" s="180"/>
      <c r="AQ146" s="180"/>
      <c r="AR146" s="180"/>
      <c r="AS146" s="180"/>
      <c r="AT146" s="180"/>
      <c r="AU146" s="180"/>
      <c r="AV146" s="180"/>
      <c r="AW146" s="180"/>
      <c r="AX146" s="180"/>
      <c r="AY146" s="180"/>
      <c r="AZ146" s="180"/>
      <c r="BA146" s="180"/>
      <c r="BB146" s="180"/>
      <c r="BC146" s="180"/>
      <c r="BD146" s="180"/>
      <c r="BE146" s="180"/>
      <c r="BF146" s="180"/>
      <c r="BG146" s="180"/>
      <c r="BH146" s="180"/>
      <c r="BI146" s="180"/>
      <c r="BJ146" s="180"/>
      <c r="BK146" s="181"/>
    </row>
    <row r="147" spans="1:63" s="1073" customFormat="1" ht="15" customHeight="1" x14ac:dyDescent="0.25">
      <c r="A147" s="1053"/>
      <c r="B147" s="46"/>
      <c r="C147" s="46"/>
      <c r="D147" s="46"/>
      <c r="E147" s="46"/>
      <c r="F147" s="46"/>
      <c r="G147" s="46"/>
      <c r="H147" s="46"/>
      <c r="I147" s="46"/>
      <c r="J147" s="46"/>
      <c r="BK147" s="1072"/>
    </row>
    <row r="148" spans="1:63" s="1168" customFormat="1" ht="15" customHeight="1" x14ac:dyDescent="0.2">
      <c r="A148" s="74"/>
      <c r="B148" s="1725" t="s">
        <v>1214</v>
      </c>
      <c r="C148" s="1725"/>
      <c r="D148" s="1725"/>
      <c r="E148" s="1725"/>
      <c r="F148" s="1677" t="s">
        <v>1247</v>
      </c>
      <c r="G148" s="1678"/>
      <c r="H148" s="1678"/>
      <c r="I148" s="1726"/>
      <c r="J148" s="1727" t="s">
        <v>1248</v>
      </c>
      <c r="K148" s="1728"/>
      <c r="L148" s="1727" t="s">
        <v>1249</v>
      </c>
      <c r="M148" s="1722"/>
      <c r="N148" s="1170"/>
      <c r="O148" s="204"/>
      <c r="P148" s="204"/>
      <c r="Q148" s="1170"/>
      <c r="R148" s="1170"/>
      <c r="S148" s="1170"/>
      <c r="T148" s="1170"/>
      <c r="U148" s="1170"/>
      <c r="V148" s="1170"/>
      <c r="W148" s="1170"/>
      <c r="X148" s="1170"/>
      <c r="Y148" s="1170"/>
      <c r="Z148" s="1170"/>
      <c r="AA148" s="1170"/>
      <c r="AB148" s="1170"/>
      <c r="AC148" s="1170"/>
      <c r="AD148" s="1170"/>
      <c r="AE148" s="1170"/>
      <c r="AF148" s="1170"/>
      <c r="AG148" s="1170"/>
      <c r="AH148" s="1170"/>
      <c r="AI148" s="1170"/>
      <c r="AJ148" s="1170"/>
      <c r="AK148" s="1170"/>
      <c r="AL148" s="1170"/>
      <c r="AM148" s="1170"/>
      <c r="AN148" s="1170"/>
      <c r="AO148" s="1170"/>
      <c r="AP148" s="1170"/>
      <c r="AQ148" s="1170"/>
      <c r="AR148" s="1170"/>
      <c r="AS148" s="1170"/>
      <c r="AT148" s="1170"/>
      <c r="AU148" s="1170"/>
      <c r="AV148" s="1170"/>
      <c r="AW148" s="1170"/>
      <c r="AX148" s="1170"/>
      <c r="AY148" s="1170"/>
      <c r="AZ148" s="1170"/>
      <c r="BA148" s="1170"/>
      <c r="BB148" s="1170"/>
      <c r="BC148" s="1170"/>
      <c r="BD148" s="1170"/>
      <c r="BE148" s="1170"/>
      <c r="BF148" s="1170"/>
      <c r="BG148" s="1170"/>
      <c r="BH148" s="1170"/>
      <c r="BI148" s="1170"/>
      <c r="BJ148" s="1170"/>
      <c r="BK148" s="1143"/>
    </row>
    <row r="149" spans="1:63" s="1168" customFormat="1" ht="30" customHeight="1" x14ac:dyDescent="0.2">
      <c r="A149" s="63"/>
      <c r="B149" s="1640"/>
      <c r="C149" s="1640"/>
      <c r="D149" s="1640"/>
      <c r="E149" s="1640"/>
      <c r="F149" s="1555" t="s">
        <v>1215</v>
      </c>
      <c r="G149" s="1555" t="s">
        <v>1216</v>
      </c>
      <c r="H149" s="1555" t="s">
        <v>1217</v>
      </c>
      <c r="I149" s="1555" t="s">
        <v>1335</v>
      </c>
      <c r="J149" s="1552" t="s">
        <v>1215</v>
      </c>
      <c r="K149" s="1553" t="s">
        <v>1216</v>
      </c>
      <c r="L149" s="1552" t="s">
        <v>1215</v>
      </c>
      <c r="M149" s="1555" t="s">
        <v>1216</v>
      </c>
      <c r="N149" s="1170"/>
      <c r="O149" s="204"/>
      <c r="P149" s="204"/>
      <c r="Q149" s="1170"/>
      <c r="R149" s="1170"/>
      <c r="S149" s="1170"/>
      <c r="T149" s="1170"/>
      <c r="U149" s="1170"/>
      <c r="V149" s="1170"/>
      <c r="W149" s="1170"/>
      <c r="X149" s="1170"/>
      <c r="Y149" s="1170"/>
      <c r="Z149" s="1170"/>
      <c r="AA149" s="1170"/>
      <c r="AB149" s="1170"/>
      <c r="AC149" s="1170"/>
      <c r="AD149" s="1170"/>
      <c r="AE149" s="1170"/>
      <c r="AF149" s="1170"/>
      <c r="AG149" s="1170"/>
      <c r="AH149" s="1170"/>
      <c r="AI149" s="1170"/>
      <c r="AJ149" s="1170"/>
      <c r="AK149" s="1170"/>
      <c r="AL149" s="1170"/>
      <c r="AM149" s="1170"/>
      <c r="AN149" s="1170"/>
      <c r="AO149" s="1170"/>
      <c r="AP149" s="1170"/>
      <c r="AQ149" s="1170"/>
      <c r="AR149" s="1170"/>
      <c r="AS149" s="1170"/>
      <c r="AT149" s="1170"/>
      <c r="AU149" s="1170"/>
      <c r="AV149" s="1170"/>
      <c r="AW149" s="1170"/>
      <c r="AX149" s="1170"/>
      <c r="AY149" s="1170"/>
      <c r="AZ149" s="1170"/>
      <c r="BA149" s="1170"/>
      <c r="BB149" s="1170"/>
      <c r="BC149" s="1170"/>
      <c r="BD149" s="1170"/>
      <c r="BE149" s="1170"/>
      <c r="BF149" s="1170"/>
      <c r="BG149" s="1170"/>
      <c r="BH149" s="1170"/>
      <c r="BI149" s="1170"/>
      <c r="BJ149" s="1170"/>
      <c r="BK149" s="1143"/>
    </row>
    <row r="150" spans="1:63" s="1168" customFormat="1" ht="15" customHeight="1" x14ac:dyDescent="0.2">
      <c r="A150" s="63"/>
      <c r="B150" s="1458" t="s">
        <v>886</v>
      </c>
      <c r="C150" s="1458"/>
      <c r="D150" s="1458"/>
      <c r="E150" s="1458"/>
      <c r="F150" s="314"/>
      <c r="G150" s="314"/>
      <c r="H150" s="314"/>
      <c r="I150" s="314"/>
      <c r="J150" s="1426"/>
      <c r="K150" s="1427"/>
      <c r="L150" s="1426"/>
      <c r="M150" s="1424"/>
      <c r="N150" s="1170"/>
      <c r="O150" s="204"/>
      <c r="P150" s="204"/>
      <c r="Q150" s="1170"/>
      <c r="R150" s="1170"/>
      <c r="S150" s="1170"/>
      <c r="T150" s="1170"/>
      <c r="U150" s="1170"/>
      <c r="V150" s="1170"/>
      <c r="W150" s="1170"/>
      <c r="X150" s="1170"/>
      <c r="Y150" s="1170"/>
      <c r="Z150" s="1170"/>
      <c r="AA150" s="1170"/>
      <c r="AB150" s="1170"/>
      <c r="AC150" s="1170"/>
      <c r="AD150" s="1170"/>
      <c r="AE150" s="1170"/>
      <c r="AF150" s="1170"/>
      <c r="AG150" s="1170"/>
      <c r="AH150" s="1170"/>
      <c r="AI150" s="1170"/>
      <c r="AJ150" s="1170"/>
      <c r="AK150" s="1170"/>
      <c r="AL150" s="1170"/>
      <c r="AM150" s="1170"/>
      <c r="AN150" s="1170"/>
      <c r="AO150" s="1170"/>
      <c r="AP150" s="1170"/>
      <c r="AQ150" s="1170"/>
      <c r="AR150" s="1170"/>
      <c r="AS150" s="1170"/>
      <c r="AT150" s="1170"/>
      <c r="AU150" s="1170"/>
      <c r="AV150" s="1170"/>
      <c r="AW150" s="1170"/>
      <c r="AX150" s="1170"/>
      <c r="AY150" s="1170"/>
      <c r="AZ150" s="1170"/>
      <c r="BA150" s="1170"/>
      <c r="BB150" s="1170"/>
      <c r="BC150" s="1170"/>
      <c r="BD150" s="1170"/>
      <c r="BE150" s="1170"/>
      <c r="BF150" s="1170"/>
      <c r="BG150" s="1170"/>
      <c r="BH150" s="1170"/>
      <c r="BI150" s="1170"/>
      <c r="BJ150" s="1170"/>
      <c r="BK150" s="1143"/>
    </row>
    <row r="151" spans="1:63" s="1168" customFormat="1" ht="15" customHeight="1" x14ac:dyDescent="0.2">
      <c r="A151" s="63"/>
      <c r="B151" s="1459" t="s">
        <v>887</v>
      </c>
      <c r="C151" s="1459"/>
      <c r="D151" s="1459"/>
      <c r="E151" s="1459"/>
      <c r="F151" s="265"/>
      <c r="G151" s="265"/>
      <c r="H151" s="265"/>
      <c r="I151" s="265"/>
      <c r="J151" s="1428"/>
      <c r="K151" s="1429"/>
      <c r="L151" s="1428"/>
      <c r="M151" s="273"/>
      <c r="N151" s="1170"/>
      <c r="O151" s="204"/>
      <c r="P151" s="204"/>
      <c r="Q151" s="1170"/>
      <c r="R151" s="1170"/>
      <c r="S151" s="1170"/>
      <c r="T151" s="1170"/>
      <c r="U151" s="1170"/>
      <c r="V151" s="1170"/>
      <c r="W151" s="1170"/>
      <c r="X151" s="1170"/>
      <c r="Y151" s="1170"/>
      <c r="Z151" s="1170"/>
      <c r="AA151" s="1170"/>
      <c r="AB151" s="1170"/>
      <c r="AC151" s="1170"/>
      <c r="AD151" s="1170"/>
      <c r="AE151" s="1170"/>
      <c r="AF151" s="1170"/>
      <c r="AG151" s="1170"/>
      <c r="AH151" s="1170"/>
      <c r="AI151" s="1170"/>
      <c r="AJ151" s="1170"/>
      <c r="AK151" s="1170"/>
      <c r="AL151" s="1170"/>
      <c r="AM151" s="1170"/>
      <c r="AN151" s="1170"/>
      <c r="AO151" s="1170"/>
      <c r="AP151" s="1170"/>
      <c r="AQ151" s="1170"/>
      <c r="AR151" s="1170"/>
      <c r="AS151" s="1170"/>
      <c r="AT151" s="1170"/>
      <c r="AU151" s="1170"/>
      <c r="AV151" s="1170"/>
      <c r="AW151" s="1170"/>
      <c r="AX151" s="1170"/>
      <c r="AY151" s="1170"/>
      <c r="AZ151" s="1170"/>
      <c r="BA151" s="1170"/>
      <c r="BB151" s="1170"/>
      <c r="BC151" s="1170"/>
      <c r="BD151" s="1170"/>
      <c r="BE151" s="1170"/>
      <c r="BF151" s="1170"/>
      <c r="BG151" s="1170"/>
      <c r="BH151" s="1170"/>
      <c r="BI151" s="1170"/>
      <c r="BJ151" s="1170"/>
      <c r="BK151" s="1143"/>
    </row>
    <row r="152" spans="1:63" s="1168" customFormat="1" ht="15" customHeight="1" x14ac:dyDescent="0.2">
      <c r="A152" s="63"/>
      <c r="B152" s="1456" t="s">
        <v>1220</v>
      </c>
      <c r="C152" s="1456"/>
      <c r="D152" s="1456"/>
      <c r="E152" s="1456"/>
      <c r="F152" s="265"/>
      <c r="G152" s="265"/>
      <c r="H152" s="265"/>
      <c r="I152" s="265"/>
      <c r="J152" s="1428"/>
      <c r="K152" s="1429"/>
      <c r="L152" s="1428"/>
      <c r="M152" s="273"/>
      <c r="N152" s="1170"/>
      <c r="O152" s="204"/>
      <c r="P152" s="204"/>
      <c r="Q152" s="1170"/>
      <c r="R152" s="1170"/>
      <c r="S152" s="1170"/>
      <c r="T152" s="1170"/>
      <c r="U152" s="1170"/>
      <c r="V152" s="1170"/>
      <c r="W152" s="1170"/>
      <c r="X152" s="1170"/>
      <c r="Y152" s="1170"/>
      <c r="Z152" s="1170"/>
      <c r="AA152" s="1170"/>
      <c r="AB152" s="1170"/>
      <c r="AC152" s="1170"/>
      <c r="AD152" s="1170"/>
      <c r="AE152" s="1170"/>
      <c r="AF152" s="1170"/>
      <c r="AG152" s="1170"/>
      <c r="AH152" s="1170"/>
      <c r="AI152" s="1170"/>
      <c r="AJ152" s="1170"/>
      <c r="AK152" s="1170"/>
      <c r="AL152" s="1170"/>
      <c r="AM152" s="1170"/>
      <c r="AN152" s="1170"/>
      <c r="AO152" s="1170"/>
      <c r="AP152" s="1170"/>
      <c r="AQ152" s="1170"/>
      <c r="AR152" s="1170"/>
      <c r="AS152" s="1170"/>
      <c r="AT152" s="1170"/>
      <c r="AU152" s="1170"/>
      <c r="AV152" s="1170"/>
      <c r="AW152" s="1170"/>
      <c r="AX152" s="1170"/>
      <c r="AY152" s="1170"/>
      <c r="AZ152" s="1170"/>
      <c r="BA152" s="1170"/>
      <c r="BB152" s="1170"/>
      <c r="BC152" s="1170"/>
      <c r="BD152" s="1170"/>
      <c r="BE152" s="1170"/>
      <c r="BF152" s="1170"/>
      <c r="BG152" s="1170"/>
      <c r="BH152" s="1170"/>
      <c r="BI152" s="1170"/>
      <c r="BJ152" s="1170"/>
      <c r="BK152" s="1143"/>
    </row>
    <row r="153" spans="1:63" s="1168" customFormat="1" ht="15" customHeight="1" x14ac:dyDescent="0.2">
      <c r="A153" s="63"/>
      <c r="B153" s="1456" t="s">
        <v>888</v>
      </c>
      <c r="C153" s="1456"/>
      <c r="D153" s="1456"/>
      <c r="E153" s="1456"/>
      <c r="F153" s="265"/>
      <c r="G153" s="265"/>
      <c r="H153" s="265"/>
      <c r="I153" s="265"/>
      <c r="J153" s="1428"/>
      <c r="K153" s="1429"/>
      <c r="L153" s="1428"/>
      <c r="M153" s="273"/>
      <c r="N153" s="1170"/>
      <c r="O153" s="204"/>
      <c r="P153" s="204"/>
      <c r="Q153" s="1170"/>
      <c r="R153" s="1170"/>
      <c r="S153" s="1170"/>
      <c r="T153" s="1170"/>
      <c r="U153" s="1170"/>
      <c r="V153" s="1170"/>
      <c r="W153" s="1170"/>
      <c r="X153" s="1170"/>
      <c r="Y153" s="1170"/>
      <c r="Z153" s="1170"/>
      <c r="AA153" s="1170"/>
      <c r="AB153" s="1170"/>
      <c r="AC153" s="1170"/>
      <c r="AD153" s="1170"/>
      <c r="AE153" s="1170"/>
      <c r="AF153" s="1170"/>
      <c r="AG153" s="1170"/>
      <c r="AH153" s="1170"/>
      <c r="AI153" s="1170"/>
      <c r="AJ153" s="1170"/>
      <c r="AK153" s="1170"/>
      <c r="AL153" s="1170"/>
      <c r="AM153" s="1170"/>
      <c r="AN153" s="1170"/>
      <c r="AO153" s="1170"/>
      <c r="AP153" s="1170"/>
      <c r="AQ153" s="1170"/>
      <c r="AR153" s="1170"/>
      <c r="AS153" s="1170"/>
      <c r="AT153" s="1170"/>
      <c r="AU153" s="1170"/>
      <c r="AV153" s="1170"/>
      <c r="AW153" s="1170"/>
      <c r="AX153" s="1170"/>
      <c r="AY153" s="1170"/>
      <c r="AZ153" s="1170"/>
      <c r="BA153" s="1170"/>
      <c r="BB153" s="1170"/>
      <c r="BC153" s="1170"/>
      <c r="BD153" s="1170"/>
      <c r="BE153" s="1170"/>
      <c r="BF153" s="1170"/>
      <c r="BG153" s="1170"/>
      <c r="BH153" s="1170"/>
      <c r="BI153" s="1170"/>
      <c r="BJ153" s="1170"/>
      <c r="BK153" s="1143"/>
    </row>
    <row r="154" spans="1:63" s="1168" customFormat="1" ht="15" customHeight="1" x14ac:dyDescent="0.2">
      <c r="A154" s="63"/>
      <c r="B154" s="1456" t="s">
        <v>1221</v>
      </c>
      <c r="C154" s="1456"/>
      <c r="D154" s="1456"/>
      <c r="E154" s="1456"/>
      <c r="F154" s="265"/>
      <c r="G154" s="265"/>
      <c r="H154" s="265"/>
      <c r="I154" s="265"/>
      <c r="J154" s="1428"/>
      <c r="K154" s="1429"/>
      <c r="L154" s="1428"/>
      <c r="M154" s="273"/>
      <c r="N154" s="1170"/>
      <c r="O154" s="204"/>
      <c r="P154" s="204"/>
      <c r="Q154" s="1170"/>
      <c r="R154" s="1170"/>
      <c r="S154" s="1170"/>
      <c r="T154" s="1170"/>
      <c r="U154" s="1170"/>
      <c r="V154" s="1170"/>
      <c r="W154" s="1170"/>
      <c r="X154" s="1170"/>
      <c r="Y154" s="1170"/>
      <c r="Z154" s="1170"/>
      <c r="AA154" s="1170"/>
      <c r="AB154" s="1170"/>
      <c r="AC154" s="1170"/>
      <c r="AD154" s="1170"/>
      <c r="AE154" s="1170"/>
      <c r="AF154" s="1170"/>
      <c r="AG154" s="1170"/>
      <c r="AH154" s="1170"/>
      <c r="AI154" s="1170"/>
      <c r="AJ154" s="1170"/>
      <c r="AK154" s="1170"/>
      <c r="AL154" s="1170"/>
      <c r="AM154" s="1170"/>
      <c r="AN154" s="1170"/>
      <c r="AO154" s="1170"/>
      <c r="AP154" s="1170"/>
      <c r="AQ154" s="1170"/>
      <c r="AR154" s="1170"/>
      <c r="AS154" s="1170"/>
      <c r="AT154" s="1170"/>
      <c r="AU154" s="1170"/>
      <c r="AV154" s="1170"/>
      <c r="AW154" s="1170"/>
      <c r="AX154" s="1170"/>
      <c r="AY154" s="1170"/>
      <c r="AZ154" s="1170"/>
      <c r="BA154" s="1170"/>
      <c r="BB154" s="1170"/>
      <c r="BC154" s="1170"/>
      <c r="BD154" s="1170"/>
      <c r="BE154" s="1170"/>
      <c r="BF154" s="1170"/>
      <c r="BG154" s="1170"/>
      <c r="BH154" s="1170"/>
      <c r="BI154" s="1170"/>
      <c r="BJ154" s="1170"/>
      <c r="BK154" s="1143"/>
    </row>
    <row r="155" spans="1:63" s="1168" customFormat="1" ht="15" customHeight="1" x14ac:dyDescent="0.2">
      <c r="A155" s="63"/>
      <c r="B155" s="1456" t="s">
        <v>1222</v>
      </c>
      <c r="C155" s="1456"/>
      <c r="D155" s="1456"/>
      <c r="E155" s="1456"/>
      <c r="F155" s="265"/>
      <c r="G155" s="265"/>
      <c r="H155" s="265"/>
      <c r="I155" s="265"/>
      <c r="J155" s="1428"/>
      <c r="K155" s="1429"/>
      <c r="L155" s="1428"/>
      <c r="M155" s="273"/>
      <c r="N155" s="1170"/>
      <c r="O155" s="204"/>
      <c r="P155" s="204"/>
      <c r="Q155" s="1170"/>
      <c r="R155" s="1170"/>
      <c r="S155" s="1170"/>
      <c r="T155" s="1170"/>
      <c r="U155" s="1170"/>
      <c r="V155" s="1170"/>
      <c r="W155" s="1170"/>
      <c r="X155" s="1170"/>
      <c r="Y155" s="1170"/>
      <c r="Z155" s="1170"/>
      <c r="AA155" s="1170"/>
      <c r="AB155" s="1170"/>
      <c r="AC155" s="1170"/>
      <c r="AD155" s="1170"/>
      <c r="AE155" s="1170"/>
      <c r="AF155" s="1170"/>
      <c r="AG155" s="1170"/>
      <c r="AH155" s="1170"/>
      <c r="AI155" s="1170"/>
      <c r="AJ155" s="1170"/>
      <c r="AK155" s="1170"/>
      <c r="AL155" s="1170"/>
      <c r="AM155" s="1170"/>
      <c r="AN155" s="1170"/>
      <c r="AO155" s="1170"/>
      <c r="AP155" s="1170"/>
      <c r="AQ155" s="1170"/>
      <c r="AR155" s="1170"/>
      <c r="AS155" s="1170"/>
      <c r="AT155" s="1170"/>
      <c r="AU155" s="1170"/>
      <c r="AV155" s="1170"/>
      <c r="AW155" s="1170"/>
      <c r="AX155" s="1170"/>
      <c r="AY155" s="1170"/>
      <c r="AZ155" s="1170"/>
      <c r="BA155" s="1170"/>
      <c r="BB155" s="1170"/>
      <c r="BC155" s="1170"/>
      <c r="BD155" s="1170"/>
      <c r="BE155" s="1170"/>
      <c r="BF155" s="1170"/>
      <c r="BG155" s="1170"/>
      <c r="BH155" s="1170"/>
      <c r="BI155" s="1170"/>
      <c r="BJ155" s="1170"/>
      <c r="BK155" s="1143"/>
    </row>
    <row r="156" spans="1:63" s="1168" customFormat="1" ht="15" customHeight="1" x14ac:dyDescent="0.2">
      <c r="A156" s="63"/>
      <c r="B156" s="1456" t="s">
        <v>1223</v>
      </c>
      <c r="C156" s="1456"/>
      <c r="D156" s="1456"/>
      <c r="E156" s="1456"/>
      <c r="F156" s="265"/>
      <c r="G156" s="265"/>
      <c r="H156" s="265"/>
      <c r="I156" s="265"/>
      <c r="J156" s="1428"/>
      <c r="K156" s="1429"/>
      <c r="L156" s="1428"/>
      <c r="M156" s="273"/>
      <c r="N156" s="1170"/>
      <c r="O156" s="204"/>
      <c r="P156" s="204"/>
      <c r="Q156" s="1170"/>
      <c r="R156" s="1170"/>
      <c r="S156" s="1170"/>
      <c r="T156" s="1170"/>
      <c r="U156" s="1170"/>
      <c r="V156" s="1170"/>
      <c r="W156" s="1170"/>
      <c r="X156" s="1170"/>
      <c r="Y156" s="1170"/>
      <c r="Z156" s="1170"/>
      <c r="AA156" s="1170"/>
      <c r="AB156" s="1170"/>
      <c r="AC156" s="1170"/>
      <c r="AD156" s="1170"/>
      <c r="AE156" s="1170"/>
      <c r="AF156" s="1170"/>
      <c r="AG156" s="1170"/>
      <c r="AH156" s="1170"/>
      <c r="AI156" s="1170"/>
      <c r="AJ156" s="1170"/>
      <c r="AK156" s="1170"/>
      <c r="AL156" s="1170"/>
      <c r="AM156" s="1170"/>
      <c r="AN156" s="1170"/>
      <c r="AO156" s="1170"/>
      <c r="AP156" s="1170"/>
      <c r="AQ156" s="1170"/>
      <c r="AR156" s="1170"/>
      <c r="AS156" s="1170"/>
      <c r="AT156" s="1170"/>
      <c r="AU156" s="1170"/>
      <c r="AV156" s="1170"/>
      <c r="AW156" s="1170"/>
      <c r="AX156" s="1170"/>
      <c r="AY156" s="1170"/>
      <c r="AZ156" s="1170"/>
      <c r="BA156" s="1170"/>
      <c r="BB156" s="1170"/>
      <c r="BC156" s="1170"/>
      <c r="BD156" s="1170"/>
      <c r="BE156" s="1170"/>
      <c r="BF156" s="1170"/>
      <c r="BG156" s="1170"/>
      <c r="BH156" s="1170"/>
      <c r="BI156" s="1170"/>
      <c r="BJ156" s="1170"/>
      <c r="BK156" s="1143"/>
    </row>
    <row r="157" spans="1:63" s="1168" customFormat="1" ht="15" customHeight="1" x14ac:dyDescent="0.2">
      <c r="A157" s="63"/>
      <c r="B157" s="1456" t="s">
        <v>1224</v>
      </c>
      <c r="C157" s="1456"/>
      <c r="D157" s="1456"/>
      <c r="E157" s="1456"/>
      <c r="F157" s="265"/>
      <c r="G157" s="265"/>
      <c r="H157" s="265"/>
      <c r="I157" s="265"/>
      <c r="J157" s="1428"/>
      <c r="K157" s="1429"/>
      <c r="L157" s="1428"/>
      <c r="M157" s="273"/>
      <c r="N157" s="1170"/>
      <c r="O157" s="204"/>
      <c r="P157" s="204"/>
      <c r="Q157" s="1170"/>
      <c r="R157" s="1170"/>
      <c r="S157" s="1170"/>
      <c r="T157" s="1170"/>
      <c r="U157" s="1170"/>
      <c r="V157" s="1170"/>
      <c r="W157" s="1170"/>
      <c r="X157" s="1170"/>
      <c r="Y157" s="1170"/>
      <c r="Z157" s="1170"/>
      <c r="AA157" s="1170"/>
      <c r="AB157" s="1170"/>
      <c r="AC157" s="1170"/>
      <c r="AD157" s="1170"/>
      <c r="AE157" s="1170"/>
      <c r="AF157" s="1170"/>
      <c r="AG157" s="1170"/>
      <c r="AH157" s="1170"/>
      <c r="AI157" s="1170"/>
      <c r="AJ157" s="1170"/>
      <c r="AK157" s="1170"/>
      <c r="AL157" s="1170"/>
      <c r="AM157" s="1170"/>
      <c r="AN157" s="1170"/>
      <c r="AO157" s="1170"/>
      <c r="AP157" s="1170"/>
      <c r="AQ157" s="1170"/>
      <c r="AR157" s="1170"/>
      <c r="AS157" s="1170"/>
      <c r="AT157" s="1170"/>
      <c r="AU157" s="1170"/>
      <c r="AV157" s="1170"/>
      <c r="AW157" s="1170"/>
      <c r="AX157" s="1170"/>
      <c r="AY157" s="1170"/>
      <c r="AZ157" s="1170"/>
      <c r="BA157" s="1170"/>
      <c r="BB157" s="1170"/>
      <c r="BC157" s="1170"/>
      <c r="BD157" s="1170"/>
      <c r="BE157" s="1170"/>
      <c r="BF157" s="1170"/>
      <c r="BG157" s="1170"/>
      <c r="BH157" s="1170"/>
      <c r="BI157" s="1170"/>
      <c r="BJ157" s="1170"/>
      <c r="BK157" s="1143"/>
    </row>
    <row r="158" spans="1:63" s="1168" customFormat="1" ht="15" customHeight="1" x14ac:dyDescent="0.2">
      <c r="A158" s="63"/>
      <c r="B158" s="1456" t="s">
        <v>1225</v>
      </c>
      <c r="C158" s="1456"/>
      <c r="D158" s="1456"/>
      <c r="E158" s="1456"/>
      <c r="F158" s="265"/>
      <c r="G158" s="265"/>
      <c r="H158" s="265"/>
      <c r="I158" s="265"/>
      <c r="J158" s="1428"/>
      <c r="K158" s="1429"/>
      <c r="L158" s="1428"/>
      <c r="M158" s="273"/>
      <c r="N158" s="1170"/>
      <c r="O158" s="204"/>
      <c r="P158" s="204"/>
      <c r="Q158" s="1170"/>
      <c r="R158" s="1170"/>
      <c r="S158" s="1170"/>
      <c r="T158" s="1170"/>
      <c r="U158" s="1170"/>
      <c r="V158" s="1170"/>
      <c r="W158" s="1170"/>
      <c r="X158" s="1170"/>
      <c r="Y158" s="1170"/>
      <c r="Z158" s="1170"/>
      <c r="AA158" s="1170"/>
      <c r="AB158" s="1170"/>
      <c r="AC158" s="1170"/>
      <c r="AD158" s="1170"/>
      <c r="AE158" s="1170"/>
      <c r="AF158" s="1170"/>
      <c r="AG158" s="1170"/>
      <c r="AH158" s="1170"/>
      <c r="AI158" s="1170"/>
      <c r="AJ158" s="1170"/>
      <c r="AK158" s="1170"/>
      <c r="AL158" s="1170"/>
      <c r="AM158" s="1170"/>
      <c r="AN158" s="1170"/>
      <c r="AO158" s="1170"/>
      <c r="AP158" s="1170"/>
      <c r="AQ158" s="1170"/>
      <c r="AR158" s="1170"/>
      <c r="AS158" s="1170"/>
      <c r="AT158" s="1170"/>
      <c r="AU158" s="1170"/>
      <c r="AV158" s="1170"/>
      <c r="AW158" s="1170"/>
      <c r="AX158" s="1170"/>
      <c r="AY158" s="1170"/>
      <c r="AZ158" s="1170"/>
      <c r="BA158" s="1170"/>
      <c r="BB158" s="1170"/>
      <c r="BC158" s="1170"/>
      <c r="BD158" s="1170"/>
      <c r="BE158" s="1170"/>
      <c r="BF158" s="1170"/>
      <c r="BG158" s="1170"/>
      <c r="BH158" s="1170"/>
      <c r="BI158" s="1170"/>
      <c r="BJ158" s="1170"/>
      <c r="BK158" s="1143"/>
    </row>
    <row r="159" spans="1:63" s="1168" customFormat="1" ht="15" customHeight="1" x14ac:dyDescent="0.2">
      <c r="A159" s="63"/>
      <c r="B159" s="1456" t="s">
        <v>1226</v>
      </c>
      <c r="C159" s="1456"/>
      <c r="D159" s="1456"/>
      <c r="E159" s="1456"/>
      <c r="F159" s="265"/>
      <c r="G159" s="265"/>
      <c r="H159" s="265"/>
      <c r="I159" s="265"/>
      <c r="J159" s="1428"/>
      <c r="K159" s="1429"/>
      <c r="L159" s="1428"/>
      <c r="M159" s="273"/>
      <c r="N159" s="1170"/>
      <c r="O159" s="204"/>
      <c r="P159" s="204"/>
      <c r="Q159" s="1170"/>
      <c r="R159" s="1170"/>
      <c r="S159" s="1170"/>
      <c r="T159" s="1170"/>
      <c r="U159" s="1170"/>
      <c r="V159" s="1170"/>
      <c r="W159" s="1170"/>
      <c r="X159" s="1170"/>
      <c r="Y159" s="1170"/>
      <c r="Z159" s="1170"/>
      <c r="AA159" s="1170"/>
      <c r="AB159" s="1170"/>
      <c r="AC159" s="1170"/>
      <c r="AD159" s="1170"/>
      <c r="AE159" s="1170"/>
      <c r="AF159" s="1170"/>
      <c r="AG159" s="1170"/>
      <c r="AH159" s="1170"/>
      <c r="AI159" s="1170"/>
      <c r="AJ159" s="1170"/>
      <c r="AK159" s="1170"/>
      <c r="AL159" s="1170"/>
      <c r="AM159" s="1170"/>
      <c r="AN159" s="1170"/>
      <c r="AO159" s="1170"/>
      <c r="AP159" s="1170"/>
      <c r="AQ159" s="1170"/>
      <c r="AR159" s="1170"/>
      <c r="AS159" s="1170"/>
      <c r="AT159" s="1170"/>
      <c r="AU159" s="1170"/>
      <c r="AV159" s="1170"/>
      <c r="AW159" s="1170"/>
      <c r="AX159" s="1170"/>
      <c r="AY159" s="1170"/>
      <c r="AZ159" s="1170"/>
      <c r="BA159" s="1170"/>
      <c r="BB159" s="1170"/>
      <c r="BC159" s="1170"/>
      <c r="BD159" s="1170"/>
      <c r="BE159" s="1170"/>
      <c r="BF159" s="1170"/>
      <c r="BG159" s="1170"/>
      <c r="BH159" s="1170"/>
      <c r="BI159" s="1170"/>
      <c r="BJ159" s="1170"/>
      <c r="BK159" s="1143"/>
    </row>
    <row r="160" spans="1:63" s="1168" customFormat="1" ht="15" customHeight="1" x14ac:dyDescent="0.2">
      <c r="A160" s="63"/>
      <c r="B160" s="1456" t="s">
        <v>1227</v>
      </c>
      <c r="C160" s="1456"/>
      <c r="D160" s="1456"/>
      <c r="E160" s="1456"/>
      <c r="F160" s="265"/>
      <c r="G160" s="265"/>
      <c r="H160" s="265"/>
      <c r="I160" s="265"/>
      <c r="J160" s="1428"/>
      <c r="K160" s="1429"/>
      <c r="L160" s="1428"/>
      <c r="M160" s="273"/>
      <c r="N160" s="1170"/>
      <c r="O160" s="204"/>
      <c r="P160" s="204"/>
      <c r="Q160" s="1170"/>
      <c r="R160" s="1170"/>
      <c r="S160" s="1170"/>
      <c r="T160" s="1170"/>
      <c r="U160" s="1170"/>
      <c r="V160" s="1170"/>
      <c r="W160" s="1170"/>
      <c r="X160" s="1170"/>
      <c r="Y160" s="1170"/>
      <c r="Z160" s="1170"/>
      <c r="AA160" s="1170"/>
      <c r="AB160" s="1170"/>
      <c r="AC160" s="1170"/>
      <c r="AD160" s="1170"/>
      <c r="AE160" s="1170"/>
      <c r="AF160" s="1170"/>
      <c r="AG160" s="1170"/>
      <c r="AH160" s="1170"/>
      <c r="AI160" s="1170"/>
      <c r="AJ160" s="1170"/>
      <c r="AK160" s="1170"/>
      <c r="AL160" s="1170"/>
      <c r="AM160" s="1170"/>
      <c r="AN160" s="1170"/>
      <c r="AO160" s="1170"/>
      <c r="AP160" s="1170"/>
      <c r="AQ160" s="1170"/>
      <c r="AR160" s="1170"/>
      <c r="AS160" s="1170"/>
      <c r="AT160" s="1170"/>
      <c r="AU160" s="1170"/>
      <c r="AV160" s="1170"/>
      <c r="AW160" s="1170"/>
      <c r="AX160" s="1170"/>
      <c r="AY160" s="1170"/>
      <c r="AZ160" s="1170"/>
      <c r="BA160" s="1170"/>
      <c r="BB160" s="1170"/>
      <c r="BC160" s="1170"/>
      <c r="BD160" s="1170"/>
      <c r="BE160" s="1170"/>
      <c r="BF160" s="1170"/>
      <c r="BG160" s="1170"/>
      <c r="BH160" s="1170"/>
      <c r="BI160" s="1170"/>
      <c r="BJ160" s="1170"/>
      <c r="BK160" s="1143"/>
    </row>
    <row r="161" spans="1:63" s="1168" customFormat="1" ht="15" customHeight="1" x14ac:dyDescent="0.2">
      <c r="A161" s="63"/>
      <c r="B161" s="1456" t="s">
        <v>1228</v>
      </c>
      <c r="C161" s="1456"/>
      <c r="D161" s="1456"/>
      <c r="E161" s="1456"/>
      <c r="F161" s="265"/>
      <c r="G161" s="265"/>
      <c r="H161" s="265"/>
      <c r="I161" s="265"/>
      <c r="J161" s="1428"/>
      <c r="K161" s="1429"/>
      <c r="L161" s="1428"/>
      <c r="M161" s="273"/>
      <c r="N161" s="1170"/>
      <c r="O161" s="204"/>
      <c r="P161" s="204"/>
      <c r="Q161" s="1170"/>
      <c r="R161" s="1170"/>
      <c r="S161" s="1170"/>
      <c r="T161" s="1170"/>
      <c r="U161" s="1170"/>
      <c r="V161" s="1170"/>
      <c r="W161" s="1170"/>
      <c r="X161" s="1170"/>
      <c r="Y161" s="1170"/>
      <c r="Z161" s="1170"/>
      <c r="AA161" s="1170"/>
      <c r="AB161" s="1170"/>
      <c r="AC161" s="1170"/>
      <c r="AD161" s="1170"/>
      <c r="AE161" s="1170"/>
      <c r="AF161" s="1170"/>
      <c r="AG161" s="1170"/>
      <c r="AH161" s="1170"/>
      <c r="AI161" s="1170"/>
      <c r="AJ161" s="1170"/>
      <c r="AK161" s="1170"/>
      <c r="AL161" s="1170"/>
      <c r="AM161" s="1170"/>
      <c r="AN161" s="1170"/>
      <c r="AO161" s="1170"/>
      <c r="AP161" s="1170"/>
      <c r="AQ161" s="1170"/>
      <c r="AR161" s="1170"/>
      <c r="AS161" s="1170"/>
      <c r="AT161" s="1170"/>
      <c r="AU161" s="1170"/>
      <c r="AV161" s="1170"/>
      <c r="AW161" s="1170"/>
      <c r="AX161" s="1170"/>
      <c r="AY161" s="1170"/>
      <c r="AZ161" s="1170"/>
      <c r="BA161" s="1170"/>
      <c r="BB161" s="1170"/>
      <c r="BC161" s="1170"/>
      <c r="BD161" s="1170"/>
      <c r="BE161" s="1170"/>
      <c r="BF161" s="1170"/>
      <c r="BG161" s="1170"/>
      <c r="BH161" s="1170"/>
      <c r="BI161" s="1170"/>
      <c r="BJ161" s="1170"/>
      <c r="BK161" s="1143"/>
    </row>
    <row r="162" spans="1:63" s="1168" customFormat="1" ht="15" customHeight="1" x14ac:dyDescent="0.2">
      <c r="A162" s="63"/>
      <c r="B162" s="1456" t="s">
        <v>1229</v>
      </c>
      <c r="C162" s="1456"/>
      <c r="D162" s="1456"/>
      <c r="E162" s="1456"/>
      <c r="F162" s="265"/>
      <c r="G162" s="265"/>
      <c r="H162" s="265"/>
      <c r="I162" s="265"/>
      <c r="J162" s="1428"/>
      <c r="K162" s="1429"/>
      <c r="L162" s="1428"/>
      <c r="M162" s="273"/>
      <c r="N162" s="1170"/>
      <c r="O162" s="204"/>
      <c r="P162" s="204"/>
      <c r="Q162" s="1170"/>
      <c r="R162" s="1170"/>
      <c r="S162" s="1170"/>
      <c r="T162" s="1170"/>
      <c r="U162" s="1170"/>
      <c r="V162" s="1170"/>
      <c r="W162" s="1170"/>
      <c r="X162" s="1170"/>
      <c r="Y162" s="1170"/>
      <c r="Z162" s="1170"/>
      <c r="AA162" s="1170"/>
      <c r="AB162" s="1170"/>
      <c r="AC162" s="1170"/>
      <c r="AD162" s="1170"/>
      <c r="AE162" s="1170"/>
      <c r="AF162" s="1170"/>
      <c r="AG162" s="1170"/>
      <c r="AH162" s="1170"/>
      <c r="AI162" s="1170"/>
      <c r="AJ162" s="1170"/>
      <c r="AK162" s="1170"/>
      <c r="AL162" s="1170"/>
      <c r="AM162" s="1170"/>
      <c r="AN162" s="1170"/>
      <c r="AO162" s="1170"/>
      <c r="AP162" s="1170"/>
      <c r="AQ162" s="1170"/>
      <c r="AR162" s="1170"/>
      <c r="AS162" s="1170"/>
      <c r="AT162" s="1170"/>
      <c r="AU162" s="1170"/>
      <c r="AV162" s="1170"/>
      <c r="AW162" s="1170"/>
      <c r="AX162" s="1170"/>
      <c r="AY162" s="1170"/>
      <c r="AZ162" s="1170"/>
      <c r="BA162" s="1170"/>
      <c r="BB162" s="1170"/>
      <c r="BC162" s="1170"/>
      <c r="BD162" s="1170"/>
      <c r="BE162" s="1170"/>
      <c r="BF162" s="1170"/>
      <c r="BG162" s="1170"/>
      <c r="BH162" s="1170"/>
      <c r="BI162" s="1170"/>
      <c r="BJ162" s="1170"/>
      <c r="BK162" s="1143"/>
    </row>
    <row r="163" spans="1:63" s="1168" customFormat="1" ht="15" customHeight="1" x14ac:dyDescent="0.2">
      <c r="A163" s="63"/>
      <c r="B163" s="1456" t="s">
        <v>1230</v>
      </c>
      <c r="C163" s="1456"/>
      <c r="D163" s="1456"/>
      <c r="E163" s="1456"/>
      <c r="F163" s="265"/>
      <c r="G163" s="265"/>
      <c r="H163" s="265"/>
      <c r="I163" s="265"/>
      <c r="J163" s="1428"/>
      <c r="K163" s="1429"/>
      <c r="L163" s="1428"/>
      <c r="M163" s="273"/>
      <c r="N163" s="1170"/>
      <c r="O163" s="204"/>
      <c r="P163" s="204"/>
      <c r="Q163" s="1170"/>
      <c r="R163" s="1170"/>
      <c r="S163" s="1170"/>
      <c r="T163" s="1170"/>
      <c r="U163" s="1170"/>
      <c r="V163" s="1170"/>
      <c r="W163" s="1170"/>
      <c r="X163" s="1170"/>
      <c r="Y163" s="1170"/>
      <c r="Z163" s="1170"/>
      <c r="AA163" s="1170"/>
      <c r="AB163" s="1170"/>
      <c r="AC163" s="1170"/>
      <c r="AD163" s="1170"/>
      <c r="AE163" s="1170"/>
      <c r="AF163" s="1170"/>
      <c r="AG163" s="1170"/>
      <c r="AH163" s="1170"/>
      <c r="AI163" s="1170"/>
      <c r="AJ163" s="1170"/>
      <c r="AK163" s="1170"/>
      <c r="AL163" s="1170"/>
      <c r="AM163" s="1170"/>
      <c r="AN163" s="1170"/>
      <c r="AO163" s="1170"/>
      <c r="AP163" s="1170"/>
      <c r="AQ163" s="1170"/>
      <c r="AR163" s="1170"/>
      <c r="AS163" s="1170"/>
      <c r="AT163" s="1170"/>
      <c r="AU163" s="1170"/>
      <c r="AV163" s="1170"/>
      <c r="AW163" s="1170"/>
      <c r="AX163" s="1170"/>
      <c r="AY163" s="1170"/>
      <c r="AZ163" s="1170"/>
      <c r="BA163" s="1170"/>
      <c r="BB163" s="1170"/>
      <c r="BC163" s="1170"/>
      <c r="BD163" s="1170"/>
      <c r="BE163" s="1170"/>
      <c r="BF163" s="1170"/>
      <c r="BG163" s="1170"/>
      <c r="BH163" s="1170"/>
      <c r="BI163" s="1170"/>
      <c r="BJ163" s="1170"/>
      <c r="BK163" s="1143"/>
    </row>
    <row r="164" spans="1:63" s="1168" customFormat="1" ht="15" customHeight="1" x14ac:dyDescent="0.2">
      <c r="A164" s="63"/>
      <c r="B164" s="1456" t="s">
        <v>1231</v>
      </c>
      <c r="C164" s="1456"/>
      <c r="D164" s="1456"/>
      <c r="E164" s="1456"/>
      <c r="F164" s="265"/>
      <c r="G164" s="265"/>
      <c r="H164" s="265"/>
      <c r="I164" s="265"/>
      <c r="J164" s="1428"/>
      <c r="K164" s="1429"/>
      <c r="L164" s="1428"/>
      <c r="M164" s="273"/>
      <c r="N164" s="1170"/>
      <c r="O164" s="204"/>
      <c r="P164" s="204"/>
      <c r="Q164" s="1170"/>
      <c r="R164" s="1170"/>
      <c r="S164" s="1170"/>
      <c r="T164" s="1170"/>
      <c r="U164" s="1170"/>
      <c r="V164" s="1170"/>
      <c r="W164" s="1170"/>
      <c r="X164" s="1170"/>
      <c r="Y164" s="1170"/>
      <c r="Z164" s="1170"/>
      <c r="AA164" s="1170"/>
      <c r="AB164" s="1170"/>
      <c r="AC164" s="1170"/>
      <c r="AD164" s="1170"/>
      <c r="AE164" s="1170"/>
      <c r="AF164" s="1170"/>
      <c r="AG164" s="1170"/>
      <c r="AH164" s="1170"/>
      <c r="AI164" s="1170"/>
      <c r="AJ164" s="1170"/>
      <c r="AK164" s="1170"/>
      <c r="AL164" s="1170"/>
      <c r="AM164" s="1170"/>
      <c r="AN164" s="1170"/>
      <c r="AO164" s="1170"/>
      <c r="AP164" s="1170"/>
      <c r="AQ164" s="1170"/>
      <c r="AR164" s="1170"/>
      <c r="AS164" s="1170"/>
      <c r="AT164" s="1170"/>
      <c r="AU164" s="1170"/>
      <c r="AV164" s="1170"/>
      <c r="AW164" s="1170"/>
      <c r="AX164" s="1170"/>
      <c r="AY164" s="1170"/>
      <c r="AZ164" s="1170"/>
      <c r="BA164" s="1170"/>
      <c r="BB164" s="1170"/>
      <c r="BC164" s="1170"/>
      <c r="BD164" s="1170"/>
      <c r="BE164" s="1170"/>
      <c r="BF164" s="1170"/>
      <c r="BG164" s="1170"/>
      <c r="BH164" s="1170"/>
      <c r="BI164" s="1170"/>
      <c r="BJ164" s="1170"/>
      <c r="BK164" s="1143"/>
    </row>
    <row r="165" spans="1:63" s="1168" customFormat="1" ht="15" customHeight="1" x14ac:dyDescent="0.2">
      <c r="A165" s="63"/>
      <c r="B165" s="1456" t="s">
        <v>1232</v>
      </c>
      <c r="C165" s="1456"/>
      <c r="D165" s="1456"/>
      <c r="E165" s="1456"/>
      <c r="F165" s="265"/>
      <c r="G165" s="265"/>
      <c r="H165" s="265"/>
      <c r="I165" s="265"/>
      <c r="J165" s="1428"/>
      <c r="K165" s="1429"/>
      <c r="L165" s="1428"/>
      <c r="M165" s="273"/>
      <c r="N165" s="1170"/>
      <c r="O165" s="204"/>
      <c r="P165" s="204"/>
      <c r="Q165" s="1170"/>
      <c r="R165" s="1170"/>
      <c r="S165" s="1170"/>
      <c r="T165" s="1170"/>
      <c r="U165" s="1170"/>
      <c r="V165" s="1170"/>
      <c r="W165" s="1170"/>
      <c r="X165" s="1170"/>
      <c r="Y165" s="1170"/>
      <c r="Z165" s="1170"/>
      <c r="AA165" s="1170"/>
      <c r="AB165" s="1170"/>
      <c r="AC165" s="1170"/>
      <c r="AD165" s="1170"/>
      <c r="AE165" s="1170"/>
      <c r="AF165" s="1170"/>
      <c r="AG165" s="1170"/>
      <c r="AH165" s="1170"/>
      <c r="AI165" s="1170"/>
      <c r="AJ165" s="1170"/>
      <c r="AK165" s="1170"/>
      <c r="AL165" s="1170"/>
      <c r="AM165" s="1170"/>
      <c r="AN165" s="1170"/>
      <c r="AO165" s="1170"/>
      <c r="AP165" s="1170"/>
      <c r="AQ165" s="1170"/>
      <c r="AR165" s="1170"/>
      <c r="AS165" s="1170"/>
      <c r="AT165" s="1170"/>
      <c r="AU165" s="1170"/>
      <c r="AV165" s="1170"/>
      <c r="AW165" s="1170"/>
      <c r="AX165" s="1170"/>
      <c r="AY165" s="1170"/>
      <c r="AZ165" s="1170"/>
      <c r="BA165" s="1170"/>
      <c r="BB165" s="1170"/>
      <c r="BC165" s="1170"/>
      <c r="BD165" s="1170"/>
      <c r="BE165" s="1170"/>
      <c r="BF165" s="1170"/>
      <c r="BG165" s="1170"/>
      <c r="BH165" s="1170"/>
      <c r="BI165" s="1170"/>
      <c r="BJ165" s="1170"/>
      <c r="BK165" s="1143"/>
    </row>
    <row r="166" spans="1:63" s="1168" customFormat="1" ht="15" customHeight="1" x14ac:dyDescent="0.2">
      <c r="A166" s="63"/>
      <c r="B166" s="1456" t="s">
        <v>1233</v>
      </c>
      <c r="C166" s="1456"/>
      <c r="D166" s="1456"/>
      <c r="E166" s="1456"/>
      <c r="F166" s="265"/>
      <c r="G166" s="265"/>
      <c r="H166" s="265"/>
      <c r="I166" s="265"/>
      <c r="J166" s="1428"/>
      <c r="K166" s="1429"/>
      <c r="L166" s="1428"/>
      <c r="M166" s="273"/>
      <c r="N166" s="1170"/>
      <c r="O166" s="204"/>
      <c r="P166" s="204"/>
      <c r="Q166" s="1170"/>
      <c r="R166" s="1170"/>
      <c r="S166" s="1170"/>
      <c r="T166" s="1170"/>
      <c r="U166" s="1170"/>
      <c r="V166" s="1170"/>
      <c r="W166" s="1170"/>
      <c r="X166" s="1170"/>
      <c r="Y166" s="1170"/>
      <c r="Z166" s="1170"/>
      <c r="AA166" s="1170"/>
      <c r="AB166" s="1170"/>
      <c r="AC166" s="1170"/>
      <c r="AD166" s="1170"/>
      <c r="AE166" s="1170"/>
      <c r="AF166" s="1170"/>
      <c r="AG166" s="1170"/>
      <c r="AH166" s="1170"/>
      <c r="AI166" s="1170"/>
      <c r="AJ166" s="1170"/>
      <c r="AK166" s="1170"/>
      <c r="AL166" s="1170"/>
      <c r="AM166" s="1170"/>
      <c r="AN166" s="1170"/>
      <c r="AO166" s="1170"/>
      <c r="AP166" s="1170"/>
      <c r="AQ166" s="1170"/>
      <c r="AR166" s="1170"/>
      <c r="AS166" s="1170"/>
      <c r="AT166" s="1170"/>
      <c r="AU166" s="1170"/>
      <c r="AV166" s="1170"/>
      <c r="AW166" s="1170"/>
      <c r="AX166" s="1170"/>
      <c r="AY166" s="1170"/>
      <c r="AZ166" s="1170"/>
      <c r="BA166" s="1170"/>
      <c r="BB166" s="1170"/>
      <c r="BC166" s="1170"/>
      <c r="BD166" s="1170"/>
      <c r="BE166" s="1170"/>
      <c r="BF166" s="1170"/>
      <c r="BG166" s="1170"/>
      <c r="BH166" s="1170"/>
      <c r="BI166" s="1170"/>
      <c r="BJ166" s="1170"/>
      <c r="BK166" s="1143"/>
    </row>
    <row r="167" spans="1:63" s="1168" customFormat="1" ht="15" customHeight="1" x14ac:dyDescent="0.2">
      <c r="A167" s="63"/>
      <c r="B167" s="1456" t="s">
        <v>1234</v>
      </c>
      <c r="C167" s="1456"/>
      <c r="D167" s="1456"/>
      <c r="E167" s="1456"/>
      <c r="F167" s="265"/>
      <c r="G167" s="265"/>
      <c r="H167" s="265"/>
      <c r="I167" s="265"/>
      <c r="J167" s="1428"/>
      <c r="K167" s="1429"/>
      <c r="L167" s="1428"/>
      <c r="M167" s="273"/>
      <c r="N167" s="1170"/>
      <c r="O167" s="204"/>
      <c r="P167" s="204"/>
      <c r="Q167" s="1170"/>
      <c r="R167" s="1170"/>
      <c r="S167" s="1170"/>
      <c r="T167" s="1170"/>
      <c r="U167" s="1170"/>
      <c r="V167" s="1170"/>
      <c r="W167" s="1170"/>
      <c r="X167" s="1170"/>
      <c r="Y167" s="1170"/>
      <c r="Z167" s="1170"/>
      <c r="AA167" s="1170"/>
      <c r="AB167" s="1170"/>
      <c r="AC167" s="1170"/>
      <c r="AD167" s="1170"/>
      <c r="AE167" s="1170"/>
      <c r="AF167" s="1170"/>
      <c r="AG167" s="1170"/>
      <c r="AH167" s="1170"/>
      <c r="AI167" s="1170"/>
      <c r="AJ167" s="1170"/>
      <c r="AK167" s="1170"/>
      <c r="AL167" s="1170"/>
      <c r="AM167" s="1170"/>
      <c r="AN167" s="1170"/>
      <c r="AO167" s="1170"/>
      <c r="AP167" s="1170"/>
      <c r="AQ167" s="1170"/>
      <c r="AR167" s="1170"/>
      <c r="AS167" s="1170"/>
      <c r="AT167" s="1170"/>
      <c r="AU167" s="1170"/>
      <c r="AV167" s="1170"/>
      <c r="AW167" s="1170"/>
      <c r="AX167" s="1170"/>
      <c r="AY167" s="1170"/>
      <c r="AZ167" s="1170"/>
      <c r="BA167" s="1170"/>
      <c r="BB167" s="1170"/>
      <c r="BC167" s="1170"/>
      <c r="BD167" s="1170"/>
      <c r="BE167" s="1170"/>
      <c r="BF167" s="1170"/>
      <c r="BG167" s="1170"/>
      <c r="BH167" s="1170"/>
      <c r="BI167" s="1170"/>
      <c r="BJ167" s="1170"/>
      <c r="BK167" s="1143"/>
    </row>
    <row r="168" spans="1:63" s="1168" customFormat="1" ht="15" customHeight="1" x14ac:dyDescent="0.2">
      <c r="A168" s="63"/>
      <c r="B168" s="1456" t="s">
        <v>1235</v>
      </c>
      <c r="C168" s="1456"/>
      <c r="D168" s="1456"/>
      <c r="E168" s="1456"/>
      <c r="F168" s="265"/>
      <c r="G168" s="265"/>
      <c r="H168" s="265"/>
      <c r="I168" s="265"/>
      <c r="J168" s="1428"/>
      <c r="K168" s="1429"/>
      <c r="L168" s="1428"/>
      <c r="M168" s="273"/>
      <c r="N168" s="1170"/>
      <c r="O168" s="204"/>
      <c r="P168" s="204"/>
      <c r="Q168" s="1170"/>
      <c r="R168" s="1170"/>
      <c r="S168" s="1170"/>
      <c r="T168" s="1170"/>
      <c r="U168" s="1170"/>
      <c r="V168" s="1170"/>
      <c r="W168" s="1170"/>
      <c r="X168" s="1170"/>
      <c r="Y168" s="1170"/>
      <c r="Z168" s="1170"/>
      <c r="AA168" s="1170"/>
      <c r="AB168" s="1170"/>
      <c r="AC168" s="1170"/>
      <c r="AD168" s="1170"/>
      <c r="AE168" s="1170"/>
      <c r="AF168" s="1170"/>
      <c r="AG168" s="1170"/>
      <c r="AH168" s="1170"/>
      <c r="AI168" s="1170"/>
      <c r="AJ168" s="1170"/>
      <c r="AK168" s="1170"/>
      <c r="AL168" s="1170"/>
      <c r="AM168" s="1170"/>
      <c r="AN168" s="1170"/>
      <c r="AO168" s="1170"/>
      <c r="AP168" s="1170"/>
      <c r="AQ168" s="1170"/>
      <c r="AR168" s="1170"/>
      <c r="AS168" s="1170"/>
      <c r="AT168" s="1170"/>
      <c r="AU168" s="1170"/>
      <c r="AV168" s="1170"/>
      <c r="AW168" s="1170"/>
      <c r="AX168" s="1170"/>
      <c r="AY168" s="1170"/>
      <c r="AZ168" s="1170"/>
      <c r="BA168" s="1170"/>
      <c r="BB168" s="1170"/>
      <c r="BC168" s="1170"/>
      <c r="BD168" s="1170"/>
      <c r="BE168" s="1170"/>
      <c r="BF168" s="1170"/>
      <c r="BG168" s="1170"/>
      <c r="BH168" s="1170"/>
      <c r="BI168" s="1170"/>
      <c r="BJ168" s="1170"/>
      <c r="BK168" s="1143"/>
    </row>
    <row r="169" spans="1:63" s="1168" customFormat="1" ht="15" customHeight="1" x14ac:dyDescent="0.2">
      <c r="A169" s="63"/>
      <c r="B169" s="1456" t="s">
        <v>1236</v>
      </c>
      <c r="C169" s="1456"/>
      <c r="D169" s="1456"/>
      <c r="E169" s="1456"/>
      <c r="F169" s="265"/>
      <c r="G169" s="265"/>
      <c r="H169" s="265"/>
      <c r="I169" s="265"/>
      <c r="J169" s="1428"/>
      <c r="K169" s="1429"/>
      <c r="L169" s="1428"/>
      <c r="M169" s="273"/>
      <c r="N169" s="1170"/>
      <c r="O169" s="204"/>
      <c r="P169" s="204"/>
      <c r="Q169" s="1170"/>
      <c r="R169" s="1170"/>
      <c r="S169" s="1170"/>
      <c r="T169" s="1170"/>
      <c r="U169" s="1170"/>
      <c r="V169" s="1170"/>
      <c r="W169" s="1170"/>
      <c r="X169" s="1170"/>
      <c r="Y169" s="1170"/>
      <c r="Z169" s="1170"/>
      <c r="AA169" s="1170"/>
      <c r="AB169" s="1170"/>
      <c r="AC169" s="1170"/>
      <c r="AD169" s="1170"/>
      <c r="AE169" s="1170"/>
      <c r="AF169" s="1170"/>
      <c r="AG169" s="1170"/>
      <c r="AH169" s="1170"/>
      <c r="AI169" s="1170"/>
      <c r="AJ169" s="1170"/>
      <c r="AK169" s="1170"/>
      <c r="AL169" s="1170"/>
      <c r="AM169" s="1170"/>
      <c r="AN169" s="1170"/>
      <c r="AO169" s="1170"/>
      <c r="AP169" s="1170"/>
      <c r="AQ169" s="1170"/>
      <c r="AR169" s="1170"/>
      <c r="AS169" s="1170"/>
      <c r="AT169" s="1170"/>
      <c r="AU169" s="1170"/>
      <c r="AV169" s="1170"/>
      <c r="AW169" s="1170"/>
      <c r="AX169" s="1170"/>
      <c r="AY169" s="1170"/>
      <c r="AZ169" s="1170"/>
      <c r="BA169" s="1170"/>
      <c r="BB169" s="1170"/>
      <c r="BC169" s="1170"/>
      <c r="BD169" s="1170"/>
      <c r="BE169" s="1170"/>
      <c r="BF169" s="1170"/>
      <c r="BG169" s="1170"/>
      <c r="BH169" s="1170"/>
      <c r="BI169" s="1170"/>
      <c r="BJ169" s="1170"/>
      <c r="BK169" s="1143"/>
    </row>
    <row r="170" spans="1:63" s="1168" customFormat="1" ht="15" customHeight="1" x14ac:dyDescent="0.2">
      <c r="A170" s="63"/>
      <c r="B170" s="1456" t="s">
        <v>1237</v>
      </c>
      <c r="C170" s="1456"/>
      <c r="D170" s="1456"/>
      <c r="E170" s="1456"/>
      <c r="F170" s="265"/>
      <c r="G170" s="265"/>
      <c r="H170" s="265"/>
      <c r="I170" s="265"/>
      <c r="J170" s="1428"/>
      <c r="K170" s="1429"/>
      <c r="L170" s="1428"/>
      <c r="M170" s="273"/>
      <c r="N170" s="1170"/>
      <c r="O170" s="204"/>
      <c r="P170" s="204"/>
      <c r="Q170" s="1170"/>
      <c r="R170" s="1170"/>
      <c r="S170" s="1170"/>
      <c r="T170" s="1170"/>
      <c r="U170" s="1170"/>
      <c r="V170" s="1170"/>
      <c r="W170" s="1170"/>
      <c r="X170" s="1170"/>
      <c r="Y170" s="1170"/>
      <c r="Z170" s="1170"/>
      <c r="AA170" s="1170"/>
      <c r="AB170" s="1170"/>
      <c r="AC170" s="1170"/>
      <c r="AD170" s="1170"/>
      <c r="AE170" s="1170"/>
      <c r="AF170" s="1170"/>
      <c r="AG170" s="1170"/>
      <c r="AH170" s="1170"/>
      <c r="AI170" s="1170"/>
      <c r="AJ170" s="1170"/>
      <c r="AK170" s="1170"/>
      <c r="AL170" s="1170"/>
      <c r="AM170" s="1170"/>
      <c r="AN170" s="1170"/>
      <c r="AO170" s="1170"/>
      <c r="AP170" s="1170"/>
      <c r="AQ170" s="1170"/>
      <c r="AR170" s="1170"/>
      <c r="AS170" s="1170"/>
      <c r="AT170" s="1170"/>
      <c r="AU170" s="1170"/>
      <c r="AV170" s="1170"/>
      <c r="AW170" s="1170"/>
      <c r="AX170" s="1170"/>
      <c r="AY170" s="1170"/>
      <c r="AZ170" s="1170"/>
      <c r="BA170" s="1170"/>
      <c r="BB170" s="1170"/>
      <c r="BC170" s="1170"/>
      <c r="BD170" s="1170"/>
      <c r="BE170" s="1170"/>
      <c r="BF170" s="1170"/>
      <c r="BG170" s="1170"/>
      <c r="BH170" s="1170"/>
      <c r="BI170" s="1170"/>
      <c r="BJ170" s="1170"/>
      <c r="BK170" s="1143"/>
    </row>
    <row r="171" spans="1:63" s="1168" customFormat="1" ht="15" customHeight="1" x14ac:dyDescent="0.2">
      <c r="A171" s="63"/>
      <c r="B171" s="1456" t="s">
        <v>1238</v>
      </c>
      <c r="C171" s="1456"/>
      <c r="D171" s="1456"/>
      <c r="E171" s="1456"/>
      <c r="F171" s="265"/>
      <c r="G171" s="265"/>
      <c r="H171" s="265"/>
      <c r="I171" s="265"/>
      <c r="J171" s="1428"/>
      <c r="K171" s="1429"/>
      <c r="L171" s="1428"/>
      <c r="M171" s="273"/>
      <c r="N171" s="1170"/>
      <c r="O171" s="204"/>
      <c r="P171" s="204"/>
      <c r="Q171" s="1170"/>
      <c r="R171" s="1170"/>
      <c r="S171" s="1170"/>
      <c r="T171" s="1170"/>
      <c r="U171" s="1170"/>
      <c r="V171" s="1170"/>
      <c r="W171" s="1170"/>
      <c r="X171" s="1170"/>
      <c r="Y171" s="1170"/>
      <c r="Z171" s="1170"/>
      <c r="AA171" s="1170"/>
      <c r="AB171" s="1170"/>
      <c r="AC171" s="1170"/>
      <c r="AD171" s="1170"/>
      <c r="AE171" s="1170"/>
      <c r="AF171" s="1170"/>
      <c r="AG171" s="1170"/>
      <c r="AH171" s="1170"/>
      <c r="AI171" s="1170"/>
      <c r="AJ171" s="1170"/>
      <c r="AK171" s="1170"/>
      <c r="AL171" s="1170"/>
      <c r="AM171" s="1170"/>
      <c r="AN171" s="1170"/>
      <c r="AO171" s="1170"/>
      <c r="AP171" s="1170"/>
      <c r="AQ171" s="1170"/>
      <c r="AR171" s="1170"/>
      <c r="AS171" s="1170"/>
      <c r="AT171" s="1170"/>
      <c r="AU171" s="1170"/>
      <c r="AV171" s="1170"/>
      <c r="AW171" s="1170"/>
      <c r="AX171" s="1170"/>
      <c r="AY171" s="1170"/>
      <c r="AZ171" s="1170"/>
      <c r="BA171" s="1170"/>
      <c r="BB171" s="1170"/>
      <c r="BC171" s="1170"/>
      <c r="BD171" s="1170"/>
      <c r="BE171" s="1170"/>
      <c r="BF171" s="1170"/>
      <c r="BG171" s="1170"/>
      <c r="BH171" s="1170"/>
      <c r="BI171" s="1170"/>
      <c r="BJ171" s="1170"/>
      <c r="BK171" s="1143"/>
    </row>
    <row r="172" spans="1:63" s="1168" customFormat="1" ht="15" customHeight="1" x14ac:dyDescent="0.2">
      <c r="A172" s="63"/>
      <c r="B172" s="1456" t="s">
        <v>1239</v>
      </c>
      <c r="C172" s="1456"/>
      <c r="D172" s="1456"/>
      <c r="E172" s="1456"/>
      <c r="F172" s="265"/>
      <c r="G172" s="265"/>
      <c r="H172" s="265"/>
      <c r="I172" s="265"/>
      <c r="J172" s="1428"/>
      <c r="K172" s="1429"/>
      <c r="L172" s="1428"/>
      <c r="M172" s="273"/>
      <c r="N172" s="1170"/>
      <c r="O172" s="204"/>
      <c r="P172" s="204"/>
      <c r="Q172" s="1170"/>
      <c r="R172" s="1170"/>
      <c r="S172" s="1170"/>
      <c r="T172" s="1170"/>
      <c r="U172" s="1170"/>
      <c r="V172" s="1170"/>
      <c r="W172" s="1170"/>
      <c r="X172" s="1170"/>
      <c r="Y172" s="1170"/>
      <c r="Z172" s="1170"/>
      <c r="AA172" s="1170"/>
      <c r="AB172" s="1170"/>
      <c r="AC172" s="1170"/>
      <c r="AD172" s="1170"/>
      <c r="AE172" s="1170"/>
      <c r="AF172" s="1170"/>
      <c r="AG172" s="1170"/>
      <c r="AH172" s="1170"/>
      <c r="AI172" s="1170"/>
      <c r="AJ172" s="1170"/>
      <c r="AK172" s="1170"/>
      <c r="AL172" s="1170"/>
      <c r="AM172" s="1170"/>
      <c r="AN172" s="1170"/>
      <c r="AO172" s="1170"/>
      <c r="AP172" s="1170"/>
      <c r="AQ172" s="1170"/>
      <c r="AR172" s="1170"/>
      <c r="AS172" s="1170"/>
      <c r="AT172" s="1170"/>
      <c r="AU172" s="1170"/>
      <c r="AV172" s="1170"/>
      <c r="AW172" s="1170"/>
      <c r="AX172" s="1170"/>
      <c r="AY172" s="1170"/>
      <c r="AZ172" s="1170"/>
      <c r="BA172" s="1170"/>
      <c r="BB172" s="1170"/>
      <c r="BC172" s="1170"/>
      <c r="BD172" s="1170"/>
      <c r="BE172" s="1170"/>
      <c r="BF172" s="1170"/>
      <c r="BG172" s="1170"/>
      <c r="BH172" s="1170"/>
      <c r="BI172" s="1170"/>
      <c r="BJ172" s="1170"/>
      <c r="BK172" s="1143"/>
    </row>
    <row r="173" spans="1:63" s="1168" customFormat="1" ht="15" customHeight="1" x14ac:dyDescent="0.2">
      <c r="A173" s="63"/>
      <c r="B173" s="1456" t="s">
        <v>1240</v>
      </c>
      <c r="C173" s="1456"/>
      <c r="D173" s="1456"/>
      <c r="E173" s="1456"/>
      <c r="F173" s="265"/>
      <c r="G173" s="265"/>
      <c r="H173" s="265"/>
      <c r="I173" s="265"/>
      <c r="J173" s="1428"/>
      <c r="K173" s="1429"/>
      <c r="L173" s="1428"/>
      <c r="M173" s="273"/>
      <c r="N173" s="1170"/>
      <c r="O173" s="204"/>
      <c r="P173" s="204"/>
      <c r="Q173" s="1170"/>
      <c r="R173" s="1170"/>
      <c r="S173" s="1170"/>
      <c r="T173" s="1170"/>
      <c r="U173" s="1170"/>
      <c r="V173" s="1170"/>
      <c r="W173" s="1170"/>
      <c r="X173" s="1170"/>
      <c r="Y173" s="1170"/>
      <c r="Z173" s="1170"/>
      <c r="AA173" s="1170"/>
      <c r="AB173" s="1170"/>
      <c r="AC173" s="1170"/>
      <c r="AD173" s="1170"/>
      <c r="AE173" s="1170"/>
      <c r="AF173" s="1170"/>
      <c r="AG173" s="1170"/>
      <c r="AH173" s="1170"/>
      <c r="AI173" s="1170"/>
      <c r="AJ173" s="1170"/>
      <c r="AK173" s="1170"/>
      <c r="AL173" s="1170"/>
      <c r="AM173" s="1170"/>
      <c r="AN173" s="1170"/>
      <c r="AO173" s="1170"/>
      <c r="AP173" s="1170"/>
      <c r="AQ173" s="1170"/>
      <c r="AR173" s="1170"/>
      <c r="AS173" s="1170"/>
      <c r="AT173" s="1170"/>
      <c r="AU173" s="1170"/>
      <c r="AV173" s="1170"/>
      <c r="AW173" s="1170"/>
      <c r="AX173" s="1170"/>
      <c r="AY173" s="1170"/>
      <c r="AZ173" s="1170"/>
      <c r="BA173" s="1170"/>
      <c r="BB173" s="1170"/>
      <c r="BC173" s="1170"/>
      <c r="BD173" s="1170"/>
      <c r="BE173" s="1170"/>
      <c r="BF173" s="1170"/>
      <c r="BG173" s="1170"/>
      <c r="BH173" s="1170"/>
      <c r="BI173" s="1170"/>
      <c r="BJ173" s="1170"/>
      <c r="BK173" s="1143"/>
    </row>
    <row r="174" spans="1:63" s="1168" customFormat="1" ht="15" customHeight="1" x14ac:dyDescent="0.2">
      <c r="A174" s="63"/>
      <c r="B174" s="1456" t="s">
        <v>1241</v>
      </c>
      <c r="C174" s="1456"/>
      <c r="D174" s="1456"/>
      <c r="E174" s="1456"/>
      <c r="F174" s="265"/>
      <c r="G174" s="265"/>
      <c r="H174" s="265"/>
      <c r="I174" s="265"/>
      <c r="J174" s="1428"/>
      <c r="K174" s="1429"/>
      <c r="L174" s="1428"/>
      <c r="M174" s="273"/>
      <c r="N174" s="1170"/>
      <c r="O174" s="204"/>
      <c r="P174" s="204"/>
      <c r="Q174" s="1170"/>
      <c r="R174" s="1170"/>
      <c r="S174" s="1170"/>
      <c r="T174" s="1170"/>
      <c r="U174" s="1170"/>
      <c r="V174" s="1170"/>
      <c r="W174" s="1170"/>
      <c r="X174" s="1170"/>
      <c r="Y174" s="1170"/>
      <c r="Z174" s="1170"/>
      <c r="AA174" s="1170"/>
      <c r="AB174" s="1170"/>
      <c r="AC174" s="1170"/>
      <c r="AD174" s="1170"/>
      <c r="AE174" s="1170"/>
      <c r="AF174" s="1170"/>
      <c r="AG174" s="1170"/>
      <c r="AH174" s="1170"/>
      <c r="AI174" s="1170"/>
      <c r="AJ174" s="1170"/>
      <c r="AK174" s="1170"/>
      <c r="AL174" s="1170"/>
      <c r="AM174" s="1170"/>
      <c r="AN174" s="1170"/>
      <c r="AO174" s="1170"/>
      <c r="AP174" s="1170"/>
      <c r="AQ174" s="1170"/>
      <c r="AR174" s="1170"/>
      <c r="AS174" s="1170"/>
      <c r="AT174" s="1170"/>
      <c r="AU174" s="1170"/>
      <c r="AV174" s="1170"/>
      <c r="AW174" s="1170"/>
      <c r="AX174" s="1170"/>
      <c r="AY174" s="1170"/>
      <c r="AZ174" s="1170"/>
      <c r="BA174" s="1170"/>
      <c r="BB174" s="1170"/>
      <c r="BC174" s="1170"/>
      <c r="BD174" s="1170"/>
      <c r="BE174" s="1170"/>
      <c r="BF174" s="1170"/>
      <c r="BG174" s="1170"/>
      <c r="BH174" s="1170"/>
      <c r="BI174" s="1170"/>
      <c r="BJ174" s="1170"/>
      <c r="BK174" s="1143"/>
    </row>
    <row r="175" spans="1:63" s="1168" customFormat="1" ht="15" customHeight="1" x14ac:dyDescent="0.2">
      <c r="A175" s="63"/>
      <c r="B175" s="1456" t="s">
        <v>1242</v>
      </c>
      <c r="C175" s="1456"/>
      <c r="D175" s="1456"/>
      <c r="E175" s="1456"/>
      <c r="F175" s="265"/>
      <c r="G175" s="265"/>
      <c r="H175" s="265"/>
      <c r="I175" s="265"/>
      <c r="J175" s="1428"/>
      <c r="K175" s="1429"/>
      <c r="L175" s="1428"/>
      <c r="M175" s="273"/>
      <c r="N175" s="1170"/>
      <c r="O175" s="204"/>
      <c r="P175" s="204"/>
      <c r="Q175" s="1170"/>
      <c r="R175" s="1170"/>
      <c r="S175" s="1170"/>
      <c r="T175" s="1170"/>
      <c r="U175" s="1170"/>
      <c r="V175" s="1170"/>
      <c r="W175" s="1170"/>
      <c r="X175" s="1170"/>
      <c r="Y175" s="1170"/>
      <c r="Z175" s="1170"/>
      <c r="AA175" s="1170"/>
      <c r="AB175" s="1170"/>
      <c r="AC175" s="1170"/>
      <c r="AD175" s="1170"/>
      <c r="AE175" s="1170"/>
      <c r="AF175" s="1170"/>
      <c r="AG175" s="1170"/>
      <c r="AH175" s="1170"/>
      <c r="AI175" s="1170"/>
      <c r="AJ175" s="1170"/>
      <c r="AK175" s="1170"/>
      <c r="AL175" s="1170"/>
      <c r="AM175" s="1170"/>
      <c r="AN175" s="1170"/>
      <c r="AO175" s="1170"/>
      <c r="AP175" s="1170"/>
      <c r="AQ175" s="1170"/>
      <c r="AR175" s="1170"/>
      <c r="AS175" s="1170"/>
      <c r="AT175" s="1170"/>
      <c r="AU175" s="1170"/>
      <c r="AV175" s="1170"/>
      <c r="AW175" s="1170"/>
      <c r="AX175" s="1170"/>
      <c r="AY175" s="1170"/>
      <c r="AZ175" s="1170"/>
      <c r="BA175" s="1170"/>
      <c r="BB175" s="1170"/>
      <c r="BC175" s="1170"/>
      <c r="BD175" s="1170"/>
      <c r="BE175" s="1170"/>
      <c r="BF175" s="1170"/>
      <c r="BG175" s="1170"/>
      <c r="BH175" s="1170"/>
      <c r="BI175" s="1170"/>
      <c r="BJ175" s="1170"/>
      <c r="BK175" s="1143"/>
    </row>
    <row r="176" spans="1:63" s="1168" customFormat="1" ht="15" customHeight="1" x14ac:dyDescent="0.2">
      <c r="A176" s="63"/>
      <c r="B176" s="1456" t="s">
        <v>1243</v>
      </c>
      <c r="C176" s="1456"/>
      <c r="D176" s="1456"/>
      <c r="E176" s="1456"/>
      <c r="F176" s="265"/>
      <c r="G176" s="265"/>
      <c r="H176" s="265"/>
      <c r="I176" s="265"/>
      <c r="J176" s="1428"/>
      <c r="K176" s="1429"/>
      <c r="L176" s="1428"/>
      <c r="M176" s="273"/>
      <c r="N176" s="1170"/>
      <c r="O176" s="204"/>
      <c r="P176" s="204"/>
      <c r="Q176" s="1170"/>
      <c r="R176" s="1170"/>
      <c r="S176" s="1170"/>
      <c r="T176" s="1170"/>
      <c r="U176" s="1170"/>
      <c r="V176" s="1170"/>
      <c r="W176" s="1170"/>
      <c r="X176" s="1170"/>
      <c r="Y176" s="1170"/>
      <c r="Z176" s="1170"/>
      <c r="AA176" s="1170"/>
      <c r="AB176" s="1170"/>
      <c r="AC176" s="1170"/>
      <c r="AD176" s="1170"/>
      <c r="AE176" s="1170"/>
      <c r="AF176" s="1170"/>
      <c r="AG176" s="1170"/>
      <c r="AH176" s="1170"/>
      <c r="AI176" s="1170"/>
      <c r="AJ176" s="1170"/>
      <c r="AK176" s="1170"/>
      <c r="AL176" s="1170"/>
      <c r="AM176" s="1170"/>
      <c r="AN176" s="1170"/>
      <c r="AO176" s="1170"/>
      <c r="AP176" s="1170"/>
      <c r="AQ176" s="1170"/>
      <c r="AR176" s="1170"/>
      <c r="AS176" s="1170"/>
      <c r="AT176" s="1170"/>
      <c r="AU176" s="1170"/>
      <c r="AV176" s="1170"/>
      <c r="AW176" s="1170"/>
      <c r="AX176" s="1170"/>
      <c r="AY176" s="1170"/>
      <c r="AZ176" s="1170"/>
      <c r="BA176" s="1170"/>
      <c r="BB176" s="1170"/>
      <c r="BC176" s="1170"/>
      <c r="BD176" s="1170"/>
      <c r="BE176" s="1170"/>
      <c r="BF176" s="1170"/>
      <c r="BG176" s="1170"/>
      <c r="BH176" s="1170"/>
      <c r="BI176" s="1170"/>
      <c r="BJ176" s="1170"/>
      <c r="BK176" s="1143"/>
    </row>
    <row r="177" spans="1:63" s="1168" customFormat="1" ht="15" customHeight="1" x14ac:dyDescent="0.2">
      <c r="A177" s="63"/>
      <c r="B177" s="1456" t="s">
        <v>1244</v>
      </c>
      <c r="C177" s="1456"/>
      <c r="D177" s="1456"/>
      <c r="E177" s="1456"/>
      <c r="F177" s="265"/>
      <c r="G177" s="265"/>
      <c r="H177" s="265"/>
      <c r="I177" s="265"/>
      <c r="J177" s="1428"/>
      <c r="K177" s="1429"/>
      <c r="L177" s="1428"/>
      <c r="M177" s="273"/>
      <c r="N177" s="1170"/>
      <c r="O177" s="204"/>
      <c r="P177" s="204"/>
      <c r="Q177" s="1170"/>
      <c r="R177" s="1170"/>
      <c r="S177" s="1170"/>
      <c r="T177" s="1170"/>
      <c r="U177" s="1170"/>
      <c r="V177" s="1170"/>
      <c r="W177" s="1170"/>
      <c r="X177" s="1170"/>
      <c r="Y177" s="1170"/>
      <c r="Z177" s="1170"/>
      <c r="AA177" s="1170"/>
      <c r="AB177" s="1170"/>
      <c r="AC177" s="1170"/>
      <c r="AD177" s="1170"/>
      <c r="AE177" s="1170"/>
      <c r="AF177" s="1170"/>
      <c r="AG177" s="1170"/>
      <c r="AH177" s="1170"/>
      <c r="AI177" s="1170"/>
      <c r="AJ177" s="1170"/>
      <c r="AK177" s="1170"/>
      <c r="AL177" s="1170"/>
      <c r="AM177" s="1170"/>
      <c r="AN177" s="1170"/>
      <c r="AO177" s="1170"/>
      <c r="AP177" s="1170"/>
      <c r="AQ177" s="1170"/>
      <c r="AR177" s="1170"/>
      <c r="AS177" s="1170"/>
      <c r="AT177" s="1170"/>
      <c r="AU177" s="1170"/>
      <c r="AV177" s="1170"/>
      <c r="AW177" s="1170"/>
      <c r="AX177" s="1170"/>
      <c r="AY177" s="1170"/>
      <c r="AZ177" s="1170"/>
      <c r="BA177" s="1170"/>
      <c r="BB177" s="1170"/>
      <c r="BC177" s="1170"/>
      <c r="BD177" s="1170"/>
      <c r="BE177" s="1170"/>
      <c r="BF177" s="1170"/>
      <c r="BG177" s="1170"/>
      <c r="BH177" s="1170"/>
      <c r="BI177" s="1170"/>
      <c r="BJ177" s="1170"/>
      <c r="BK177" s="1143"/>
    </row>
    <row r="178" spans="1:63" s="1168" customFormat="1" ht="15" customHeight="1" x14ac:dyDescent="0.2">
      <c r="A178" s="63"/>
      <c r="B178" s="1456" t="s">
        <v>1245</v>
      </c>
      <c r="C178" s="1456"/>
      <c r="D178" s="1456"/>
      <c r="E178" s="1456"/>
      <c r="F178" s="265"/>
      <c r="G178" s="265"/>
      <c r="H178" s="265"/>
      <c r="I178" s="265"/>
      <c r="J178" s="1428"/>
      <c r="K178" s="1429"/>
      <c r="L178" s="1428"/>
      <c r="M178" s="273"/>
      <c r="N178" s="1170"/>
      <c r="O178" s="204"/>
      <c r="P178" s="204"/>
      <c r="Q178" s="1170"/>
      <c r="R178" s="1170"/>
      <c r="S178" s="1170"/>
      <c r="T178" s="1170"/>
      <c r="U178" s="1170"/>
      <c r="V178" s="1170"/>
      <c r="W178" s="1170"/>
      <c r="X178" s="1170"/>
      <c r="Y178" s="1170"/>
      <c r="Z178" s="1170"/>
      <c r="AA178" s="1170"/>
      <c r="AB178" s="1170"/>
      <c r="AC178" s="1170"/>
      <c r="AD178" s="1170"/>
      <c r="AE178" s="1170"/>
      <c r="AF178" s="1170"/>
      <c r="AG178" s="1170"/>
      <c r="AH178" s="1170"/>
      <c r="AI178" s="1170"/>
      <c r="AJ178" s="1170"/>
      <c r="AK178" s="1170"/>
      <c r="AL178" s="1170"/>
      <c r="AM178" s="1170"/>
      <c r="AN178" s="1170"/>
      <c r="AO178" s="1170"/>
      <c r="AP178" s="1170"/>
      <c r="AQ178" s="1170"/>
      <c r="AR178" s="1170"/>
      <c r="AS178" s="1170"/>
      <c r="AT178" s="1170"/>
      <c r="AU178" s="1170"/>
      <c r="AV178" s="1170"/>
      <c r="AW178" s="1170"/>
      <c r="AX178" s="1170"/>
      <c r="AY178" s="1170"/>
      <c r="AZ178" s="1170"/>
      <c r="BA178" s="1170"/>
      <c r="BB178" s="1170"/>
      <c r="BC178" s="1170"/>
      <c r="BD178" s="1170"/>
      <c r="BE178" s="1170"/>
      <c r="BF178" s="1170"/>
      <c r="BG178" s="1170"/>
      <c r="BH178" s="1170"/>
      <c r="BI178" s="1170"/>
      <c r="BJ178" s="1170"/>
      <c r="BK178" s="1143"/>
    </row>
    <row r="179" spans="1:63" s="1168" customFormat="1" ht="15" customHeight="1" x14ac:dyDescent="0.2">
      <c r="A179" s="63"/>
      <c r="B179" s="1456" t="s">
        <v>889</v>
      </c>
      <c r="C179" s="1456"/>
      <c r="D179" s="1456"/>
      <c r="E179" s="1456"/>
      <c r="F179" s="265"/>
      <c r="G179" s="265"/>
      <c r="H179" s="265"/>
      <c r="I179" s="265"/>
      <c r="J179" s="1428"/>
      <c r="K179" s="1429"/>
      <c r="L179" s="1428"/>
      <c r="M179" s="273"/>
      <c r="N179" s="1170"/>
      <c r="O179" s="204"/>
      <c r="P179" s="204"/>
      <c r="Q179" s="1170"/>
      <c r="R179" s="1170"/>
      <c r="S179" s="1170"/>
      <c r="T179" s="1170"/>
      <c r="U179" s="1170"/>
      <c r="V179" s="1170"/>
      <c r="W179" s="1170"/>
      <c r="X179" s="1170"/>
      <c r="Y179" s="1170"/>
      <c r="Z179" s="1170"/>
      <c r="AA179" s="1170"/>
      <c r="AB179" s="1170"/>
      <c r="AC179" s="1170"/>
      <c r="AD179" s="1170"/>
      <c r="AE179" s="1170"/>
      <c r="AF179" s="1170"/>
      <c r="AG179" s="1170"/>
      <c r="AH179" s="1170"/>
      <c r="AI179" s="1170"/>
      <c r="AJ179" s="1170"/>
      <c r="AK179" s="1170"/>
      <c r="AL179" s="1170"/>
      <c r="AM179" s="1170"/>
      <c r="AN179" s="1170"/>
      <c r="AO179" s="1170"/>
      <c r="AP179" s="1170"/>
      <c r="AQ179" s="1170"/>
      <c r="AR179" s="1170"/>
      <c r="AS179" s="1170"/>
      <c r="AT179" s="1170"/>
      <c r="AU179" s="1170"/>
      <c r="AV179" s="1170"/>
      <c r="AW179" s="1170"/>
      <c r="AX179" s="1170"/>
      <c r="AY179" s="1170"/>
      <c r="AZ179" s="1170"/>
      <c r="BA179" s="1170"/>
      <c r="BB179" s="1170"/>
      <c r="BC179" s="1170"/>
      <c r="BD179" s="1170"/>
      <c r="BE179" s="1170"/>
      <c r="BF179" s="1170"/>
      <c r="BG179" s="1170"/>
      <c r="BH179" s="1170"/>
      <c r="BI179" s="1170"/>
      <c r="BJ179" s="1170"/>
      <c r="BK179" s="1143"/>
    </row>
    <row r="180" spans="1:63" s="1168" customFormat="1" ht="15" customHeight="1" x14ac:dyDescent="0.2">
      <c r="A180" s="63"/>
      <c r="B180" s="1457" t="s">
        <v>1246</v>
      </c>
      <c r="C180" s="1457"/>
      <c r="D180" s="1457"/>
      <c r="E180" s="1457"/>
      <c r="F180" s="321"/>
      <c r="G180" s="321"/>
      <c r="H180" s="321"/>
      <c r="I180" s="321"/>
      <c r="J180" s="1430"/>
      <c r="K180" s="1431"/>
      <c r="L180" s="1430"/>
      <c r="M180" s="275"/>
      <c r="N180" s="1170"/>
      <c r="O180" s="204"/>
      <c r="P180" s="204"/>
      <c r="Q180" s="1170"/>
      <c r="R180" s="1170"/>
      <c r="S180" s="1170"/>
      <c r="T180" s="1170"/>
      <c r="U180" s="1170"/>
      <c r="V180" s="1170"/>
      <c r="W180" s="1170"/>
      <c r="X180" s="1170"/>
      <c r="Y180" s="1170"/>
      <c r="Z180" s="1170"/>
      <c r="AA180" s="1170"/>
      <c r="AB180" s="1170"/>
      <c r="AC180" s="1170"/>
      <c r="AD180" s="1170"/>
      <c r="AE180" s="1170"/>
      <c r="AF180" s="1170"/>
      <c r="AG180" s="1170"/>
      <c r="AH180" s="1170"/>
      <c r="AI180" s="1170"/>
      <c r="AJ180" s="1170"/>
      <c r="AK180" s="1170"/>
      <c r="AL180" s="1170"/>
      <c r="AM180" s="1170"/>
      <c r="AN180" s="1170"/>
      <c r="AO180" s="1170"/>
      <c r="AP180" s="1170"/>
      <c r="AQ180" s="1170"/>
      <c r="AR180" s="1170"/>
      <c r="AS180" s="1170"/>
      <c r="AT180" s="1170"/>
      <c r="AU180" s="1170"/>
      <c r="AV180" s="1170"/>
      <c r="AW180" s="1170"/>
      <c r="AX180" s="1170"/>
      <c r="AY180" s="1170"/>
      <c r="AZ180" s="1170"/>
      <c r="BA180" s="1170"/>
      <c r="BB180" s="1170"/>
      <c r="BC180" s="1170"/>
      <c r="BD180" s="1170"/>
      <c r="BE180" s="1170"/>
      <c r="BF180" s="1170"/>
      <c r="BG180" s="1170"/>
      <c r="BH180" s="1170"/>
      <c r="BI180" s="1170"/>
      <c r="BJ180" s="1170"/>
      <c r="BK180" s="1143"/>
    </row>
    <row r="181" spans="1:63" s="1168" customFormat="1" ht="15" customHeight="1" x14ac:dyDescent="0.2">
      <c r="A181" s="74"/>
      <c r="B181" s="1169"/>
      <c r="C181" s="1169"/>
      <c r="D181" s="1169"/>
      <c r="E181" s="1169"/>
      <c r="F181" s="1169"/>
      <c r="G181" s="1170"/>
      <c r="H181" s="1170"/>
      <c r="I181" s="1170"/>
      <c r="J181" s="204"/>
      <c r="K181" s="204"/>
      <c r="L181" s="204"/>
      <c r="M181" s="204"/>
      <c r="N181" s="1170"/>
      <c r="O181" s="204"/>
      <c r="P181" s="204"/>
      <c r="Q181" s="1170"/>
      <c r="R181" s="1170"/>
      <c r="S181" s="1170"/>
      <c r="T181" s="1170"/>
      <c r="U181" s="1170"/>
      <c r="V181" s="1170"/>
      <c r="W181" s="1170"/>
      <c r="X181" s="1170"/>
      <c r="Y181" s="1170"/>
      <c r="Z181" s="1170"/>
      <c r="AA181" s="1170"/>
      <c r="AB181" s="1170"/>
      <c r="AC181" s="1170"/>
      <c r="AD181" s="1170"/>
      <c r="AE181" s="1170"/>
      <c r="AF181" s="1170"/>
      <c r="AG181" s="1170"/>
      <c r="AH181" s="1170"/>
      <c r="AI181" s="1170"/>
      <c r="AJ181" s="1170"/>
      <c r="AK181" s="1170"/>
      <c r="AL181" s="1170"/>
      <c r="AM181" s="1170"/>
      <c r="AN181" s="1170"/>
      <c r="AO181" s="1170"/>
      <c r="AP181" s="1170"/>
      <c r="AQ181" s="1170"/>
      <c r="AR181" s="1170"/>
      <c r="AS181" s="1170"/>
      <c r="AT181" s="1170"/>
      <c r="AU181" s="1170"/>
      <c r="AV181" s="1170"/>
      <c r="AW181" s="1170"/>
      <c r="AX181" s="1170"/>
      <c r="AY181" s="1170"/>
      <c r="AZ181" s="1170"/>
      <c r="BA181" s="1170"/>
      <c r="BB181" s="1170"/>
      <c r="BC181" s="1170"/>
      <c r="BD181" s="1170"/>
      <c r="BE181" s="1170"/>
      <c r="BF181" s="1170"/>
      <c r="BG181" s="1170"/>
      <c r="BH181" s="1170"/>
      <c r="BI181" s="1170"/>
      <c r="BJ181" s="1170"/>
      <c r="BK181" s="1143"/>
    </row>
    <row r="182" spans="1:63" s="1168" customFormat="1" ht="15" customHeight="1" x14ac:dyDescent="0.2">
      <c r="A182" s="63"/>
      <c r="B182" s="1723" t="s">
        <v>178</v>
      </c>
      <c r="C182" s="1723"/>
      <c r="D182" s="1723"/>
      <c r="E182" s="1723"/>
      <c r="F182" s="1425"/>
      <c r="G182" s="629"/>
      <c r="H182" s="629"/>
      <c r="I182" s="1465"/>
      <c r="J182" s="1518"/>
      <c r="K182" s="1610"/>
      <c r="L182" s="1518"/>
      <c r="M182" s="1465"/>
      <c r="N182" s="1170"/>
      <c r="O182" s="204"/>
      <c r="P182" s="204"/>
      <c r="Q182" s="1170"/>
      <c r="R182" s="1170"/>
      <c r="S182" s="1170"/>
      <c r="T182" s="1170"/>
      <c r="U182" s="1170"/>
      <c r="V182" s="1170"/>
      <c r="W182" s="1170"/>
      <c r="X182" s="1170"/>
      <c r="Y182" s="1170"/>
      <c r="Z182" s="1170"/>
      <c r="AA182" s="1170"/>
      <c r="AB182" s="1170"/>
      <c r="AC182" s="1170"/>
      <c r="AD182" s="1170"/>
      <c r="AE182" s="1170"/>
      <c r="AF182" s="1170"/>
      <c r="AG182" s="1170"/>
      <c r="AH182" s="1170"/>
      <c r="AI182" s="1170"/>
      <c r="AJ182" s="1170"/>
      <c r="AK182" s="1170"/>
      <c r="AL182" s="1170"/>
      <c r="AM182" s="1170"/>
      <c r="AN182" s="1170"/>
      <c r="AO182" s="1170"/>
      <c r="AP182" s="1170"/>
      <c r="AQ182" s="1170"/>
      <c r="AR182" s="1170"/>
      <c r="AS182" s="1170"/>
      <c r="AT182" s="1170"/>
      <c r="AU182" s="1170"/>
      <c r="AV182" s="1170"/>
      <c r="AW182" s="1170"/>
      <c r="AX182" s="1170"/>
      <c r="AY182" s="1170"/>
      <c r="AZ182" s="1170"/>
      <c r="BA182" s="1170"/>
      <c r="BB182" s="1170"/>
      <c r="BC182" s="1170"/>
      <c r="BD182" s="1170"/>
      <c r="BE182" s="1170"/>
      <c r="BF182" s="1170"/>
      <c r="BG182" s="1170"/>
      <c r="BH182" s="1170"/>
      <c r="BI182" s="1170"/>
      <c r="BJ182" s="1170"/>
      <c r="BK182" s="1143"/>
    </row>
    <row r="183" spans="1:63" ht="15" customHeight="1" x14ac:dyDescent="0.2">
      <c r="A183" s="1076"/>
      <c r="B183" s="1074"/>
      <c r="G183" s="1074"/>
      <c r="H183" s="1074"/>
      <c r="I183" s="1074"/>
      <c r="J183" s="1074"/>
      <c r="BK183" s="1075"/>
    </row>
    <row r="184" spans="1:63" ht="15" customHeight="1" x14ac:dyDescent="0.2">
      <c r="A184" s="1076"/>
      <c r="B184" s="1516" t="s">
        <v>1324</v>
      </c>
      <c r="C184" s="1516"/>
      <c r="D184" s="1516"/>
      <c r="E184" s="1516"/>
      <c r="F184" s="1455" t="str">
        <f>IF(AND(ISNUMBER(F182),ISNUMBER(J182),ISNUMBER(L182)),F182+J182+L182,"")</f>
        <v/>
      </c>
      <c r="G184" s="183"/>
      <c r="H184" s="183"/>
      <c r="I184" s="183"/>
      <c r="J184" s="183"/>
      <c r="K184" s="183"/>
      <c r="L184" s="183"/>
      <c r="M184" s="183"/>
      <c r="BK184" s="1075"/>
    </row>
    <row r="185" spans="1:63" ht="15" customHeight="1" x14ac:dyDescent="0.2">
      <c r="A185" s="1076"/>
      <c r="B185" s="1074"/>
      <c r="G185" s="1074"/>
      <c r="H185" s="1074"/>
      <c r="I185" s="1074"/>
      <c r="J185" s="1074"/>
      <c r="BK185" s="1075"/>
    </row>
    <row r="186" spans="1:63" s="207" customFormat="1" ht="30" customHeight="1" x14ac:dyDescent="0.25">
      <c r="A186" s="1377" t="s">
        <v>1289</v>
      </c>
      <c r="B186" s="18"/>
      <c r="C186" s="16"/>
      <c r="D186" s="16"/>
      <c r="E186" s="16"/>
      <c r="F186" s="16"/>
      <c r="G186" s="203"/>
      <c r="H186" s="203"/>
      <c r="I186" s="203"/>
      <c r="J186" s="203"/>
      <c r="K186" s="180"/>
      <c r="L186" s="180"/>
      <c r="M186" s="180"/>
      <c r="N186" s="180"/>
      <c r="O186" s="180"/>
      <c r="P186" s="180"/>
      <c r="Q186" s="180"/>
      <c r="R186" s="180"/>
      <c r="S186" s="180"/>
      <c r="T186" s="180"/>
      <c r="U186" s="180"/>
      <c r="V186" s="180"/>
      <c r="W186" s="180"/>
      <c r="X186" s="180"/>
      <c r="Y186" s="180"/>
      <c r="Z186" s="180"/>
      <c r="AA186" s="180"/>
      <c r="AB186" s="180"/>
      <c r="AC186" s="180"/>
      <c r="AD186" s="180"/>
      <c r="AE186" s="180"/>
      <c r="AF186" s="180"/>
      <c r="AG186" s="180"/>
      <c r="AH186" s="180"/>
      <c r="AI186" s="180"/>
      <c r="AJ186" s="180"/>
      <c r="AK186" s="180"/>
      <c r="AL186" s="180"/>
      <c r="AM186" s="180"/>
      <c r="AN186" s="180"/>
      <c r="AO186" s="180"/>
      <c r="AP186" s="180"/>
      <c r="AQ186" s="180"/>
      <c r="AR186" s="180"/>
      <c r="AS186" s="180"/>
      <c r="AT186" s="180"/>
      <c r="AU186" s="180"/>
      <c r="AV186" s="180"/>
      <c r="AW186" s="180"/>
      <c r="AX186" s="180"/>
      <c r="AY186" s="180"/>
      <c r="AZ186" s="180"/>
      <c r="BA186" s="180"/>
      <c r="BB186" s="180"/>
      <c r="BC186" s="180"/>
      <c r="BD186" s="180"/>
      <c r="BE186" s="180"/>
      <c r="BF186" s="180"/>
      <c r="BG186" s="180"/>
      <c r="BH186" s="180"/>
      <c r="BI186" s="180"/>
      <c r="BJ186" s="180"/>
      <c r="BK186" s="181"/>
    </row>
    <row r="187" spans="1:63" s="1073" customFormat="1" ht="30" customHeight="1" x14ac:dyDescent="0.25">
      <c r="A187" s="1053" t="s">
        <v>1261</v>
      </c>
      <c r="B187" s="46"/>
      <c r="C187" s="46"/>
      <c r="D187" s="46"/>
      <c r="E187" s="46"/>
      <c r="F187" s="46"/>
      <c r="G187" s="46"/>
      <c r="H187" s="46"/>
      <c r="I187" s="46"/>
      <c r="J187" s="46"/>
      <c r="BK187" s="1072"/>
    </row>
    <row r="188" spans="1:63" s="1073" customFormat="1" ht="30" customHeight="1" x14ac:dyDescent="0.25">
      <c r="A188" s="1053" t="s">
        <v>1290</v>
      </c>
      <c r="B188" s="46"/>
      <c r="C188" s="46"/>
      <c r="D188" s="46"/>
      <c r="E188" s="46"/>
      <c r="F188" s="46"/>
      <c r="G188" s="46"/>
      <c r="H188" s="46"/>
      <c r="I188" s="46"/>
      <c r="J188" s="46"/>
      <c r="BK188" s="1072"/>
    </row>
    <row r="189" spans="1:63" ht="15" customHeight="1" x14ac:dyDescent="0.2">
      <c r="A189" s="1076"/>
      <c r="B189" s="1074"/>
      <c r="G189" s="1074"/>
      <c r="H189" s="1074"/>
      <c r="I189" s="1074"/>
      <c r="J189" s="1074"/>
      <c r="BK189" s="1075"/>
    </row>
    <row r="190" spans="1:63" ht="15" customHeight="1" x14ac:dyDescent="0.2">
      <c r="A190" s="1076"/>
      <c r="B190" s="1699" t="s">
        <v>1250</v>
      </c>
      <c r="C190" s="1699"/>
      <c r="D190" s="1699"/>
      <c r="E190" s="1699"/>
      <c r="F190" s="1698" t="s">
        <v>1291</v>
      </c>
      <c r="G190" s="1722"/>
      <c r="H190" s="1722"/>
      <c r="I190" s="1722"/>
      <c r="J190" s="1722"/>
      <c r="K190" s="1722"/>
      <c r="L190" s="1722"/>
      <c r="M190" s="1722"/>
      <c r="N190" s="1722"/>
      <c r="O190" s="1722"/>
      <c r="P190" s="1722"/>
      <c r="Q190" s="1722"/>
      <c r="BK190" s="1075"/>
    </row>
    <row r="191" spans="1:63" ht="15" customHeight="1" x14ac:dyDescent="0.2">
      <c r="A191" s="1076"/>
      <c r="B191" s="1701"/>
      <c r="C191" s="1701"/>
      <c r="D191" s="1701"/>
      <c r="E191" s="1701"/>
      <c r="F191" s="1707" t="s">
        <v>1292</v>
      </c>
      <c r="G191" s="1708"/>
      <c r="H191" s="1708"/>
      <c r="I191" s="1709"/>
      <c r="J191" s="1710" t="s">
        <v>1293</v>
      </c>
      <c r="K191" s="1708"/>
      <c r="L191" s="1708"/>
      <c r="M191" s="1709"/>
      <c r="N191" s="1710" t="s">
        <v>1295</v>
      </c>
      <c r="O191" s="1708"/>
      <c r="P191" s="1708"/>
      <c r="Q191" s="1708"/>
      <c r="BK191" s="1075"/>
    </row>
    <row r="192" spans="1:63" ht="15" customHeight="1" x14ac:dyDescent="0.2">
      <c r="A192" s="1076"/>
      <c r="B192" s="1701"/>
      <c r="C192" s="1701"/>
      <c r="D192" s="1701"/>
      <c r="E192" s="1701"/>
      <c r="F192" s="1711" t="s">
        <v>1326</v>
      </c>
      <c r="G192" s="1714"/>
      <c r="H192" s="1711" t="s">
        <v>1327</v>
      </c>
      <c r="I192" s="1712"/>
      <c r="J192" s="1713" t="s">
        <v>1326</v>
      </c>
      <c r="K192" s="1714"/>
      <c r="L192" s="1711" t="s">
        <v>1327</v>
      </c>
      <c r="M192" s="1712"/>
      <c r="N192" s="1713" t="s">
        <v>1326</v>
      </c>
      <c r="O192" s="1714"/>
      <c r="P192" s="1711" t="s">
        <v>1327</v>
      </c>
      <c r="Q192" s="1715"/>
      <c r="BK192" s="1075"/>
    </row>
    <row r="193" spans="1:63" ht="45" customHeight="1" x14ac:dyDescent="0.2">
      <c r="A193" s="1076"/>
      <c r="B193" s="1703"/>
      <c r="C193" s="1703"/>
      <c r="D193" s="1703"/>
      <c r="E193" s="1703"/>
      <c r="F193" s="1449" t="s">
        <v>1294</v>
      </c>
      <c r="G193" s="1449" t="s">
        <v>1296</v>
      </c>
      <c r="H193" s="1449" t="s">
        <v>1294</v>
      </c>
      <c r="I193" s="1450" t="s">
        <v>1296</v>
      </c>
      <c r="J193" s="1451" t="s">
        <v>1294</v>
      </c>
      <c r="K193" s="1449" t="s">
        <v>1296</v>
      </c>
      <c r="L193" s="1449" t="s">
        <v>1294</v>
      </c>
      <c r="M193" s="1452" t="s">
        <v>1296</v>
      </c>
      <c r="N193" s="1448" t="s">
        <v>1294</v>
      </c>
      <c r="O193" s="1449" t="s">
        <v>1296</v>
      </c>
      <c r="P193" s="1449" t="s">
        <v>1294</v>
      </c>
      <c r="Q193" s="1450" t="s">
        <v>1296</v>
      </c>
      <c r="BK193" s="1075"/>
    </row>
    <row r="194" spans="1:63" ht="15" customHeight="1" x14ac:dyDescent="0.2">
      <c r="A194" s="1076"/>
      <c r="B194" s="1446" t="s">
        <v>1297</v>
      </c>
      <c r="C194" s="1446"/>
      <c r="D194" s="1056"/>
      <c r="E194" s="1056"/>
      <c r="F194" s="314"/>
      <c r="G194" s="314"/>
      <c r="H194" s="314"/>
      <c r="I194" s="1424"/>
      <c r="J194" s="1426"/>
      <c r="K194" s="314"/>
      <c r="L194" s="314"/>
      <c r="M194" s="1427"/>
      <c r="N194" s="1401"/>
      <c r="O194" s="314"/>
      <c r="P194" s="314"/>
      <c r="Q194" s="1424"/>
      <c r="BK194" s="1075"/>
    </row>
    <row r="195" spans="1:63" ht="15" customHeight="1" x14ac:dyDescent="0.2">
      <c r="A195" s="1076"/>
      <c r="B195" s="1447" t="s">
        <v>1298</v>
      </c>
      <c r="C195" s="1447"/>
      <c r="D195" s="1057"/>
      <c r="E195" s="1057"/>
      <c r="F195" s="265"/>
      <c r="G195" s="265"/>
      <c r="H195" s="265"/>
      <c r="I195" s="273"/>
      <c r="J195" s="1428"/>
      <c r="K195" s="265"/>
      <c r="L195" s="265"/>
      <c r="M195" s="1429"/>
      <c r="N195" s="1402"/>
      <c r="O195" s="265"/>
      <c r="P195" s="265"/>
      <c r="Q195" s="273"/>
      <c r="BK195" s="1075"/>
    </row>
    <row r="196" spans="1:63" ht="15" customHeight="1" x14ac:dyDescent="0.2">
      <c r="A196" s="1076"/>
      <c r="B196" s="1057" t="s">
        <v>497</v>
      </c>
      <c r="C196" s="1057"/>
      <c r="D196" s="1057"/>
      <c r="E196" s="1057"/>
      <c r="F196" s="265"/>
      <c r="G196" s="265"/>
      <c r="H196" s="265"/>
      <c r="I196" s="273"/>
      <c r="J196" s="1428"/>
      <c r="K196" s="265"/>
      <c r="L196" s="265"/>
      <c r="M196" s="1429"/>
      <c r="N196" s="1402"/>
      <c r="O196" s="265"/>
      <c r="P196" s="265"/>
      <c r="Q196" s="273"/>
      <c r="BK196" s="1075"/>
    </row>
    <row r="197" spans="1:63" ht="15" customHeight="1" x14ac:dyDescent="0.2">
      <c r="A197" s="1076"/>
      <c r="B197" s="1057" t="s">
        <v>1299</v>
      </c>
      <c r="C197" s="1057"/>
      <c r="D197" s="1057"/>
      <c r="E197" s="1057"/>
      <c r="F197" s="265"/>
      <c r="G197" s="265"/>
      <c r="H197" s="265"/>
      <c r="I197" s="273"/>
      <c r="J197" s="1428"/>
      <c r="K197" s="265"/>
      <c r="L197" s="265"/>
      <c r="M197" s="1429"/>
      <c r="N197" s="1402"/>
      <c r="O197" s="265"/>
      <c r="P197" s="265"/>
      <c r="Q197" s="273"/>
      <c r="BK197" s="1075"/>
    </row>
    <row r="198" spans="1:63" ht="15" customHeight="1" x14ac:dyDescent="0.2">
      <c r="A198" s="1076"/>
      <c r="B198" s="1057" t="s">
        <v>1300</v>
      </c>
      <c r="C198" s="1057"/>
      <c r="D198" s="1057"/>
      <c r="E198" s="1057"/>
      <c r="F198" s="265"/>
      <c r="G198" s="265"/>
      <c r="H198" s="265"/>
      <c r="I198" s="273"/>
      <c r="J198" s="1428"/>
      <c r="K198" s="265"/>
      <c r="L198" s="265"/>
      <c r="M198" s="1429"/>
      <c r="N198" s="1402"/>
      <c r="O198" s="265"/>
      <c r="P198" s="265"/>
      <c r="Q198" s="273"/>
      <c r="BK198" s="1075"/>
    </row>
    <row r="199" spans="1:63" ht="15" customHeight="1" x14ac:dyDescent="0.2">
      <c r="A199" s="1076"/>
      <c r="B199" s="1057" t="s">
        <v>498</v>
      </c>
      <c r="C199" s="1057"/>
      <c r="D199" s="1057"/>
      <c r="E199" s="1057"/>
      <c r="F199" s="265"/>
      <c r="G199" s="265"/>
      <c r="H199" s="265"/>
      <c r="I199" s="273"/>
      <c r="J199" s="1428"/>
      <c r="K199" s="265"/>
      <c r="L199" s="265"/>
      <c r="M199" s="1429"/>
      <c r="N199" s="1402"/>
      <c r="O199" s="265"/>
      <c r="P199" s="265"/>
      <c r="Q199" s="273"/>
      <c r="BK199" s="1075"/>
    </row>
    <row r="200" spans="1:63" ht="15" customHeight="1" x14ac:dyDescent="0.2">
      <c r="A200" s="1076"/>
      <c r="B200" s="1057" t="s">
        <v>1301</v>
      </c>
      <c r="C200" s="1057"/>
      <c r="D200" s="1057"/>
      <c r="E200" s="1057"/>
      <c r="F200" s="265"/>
      <c r="G200" s="265"/>
      <c r="H200" s="265"/>
      <c r="I200" s="273"/>
      <c r="J200" s="1428"/>
      <c r="K200" s="265"/>
      <c r="L200" s="265"/>
      <c r="M200" s="1429"/>
      <c r="N200" s="1402"/>
      <c r="O200" s="265"/>
      <c r="P200" s="265"/>
      <c r="Q200" s="273"/>
      <c r="BK200" s="1075"/>
    </row>
    <row r="201" spans="1:63" ht="15" customHeight="1" x14ac:dyDescent="0.2">
      <c r="A201" s="1076"/>
      <c r="B201" s="1057" t="s">
        <v>1302</v>
      </c>
      <c r="C201" s="1057"/>
      <c r="D201" s="1057"/>
      <c r="E201" s="1057"/>
      <c r="F201" s="265"/>
      <c r="G201" s="265"/>
      <c r="H201" s="265"/>
      <c r="I201" s="273"/>
      <c r="J201" s="1428"/>
      <c r="K201" s="265"/>
      <c r="L201" s="265"/>
      <c r="M201" s="1429"/>
      <c r="N201" s="1402"/>
      <c r="O201" s="265"/>
      <c r="P201" s="265"/>
      <c r="Q201" s="273"/>
      <c r="BK201" s="1075"/>
    </row>
    <row r="202" spans="1:63" ht="15" customHeight="1" x14ac:dyDescent="0.2">
      <c r="A202" s="1076"/>
      <c r="B202" s="1058" t="s">
        <v>1303</v>
      </c>
      <c r="C202" s="1058"/>
      <c r="D202" s="1058"/>
      <c r="E202" s="1058"/>
      <c r="F202" s="321"/>
      <c r="G202" s="321"/>
      <c r="H202" s="321"/>
      <c r="I202" s="275"/>
      <c r="J202" s="1430"/>
      <c r="K202" s="321"/>
      <c r="L202" s="321"/>
      <c r="M202" s="1431"/>
      <c r="N202" s="1405"/>
      <c r="O202" s="321"/>
      <c r="P202" s="321"/>
      <c r="Q202" s="275"/>
      <c r="BK202" s="1075"/>
    </row>
    <row r="203" spans="1:63" ht="15" customHeight="1" x14ac:dyDescent="0.2">
      <c r="A203" s="1076"/>
      <c r="B203" s="1074"/>
      <c r="G203" s="1074"/>
      <c r="H203" s="1074"/>
      <c r="I203" s="1074"/>
      <c r="J203" s="1074"/>
      <c r="BK203" s="1075"/>
    </row>
    <row r="204" spans="1:63" s="1073" customFormat="1" ht="30" customHeight="1" x14ac:dyDescent="0.25">
      <c r="A204" s="1053" t="s">
        <v>1304</v>
      </c>
      <c r="B204" s="46"/>
      <c r="C204" s="46"/>
      <c r="D204" s="46"/>
      <c r="E204" s="46"/>
      <c r="F204" s="46"/>
      <c r="G204" s="46"/>
      <c r="H204" s="46"/>
      <c r="I204" s="46"/>
      <c r="J204" s="46"/>
      <c r="BK204" s="1072"/>
    </row>
    <row r="205" spans="1:63" ht="15" customHeight="1" x14ac:dyDescent="0.2">
      <c r="A205" s="1076"/>
      <c r="B205" s="1074"/>
      <c r="G205" s="1074"/>
      <c r="H205" s="1074"/>
      <c r="I205" s="1074"/>
      <c r="J205" s="1074"/>
      <c r="BK205" s="1075"/>
    </row>
    <row r="206" spans="1:63" ht="15" customHeight="1" x14ac:dyDescent="0.2">
      <c r="A206" s="1076"/>
      <c r="B206" s="1699" t="s">
        <v>1250</v>
      </c>
      <c r="C206" s="1699"/>
      <c r="D206" s="1699"/>
      <c r="E206" s="1699"/>
      <c r="F206" s="1698" t="s">
        <v>1291</v>
      </c>
      <c r="G206" s="1722"/>
      <c r="H206" s="1722"/>
      <c r="I206" s="1722"/>
      <c r="J206" s="1722"/>
      <c r="K206" s="1722"/>
      <c r="L206" s="1722"/>
      <c r="M206" s="1722"/>
      <c r="N206" s="1722"/>
      <c r="O206" s="1722"/>
      <c r="P206" s="1722"/>
      <c r="Q206" s="1722"/>
      <c r="BK206" s="1075"/>
    </row>
    <row r="207" spans="1:63" ht="15" customHeight="1" x14ac:dyDescent="0.2">
      <c r="A207" s="1076"/>
      <c r="B207" s="1701"/>
      <c r="C207" s="1701"/>
      <c r="D207" s="1701"/>
      <c r="E207" s="1701"/>
      <c r="F207" s="1707" t="s">
        <v>1292</v>
      </c>
      <c r="G207" s="1708"/>
      <c r="H207" s="1708"/>
      <c r="I207" s="1709"/>
      <c r="J207" s="1710" t="s">
        <v>1293</v>
      </c>
      <c r="K207" s="1708"/>
      <c r="L207" s="1708"/>
      <c r="M207" s="1709"/>
      <c r="N207" s="1710" t="s">
        <v>1295</v>
      </c>
      <c r="O207" s="1708"/>
      <c r="P207" s="1708"/>
      <c r="Q207" s="1708"/>
      <c r="BK207" s="1075"/>
    </row>
    <row r="208" spans="1:63" ht="15" customHeight="1" x14ac:dyDescent="0.2">
      <c r="A208" s="1076"/>
      <c r="B208" s="1701"/>
      <c r="C208" s="1701"/>
      <c r="D208" s="1701"/>
      <c r="E208" s="1701"/>
      <c r="F208" s="1711" t="s">
        <v>1326</v>
      </c>
      <c r="G208" s="1714"/>
      <c r="H208" s="1711" t="s">
        <v>1327</v>
      </c>
      <c r="I208" s="1712"/>
      <c r="J208" s="1713" t="s">
        <v>1326</v>
      </c>
      <c r="K208" s="1714"/>
      <c r="L208" s="1711" t="s">
        <v>1327</v>
      </c>
      <c r="M208" s="1712"/>
      <c r="N208" s="1713" t="s">
        <v>1326</v>
      </c>
      <c r="O208" s="1714"/>
      <c r="P208" s="1711" t="s">
        <v>1327</v>
      </c>
      <c r="Q208" s="1715"/>
      <c r="BK208" s="1075"/>
    </row>
    <row r="209" spans="1:63" ht="45" customHeight="1" x14ac:dyDescent="0.2">
      <c r="A209" s="1076"/>
      <c r="B209" s="1703"/>
      <c r="C209" s="1703"/>
      <c r="D209" s="1703"/>
      <c r="E209" s="1703"/>
      <c r="F209" s="1449" t="s">
        <v>1294</v>
      </c>
      <c r="G209" s="1449" t="s">
        <v>1296</v>
      </c>
      <c r="H209" s="1449" t="s">
        <v>1294</v>
      </c>
      <c r="I209" s="1450" t="s">
        <v>1296</v>
      </c>
      <c r="J209" s="1451" t="s">
        <v>1294</v>
      </c>
      <c r="K209" s="1449" t="s">
        <v>1296</v>
      </c>
      <c r="L209" s="1449" t="s">
        <v>1294</v>
      </c>
      <c r="M209" s="1452" t="s">
        <v>1296</v>
      </c>
      <c r="N209" s="1448" t="s">
        <v>1294</v>
      </c>
      <c r="O209" s="1449" t="s">
        <v>1296</v>
      </c>
      <c r="P209" s="1449" t="s">
        <v>1294</v>
      </c>
      <c r="Q209" s="1450" t="s">
        <v>1296</v>
      </c>
      <c r="BK209" s="1075"/>
    </row>
    <row r="210" spans="1:63" ht="15" customHeight="1" x14ac:dyDescent="0.2">
      <c r="A210" s="1076"/>
      <c r="B210" s="1446" t="s">
        <v>1297</v>
      </c>
      <c r="C210" s="1446"/>
      <c r="D210" s="1056"/>
      <c r="E210" s="1056"/>
      <c r="F210" s="314"/>
      <c r="G210" s="314"/>
      <c r="H210" s="314"/>
      <c r="I210" s="1424"/>
      <c r="J210" s="1426"/>
      <c r="K210" s="314"/>
      <c r="L210" s="314"/>
      <c r="M210" s="1427"/>
      <c r="N210" s="1401"/>
      <c r="O210" s="314"/>
      <c r="P210" s="314"/>
      <c r="Q210" s="1424"/>
      <c r="BK210" s="1075"/>
    </row>
    <row r="211" spans="1:63" ht="15" customHeight="1" x14ac:dyDescent="0.2">
      <c r="A211" s="1076"/>
      <c r="B211" s="1447" t="s">
        <v>1298</v>
      </c>
      <c r="C211" s="1447"/>
      <c r="D211" s="1057"/>
      <c r="E211" s="1057"/>
      <c r="F211" s="265"/>
      <c r="G211" s="265"/>
      <c r="H211" s="265"/>
      <c r="I211" s="273"/>
      <c r="J211" s="1428"/>
      <c r="K211" s="265"/>
      <c r="L211" s="265"/>
      <c r="M211" s="1429"/>
      <c r="N211" s="1402"/>
      <c r="O211" s="265"/>
      <c r="P211" s="265"/>
      <c r="Q211" s="273"/>
      <c r="BK211" s="1075"/>
    </row>
    <row r="212" spans="1:63" ht="15" customHeight="1" x14ac:dyDescent="0.2">
      <c r="A212" s="1076"/>
      <c r="B212" s="1057" t="s">
        <v>497</v>
      </c>
      <c r="C212" s="1057"/>
      <c r="D212" s="1057"/>
      <c r="E212" s="1057"/>
      <c r="F212" s="265"/>
      <c r="G212" s="265"/>
      <c r="H212" s="265"/>
      <c r="I212" s="273"/>
      <c r="J212" s="1428"/>
      <c r="K212" s="265"/>
      <c r="L212" s="265"/>
      <c r="M212" s="1429"/>
      <c r="N212" s="1402"/>
      <c r="O212" s="265"/>
      <c r="P212" s="265"/>
      <c r="Q212" s="273"/>
      <c r="BK212" s="1075"/>
    </row>
    <row r="213" spans="1:63" ht="15" customHeight="1" x14ac:dyDescent="0.2">
      <c r="A213" s="1076"/>
      <c r="B213" s="1057" t="s">
        <v>1299</v>
      </c>
      <c r="C213" s="1057"/>
      <c r="D213" s="1057"/>
      <c r="E213" s="1057"/>
      <c r="F213" s="265"/>
      <c r="G213" s="265"/>
      <c r="H213" s="265"/>
      <c r="I213" s="273"/>
      <c r="J213" s="1428"/>
      <c r="K213" s="265"/>
      <c r="L213" s="265"/>
      <c r="M213" s="1429"/>
      <c r="N213" s="1402"/>
      <c r="O213" s="265"/>
      <c r="P213" s="265"/>
      <c r="Q213" s="273"/>
      <c r="BK213" s="1075"/>
    </row>
    <row r="214" spans="1:63" ht="15" customHeight="1" x14ac:dyDescent="0.2">
      <c r="A214" s="1076"/>
      <c r="B214" s="1057" t="s">
        <v>1300</v>
      </c>
      <c r="C214" s="1057"/>
      <c r="D214" s="1057"/>
      <c r="E214" s="1057"/>
      <c r="F214" s="265"/>
      <c r="G214" s="265"/>
      <c r="H214" s="265"/>
      <c r="I214" s="273"/>
      <c r="J214" s="1428"/>
      <c r="K214" s="265"/>
      <c r="L214" s="265"/>
      <c r="M214" s="1429"/>
      <c r="N214" s="1402"/>
      <c r="O214" s="265"/>
      <c r="P214" s="265"/>
      <c r="Q214" s="273"/>
      <c r="BK214" s="1075"/>
    </row>
    <row r="215" spans="1:63" ht="15" customHeight="1" x14ac:dyDescent="0.2">
      <c r="A215" s="1076"/>
      <c r="B215" s="1057" t="s">
        <v>498</v>
      </c>
      <c r="C215" s="1057"/>
      <c r="D215" s="1057"/>
      <c r="E215" s="1057"/>
      <c r="F215" s="265"/>
      <c r="G215" s="265"/>
      <c r="H215" s="265"/>
      <c r="I215" s="273"/>
      <c r="J215" s="1428"/>
      <c r="K215" s="265"/>
      <c r="L215" s="265"/>
      <c r="M215" s="1429"/>
      <c r="N215" s="1402"/>
      <c r="O215" s="265"/>
      <c r="P215" s="265"/>
      <c r="Q215" s="273"/>
      <c r="BK215" s="1075"/>
    </row>
    <row r="216" spans="1:63" ht="15" customHeight="1" x14ac:dyDescent="0.2">
      <c r="A216" s="1076"/>
      <c r="B216" s="1057" t="s">
        <v>1301</v>
      </c>
      <c r="C216" s="1057"/>
      <c r="D216" s="1057"/>
      <c r="E216" s="1057"/>
      <c r="F216" s="265"/>
      <c r="G216" s="265"/>
      <c r="H216" s="265"/>
      <c r="I216" s="273"/>
      <c r="J216" s="1428"/>
      <c r="K216" s="265"/>
      <c r="L216" s="265"/>
      <c r="M216" s="1429"/>
      <c r="N216" s="1402"/>
      <c r="O216" s="265"/>
      <c r="P216" s="265"/>
      <c r="Q216" s="273"/>
      <c r="BK216" s="1075"/>
    </row>
    <row r="217" spans="1:63" ht="15" customHeight="1" x14ac:dyDescent="0.2">
      <c r="A217" s="1076"/>
      <c r="B217" s="1057" t="s">
        <v>1302</v>
      </c>
      <c r="C217" s="1057"/>
      <c r="D217" s="1057"/>
      <c r="E217" s="1057"/>
      <c r="F217" s="265"/>
      <c r="G217" s="265"/>
      <c r="H217" s="265"/>
      <c r="I217" s="273"/>
      <c r="J217" s="1428"/>
      <c r="K217" s="265"/>
      <c r="L217" s="265"/>
      <c r="M217" s="1429"/>
      <c r="N217" s="1402"/>
      <c r="O217" s="265"/>
      <c r="P217" s="265"/>
      <c r="Q217" s="273"/>
      <c r="BK217" s="1075"/>
    </row>
    <row r="218" spans="1:63" ht="15" customHeight="1" x14ac:dyDescent="0.2">
      <c r="A218" s="1076"/>
      <c r="B218" s="1058" t="s">
        <v>1303</v>
      </c>
      <c r="C218" s="1058"/>
      <c r="D218" s="1058"/>
      <c r="E218" s="1058"/>
      <c r="F218" s="321"/>
      <c r="G218" s="321"/>
      <c r="H218" s="321"/>
      <c r="I218" s="275"/>
      <c r="J218" s="1430"/>
      <c r="K218" s="321"/>
      <c r="L218" s="321"/>
      <c r="M218" s="1431"/>
      <c r="N218" s="1405"/>
      <c r="O218" s="321"/>
      <c r="P218" s="321"/>
      <c r="Q218" s="275"/>
      <c r="BK218" s="1075"/>
    </row>
    <row r="219" spans="1:63" ht="15" customHeight="1" x14ac:dyDescent="0.2">
      <c r="A219" s="1076"/>
      <c r="B219" s="1074"/>
      <c r="G219" s="1074"/>
      <c r="H219" s="1074"/>
      <c r="I219" s="1074"/>
      <c r="J219" s="1074"/>
      <c r="BK219" s="1075"/>
    </row>
    <row r="220" spans="1:63" s="1073" customFormat="1" ht="30" customHeight="1" x14ac:dyDescent="0.25">
      <c r="A220" s="1053" t="s">
        <v>1336</v>
      </c>
      <c r="B220" s="46"/>
      <c r="C220" s="46"/>
      <c r="D220" s="46"/>
      <c r="E220" s="46"/>
      <c r="F220" s="46"/>
      <c r="G220" s="46"/>
      <c r="H220" s="46"/>
      <c r="I220" s="46"/>
      <c r="J220" s="46"/>
      <c r="BK220" s="1072"/>
    </row>
    <row r="221" spans="1:63" ht="15" customHeight="1" x14ac:dyDescent="0.2">
      <c r="A221" s="1076"/>
      <c r="B221" s="1074"/>
      <c r="G221" s="1074"/>
      <c r="H221" s="1074"/>
      <c r="I221" s="1074"/>
      <c r="J221" s="1074"/>
      <c r="BK221" s="1075"/>
    </row>
    <row r="222" spans="1:63" ht="15" customHeight="1" x14ac:dyDescent="0.2">
      <c r="A222" s="1076"/>
      <c r="B222" s="1716" t="s">
        <v>1250</v>
      </c>
      <c r="C222" s="1716"/>
      <c r="D222" s="1716"/>
      <c r="E222" s="1717"/>
      <c r="F222" s="1698" t="s">
        <v>1328</v>
      </c>
      <c r="G222" s="1722"/>
      <c r="H222" s="1722"/>
      <c r="I222" s="1722"/>
      <c r="J222" s="1722"/>
      <c r="K222" s="1722"/>
      <c r="L222" s="1722"/>
      <c r="M222" s="1722"/>
      <c r="N222" s="1722"/>
      <c r="O222" s="1722"/>
      <c r="P222" s="1722"/>
      <c r="Q222" s="1722"/>
      <c r="BK222" s="1075"/>
    </row>
    <row r="223" spans="1:63" ht="15" customHeight="1" x14ac:dyDescent="0.2">
      <c r="A223" s="1076"/>
      <c r="B223" s="1718"/>
      <c r="C223" s="1718"/>
      <c r="D223" s="1718"/>
      <c r="E223" s="1719"/>
      <c r="F223" s="1707" t="s">
        <v>1292</v>
      </c>
      <c r="G223" s="1708"/>
      <c r="H223" s="1708"/>
      <c r="I223" s="1709"/>
      <c r="J223" s="1710" t="s">
        <v>1293</v>
      </c>
      <c r="K223" s="1708"/>
      <c r="L223" s="1708"/>
      <c r="M223" s="1709"/>
      <c r="N223" s="1710" t="s">
        <v>1295</v>
      </c>
      <c r="O223" s="1708"/>
      <c r="P223" s="1708"/>
      <c r="Q223" s="1708"/>
      <c r="BK223" s="1075"/>
    </row>
    <row r="224" spans="1:63" ht="15" customHeight="1" x14ac:dyDescent="0.2">
      <c r="A224" s="1076"/>
      <c r="B224" s="1718"/>
      <c r="C224" s="1718"/>
      <c r="D224" s="1718"/>
      <c r="E224" s="1719"/>
      <c r="F224" s="1711" t="s">
        <v>1326</v>
      </c>
      <c r="G224" s="1714"/>
      <c r="H224" s="1711" t="s">
        <v>1327</v>
      </c>
      <c r="I224" s="1712"/>
      <c r="J224" s="1713" t="s">
        <v>1326</v>
      </c>
      <c r="K224" s="1714"/>
      <c r="L224" s="1711" t="s">
        <v>1327</v>
      </c>
      <c r="M224" s="1712"/>
      <c r="N224" s="1713" t="s">
        <v>1326</v>
      </c>
      <c r="O224" s="1714"/>
      <c r="P224" s="1711" t="s">
        <v>1327</v>
      </c>
      <c r="Q224" s="1715"/>
      <c r="BK224" s="1075"/>
    </row>
    <row r="225" spans="1:63" ht="45" customHeight="1" x14ac:dyDescent="0.2">
      <c r="A225" s="1076"/>
      <c r="B225" s="1720"/>
      <c r="C225" s="1720"/>
      <c r="D225" s="1720"/>
      <c r="E225" s="1721"/>
      <c r="F225" s="1449" t="s">
        <v>1294</v>
      </c>
      <c r="G225" s="1449" t="s">
        <v>1296</v>
      </c>
      <c r="H225" s="1449" t="s">
        <v>1294</v>
      </c>
      <c r="I225" s="1450" t="s">
        <v>1296</v>
      </c>
      <c r="J225" s="1451" t="s">
        <v>1294</v>
      </c>
      <c r="K225" s="1449" t="s">
        <v>1296</v>
      </c>
      <c r="L225" s="1449" t="s">
        <v>1294</v>
      </c>
      <c r="M225" s="1452" t="s">
        <v>1296</v>
      </c>
      <c r="N225" s="1448" t="s">
        <v>1294</v>
      </c>
      <c r="O225" s="1449" t="s">
        <v>1296</v>
      </c>
      <c r="P225" s="1449" t="s">
        <v>1294</v>
      </c>
      <c r="Q225" s="1450" t="s">
        <v>1296</v>
      </c>
      <c r="BK225" s="1075"/>
    </row>
    <row r="226" spans="1:63" ht="15" customHeight="1" x14ac:dyDescent="0.2">
      <c r="A226" s="1076"/>
      <c r="B226" s="1515" t="s">
        <v>1297</v>
      </c>
      <c r="C226" s="1515"/>
      <c r="D226" s="1522"/>
      <c r="E226" s="1364"/>
      <c r="F226" s="314"/>
      <c r="G226" s="314"/>
      <c r="H226" s="314"/>
      <c r="I226" s="1424"/>
      <c r="J226" s="1426"/>
      <c r="K226" s="314"/>
      <c r="L226" s="314"/>
      <c r="M226" s="1427"/>
      <c r="N226" s="1401"/>
      <c r="O226" s="314"/>
      <c r="P226" s="314"/>
      <c r="Q226" s="1424"/>
      <c r="BK226" s="1075"/>
    </row>
    <row r="227" spans="1:63" ht="15" customHeight="1" x14ac:dyDescent="0.2">
      <c r="A227" s="1076"/>
      <c r="B227" s="1447" t="s">
        <v>1298</v>
      </c>
      <c r="C227" s="1447"/>
      <c r="D227" s="1057"/>
      <c r="E227" s="1362"/>
      <c r="F227" s="265"/>
      <c r="G227" s="265"/>
      <c r="H227" s="265"/>
      <c r="I227" s="273"/>
      <c r="J227" s="1428"/>
      <c r="K227" s="265"/>
      <c r="L227" s="265"/>
      <c r="M227" s="1429"/>
      <c r="N227" s="1402"/>
      <c r="O227" s="265"/>
      <c r="P227" s="265"/>
      <c r="Q227" s="273"/>
      <c r="BK227" s="1075"/>
    </row>
    <row r="228" spans="1:63" ht="15" customHeight="1" x14ac:dyDescent="0.2">
      <c r="A228" s="1076"/>
      <c r="B228" s="1057" t="s">
        <v>497</v>
      </c>
      <c r="C228" s="1057"/>
      <c r="D228" s="1057"/>
      <c r="E228" s="1362"/>
      <c r="F228" s="265"/>
      <c r="G228" s="265"/>
      <c r="H228" s="265"/>
      <c r="I228" s="273"/>
      <c r="J228" s="1428"/>
      <c r="K228" s="265"/>
      <c r="L228" s="265"/>
      <c r="M228" s="1429"/>
      <c r="N228" s="1402"/>
      <c r="O228" s="265"/>
      <c r="P228" s="265"/>
      <c r="Q228" s="273"/>
      <c r="BK228" s="1075"/>
    </row>
    <row r="229" spans="1:63" ht="15" customHeight="1" x14ac:dyDescent="0.2">
      <c r="A229" s="1076"/>
      <c r="B229" s="1057" t="s">
        <v>1299</v>
      </c>
      <c r="C229" s="1057"/>
      <c r="D229" s="1057"/>
      <c r="E229" s="1362"/>
      <c r="F229" s="265"/>
      <c r="G229" s="265"/>
      <c r="H229" s="265"/>
      <c r="I229" s="273"/>
      <c r="J229" s="1428"/>
      <c r="K229" s="265"/>
      <c r="L229" s="265"/>
      <c r="M229" s="1429"/>
      <c r="N229" s="1402"/>
      <c r="O229" s="265"/>
      <c r="P229" s="265"/>
      <c r="Q229" s="273"/>
      <c r="BK229" s="1075"/>
    </row>
    <row r="230" spans="1:63" ht="15" customHeight="1" x14ac:dyDescent="0.2">
      <c r="A230" s="1076"/>
      <c r="B230" s="1057" t="s">
        <v>1300</v>
      </c>
      <c r="C230" s="1057"/>
      <c r="D230" s="1057"/>
      <c r="E230" s="1362"/>
      <c r="F230" s="265"/>
      <c r="G230" s="265"/>
      <c r="H230" s="265"/>
      <c r="I230" s="273"/>
      <c r="J230" s="1428"/>
      <c r="K230" s="265"/>
      <c r="L230" s="265"/>
      <c r="M230" s="1429"/>
      <c r="N230" s="1402"/>
      <c r="O230" s="265"/>
      <c r="P230" s="265"/>
      <c r="Q230" s="273"/>
      <c r="BK230" s="1075"/>
    </row>
    <row r="231" spans="1:63" ht="15" customHeight="1" x14ac:dyDescent="0.2">
      <c r="A231" s="1076"/>
      <c r="B231" s="1057" t="s">
        <v>498</v>
      </c>
      <c r="C231" s="1057"/>
      <c r="D231" s="1057"/>
      <c r="E231" s="1362"/>
      <c r="F231" s="265"/>
      <c r="G231" s="265"/>
      <c r="H231" s="265"/>
      <c r="I231" s="273"/>
      <c r="J231" s="1428"/>
      <c r="K231" s="265"/>
      <c r="L231" s="265"/>
      <c r="M231" s="1429"/>
      <c r="N231" s="1402"/>
      <c r="O231" s="265"/>
      <c r="P231" s="265"/>
      <c r="Q231" s="273"/>
      <c r="BK231" s="1075"/>
    </row>
    <row r="232" spans="1:63" ht="15" customHeight="1" x14ac:dyDescent="0.2">
      <c r="A232" s="1076"/>
      <c r="B232" s="1057" t="s">
        <v>1301</v>
      </c>
      <c r="C232" s="1057"/>
      <c r="D232" s="1057"/>
      <c r="E232" s="1362"/>
      <c r="F232" s="265"/>
      <c r="G232" s="265"/>
      <c r="H232" s="265"/>
      <c r="I232" s="273"/>
      <c r="J232" s="1428"/>
      <c r="K232" s="265"/>
      <c r="L232" s="265"/>
      <c r="M232" s="1429"/>
      <c r="N232" s="1402"/>
      <c r="O232" s="265"/>
      <c r="P232" s="265"/>
      <c r="Q232" s="273"/>
      <c r="BK232" s="1075"/>
    </row>
    <row r="233" spans="1:63" ht="15" customHeight="1" x14ac:dyDescent="0.2">
      <c r="A233" s="1076"/>
      <c r="B233" s="1057" t="s">
        <v>1302</v>
      </c>
      <c r="C233" s="1057"/>
      <c r="D233" s="1057"/>
      <c r="E233" s="1362"/>
      <c r="F233" s="265"/>
      <c r="G233" s="265"/>
      <c r="H233" s="265"/>
      <c r="I233" s="273"/>
      <c r="J233" s="1428"/>
      <c r="K233" s="265"/>
      <c r="L233" s="265"/>
      <c r="M233" s="1429"/>
      <c r="N233" s="1402"/>
      <c r="O233" s="265"/>
      <c r="P233" s="265"/>
      <c r="Q233" s="273"/>
      <c r="BK233" s="1075"/>
    </row>
    <row r="234" spans="1:63" ht="15" customHeight="1" x14ac:dyDescent="0.2">
      <c r="A234" s="1076"/>
      <c r="B234" s="1058" t="s">
        <v>1303</v>
      </c>
      <c r="C234" s="1058"/>
      <c r="D234" s="1058"/>
      <c r="E234" s="1363"/>
      <c r="F234" s="332"/>
      <c r="G234" s="332"/>
      <c r="H234" s="332"/>
      <c r="I234" s="329"/>
      <c r="J234" s="1462"/>
      <c r="K234" s="332"/>
      <c r="L234" s="332"/>
      <c r="M234" s="1463"/>
      <c r="N234" s="1468"/>
      <c r="O234" s="332"/>
      <c r="P234" s="332"/>
      <c r="Q234" s="329"/>
      <c r="BK234" s="1075"/>
    </row>
    <row r="235" spans="1:63" ht="15" customHeight="1" x14ac:dyDescent="0.2">
      <c r="A235" s="1076"/>
      <c r="B235" s="1056" t="s">
        <v>1337</v>
      </c>
      <c r="C235" s="1056"/>
      <c r="D235" s="1056"/>
      <c r="E235" s="1361"/>
      <c r="F235" s="1130" t="str">
        <f>IF(AND(ISNUMBER(F226),ISNUMBER(F227),ISNUMBER(F228),ISNUMBER(F229),ISNUMBER(F230),ISNUMBER(F231),ISNUMBER(F232),ISNUMBER(F233),ISNUMBER(F234),ISNUMBER(G226),ISNUMBER(G227),ISNUMBER(G228),ISNUMBER(G229),ISNUMBER(G230),ISNUMBER(G231),ISNUMBER(G232),ISNUMBER(G233),ISNUMBER(G234)),SUM(F226:G234),"")</f>
        <v/>
      </c>
      <c r="G235" s="906"/>
      <c r="H235" s="1130" t="str">
        <f>IF(AND(ISNUMBER(H226),ISNUMBER(H227),ISNUMBER(H228),ISNUMBER(H229),ISNUMBER(H230),ISNUMBER(H231),ISNUMBER(H232),ISNUMBER(H233),ISNUMBER(H234),ISNUMBER(I226),ISNUMBER(I227),ISNUMBER(I228),ISNUMBER(I229),ISNUMBER(I230),ISNUMBER(I231),ISNUMBER(I232),ISNUMBER(I233),ISNUMBER(I234)),SUM(H226:I234),"")</f>
        <v/>
      </c>
      <c r="I235" s="1466"/>
      <c r="J235" s="1472" t="str">
        <f>IF(AND(ISNUMBER(J226),ISNUMBER(J227),ISNUMBER(J228),ISNUMBER(J229),ISNUMBER(J230),ISNUMBER(J231),ISNUMBER(J232),ISNUMBER(J233),ISNUMBER(J234),ISNUMBER(K226),ISNUMBER(K227),ISNUMBER(K228),ISNUMBER(K229),ISNUMBER(K230),ISNUMBER(K231),ISNUMBER(K232),ISNUMBER(K233),ISNUMBER(K234)),SUM(J226:K234),"")</f>
        <v/>
      </c>
      <c r="K235" s="906"/>
      <c r="L235" s="1130" t="str">
        <f>IF(AND(ISNUMBER(L226),ISNUMBER(L227),ISNUMBER(L228),ISNUMBER(L229),ISNUMBER(L230),ISNUMBER(L231),ISNUMBER(L232),ISNUMBER(L233),ISNUMBER(L234),ISNUMBER(M226),ISNUMBER(M227),ISNUMBER(M228),ISNUMBER(M229),ISNUMBER(M230),ISNUMBER(M231),ISNUMBER(M232),ISNUMBER(M233),ISNUMBER(M234)),SUM(L226:M234),"")</f>
        <v/>
      </c>
      <c r="M235" s="1466"/>
      <c r="N235" s="1472" t="str">
        <f>IF(AND(ISNUMBER(N226),ISNUMBER(N227),ISNUMBER(N228),ISNUMBER(N229),ISNUMBER(N230),ISNUMBER(N231),ISNUMBER(N232),ISNUMBER(N233),ISNUMBER(N234),ISNUMBER(O226),ISNUMBER(O227),ISNUMBER(O228),ISNUMBER(O229),ISNUMBER(O230),ISNUMBER(O231),ISNUMBER(O232),ISNUMBER(O233),ISNUMBER(O234)),SUM(N226:O234),"")</f>
        <v/>
      </c>
      <c r="O235" s="906"/>
      <c r="P235" s="1130" t="str">
        <f>IF(AND(ISNUMBER(P226),ISNUMBER(P227),ISNUMBER(P228),ISNUMBER(P229),ISNUMBER(P230),ISNUMBER(P231),ISNUMBER(P232),ISNUMBER(P233),ISNUMBER(P234),ISNUMBER(Q226),ISNUMBER(Q227),ISNUMBER(Q228),ISNUMBER(Q229),ISNUMBER(Q230),ISNUMBER(Q231),ISNUMBER(Q232),ISNUMBER(Q233),ISNUMBER(Q234)),SUM(P226:Q234),"")</f>
        <v/>
      </c>
      <c r="Q235" s="1473"/>
      <c r="BK235" s="1075"/>
    </row>
    <row r="236" spans="1:63" ht="15" customHeight="1" x14ac:dyDescent="0.2">
      <c r="A236" s="1076"/>
      <c r="B236" s="1057" t="s">
        <v>1338</v>
      </c>
      <c r="C236" s="1057"/>
      <c r="D236" s="1057"/>
      <c r="E236" s="1362"/>
      <c r="F236" s="1131"/>
      <c r="G236" s="1131"/>
      <c r="H236" s="1174" t="str">
        <f>IF(AND(ISNUMBER(F235),ISNUMBER(H235)),IF(F235+H235&lt;&gt;0,F235/(F235+H235),""),"")</f>
        <v/>
      </c>
      <c r="I236" s="1461"/>
      <c r="J236" s="1460"/>
      <c r="K236" s="1131"/>
      <c r="L236" s="1174" t="str">
        <f>IF(AND(ISNUMBER(J235),ISNUMBER(L235)),IF(J235+L235&lt;&gt;0,J235/(J235+L235),""),"")</f>
        <v/>
      </c>
      <c r="M236" s="1461"/>
      <c r="N236" s="1460"/>
      <c r="O236" s="1131"/>
      <c r="P236" s="1174" t="str">
        <f>IF(AND(ISNUMBER(N235),ISNUMBER(P235)),IF(N235+P235&lt;&gt;0,N235/(N235+P235),""),"")</f>
        <v/>
      </c>
      <c r="Q236" s="316"/>
      <c r="BK236" s="1075"/>
    </row>
    <row r="237" spans="1:63" ht="15" customHeight="1" x14ac:dyDescent="0.2">
      <c r="A237" s="1076"/>
      <c r="B237" s="1057"/>
      <c r="C237" s="1469">
        <v>5.0000000000000001E-3</v>
      </c>
      <c r="D237" s="1057"/>
      <c r="E237" s="1362"/>
      <c r="F237" s="1131"/>
      <c r="G237" s="1174" t="str">
        <f>IF(AND(ISNUMBER(F226),ISNUMBER(G226)), IF(AND(F226&gt;=0,G226&gt;=0),$C237*(F226+G226),""), "")</f>
        <v/>
      </c>
      <c r="H237" s="1131"/>
      <c r="I237" s="1174" t="str">
        <f>IF(AND(ISNUMBER(H226),ISNUMBER(I226)), IF(AND(H226&gt;=0,I226&gt;=0),$C237*(H226+I226),""), "")</f>
        <v/>
      </c>
      <c r="J237" s="1460"/>
      <c r="K237" s="1174" t="str">
        <f>IF(AND(ISNUMBER(J226),ISNUMBER(K226)), IF(AND(J226&gt;=0,K226&gt;=0),$C237*(J226+K226),""), "")</f>
        <v/>
      </c>
      <c r="L237" s="1131"/>
      <c r="M237" s="1174" t="str">
        <f>IF(AND(ISNUMBER(L226),ISNUMBER(M226)), IF(AND(L226&gt;=0,M226&gt;=0),$C237*(L226+M226),""), "")</f>
        <v/>
      </c>
      <c r="N237" s="1460"/>
      <c r="O237" s="1174" t="str">
        <f>IF(AND(ISNUMBER(N226),ISNUMBER(O226)), IF(AND(N226&gt;=0,O226&gt;=0),$C237*(N226+O226),""), "")</f>
        <v/>
      </c>
      <c r="P237" s="1131"/>
      <c r="Q237" s="1570" t="str">
        <f t="shared" ref="Q237:Q245" si="0">IF(AND(ISNUMBER(P226),ISNUMBER(Q226)), IF(AND(P226&gt;=0,Q226&gt;=0),$C237*(P226+Q226),""), "")</f>
        <v/>
      </c>
      <c r="BK237" s="1075"/>
    </row>
    <row r="238" spans="1:63" ht="15" customHeight="1" x14ac:dyDescent="0.2">
      <c r="A238" s="1076"/>
      <c r="B238" s="1057"/>
      <c r="C238" s="1469">
        <v>0.02</v>
      </c>
      <c r="D238" s="1057"/>
      <c r="E238" s="1362"/>
      <c r="F238" s="1131"/>
      <c r="G238" s="1174" t="str">
        <f t="shared" ref="G238:I245" si="1">IF(AND(ISNUMBER(F227),ISNUMBER(G227)), IF(AND(F227&gt;=0,G227&gt;=0),$C238*(F227+G227),""), "")</f>
        <v/>
      </c>
      <c r="H238" s="1131"/>
      <c r="I238" s="1174" t="str">
        <f t="shared" si="1"/>
        <v/>
      </c>
      <c r="J238" s="1460"/>
      <c r="K238" s="1174" t="str">
        <f t="shared" ref="K238:K245" si="2">IF(AND(ISNUMBER(J227),ISNUMBER(K227)), IF(AND(J227&gt;=0,K227&gt;=0),$C238*(J227+K227),""), "")</f>
        <v/>
      </c>
      <c r="L238" s="1131"/>
      <c r="M238" s="1174" t="str">
        <f t="shared" ref="M238:M245" si="3">IF(AND(ISNUMBER(L227),ISNUMBER(M227)), IF(AND(L227&gt;=0,M227&gt;=0),$C238*(L227+M227),""), "")</f>
        <v/>
      </c>
      <c r="N238" s="1460"/>
      <c r="O238" s="1174" t="str">
        <f t="shared" ref="O238:O245" si="4">IF(AND(ISNUMBER(N227),ISNUMBER(O227)), IF(AND(N227&gt;=0,O227&gt;=0),$C238*(N227+O227),""), "")</f>
        <v/>
      </c>
      <c r="P238" s="1131"/>
      <c r="Q238" s="1570" t="str">
        <f t="shared" si="0"/>
        <v/>
      </c>
      <c r="BK238" s="1075"/>
    </row>
    <row r="239" spans="1:63" ht="15" customHeight="1" x14ac:dyDescent="0.2">
      <c r="A239" s="1076"/>
      <c r="B239" s="1057"/>
      <c r="C239" s="1469">
        <v>0.03</v>
      </c>
      <c r="D239" s="1057"/>
      <c r="E239" s="1362"/>
      <c r="F239" s="1131"/>
      <c r="G239" s="1174" t="str">
        <f t="shared" si="1"/>
        <v/>
      </c>
      <c r="H239" s="1131"/>
      <c r="I239" s="1174" t="str">
        <f t="shared" si="1"/>
        <v/>
      </c>
      <c r="J239" s="1460"/>
      <c r="K239" s="1174" t="str">
        <f t="shared" si="2"/>
        <v/>
      </c>
      <c r="L239" s="1131"/>
      <c r="M239" s="1174" t="str">
        <f t="shared" si="3"/>
        <v/>
      </c>
      <c r="N239" s="1460"/>
      <c r="O239" s="1174" t="str">
        <f t="shared" si="4"/>
        <v/>
      </c>
      <c r="P239" s="1131"/>
      <c r="Q239" s="1570" t="str">
        <f t="shared" si="0"/>
        <v/>
      </c>
      <c r="BK239" s="1075"/>
    </row>
    <row r="240" spans="1:63" ht="15" customHeight="1" x14ac:dyDescent="0.2">
      <c r="A240" s="1076"/>
      <c r="B240" s="1057"/>
      <c r="C240" s="1469">
        <v>0.06</v>
      </c>
      <c r="D240" s="1057"/>
      <c r="E240" s="1362"/>
      <c r="F240" s="1131"/>
      <c r="G240" s="1174" t="str">
        <f t="shared" si="1"/>
        <v/>
      </c>
      <c r="H240" s="1131"/>
      <c r="I240" s="1174" t="str">
        <f t="shared" si="1"/>
        <v/>
      </c>
      <c r="J240" s="1460"/>
      <c r="K240" s="1174" t="str">
        <f t="shared" si="2"/>
        <v/>
      </c>
      <c r="L240" s="1131"/>
      <c r="M240" s="1174" t="str">
        <f t="shared" si="3"/>
        <v/>
      </c>
      <c r="N240" s="1460"/>
      <c r="O240" s="1174" t="str">
        <f t="shared" si="4"/>
        <v/>
      </c>
      <c r="P240" s="1131"/>
      <c r="Q240" s="1570" t="str">
        <f t="shared" si="0"/>
        <v/>
      </c>
      <c r="BK240" s="1075"/>
    </row>
    <row r="241" spans="1:63" ht="15" customHeight="1" x14ac:dyDescent="0.2">
      <c r="A241" s="1076"/>
      <c r="B241" s="1057"/>
      <c r="C241" s="1469">
        <v>0.15</v>
      </c>
      <c r="D241" s="1057"/>
      <c r="E241" s="1362"/>
      <c r="F241" s="1131"/>
      <c r="G241" s="1174" t="str">
        <f t="shared" si="1"/>
        <v/>
      </c>
      <c r="H241" s="1131"/>
      <c r="I241" s="1174" t="str">
        <f t="shared" si="1"/>
        <v/>
      </c>
      <c r="J241" s="1460"/>
      <c r="K241" s="1174" t="str">
        <f t="shared" si="2"/>
        <v/>
      </c>
      <c r="L241" s="1131"/>
      <c r="M241" s="1174" t="str">
        <f t="shared" si="3"/>
        <v/>
      </c>
      <c r="N241" s="1460"/>
      <c r="O241" s="1174" t="str">
        <f t="shared" si="4"/>
        <v/>
      </c>
      <c r="P241" s="1131"/>
      <c r="Q241" s="1570" t="str">
        <f t="shared" si="0"/>
        <v/>
      </c>
      <c r="BK241" s="1075"/>
    </row>
    <row r="242" spans="1:63" ht="15" customHeight="1" x14ac:dyDescent="0.2">
      <c r="A242" s="1076"/>
      <c r="B242" s="1057"/>
      <c r="C242" s="1469">
        <v>0.3</v>
      </c>
      <c r="D242" s="1057"/>
      <c r="E242" s="1362"/>
      <c r="F242" s="1131"/>
      <c r="G242" s="1174" t="str">
        <f t="shared" si="1"/>
        <v/>
      </c>
      <c r="H242" s="1131"/>
      <c r="I242" s="1174" t="str">
        <f t="shared" si="1"/>
        <v/>
      </c>
      <c r="J242" s="1460"/>
      <c r="K242" s="1174" t="str">
        <f t="shared" si="2"/>
        <v/>
      </c>
      <c r="L242" s="1131"/>
      <c r="M242" s="1174" t="str">
        <f t="shared" si="3"/>
        <v/>
      </c>
      <c r="N242" s="1460"/>
      <c r="O242" s="1174" t="str">
        <f t="shared" si="4"/>
        <v/>
      </c>
      <c r="P242" s="1131"/>
      <c r="Q242" s="1570" t="str">
        <f t="shared" si="0"/>
        <v/>
      </c>
      <c r="BK242" s="1075"/>
    </row>
    <row r="243" spans="1:63" ht="15" customHeight="1" x14ac:dyDescent="0.2">
      <c r="A243" s="1076"/>
      <c r="B243" s="1057"/>
      <c r="C243" s="1469">
        <v>0.5</v>
      </c>
      <c r="D243" s="1057"/>
      <c r="E243" s="1362"/>
      <c r="F243" s="1131"/>
      <c r="G243" s="1174" t="str">
        <f t="shared" si="1"/>
        <v/>
      </c>
      <c r="H243" s="1131"/>
      <c r="I243" s="1174" t="str">
        <f t="shared" si="1"/>
        <v/>
      </c>
      <c r="J243" s="1460"/>
      <c r="K243" s="1174" t="str">
        <f t="shared" si="2"/>
        <v/>
      </c>
      <c r="L243" s="1131"/>
      <c r="M243" s="1174" t="str">
        <f t="shared" si="3"/>
        <v/>
      </c>
      <c r="N243" s="1460"/>
      <c r="O243" s="1174" t="str">
        <f t="shared" si="4"/>
        <v/>
      </c>
      <c r="P243" s="1131"/>
      <c r="Q243" s="1570" t="str">
        <f t="shared" si="0"/>
        <v/>
      </c>
      <c r="BK243" s="1075"/>
    </row>
    <row r="244" spans="1:63" ht="15" customHeight="1" x14ac:dyDescent="0.2">
      <c r="A244" s="1076"/>
      <c r="B244" s="1057"/>
      <c r="C244" s="1469">
        <v>0.15</v>
      </c>
      <c r="D244" s="1057"/>
      <c r="E244" s="1362"/>
      <c r="F244" s="1131"/>
      <c r="G244" s="1174" t="str">
        <f t="shared" si="1"/>
        <v/>
      </c>
      <c r="H244" s="1131"/>
      <c r="I244" s="1174" t="str">
        <f t="shared" si="1"/>
        <v/>
      </c>
      <c r="J244" s="1460"/>
      <c r="K244" s="1174" t="str">
        <f t="shared" si="2"/>
        <v/>
      </c>
      <c r="L244" s="1131"/>
      <c r="M244" s="1174" t="str">
        <f t="shared" si="3"/>
        <v/>
      </c>
      <c r="N244" s="1460"/>
      <c r="O244" s="1174" t="str">
        <f t="shared" si="4"/>
        <v/>
      </c>
      <c r="P244" s="1131"/>
      <c r="Q244" s="1570" t="str">
        <f t="shared" si="0"/>
        <v/>
      </c>
      <c r="BK244" s="1075"/>
    </row>
    <row r="245" spans="1:63" ht="15" customHeight="1" x14ac:dyDescent="0.2">
      <c r="A245" s="1076"/>
      <c r="B245" s="1058"/>
      <c r="C245" s="1470">
        <v>1</v>
      </c>
      <c r="D245" s="1058"/>
      <c r="E245" s="1363"/>
      <c r="F245" s="1152"/>
      <c r="G245" s="1174" t="str">
        <f t="shared" si="1"/>
        <v/>
      </c>
      <c r="H245" s="1152"/>
      <c r="I245" s="1174" t="str">
        <f t="shared" si="1"/>
        <v/>
      </c>
      <c r="J245" s="1471"/>
      <c r="K245" s="1174" t="str">
        <f t="shared" si="2"/>
        <v/>
      </c>
      <c r="L245" s="1152"/>
      <c r="M245" s="1174" t="str">
        <f t="shared" si="3"/>
        <v/>
      </c>
      <c r="N245" s="1471"/>
      <c r="O245" s="1174" t="str">
        <f t="shared" si="4"/>
        <v/>
      </c>
      <c r="P245" s="1152"/>
      <c r="Q245" s="576" t="str">
        <f t="shared" si="0"/>
        <v/>
      </c>
      <c r="BK245" s="1075"/>
    </row>
    <row r="246" spans="1:63" ht="15" customHeight="1" x14ac:dyDescent="0.2">
      <c r="A246" s="1076"/>
      <c r="B246" s="60"/>
      <c r="C246" s="60"/>
      <c r="D246" s="180"/>
      <c r="E246" s="1523"/>
      <c r="F246" s="1707" t="s">
        <v>1292</v>
      </c>
      <c r="G246" s="1708"/>
      <c r="H246" s="1708"/>
      <c r="I246" s="1709"/>
      <c r="J246" s="1710" t="s">
        <v>1293</v>
      </c>
      <c r="K246" s="1708"/>
      <c r="L246" s="1708"/>
      <c r="M246" s="1709"/>
      <c r="N246" s="1710" t="s">
        <v>1295</v>
      </c>
      <c r="O246" s="1708"/>
      <c r="P246" s="1708"/>
      <c r="Q246" s="1708"/>
      <c r="BK246" s="1075"/>
    </row>
    <row r="247" spans="1:63" ht="15" customHeight="1" x14ac:dyDescent="0.2">
      <c r="A247" s="1076"/>
      <c r="B247" s="60" t="s">
        <v>178</v>
      </c>
      <c r="C247" s="60"/>
      <c r="D247" s="180"/>
      <c r="E247" s="1523"/>
      <c r="F247" s="629"/>
      <c r="G247" s="629"/>
      <c r="H247" s="1465"/>
      <c r="I247" s="1474" t="str">
        <f>IF(ISNUMBER(H236),SUM(G237:G245)-H236*SUM(I237:I245),"")</f>
        <v/>
      </c>
      <c r="J247" s="629"/>
      <c r="K247" s="629"/>
      <c r="L247" s="629"/>
      <c r="M247" s="1474" t="str">
        <f>IF(ISNUMBER(L236),SUM(K237:K245)-L236*SUM(M237:M245),"")</f>
        <v/>
      </c>
      <c r="N247" s="629"/>
      <c r="O247" s="629"/>
      <c r="P247" s="629"/>
      <c r="Q247" s="357" t="str">
        <f>IF(ISNUMBER(P236),SUM(O237:O245)-P236*SUM(Q237:Q245),"")</f>
        <v/>
      </c>
      <c r="BK247" s="1075"/>
    </row>
    <row r="248" spans="1:63" ht="15" customHeight="1" x14ac:dyDescent="0.2">
      <c r="A248" s="1076"/>
      <c r="B248" s="1074"/>
      <c r="G248" s="1074"/>
      <c r="H248" s="1074"/>
      <c r="I248" s="1074"/>
      <c r="J248" s="1074"/>
      <c r="BK248" s="1075"/>
    </row>
    <row r="249" spans="1:63" ht="15" customHeight="1" x14ac:dyDescent="0.2">
      <c r="A249" s="1076"/>
      <c r="B249" s="1516" t="s">
        <v>1325</v>
      </c>
      <c r="C249" s="1516"/>
      <c r="D249" s="1516"/>
      <c r="E249" s="1516"/>
      <c r="F249" s="1516"/>
      <c r="G249" s="1516"/>
      <c r="H249" s="1516"/>
      <c r="I249" s="1455" t="str">
        <f>IF(AND(ISNUMBER(I247),ISNUMBER(M247),ISNUMBER(Q247)),I247+M247+Q247,"")</f>
        <v/>
      </c>
      <c r="J249" s="183"/>
      <c r="K249" s="183"/>
      <c r="L249" s="183"/>
      <c r="M249" s="183"/>
      <c r="N249" s="183"/>
      <c r="BK249" s="1075"/>
    </row>
    <row r="250" spans="1:63" ht="15" customHeight="1" x14ac:dyDescent="0.2">
      <c r="A250" s="1076"/>
      <c r="B250" s="1074"/>
      <c r="G250" s="1074"/>
      <c r="H250" s="1074"/>
      <c r="I250" s="1074"/>
      <c r="J250" s="1074"/>
      <c r="BK250" s="1075"/>
    </row>
    <row r="251" spans="1:63" s="1073" customFormat="1" ht="30" customHeight="1" x14ac:dyDescent="0.25">
      <c r="A251" s="1053" t="s">
        <v>1305</v>
      </c>
      <c r="B251" s="46"/>
      <c r="C251" s="46"/>
      <c r="D251" s="46"/>
      <c r="E251" s="46"/>
      <c r="F251" s="46"/>
      <c r="G251" s="46"/>
      <c r="H251" s="46"/>
      <c r="I251" s="46"/>
      <c r="J251" s="46"/>
      <c r="BK251" s="1072"/>
    </row>
    <row r="252" spans="1:63" ht="15" customHeight="1" x14ac:dyDescent="0.2">
      <c r="A252" s="1076"/>
      <c r="B252" s="1074"/>
      <c r="G252" s="1074"/>
      <c r="H252" s="1074"/>
      <c r="I252" s="1074"/>
      <c r="J252" s="1074"/>
      <c r="BK252" s="1075"/>
    </row>
    <row r="253" spans="1:63" ht="15" customHeight="1" x14ac:dyDescent="0.2">
      <c r="A253" s="1076"/>
      <c r="B253" s="1716" t="s">
        <v>1250</v>
      </c>
      <c r="C253" s="1716"/>
      <c r="D253" s="1716"/>
      <c r="E253" s="1717"/>
      <c r="F253" s="1698" t="s">
        <v>1328</v>
      </c>
      <c r="G253" s="1722"/>
      <c r="H253" s="1722"/>
      <c r="I253" s="1722"/>
      <c r="J253" s="1722"/>
      <c r="K253" s="1722"/>
      <c r="L253" s="1722"/>
      <c r="M253" s="1722"/>
      <c r="N253" s="1722"/>
      <c r="O253" s="1722"/>
      <c r="P253" s="1722"/>
      <c r="Q253" s="1722"/>
      <c r="BK253" s="1075"/>
    </row>
    <row r="254" spans="1:63" ht="15" customHeight="1" x14ac:dyDescent="0.2">
      <c r="A254" s="1076"/>
      <c r="B254" s="1718"/>
      <c r="C254" s="1718"/>
      <c r="D254" s="1718"/>
      <c r="E254" s="1719"/>
      <c r="F254" s="1707" t="s">
        <v>1292</v>
      </c>
      <c r="G254" s="1708"/>
      <c r="H254" s="1708"/>
      <c r="I254" s="1709"/>
      <c r="J254" s="1710" t="s">
        <v>1293</v>
      </c>
      <c r="K254" s="1708"/>
      <c r="L254" s="1708"/>
      <c r="M254" s="1709"/>
      <c r="N254" s="1710" t="s">
        <v>1295</v>
      </c>
      <c r="O254" s="1708"/>
      <c r="P254" s="1708"/>
      <c r="Q254" s="1708"/>
      <c r="BK254" s="1075"/>
    </row>
    <row r="255" spans="1:63" ht="15" customHeight="1" x14ac:dyDescent="0.2">
      <c r="A255" s="1076"/>
      <c r="B255" s="1718"/>
      <c r="C255" s="1718"/>
      <c r="D255" s="1718"/>
      <c r="E255" s="1719"/>
      <c r="F255" s="1711" t="s">
        <v>1326</v>
      </c>
      <c r="G255" s="1714"/>
      <c r="H255" s="1711" t="s">
        <v>1327</v>
      </c>
      <c r="I255" s="1712"/>
      <c r="J255" s="1713" t="s">
        <v>1326</v>
      </c>
      <c r="K255" s="1714"/>
      <c r="L255" s="1711" t="s">
        <v>1327</v>
      </c>
      <c r="M255" s="1712"/>
      <c r="N255" s="1713" t="s">
        <v>1326</v>
      </c>
      <c r="O255" s="1714"/>
      <c r="P255" s="1711" t="s">
        <v>1327</v>
      </c>
      <c r="Q255" s="1715"/>
      <c r="BK255" s="1075"/>
    </row>
    <row r="256" spans="1:63" ht="45" customHeight="1" x14ac:dyDescent="0.2">
      <c r="A256" s="1076"/>
      <c r="B256" s="1720"/>
      <c r="C256" s="1720"/>
      <c r="D256" s="1720"/>
      <c r="E256" s="1721"/>
      <c r="F256" s="1449" t="s">
        <v>1294</v>
      </c>
      <c r="G256" s="1449" t="s">
        <v>1296</v>
      </c>
      <c r="H256" s="1449" t="s">
        <v>1294</v>
      </c>
      <c r="I256" s="1450" t="s">
        <v>1296</v>
      </c>
      <c r="J256" s="1451" t="s">
        <v>1294</v>
      </c>
      <c r="K256" s="1449" t="s">
        <v>1296</v>
      </c>
      <c r="L256" s="1449" t="s">
        <v>1294</v>
      </c>
      <c r="M256" s="1452" t="s">
        <v>1296</v>
      </c>
      <c r="N256" s="1448" t="s">
        <v>1294</v>
      </c>
      <c r="O256" s="1449" t="s">
        <v>1296</v>
      </c>
      <c r="P256" s="1449" t="s">
        <v>1294</v>
      </c>
      <c r="Q256" s="1450" t="s">
        <v>1296</v>
      </c>
      <c r="BK256" s="1075"/>
    </row>
    <row r="257" spans="1:63" ht="15" customHeight="1" x14ac:dyDescent="0.2">
      <c r="A257" s="1076"/>
      <c r="B257" s="1515" t="s">
        <v>1297</v>
      </c>
      <c r="C257" s="1515"/>
      <c r="D257" s="1522"/>
      <c r="E257" s="1364"/>
      <c r="F257" s="314"/>
      <c r="G257" s="314"/>
      <c r="H257" s="314"/>
      <c r="I257" s="1424"/>
      <c r="J257" s="1426"/>
      <c r="K257" s="314"/>
      <c r="L257" s="314"/>
      <c r="M257" s="1427"/>
      <c r="N257" s="1401"/>
      <c r="O257" s="314"/>
      <c r="P257" s="314"/>
      <c r="Q257" s="1424"/>
      <c r="BK257" s="1075"/>
    </row>
    <row r="258" spans="1:63" ht="15" customHeight="1" x14ac:dyDescent="0.2">
      <c r="A258" s="1076"/>
      <c r="B258" s="1447" t="s">
        <v>1298</v>
      </c>
      <c r="C258" s="1447"/>
      <c r="D258" s="1057"/>
      <c r="E258" s="1362"/>
      <c r="F258" s="265"/>
      <c r="G258" s="265"/>
      <c r="H258" s="265"/>
      <c r="I258" s="273"/>
      <c r="J258" s="1428"/>
      <c r="K258" s="265"/>
      <c r="L258" s="265"/>
      <c r="M258" s="1429"/>
      <c r="N258" s="1402"/>
      <c r="O258" s="265"/>
      <c r="P258" s="265"/>
      <c r="Q258" s="273"/>
      <c r="BK258" s="1075"/>
    </row>
    <row r="259" spans="1:63" ht="15" customHeight="1" x14ac:dyDescent="0.2">
      <c r="A259" s="1076"/>
      <c r="B259" s="1057" t="s">
        <v>497</v>
      </c>
      <c r="C259" s="1057"/>
      <c r="D259" s="1057"/>
      <c r="E259" s="1362"/>
      <c r="F259" s="265"/>
      <c r="G259" s="265"/>
      <c r="H259" s="265"/>
      <c r="I259" s="273"/>
      <c r="J259" s="1428"/>
      <c r="K259" s="265"/>
      <c r="L259" s="265"/>
      <c r="M259" s="1429"/>
      <c r="N259" s="1402"/>
      <c r="O259" s="265"/>
      <c r="P259" s="265"/>
      <c r="Q259" s="273"/>
      <c r="BK259" s="1075"/>
    </row>
    <row r="260" spans="1:63" ht="15" customHeight="1" x14ac:dyDescent="0.2">
      <c r="A260" s="1076"/>
      <c r="B260" s="1057" t="s">
        <v>1299</v>
      </c>
      <c r="C260" s="1057"/>
      <c r="D260" s="1057"/>
      <c r="E260" s="1362"/>
      <c r="F260" s="265"/>
      <c r="G260" s="265"/>
      <c r="H260" s="265"/>
      <c r="I260" s="273"/>
      <c r="J260" s="1428"/>
      <c r="K260" s="265"/>
      <c r="L260" s="265"/>
      <c r="M260" s="1429"/>
      <c r="N260" s="1402"/>
      <c r="O260" s="265"/>
      <c r="P260" s="265"/>
      <c r="Q260" s="273"/>
      <c r="BK260" s="1075"/>
    </row>
    <row r="261" spans="1:63" ht="15" customHeight="1" x14ac:dyDescent="0.2">
      <c r="A261" s="1076"/>
      <c r="B261" s="1057" t="s">
        <v>1300</v>
      </c>
      <c r="C261" s="1057"/>
      <c r="D261" s="1057"/>
      <c r="E261" s="1362"/>
      <c r="F261" s="265"/>
      <c r="G261" s="265"/>
      <c r="H261" s="265"/>
      <c r="I261" s="273"/>
      <c r="J261" s="1428"/>
      <c r="K261" s="265"/>
      <c r="L261" s="265"/>
      <c r="M261" s="1429"/>
      <c r="N261" s="1402"/>
      <c r="O261" s="265"/>
      <c r="P261" s="265"/>
      <c r="Q261" s="273"/>
      <c r="BK261" s="1075"/>
    </row>
    <row r="262" spans="1:63" ht="15" customHeight="1" x14ac:dyDescent="0.2">
      <c r="A262" s="1076"/>
      <c r="B262" s="1057" t="s">
        <v>498</v>
      </c>
      <c r="C262" s="1057"/>
      <c r="D262" s="1057"/>
      <c r="E262" s="1362"/>
      <c r="F262" s="265"/>
      <c r="G262" s="265"/>
      <c r="H262" s="265"/>
      <c r="I262" s="273"/>
      <c r="J262" s="1428"/>
      <c r="K262" s="265"/>
      <c r="L262" s="265"/>
      <c r="M262" s="1429"/>
      <c r="N262" s="1402"/>
      <c r="O262" s="265"/>
      <c r="P262" s="265"/>
      <c r="Q262" s="273"/>
      <c r="BK262" s="1075"/>
    </row>
    <row r="263" spans="1:63" ht="15" customHeight="1" x14ac:dyDescent="0.2">
      <c r="A263" s="1076"/>
      <c r="B263" s="1057" t="s">
        <v>1301</v>
      </c>
      <c r="C263" s="1057"/>
      <c r="D263" s="1057"/>
      <c r="E263" s="1362"/>
      <c r="F263" s="265"/>
      <c r="G263" s="265"/>
      <c r="H263" s="265"/>
      <c r="I263" s="273"/>
      <c r="J263" s="1428"/>
      <c r="K263" s="265"/>
      <c r="L263" s="265"/>
      <c r="M263" s="1429"/>
      <c r="N263" s="1402"/>
      <c r="O263" s="265"/>
      <c r="P263" s="265"/>
      <c r="Q263" s="273"/>
      <c r="BK263" s="1075"/>
    </row>
    <row r="264" spans="1:63" ht="15" customHeight="1" x14ac:dyDescent="0.2">
      <c r="A264" s="1076"/>
      <c r="B264" s="1057" t="s">
        <v>1302</v>
      </c>
      <c r="C264" s="1057"/>
      <c r="D264" s="1057"/>
      <c r="E264" s="1362"/>
      <c r="F264" s="265"/>
      <c r="G264" s="265"/>
      <c r="H264" s="265"/>
      <c r="I264" s="273"/>
      <c r="J264" s="1428"/>
      <c r="K264" s="265"/>
      <c r="L264" s="265"/>
      <c r="M264" s="1429"/>
      <c r="N264" s="1402"/>
      <c r="O264" s="265"/>
      <c r="P264" s="265"/>
      <c r="Q264" s="273"/>
      <c r="BK264" s="1075"/>
    </row>
    <row r="265" spans="1:63" ht="15" customHeight="1" x14ac:dyDescent="0.2">
      <c r="A265" s="1076"/>
      <c r="B265" s="1058" t="s">
        <v>1303</v>
      </c>
      <c r="C265" s="1058"/>
      <c r="D265" s="1058"/>
      <c r="E265" s="1363"/>
      <c r="F265" s="321"/>
      <c r="G265" s="321"/>
      <c r="H265" s="321"/>
      <c r="I265" s="275"/>
      <c r="J265" s="1430"/>
      <c r="K265" s="321"/>
      <c r="L265" s="321"/>
      <c r="M265" s="1431"/>
      <c r="N265" s="1405"/>
      <c r="O265" s="321"/>
      <c r="P265" s="321"/>
      <c r="Q265" s="275"/>
      <c r="BK265" s="1075"/>
    </row>
    <row r="266" spans="1:63" ht="15" customHeight="1" x14ac:dyDescent="0.2">
      <c r="A266" s="1076"/>
      <c r="B266" s="1074"/>
      <c r="G266" s="1074"/>
      <c r="H266" s="1074"/>
      <c r="I266" s="1074"/>
      <c r="J266" s="1074"/>
      <c r="BK266" s="1075"/>
    </row>
    <row r="267" spans="1:63" s="1073" customFormat="1" ht="30" customHeight="1" x14ac:dyDescent="0.25">
      <c r="A267" s="1053" t="s">
        <v>1306</v>
      </c>
      <c r="B267" s="46"/>
      <c r="C267" s="46"/>
      <c r="D267" s="46"/>
      <c r="E267" s="46"/>
      <c r="F267" s="46"/>
      <c r="G267" s="46"/>
      <c r="H267" s="46"/>
      <c r="I267" s="46"/>
      <c r="J267" s="46"/>
      <c r="BK267" s="1072"/>
    </row>
    <row r="268" spans="1:63" ht="15" customHeight="1" x14ac:dyDescent="0.2">
      <c r="A268" s="1076"/>
      <c r="B268" s="1074"/>
      <c r="G268" s="1074"/>
      <c r="H268" s="1074"/>
      <c r="I268" s="1074"/>
      <c r="J268" s="1074"/>
      <c r="BK268" s="1075"/>
    </row>
    <row r="269" spans="1:63" ht="15" customHeight="1" x14ac:dyDescent="0.2">
      <c r="A269" s="1076"/>
      <c r="B269" s="1716" t="s">
        <v>1250</v>
      </c>
      <c r="C269" s="1716"/>
      <c r="D269" s="1716"/>
      <c r="E269" s="1717"/>
      <c r="F269" s="1698" t="s">
        <v>1328</v>
      </c>
      <c r="G269" s="1722"/>
      <c r="H269" s="1722"/>
      <c r="I269" s="1722"/>
      <c r="J269" s="1722"/>
      <c r="K269" s="1722"/>
      <c r="L269" s="1722"/>
      <c r="M269" s="1722"/>
      <c r="N269" s="1722"/>
      <c r="O269" s="1722"/>
      <c r="P269" s="1722"/>
      <c r="Q269" s="1722"/>
      <c r="BK269" s="1075"/>
    </row>
    <row r="270" spans="1:63" ht="15" customHeight="1" x14ac:dyDescent="0.2">
      <c r="A270" s="1076"/>
      <c r="B270" s="1718"/>
      <c r="C270" s="1718"/>
      <c r="D270" s="1718"/>
      <c r="E270" s="1719"/>
      <c r="F270" s="1707" t="s">
        <v>1292</v>
      </c>
      <c r="G270" s="1708"/>
      <c r="H270" s="1708"/>
      <c r="I270" s="1709"/>
      <c r="J270" s="1710" t="s">
        <v>1293</v>
      </c>
      <c r="K270" s="1708"/>
      <c r="L270" s="1708"/>
      <c r="M270" s="1709"/>
      <c r="N270" s="1710" t="s">
        <v>1295</v>
      </c>
      <c r="O270" s="1708"/>
      <c r="P270" s="1708"/>
      <c r="Q270" s="1708"/>
      <c r="BK270" s="1075"/>
    </row>
    <row r="271" spans="1:63" ht="15" customHeight="1" x14ac:dyDescent="0.2">
      <c r="A271" s="1076"/>
      <c r="B271" s="1718"/>
      <c r="C271" s="1718"/>
      <c r="D271" s="1718"/>
      <c r="E271" s="1719"/>
      <c r="F271" s="1711" t="s">
        <v>1326</v>
      </c>
      <c r="G271" s="1714"/>
      <c r="H271" s="1711" t="s">
        <v>1327</v>
      </c>
      <c r="I271" s="1712"/>
      <c r="J271" s="1713" t="s">
        <v>1326</v>
      </c>
      <c r="K271" s="1714"/>
      <c r="L271" s="1711" t="s">
        <v>1327</v>
      </c>
      <c r="M271" s="1712"/>
      <c r="N271" s="1713" t="s">
        <v>1326</v>
      </c>
      <c r="O271" s="1714"/>
      <c r="P271" s="1711" t="s">
        <v>1327</v>
      </c>
      <c r="Q271" s="1715"/>
      <c r="BK271" s="1075"/>
    </row>
    <row r="272" spans="1:63" ht="45" customHeight="1" x14ac:dyDescent="0.2">
      <c r="A272" s="1076"/>
      <c r="B272" s="1720"/>
      <c r="C272" s="1720"/>
      <c r="D272" s="1720"/>
      <c r="E272" s="1721"/>
      <c r="F272" s="1449" t="s">
        <v>1294</v>
      </c>
      <c r="G272" s="1449" t="s">
        <v>1296</v>
      </c>
      <c r="H272" s="1449" t="s">
        <v>1294</v>
      </c>
      <c r="I272" s="1450" t="s">
        <v>1296</v>
      </c>
      <c r="J272" s="1451" t="s">
        <v>1294</v>
      </c>
      <c r="K272" s="1449" t="s">
        <v>1296</v>
      </c>
      <c r="L272" s="1449" t="s">
        <v>1294</v>
      </c>
      <c r="M272" s="1452" t="s">
        <v>1296</v>
      </c>
      <c r="N272" s="1448" t="s">
        <v>1294</v>
      </c>
      <c r="O272" s="1449" t="s">
        <v>1296</v>
      </c>
      <c r="P272" s="1449" t="s">
        <v>1294</v>
      </c>
      <c r="Q272" s="1450" t="s">
        <v>1296</v>
      </c>
      <c r="BK272" s="1075"/>
    </row>
    <row r="273" spans="1:63" ht="15" customHeight="1" x14ac:dyDescent="0.2">
      <c r="A273" s="1076"/>
      <c r="B273" s="1515" t="s">
        <v>1297</v>
      </c>
      <c r="C273" s="1515"/>
      <c r="D273" s="1522"/>
      <c r="E273" s="1364"/>
      <c r="F273" s="314"/>
      <c r="G273" s="314"/>
      <c r="H273" s="314"/>
      <c r="I273" s="1424"/>
      <c r="J273" s="1426"/>
      <c r="K273" s="314"/>
      <c r="L273" s="314"/>
      <c r="M273" s="1427"/>
      <c r="N273" s="1401"/>
      <c r="O273" s="314"/>
      <c r="P273" s="314"/>
      <c r="Q273" s="1424"/>
      <c r="BK273" s="1075"/>
    </row>
    <row r="274" spans="1:63" ht="15" customHeight="1" x14ac:dyDescent="0.2">
      <c r="A274" s="1076"/>
      <c r="B274" s="1447" t="s">
        <v>1298</v>
      </c>
      <c r="C274" s="1447"/>
      <c r="D274" s="1057"/>
      <c r="E274" s="1362"/>
      <c r="F274" s="265"/>
      <c r="G274" s="265"/>
      <c r="H274" s="265"/>
      <c r="I274" s="273"/>
      <c r="J274" s="1428"/>
      <c r="K274" s="265"/>
      <c r="L274" s="265"/>
      <c r="M274" s="1429"/>
      <c r="N274" s="1402"/>
      <c r="O274" s="265"/>
      <c r="P274" s="265"/>
      <c r="Q274" s="273"/>
      <c r="BK274" s="1075"/>
    </row>
    <row r="275" spans="1:63" ht="15" customHeight="1" x14ac:dyDescent="0.2">
      <c r="A275" s="1076"/>
      <c r="B275" s="1057" t="s">
        <v>497</v>
      </c>
      <c r="C275" s="1057"/>
      <c r="D275" s="1057"/>
      <c r="E275" s="1362"/>
      <c r="F275" s="265"/>
      <c r="G275" s="265"/>
      <c r="H275" s="265"/>
      <c r="I275" s="273"/>
      <c r="J275" s="1428"/>
      <c r="K275" s="265"/>
      <c r="L275" s="265"/>
      <c r="M275" s="1429"/>
      <c r="N275" s="1402"/>
      <c r="O275" s="265"/>
      <c r="P275" s="265"/>
      <c r="Q275" s="273"/>
      <c r="BK275" s="1075"/>
    </row>
    <row r="276" spans="1:63" ht="15" customHeight="1" x14ac:dyDescent="0.2">
      <c r="A276" s="1076"/>
      <c r="B276" s="1057" t="s">
        <v>1299</v>
      </c>
      <c r="C276" s="1057"/>
      <c r="D276" s="1057"/>
      <c r="E276" s="1362"/>
      <c r="F276" s="265"/>
      <c r="G276" s="265"/>
      <c r="H276" s="265"/>
      <c r="I276" s="273"/>
      <c r="J276" s="1428"/>
      <c r="K276" s="265"/>
      <c r="L276" s="265"/>
      <c r="M276" s="1429"/>
      <c r="N276" s="1402"/>
      <c r="O276" s="265"/>
      <c r="P276" s="265"/>
      <c r="Q276" s="273"/>
      <c r="BK276" s="1075"/>
    </row>
    <row r="277" spans="1:63" ht="15" customHeight="1" x14ac:dyDescent="0.2">
      <c r="A277" s="1076"/>
      <c r="B277" s="1057" t="s">
        <v>1300</v>
      </c>
      <c r="C277" s="1057"/>
      <c r="D277" s="1057"/>
      <c r="E277" s="1362"/>
      <c r="F277" s="265"/>
      <c r="G277" s="265"/>
      <c r="H277" s="265"/>
      <c r="I277" s="273"/>
      <c r="J277" s="1428"/>
      <c r="K277" s="265"/>
      <c r="L277" s="265"/>
      <c r="M277" s="1429"/>
      <c r="N277" s="1402"/>
      <c r="O277" s="265"/>
      <c r="P277" s="265"/>
      <c r="Q277" s="273"/>
      <c r="BK277" s="1075"/>
    </row>
    <row r="278" spans="1:63" ht="15" customHeight="1" x14ac:dyDescent="0.2">
      <c r="A278" s="1076"/>
      <c r="B278" s="1057" t="s">
        <v>498</v>
      </c>
      <c r="C278" s="1057"/>
      <c r="D278" s="1057"/>
      <c r="E278" s="1362"/>
      <c r="F278" s="265"/>
      <c r="G278" s="265"/>
      <c r="H278" s="265"/>
      <c r="I278" s="273"/>
      <c r="J278" s="1428"/>
      <c r="K278" s="265"/>
      <c r="L278" s="265"/>
      <c r="M278" s="1429"/>
      <c r="N278" s="1402"/>
      <c r="O278" s="265"/>
      <c r="P278" s="265"/>
      <c r="Q278" s="273"/>
      <c r="BK278" s="1075"/>
    </row>
    <row r="279" spans="1:63" ht="15" customHeight="1" x14ac:dyDescent="0.2">
      <c r="A279" s="1076"/>
      <c r="B279" s="1057" t="s">
        <v>1301</v>
      </c>
      <c r="C279" s="1057"/>
      <c r="D279" s="1057"/>
      <c r="E279" s="1362"/>
      <c r="F279" s="265"/>
      <c r="G279" s="265"/>
      <c r="H279" s="265"/>
      <c r="I279" s="273"/>
      <c r="J279" s="1428"/>
      <c r="K279" s="265"/>
      <c r="L279" s="265"/>
      <c r="M279" s="1429"/>
      <c r="N279" s="1402"/>
      <c r="O279" s="265"/>
      <c r="P279" s="265"/>
      <c r="Q279" s="273"/>
      <c r="BK279" s="1075"/>
    </row>
    <row r="280" spans="1:63" ht="15" customHeight="1" x14ac:dyDescent="0.2">
      <c r="A280" s="1076"/>
      <c r="B280" s="1057" t="s">
        <v>1302</v>
      </c>
      <c r="C280" s="1057"/>
      <c r="D280" s="1057"/>
      <c r="E280" s="1362"/>
      <c r="F280" s="265"/>
      <c r="G280" s="265"/>
      <c r="H280" s="265"/>
      <c r="I280" s="273"/>
      <c r="J280" s="1428"/>
      <c r="K280" s="265"/>
      <c r="L280" s="265"/>
      <c r="M280" s="1429"/>
      <c r="N280" s="1402"/>
      <c r="O280" s="265"/>
      <c r="P280" s="265"/>
      <c r="Q280" s="273"/>
      <c r="BK280" s="1075"/>
    </row>
    <row r="281" spans="1:63" ht="15" customHeight="1" x14ac:dyDescent="0.2">
      <c r="A281" s="1076"/>
      <c r="B281" s="1058" t="s">
        <v>1303</v>
      </c>
      <c r="C281" s="1058"/>
      <c r="D281" s="1058"/>
      <c r="E281" s="1363"/>
      <c r="F281" s="321"/>
      <c r="G281" s="321"/>
      <c r="H281" s="321"/>
      <c r="I281" s="275"/>
      <c r="J281" s="1430"/>
      <c r="K281" s="321"/>
      <c r="L281" s="321"/>
      <c r="M281" s="1431"/>
      <c r="N281" s="1405"/>
      <c r="O281" s="321"/>
      <c r="P281" s="321"/>
      <c r="Q281" s="275"/>
      <c r="BK281" s="1075"/>
    </row>
    <row r="282" spans="1:63" ht="15" customHeight="1" x14ac:dyDescent="0.2">
      <c r="A282" s="1076"/>
      <c r="B282" s="1074"/>
      <c r="G282" s="1074"/>
      <c r="H282" s="1074"/>
      <c r="I282" s="1074"/>
      <c r="J282" s="1074"/>
      <c r="BK282" s="1075"/>
    </row>
    <row r="283" spans="1:63" s="1073" customFormat="1" ht="30" customHeight="1" x14ac:dyDescent="0.25">
      <c r="A283" s="1053" t="s">
        <v>1339</v>
      </c>
      <c r="B283" s="46"/>
      <c r="C283" s="46"/>
      <c r="D283" s="46"/>
      <c r="E283" s="46"/>
      <c r="F283" s="46"/>
      <c r="G283" s="46"/>
      <c r="H283" s="46"/>
      <c r="I283" s="46"/>
      <c r="J283" s="46"/>
      <c r="BK283" s="1072"/>
    </row>
    <row r="284" spans="1:63" s="1073" customFormat="1" ht="30" customHeight="1" x14ac:dyDescent="0.25">
      <c r="A284" s="1053" t="s">
        <v>1307</v>
      </c>
      <c r="B284" s="46"/>
      <c r="C284" s="46"/>
      <c r="D284" s="46"/>
      <c r="E284" s="46"/>
      <c r="F284" s="46"/>
      <c r="G284" s="46"/>
      <c r="H284" s="46"/>
      <c r="I284" s="46"/>
      <c r="J284" s="46"/>
      <c r="BK284" s="1072"/>
    </row>
    <row r="285" spans="1:63" ht="15" customHeight="1" x14ac:dyDescent="0.2">
      <c r="A285" s="1076"/>
      <c r="B285" s="1074"/>
      <c r="G285" s="1074"/>
      <c r="H285" s="1074"/>
      <c r="I285" s="1074"/>
      <c r="J285" s="1074"/>
      <c r="AB285" s="1070"/>
      <c r="BK285" s="1075"/>
    </row>
    <row r="286" spans="1:63" ht="15" customHeight="1" x14ac:dyDescent="0.2">
      <c r="A286" s="1076"/>
      <c r="B286" s="1699" t="s">
        <v>1250</v>
      </c>
      <c r="C286" s="1699"/>
      <c r="D286" s="1699"/>
      <c r="E286" s="1700"/>
      <c r="F286" s="1705" t="s">
        <v>1309</v>
      </c>
      <c r="G286" s="1706"/>
      <c r="H286" s="1706"/>
      <c r="I286" s="1706"/>
      <c r="J286" s="1706"/>
      <c r="K286" s="1706"/>
      <c r="L286" s="1706"/>
      <c r="M286" s="1706"/>
      <c r="N286" s="1706"/>
      <c r="O286" s="1706"/>
      <c r="P286" s="1706"/>
      <c r="Q286" s="1706"/>
      <c r="R286" s="1706"/>
      <c r="S286" s="1706"/>
      <c r="T286" s="1706"/>
      <c r="U286" s="1706"/>
      <c r="V286" s="1706"/>
      <c r="W286" s="1706"/>
      <c r="X286" s="1706"/>
      <c r="Y286" s="1706"/>
      <c r="Z286" s="1706"/>
      <c r="AA286" s="1706"/>
      <c r="AB286" s="1706"/>
      <c r="AC286" s="1706"/>
      <c r="BK286" s="1075"/>
    </row>
    <row r="287" spans="1:63" ht="15" customHeight="1" x14ac:dyDescent="0.2">
      <c r="A287" s="1076"/>
      <c r="B287" s="1701"/>
      <c r="C287" s="1701"/>
      <c r="D287" s="1701"/>
      <c r="E287" s="1702"/>
      <c r="F287" s="1707" t="s">
        <v>1310</v>
      </c>
      <c r="G287" s="1708"/>
      <c r="H287" s="1709"/>
      <c r="I287" s="1710" t="s">
        <v>1315</v>
      </c>
      <c r="J287" s="1708"/>
      <c r="K287" s="1709"/>
      <c r="L287" s="1710" t="s">
        <v>1311</v>
      </c>
      <c r="M287" s="1708"/>
      <c r="N287" s="1709"/>
      <c r="O287" s="1710" t="s">
        <v>1314</v>
      </c>
      <c r="P287" s="1708"/>
      <c r="Q287" s="1709"/>
      <c r="R287" s="1476"/>
      <c r="S287" s="1549" t="s">
        <v>1312</v>
      </c>
      <c r="T287" s="1477"/>
      <c r="U287" s="1710" t="s">
        <v>863</v>
      </c>
      <c r="V287" s="1708"/>
      <c r="W287" s="1709"/>
      <c r="X287" s="1710" t="s">
        <v>1313</v>
      </c>
      <c r="Y287" s="1708"/>
      <c r="Z287" s="1709"/>
      <c r="AA287" s="1710" t="s">
        <v>1246</v>
      </c>
      <c r="AB287" s="1708"/>
      <c r="AC287" s="1708"/>
      <c r="BK287" s="1075"/>
    </row>
    <row r="288" spans="1:63" ht="15" customHeight="1" x14ac:dyDescent="0.2">
      <c r="A288" s="1076"/>
      <c r="B288" s="1703"/>
      <c r="C288" s="1703"/>
      <c r="D288" s="1703"/>
      <c r="E288" s="1704"/>
      <c r="F288" s="1449" t="s">
        <v>1316</v>
      </c>
      <c r="G288" s="1449" t="s">
        <v>1317</v>
      </c>
      <c r="H288" s="1452" t="s">
        <v>447</v>
      </c>
      <c r="I288" s="1449" t="s">
        <v>1316</v>
      </c>
      <c r="J288" s="1449" t="s">
        <v>1317</v>
      </c>
      <c r="K288" s="1452" t="s">
        <v>447</v>
      </c>
      <c r="L288" s="1449" t="s">
        <v>1316</v>
      </c>
      <c r="M288" s="1449" t="s">
        <v>1317</v>
      </c>
      <c r="N288" s="1452" t="s">
        <v>447</v>
      </c>
      <c r="O288" s="1449" t="s">
        <v>1316</v>
      </c>
      <c r="P288" s="1449" t="s">
        <v>1317</v>
      </c>
      <c r="Q288" s="1452" t="s">
        <v>447</v>
      </c>
      <c r="R288" s="1449" t="s">
        <v>1316</v>
      </c>
      <c r="S288" s="1449" t="s">
        <v>1317</v>
      </c>
      <c r="T288" s="1452" t="s">
        <v>447</v>
      </c>
      <c r="U288" s="1449" t="s">
        <v>1316</v>
      </c>
      <c r="V288" s="1449" t="s">
        <v>1317</v>
      </c>
      <c r="W288" s="1452" t="s">
        <v>447</v>
      </c>
      <c r="X288" s="1449" t="s">
        <v>1316</v>
      </c>
      <c r="Y288" s="1449" t="s">
        <v>1317</v>
      </c>
      <c r="Z288" s="1452" t="s">
        <v>447</v>
      </c>
      <c r="AA288" s="1451" t="s">
        <v>1316</v>
      </c>
      <c r="AB288" s="1449" t="s">
        <v>1317</v>
      </c>
      <c r="AC288" s="1450" t="s">
        <v>447</v>
      </c>
      <c r="BK288" s="1075"/>
    </row>
    <row r="289" spans="1:63" ht="15" customHeight="1" x14ac:dyDescent="0.2">
      <c r="A289" s="1076"/>
      <c r="B289" s="1515" t="s">
        <v>1297</v>
      </c>
      <c r="C289" s="1515"/>
      <c r="D289" s="1522"/>
      <c r="E289" s="1364"/>
      <c r="F289" s="314"/>
      <c r="G289" s="314"/>
      <c r="H289" s="1427"/>
      <c r="I289" s="314"/>
      <c r="J289" s="314"/>
      <c r="K289" s="1427"/>
      <c r="L289" s="314"/>
      <c r="M289" s="314"/>
      <c r="N289" s="1427"/>
      <c r="O289" s="314"/>
      <c r="P289" s="314"/>
      <c r="Q289" s="1427"/>
      <c r="R289" s="314"/>
      <c r="S289" s="314"/>
      <c r="T289" s="1427"/>
      <c r="U289" s="314"/>
      <c r="V289" s="314"/>
      <c r="W289" s="1427"/>
      <c r="X289" s="314"/>
      <c r="Y289" s="314"/>
      <c r="Z289" s="1427"/>
      <c r="AA289" s="1426"/>
      <c r="AB289" s="314"/>
      <c r="AC289" s="1424"/>
      <c r="BK289" s="1075"/>
    </row>
    <row r="290" spans="1:63" ht="15" customHeight="1" x14ac:dyDescent="0.2">
      <c r="A290" s="1076"/>
      <c r="B290" s="1515" t="s">
        <v>1298</v>
      </c>
      <c r="C290" s="1515"/>
      <c r="D290" s="1522"/>
      <c r="E290" s="1364"/>
      <c r="F290" s="265"/>
      <c r="G290" s="265"/>
      <c r="H290" s="1429"/>
      <c r="I290" s="265"/>
      <c r="J290" s="265"/>
      <c r="K290" s="1429"/>
      <c r="L290" s="265"/>
      <c r="M290" s="265"/>
      <c r="N290" s="1429"/>
      <c r="O290" s="265"/>
      <c r="P290" s="265"/>
      <c r="Q290" s="1429"/>
      <c r="R290" s="265"/>
      <c r="S290" s="265"/>
      <c r="T290" s="1429"/>
      <c r="U290" s="265"/>
      <c r="V290" s="265"/>
      <c r="W290" s="1429"/>
      <c r="X290" s="265"/>
      <c r="Y290" s="265"/>
      <c r="Z290" s="1429"/>
      <c r="AA290" s="1428"/>
      <c r="AB290" s="265"/>
      <c r="AC290" s="273"/>
      <c r="BK290" s="1075"/>
    </row>
    <row r="291" spans="1:63" ht="15" customHeight="1" x14ac:dyDescent="0.2">
      <c r="A291" s="1076"/>
      <c r="B291" s="1447" t="s">
        <v>497</v>
      </c>
      <c r="C291" s="1447"/>
      <c r="D291" s="1057"/>
      <c r="E291" s="1362"/>
      <c r="F291" s="265"/>
      <c r="G291" s="265"/>
      <c r="H291" s="1429"/>
      <c r="I291" s="265"/>
      <c r="J291" s="265"/>
      <c r="K291" s="1429"/>
      <c r="L291" s="265"/>
      <c r="M291" s="265"/>
      <c r="N291" s="1429"/>
      <c r="O291" s="265"/>
      <c r="P291" s="265"/>
      <c r="Q291" s="1429"/>
      <c r="R291" s="265"/>
      <c r="S291" s="265"/>
      <c r="T291" s="1429"/>
      <c r="U291" s="265"/>
      <c r="V291" s="265"/>
      <c r="W291" s="1429"/>
      <c r="X291" s="265"/>
      <c r="Y291" s="265"/>
      <c r="Z291" s="1429"/>
      <c r="AA291" s="1428"/>
      <c r="AB291" s="265"/>
      <c r="AC291" s="273"/>
      <c r="BK291" s="1075"/>
    </row>
    <row r="292" spans="1:63" ht="15" customHeight="1" x14ac:dyDescent="0.2">
      <c r="A292" s="1076"/>
      <c r="B292" s="1057" t="s">
        <v>1299</v>
      </c>
      <c r="C292" s="1057"/>
      <c r="D292" s="1057"/>
      <c r="E292" s="1362"/>
      <c r="F292" s="265"/>
      <c r="G292" s="265"/>
      <c r="H292" s="1429"/>
      <c r="I292" s="265"/>
      <c r="J292" s="265"/>
      <c r="K292" s="1429"/>
      <c r="L292" s="265"/>
      <c r="M292" s="265"/>
      <c r="N292" s="1429"/>
      <c r="O292" s="265"/>
      <c r="P292" s="265"/>
      <c r="Q292" s="1429"/>
      <c r="R292" s="265"/>
      <c r="S292" s="265"/>
      <c r="T292" s="1429"/>
      <c r="U292" s="265"/>
      <c r="V292" s="265"/>
      <c r="W292" s="1429"/>
      <c r="X292" s="265"/>
      <c r="Y292" s="265"/>
      <c r="Z292" s="1429"/>
      <c r="AA292" s="1428"/>
      <c r="AB292" s="265"/>
      <c r="AC292" s="273"/>
      <c r="BK292" s="1075"/>
    </row>
    <row r="293" spans="1:63" ht="15" customHeight="1" x14ac:dyDescent="0.2">
      <c r="A293" s="1076"/>
      <c r="B293" s="1057" t="s">
        <v>1300</v>
      </c>
      <c r="C293" s="1057"/>
      <c r="D293" s="1057"/>
      <c r="E293" s="1362"/>
      <c r="F293" s="265"/>
      <c r="G293" s="265"/>
      <c r="H293" s="1429"/>
      <c r="I293" s="265"/>
      <c r="J293" s="265"/>
      <c r="K293" s="1429"/>
      <c r="L293" s="265"/>
      <c r="M293" s="265"/>
      <c r="N293" s="1429"/>
      <c r="O293" s="265"/>
      <c r="P293" s="265"/>
      <c r="Q293" s="1429"/>
      <c r="R293" s="265"/>
      <c r="S293" s="265"/>
      <c r="T293" s="1429"/>
      <c r="U293" s="265"/>
      <c r="V293" s="265"/>
      <c r="W293" s="1429"/>
      <c r="X293" s="265"/>
      <c r="Y293" s="265"/>
      <c r="Z293" s="1429"/>
      <c r="AA293" s="1428"/>
      <c r="AB293" s="265"/>
      <c r="AC293" s="273"/>
      <c r="BK293" s="1075"/>
    </row>
    <row r="294" spans="1:63" ht="15" customHeight="1" x14ac:dyDescent="0.2">
      <c r="A294" s="1076"/>
      <c r="B294" s="1057" t="s">
        <v>498</v>
      </c>
      <c r="C294" s="1057"/>
      <c r="D294" s="1057"/>
      <c r="E294" s="1362"/>
      <c r="F294" s="265"/>
      <c r="G294" s="265"/>
      <c r="H294" s="1429"/>
      <c r="I294" s="265"/>
      <c r="J294" s="265"/>
      <c r="K294" s="1429"/>
      <c r="L294" s="265"/>
      <c r="M294" s="265"/>
      <c r="N294" s="1429"/>
      <c r="O294" s="265"/>
      <c r="P294" s="265"/>
      <c r="Q294" s="1429"/>
      <c r="R294" s="265"/>
      <c r="S294" s="265"/>
      <c r="T294" s="1429"/>
      <c r="U294" s="265"/>
      <c r="V294" s="265"/>
      <c r="W294" s="1429"/>
      <c r="X294" s="265"/>
      <c r="Y294" s="265"/>
      <c r="Z294" s="1429"/>
      <c r="AA294" s="1428"/>
      <c r="AB294" s="265"/>
      <c r="AC294" s="273"/>
      <c r="BK294" s="1075"/>
    </row>
    <row r="295" spans="1:63" ht="15" customHeight="1" x14ac:dyDescent="0.2">
      <c r="A295" s="1076"/>
      <c r="B295" s="1057" t="s">
        <v>1301</v>
      </c>
      <c r="C295" s="1057"/>
      <c r="D295" s="1057"/>
      <c r="E295" s="1362"/>
      <c r="F295" s="265"/>
      <c r="G295" s="265"/>
      <c r="H295" s="1429"/>
      <c r="I295" s="265"/>
      <c r="J295" s="265"/>
      <c r="K295" s="1429"/>
      <c r="L295" s="265"/>
      <c r="M295" s="265"/>
      <c r="N295" s="1429"/>
      <c r="O295" s="265"/>
      <c r="P295" s="265"/>
      <c r="Q295" s="1429"/>
      <c r="R295" s="265"/>
      <c r="S295" s="265"/>
      <c r="T295" s="1429"/>
      <c r="U295" s="265"/>
      <c r="V295" s="265"/>
      <c r="W295" s="1429"/>
      <c r="X295" s="265"/>
      <c r="Y295" s="265"/>
      <c r="Z295" s="1429"/>
      <c r="AA295" s="1428"/>
      <c r="AB295" s="265"/>
      <c r="AC295" s="273"/>
      <c r="BK295" s="1075"/>
    </row>
    <row r="296" spans="1:63" ht="15" customHeight="1" x14ac:dyDescent="0.2">
      <c r="A296" s="1076"/>
      <c r="B296" s="1057" t="s">
        <v>1302</v>
      </c>
      <c r="C296" s="1057"/>
      <c r="D296" s="1057"/>
      <c r="E296" s="1362"/>
      <c r="F296" s="265"/>
      <c r="G296" s="265"/>
      <c r="H296" s="1429"/>
      <c r="I296" s="265"/>
      <c r="J296" s="265"/>
      <c r="K296" s="1429"/>
      <c r="L296" s="265"/>
      <c r="M296" s="265"/>
      <c r="N296" s="1429"/>
      <c r="O296" s="265"/>
      <c r="P296" s="265"/>
      <c r="Q296" s="1429"/>
      <c r="R296" s="265"/>
      <c r="S296" s="265"/>
      <c r="T296" s="1429"/>
      <c r="U296" s="265"/>
      <c r="V296" s="265"/>
      <c r="W296" s="1429"/>
      <c r="X296" s="265"/>
      <c r="Y296" s="265"/>
      <c r="Z296" s="1429"/>
      <c r="AA296" s="1428"/>
      <c r="AB296" s="265"/>
      <c r="AC296" s="273"/>
      <c r="BK296" s="1075"/>
    </row>
    <row r="297" spans="1:63" ht="15" customHeight="1" x14ac:dyDescent="0.2">
      <c r="A297" s="1076"/>
      <c r="B297" s="1058" t="s">
        <v>1303</v>
      </c>
      <c r="C297" s="1058"/>
      <c r="D297" s="1058"/>
      <c r="E297" s="1363"/>
      <c r="F297" s="321"/>
      <c r="G297" s="321"/>
      <c r="H297" s="1431"/>
      <c r="I297" s="321"/>
      <c r="J297" s="321"/>
      <c r="K297" s="1431"/>
      <c r="L297" s="321"/>
      <c r="M297" s="321"/>
      <c r="N297" s="1431"/>
      <c r="O297" s="321"/>
      <c r="P297" s="321"/>
      <c r="Q297" s="1431"/>
      <c r="R297" s="321"/>
      <c r="S297" s="321"/>
      <c r="T297" s="1431"/>
      <c r="U297" s="321"/>
      <c r="V297" s="321"/>
      <c r="W297" s="1431"/>
      <c r="X297" s="321"/>
      <c r="Y297" s="321"/>
      <c r="Z297" s="1431"/>
      <c r="AA297" s="1430"/>
      <c r="AB297" s="321"/>
      <c r="AC297" s="275"/>
      <c r="BK297" s="1075"/>
    </row>
    <row r="298" spans="1:63" ht="15" customHeight="1" x14ac:dyDescent="0.2">
      <c r="A298" s="1076"/>
      <c r="B298" s="1074"/>
      <c r="G298" s="1074"/>
      <c r="H298" s="1074"/>
      <c r="I298" s="1074"/>
      <c r="J298" s="1074"/>
      <c r="BK298" s="1075"/>
    </row>
    <row r="299" spans="1:63" s="1073" customFormat="1" ht="30" customHeight="1" x14ac:dyDescent="0.25">
      <c r="A299" s="1053" t="s">
        <v>1308</v>
      </c>
      <c r="B299" s="46"/>
      <c r="C299" s="46"/>
      <c r="F299" s="46"/>
      <c r="G299" s="46"/>
      <c r="H299" s="46"/>
      <c r="I299" s="46"/>
      <c r="J299" s="46"/>
      <c r="K299" s="46"/>
      <c r="L299" s="46"/>
      <c r="M299" s="46"/>
      <c r="BK299" s="1072"/>
    </row>
    <row r="300" spans="1:63" ht="15" customHeight="1" x14ac:dyDescent="0.2">
      <c r="A300" s="1076"/>
      <c r="B300" s="1074"/>
      <c r="G300" s="1074"/>
      <c r="H300" s="1074"/>
      <c r="I300" s="1074"/>
      <c r="J300" s="1074"/>
      <c r="BK300" s="1075"/>
    </row>
    <row r="301" spans="1:63" ht="15" customHeight="1" x14ac:dyDescent="0.2">
      <c r="A301" s="1076"/>
      <c r="B301" s="1699" t="s">
        <v>1250</v>
      </c>
      <c r="C301" s="1699"/>
      <c r="D301" s="1699"/>
      <c r="E301" s="1700"/>
      <c r="F301" s="1705" t="s">
        <v>1309</v>
      </c>
      <c r="G301" s="1706"/>
      <c r="H301" s="1706"/>
      <c r="I301" s="1706"/>
      <c r="J301" s="1706"/>
      <c r="K301" s="1706"/>
      <c r="L301" s="1706"/>
      <c r="M301" s="1706"/>
      <c r="N301" s="1706"/>
      <c r="O301" s="1706"/>
      <c r="P301" s="1706"/>
      <c r="Q301" s="1706"/>
      <c r="R301" s="1706"/>
      <c r="S301" s="1706"/>
      <c r="T301" s="1706"/>
      <c r="U301" s="1706"/>
      <c r="V301" s="1706"/>
      <c r="W301" s="1706"/>
      <c r="X301" s="1706"/>
      <c r="Y301" s="1706"/>
      <c r="Z301" s="1706"/>
      <c r="AA301" s="1706"/>
      <c r="AB301" s="1706"/>
      <c r="AC301" s="1706"/>
      <c r="BK301" s="1075"/>
    </row>
    <row r="302" spans="1:63" ht="15" customHeight="1" x14ac:dyDescent="0.2">
      <c r="A302" s="1076"/>
      <c r="B302" s="1701"/>
      <c r="C302" s="1701"/>
      <c r="D302" s="1701"/>
      <c r="E302" s="1702"/>
      <c r="F302" s="1707" t="s">
        <v>1310</v>
      </c>
      <c r="G302" s="1708"/>
      <c r="H302" s="1709"/>
      <c r="I302" s="1710" t="s">
        <v>1315</v>
      </c>
      <c r="J302" s="1708"/>
      <c r="K302" s="1709"/>
      <c r="L302" s="1710" t="s">
        <v>1311</v>
      </c>
      <c r="M302" s="1708"/>
      <c r="N302" s="1709"/>
      <c r="O302" s="1710" t="s">
        <v>1314</v>
      </c>
      <c r="P302" s="1708"/>
      <c r="Q302" s="1709"/>
      <c r="R302" s="1476"/>
      <c r="S302" s="1549" t="s">
        <v>1312</v>
      </c>
      <c r="T302" s="1477"/>
      <c r="U302" s="1710" t="s">
        <v>863</v>
      </c>
      <c r="V302" s="1708"/>
      <c r="W302" s="1709"/>
      <c r="X302" s="1710" t="s">
        <v>1313</v>
      </c>
      <c r="Y302" s="1708"/>
      <c r="Z302" s="1709"/>
      <c r="AA302" s="1710" t="s">
        <v>1246</v>
      </c>
      <c r="AB302" s="1708"/>
      <c r="AC302" s="1708"/>
      <c r="BK302" s="1075"/>
    </row>
    <row r="303" spans="1:63" ht="15" customHeight="1" x14ac:dyDescent="0.2">
      <c r="A303" s="1076"/>
      <c r="B303" s="1703"/>
      <c r="C303" s="1703"/>
      <c r="D303" s="1703"/>
      <c r="E303" s="1704"/>
      <c r="F303" s="1449" t="s">
        <v>1316</v>
      </c>
      <c r="G303" s="1449" t="s">
        <v>1317</v>
      </c>
      <c r="H303" s="1452" t="s">
        <v>447</v>
      </c>
      <c r="I303" s="1449" t="s">
        <v>1316</v>
      </c>
      <c r="J303" s="1449" t="s">
        <v>1317</v>
      </c>
      <c r="K303" s="1452" t="s">
        <v>447</v>
      </c>
      <c r="L303" s="1449" t="s">
        <v>1316</v>
      </c>
      <c r="M303" s="1449" t="s">
        <v>1317</v>
      </c>
      <c r="N303" s="1452" t="s">
        <v>447</v>
      </c>
      <c r="O303" s="1449" t="s">
        <v>1316</v>
      </c>
      <c r="P303" s="1449" t="s">
        <v>1317</v>
      </c>
      <c r="Q303" s="1452" t="s">
        <v>447</v>
      </c>
      <c r="R303" s="1449" t="s">
        <v>1316</v>
      </c>
      <c r="S303" s="1449" t="s">
        <v>1317</v>
      </c>
      <c r="T303" s="1452" t="s">
        <v>447</v>
      </c>
      <c r="U303" s="1449" t="s">
        <v>1316</v>
      </c>
      <c r="V303" s="1449" t="s">
        <v>1317</v>
      </c>
      <c r="W303" s="1452" t="s">
        <v>447</v>
      </c>
      <c r="X303" s="1449" t="s">
        <v>1316</v>
      </c>
      <c r="Y303" s="1449" t="s">
        <v>1317</v>
      </c>
      <c r="Z303" s="1452" t="s">
        <v>447</v>
      </c>
      <c r="AA303" s="1451" t="s">
        <v>1316</v>
      </c>
      <c r="AB303" s="1449" t="s">
        <v>1317</v>
      </c>
      <c r="AC303" s="1450" t="s">
        <v>447</v>
      </c>
      <c r="BK303" s="1075"/>
    </row>
    <row r="304" spans="1:63" ht="15" customHeight="1" x14ac:dyDescent="0.2">
      <c r="A304" s="1076"/>
      <c r="B304" s="1515" t="s">
        <v>1297</v>
      </c>
      <c r="C304" s="1515"/>
      <c r="D304" s="1522"/>
      <c r="E304" s="1364"/>
      <c r="F304" s="314"/>
      <c r="G304" s="314"/>
      <c r="H304" s="1427"/>
      <c r="I304" s="314"/>
      <c r="J304" s="314"/>
      <c r="K304" s="1427"/>
      <c r="L304" s="314"/>
      <c r="M304" s="314"/>
      <c r="N304" s="1427"/>
      <c r="O304" s="314"/>
      <c r="P304" s="314"/>
      <c r="Q304" s="1427"/>
      <c r="R304" s="314"/>
      <c r="S304" s="314"/>
      <c r="T304" s="1427"/>
      <c r="U304" s="314"/>
      <c r="V304" s="314"/>
      <c r="W304" s="1427"/>
      <c r="X304" s="314"/>
      <c r="Y304" s="314"/>
      <c r="Z304" s="1427"/>
      <c r="AA304" s="314"/>
      <c r="AB304" s="314"/>
      <c r="AC304" s="1424"/>
      <c r="BK304" s="1075"/>
    </row>
    <row r="305" spans="1:63" ht="15" customHeight="1" x14ac:dyDescent="0.2">
      <c r="A305" s="1076"/>
      <c r="B305" s="1515" t="s">
        <v>1298</v>
      </c>
      <c r="C305" s="1515"/>
      <c r="D305" s="1522"/>
      <c r="E305" s="1364"/>
      <c r="F305" s="265"/>
      <c r="G305" s="265"/>
      <c r="H305" s="1429"/>
      <c r="I305" s="265"/>
      <c r="J305" s="265"/>
      <c r="K305" s="1429"/>
      <c r="L305" s="265"/>
      <c r="M305" s="265"/>
      <c r="N305" s="1429"/>
      <c r="O305" s="265"/>
      <c r="P305" s="265"/>
      <c r="Q305" s="1429"/>
      <c r="R305" s="265"/>
      <c r="S305" s="265"/>
      <c r="T305" s="1429"/>
      <c r="U305" s="265"/>
      <c r="V305" s="265"/>
      <c r="W305" s="1429"/>
      <c r="X305" s="265"/>
      <c r="Y305" s="265"/>
      <c r="Z305" s="1429"/>
      <c r="AA305" s="265"/>
      <c r="AB305" s="265"/>
      <c r="AC305" s="273"/>
      <c r="BK305" s="1075"/>
    </row>
    <row r="306" spans="1:63" ht="15" customHeight="1" x14ac:dyDescent="0.2">
      <c r="A306" s="1076"/>
      <c r="B306" s="1447" t="s">
        <v>497</v>
      </c>
      <c r="C306" s="1447"/>
      <c r="D306" s="1057"/>
      <c r="E306" s="1362"/>
      <c r="F306" s="265"/>
      <c r="G306" s="265"/>
      <c r="H306" s="1429"/>
      <c r="I306" s="265"/>
      <c r="J306" s="265"/>
      <c r="K306" s="1429"/>
      <c r="L306" s="265"/>
      <c r="M306" s="265"/>
      <c r="N306" s="1429"/>
      <c r="O306" s="265"/>
      <c r="P306" s="265"/>
      <c r="Q306" s="1429"/>
      <c r="R306" s="265"/>
      <c r="S306" s="265"/>
      <c r="T306" s="1429"/>
      <c r="U306" s="265"/>
      <c r="V306" s="265"/>
      <c r="W306" s="1429"/>
      <c r="X306" s="265"/>
      <c r="Y306" s="265"/>
      <c r="Z306" s="1429"/>
      <c r="AA306" s="265"/>
      <c r="AB306" s="265"/>
      <c r="AC306" s="273"/>
      <c r="BK306" s="1075"/>
    </row>
    <row r="307" spans="1:63" ht="15" customHeight="1" x14ac:dyDescent="0.2">
      <c r="A307" s="1076"/>
      <c r="B307" s="1057" t="s">
        <v>1299</v>
      </c>
      <c r="C307" s="1057"/>
      <c r="D307" s="1057"/>
      <c r="E307" s="1362"/>
      <c r="F307" s="265"/>
      <c r="G307" s="265"/>
      <c r="H307" s="1429"/>
      <c r="I307" s="265"/>
      <c r="J307" s="265"/>
      <c r="K307" s="1429"/>
      <c r="L307" s="265"/>
      <c r="M307" s="265"/>
      <c r="N307" s="1429"/>
      <c r="O307" s="265"/>
      <c r="P307" s="265"/>
      <c r="Q307" s="1429"/>
      <c r="R307" s="265"/>
      <c r="S307" s="265"/>
      <c r="T307" s="1429"/>
      <c r="U307" s="265"/>
      <c r="V307" s="265"/>
      <c r="W307" s="1429"/>
      <c r="X307" s="265"/>
      <c r="Y307" s="265"/>
      <c r="Z307" s="1429"/>
      <c r="AA307" s="265"/>
      <c r="AB307" s="265"/>
      <c r="AC307" s="273"/>
      <c r="BK307" s="1075"/>
    </row>
    <row r="308" spans="1:63" ht="15" customHeight="1" x14ac:dyDescent="0.2">
      <c r="A308" s="1076"/>
      <c r="B308" s="1057" t="s">
        <v>1300</v>
      </c>
      <c r="C308" s="1057"/>
      <c r="D308" s="1057"/>
      <c r="E308" s="1362"/>
      <c r="F308" s="265"/>
      <c r="G308" s="265"/>
      <c r="H308" s="1429"/>
      <c r="I308" s="265"/>
      <c r="J308" s="265"/>
      <c r="K308" s="1429"/>
      <c r="L308" s="265"/>
      <c r="M308" s="265"/>
      <c r="N308" s="1429"/>
      <c r="O308" s="265"/>
      <c r="P308" s="265"/>
      <c r="Q308" s="1429"/>
      <c r="R308" s="265"/>
      <c r="S308" s="265"/>
      <c r="T308" s="1429"/>
      <c r="U308" s="265"/>
      <c r="V308" s="265"/>
      <c r="W308" s="1429"/>
      <c r="X308" s="265"/>
      <c r="Y308" s="265"/>
      <c r="Z308" s="1429"/>
      <c r="AA308" s="265"/>
      <c r="AB308" s="265"/>
      <c r="AC308" s="273"/>
      <c r="BK308" s="1075"/>
    </row>
    <row r="309" spans="1:63" ht="15" customHeight="1" x14ac:dyDescent="0.2">
      <c r="A309" s="1076"/>
      <c r="B309" s="1057" t="s">
        <v>498</v>
      </c>
      <c r="C309" s="1057"/>
      <c r="D309" s="1057"/>
      <c r="E309" s="1362"/>
      <c r="F309" s="265"/>
      <c r="G309" s="265"/>
      <c r="H309" s="1429"/>
      <c r="I309" s="265"/>
      <c r="J309" s="265"/>
      <c r="K309" s="1429"/>
      <c r="L309" s="265"/>
      <c r="M309" s="265"/>
      <c r="N309" s="1429"/>
      <c r="O309" s="265"/>
      <c r="P309" s="265"/>
      <c r="Q309" s="1429"/>
      <c r="R309" s="265"/>
      <c r="S309" s="265"/>
      <c r="T309" s="1429"/>
      <c r="U309" s="265"/>
      <c r="V309" s="265"/>
      <c r="W309" s="1429"/>
      <c r="X309" s="265"/>
      <c r="Y309" s="265"/>
      <c r="Z309" s="1429"/>
      <c r="AA309" s="265"/>
      <c r="AB309" s="265"/>
      <c r="AC309" s="273"/>
      <c r="BK309" s="1075"/>
    </row>
    <row r="310" spans="1:63" ht="15" customHeight="1" x14ac:dyDescent="0.2">
      <c r="A310" s="1076"/>
      <c r="B310" s="1057" t="s">
        <v>1301</v>
      </c>
      <c r="C310" s="1057"/>
      <c r="D310" s="1057"/>
      <c r="E310" s="1362"/>
      <c r="F310" s="265"/>
      <c r="G310" s="265"/>
      <c r="H310" s="1429"/>
      <c r="I310" s="265"/>
      <c r="J310" s="265"/>
      <c r="K310" s="1429"/>
      <c r="L310" s="265"/>
      <c r="M310" s="265"/>
      <c r="N310" s="1429"/>
      <c r="O310" s="265"/>
      <c r="P310" s="265"/>
      <c r="Q310" s="1429"/>
      <c r="R310" s="265"/>
      <c r="S310" s="265"/>
      <c r="T310" s="1429"/>
      <c r="U310" s="265"/>
      <c r="V310" s="265"/>
      <c r="W310" s="1429"/>
      <c r="X310" s="265"/>
      <c r="Y310" s="265"/>
      <c r="Z310" s="1429"/>
      <c r="AA310" s="265"/>
      <c r="AB310" s="265"/>
      <c r="AC310" s="273"/>
      <c r="BK310" s="1075"/>
    </row>
    <row r="311" spans="1:63" ht="15" customHeight="1" x14ac:dyDescent="0.2">
      <c r="A311" s="1076"/>
      <c r="B311" s="1057" t="s">
        <v>1302</v>
      </c>
      <c r="C311" s="1057"/>
      <c r="D311" s="1057"/>
      <c r="E311" s="1362"/>
      <c r="F311" s="265"/>
      <c r="G311" s="265"/>
      <c r="H311" s="1429"/>
      <c r="I311" s="265"/>
      <c r="J311" s="265"/>
      <c r="K311" s="1429"/>
      <c r="L311" s="265"/>
      <c r="M311" s="265"/>
      <c r="N311" s="1429"/>
      <c r="O311" s="265"/>
      <c r="P311" s="265"/>
      <c r="Q311" s="1429"/>
      <c r="R311" s="265"/>
      <c r="S311" s="265"/>
      <c r="T311" s="1429"/>
      <c r="U311" s="265"/>
      <c r="V311" s="265"/>
      <c r="W311" s="1429"/>
      <c r="X311" s="265"/>
      <c r="Y311" s="265"/>
      <c r="Z311" s="1429"/>
      <c r="AA311" s="265"/>
      <c r="AB311" s="265"/>
      <c r="AC311" s="273"/>
      <c r="BK311" s="1075"/>
    </row>
    <row r="312" spans="1:63" ht="15" customHeight="1" x14ac:dyDescent="0.2">
      <c r="A312" s="1076"/>
      <c r="B312" s="1058" t="s">
        <v>1303</v>
      </c>
      <c r="C312" s="1058"/>
      <c r="D312" s="1058"/>
      <c r="E312" s="1363"/>
      <c r="F312" s="321"/>
      <c r="G312" s="321"/>
      <c r="H312" s="1431"/>
      <c r="I312" s="321"/>
      <c r="J312" s="321"/>
      <c r="K312" s="1431"/>
      <c r="L312" s="321"/>
      <c r="M312" s="321"/>
      <c r="N312" s="1431"/>
      <c r="O312" s="321"/>
      <c r="P312" s="321"/>
      <c r="Q312" s="1431"/>
      <c r="R312" s="321"/>
      <c r="S312" s="321"/>
      <c r="T312" s="1431"/>
      <c r="U312" s="321"/>
      <c r="V312" s="321"/>
      <c r="W312" s="1431"/>
      <c r="X312" s="321"/>
      <c r="Y312" s="321"/>
      <c r="Z312" s="1431"/>
      <c r="AA312" s="321"/>
      <c r="AB312" s="321"/>
      <c r="AC312" s="275"/>
      <c r="BK312" s="1075"/>
    </row>
    <row r="313" spans="1:63" ht="15" customHeight="1" x14ac:dyDescent="0.2">
      <c r="A313" s="214"/>
      <c r="B313" s="1070"/>
      <c r="C313" s="1070"/>
      <c r="D313" s="1070"/>
      <c r="E313" s="1070"/>
      <c r="F313" s="1070"/>
      <c r="G313" s="1070"/>
      <c r="H313" s="1070"/>
      <c r="I313" s="1070"/>
      <c r="J313" s="1070"/>
      <c r="K313" s="1070"/>
      <c r="L313" s="1070"/>
      <c r="M313" s="1070"/>
      <c r="N313" s="1070"/>
      <c r="O313" s="1070"/>
      <c r="P313" s="1070"/>
      <c r="Q313" s="1070"/>
      <c r="R313" s="1070"/>
      <c r="S313" s="1070"/>
      <c r="T313" s="1070"/>
      <c r="U313" s="1070"/>
      <c r="V313" s="1070"/>
      <c r="W313" s="1070"/>
      <c r="X313" s="1070"/>
      <c r="Y313" s="1070"/>
      <c r="Z313" s="1070"/>
      <c r="AA313" s="1070"/>
      <c r="AB313" s="1070"/>
      <c r="AC313" s="1070"/>
      <c r="AD313" s="1070"/>
      <c r="AE313" s="1070"/>
      <c r="AF313" s="1070"/>
      <c r="AG313" s="1070"/>
      <c r="AH313" s="1070"/>
      <c r="AI313" s="1070"/>
      <c r="AJ313" s="1070"/>
      <c r="AK313" s="1070"/>
      <c r="AL313" s="1070"/>
      <c r="AM313" s="1070"/>
      <c r="AN313" s="1070"/>
      <c r="AO313" s="1070"/>
      <c r="AP313" s="1070"/>
      <c r="AQ313" s="1070"/>
      <c r="AR313" s="1070"/>
      <c r="AS313" s="1070"/>
      <c r="AT313" s="1070"/>
      <c r="AU313" s="1070"/>
      <c r="AV313" s="1070"/>
      <c r="AW313" s="1070"/>
      <c r="AX313" s="1070"/>
      <c r="AY313" s="1070"/>
      <c r="AZ313" s="1070"/>
      <c r="BA313" s="1070"/>
      <c r="BB313" s="1070"/>
      <c r="BC313" s="1070"/>
      <c r="BD313" s="1070"/>
      <c r="BE313" s="1070"/>
      <c r="BF313" s="1070"/>
      <c r="BG313" s="1070"/>
      <c r="BH313" s="1070"/>
      <c r="BI313" s="1070"/>
      <c r="BJ313" s="1070"/>
      <c r="BK313" s="1071"/>
    </row>
  </sheetData>
  <mergeCells count="223">
    <mergeCell ref="AO4:AY4"/>
    <mergeCell ref="AZ4:BJ4"/>
    <mergeCell ref="B38:E38"/>
    <mergeCell ref="B45:B47"/>
    <mergeCell ref="C45:C47"/>
    <mergeCell ref="D45:E47"/>
    <mergeCell ref="F45:L45"/>
    <mergeCell ref="M45:N45"/>
    <mergeCell ref="O45:P45"/>
    <mergeCell ref="F46:F47"/>
    <mergeCell ref="B4:E5"/>
    <mergeCell ref="F4:F5"/>
    <mergeCell ref="G4:G5"/>
    <mergeCell ref="H4:R4"/>
    <mergeCell ref="S4:AC4"/>
    <mergeCell ref="AD4:AN4"/>
    <mergeCell ref="O46:O47"/>
    <mergeCell ref="P46:P47"/>
    <mergeCell ref="I46:J46"/>
    <mergeCell ref="K46:L46"/>
    <mergeCell ref="M46:M47"/>
    <mergeCell ref="N46:N47"/>
    <mergeCell ref="C48:C53"/>
    <mergeCell ref="D48:E48"/>
    <mergeCell ref="D49:E49"/>
    <mergeCell ref="D50:E50"/>
    <mergeCell ref="D51:E51"/>
    <mergeCell ref="D52:E52"/>
    <mergeCell ref="D53:E53"/>
    <mergeCell ref="G46:G47"/>
    <mergeCell ref="H46:H47"/>
    <mergeCell ref="C60:E60"/>
    <mergeCell ref="B62:E62"/>
    <mergeCell ref="B68:B70"/>
    <mergeCell ref="C68:C70"/>
    <mergeCell ref="D68:E70"/>
    <mergeCell ref="F68:L68"/>
    <mergeCell ref="C54:C59"/>
    <mergeCell ref="D54:E54"/>
    <mergeCell ref="D55:E55"/>
    <mergeCell ref="D56:E56"/>
    <mergeCell ref="D57:E57"/>
    <mergeCell ref="D58:E58"/>
    <mergeCell ref="D59:E59"/>
    <mergeCell ref="P69:P70"/>
    <mergeCell ref="C71:C76"/>
    <mergeCell ref="D71:E71"/>
    <mergeCell ref="D72:E72"/>
    <mergeCell ref="D73:E73"/>
    <mergeCell ref="D74:E74"/>
    <mergeCell ref="D75:E75"/>
    <mergeCell ref="D76:E76"/>
    <mergeCell ref="M68:N68"/>
    <mergeCell ref="O68:P68"/>
    <mergeCell ref="F69:F70"/>
    <mergeCell ref="G69:G70"/>
    <mergeCell ref="H69:H70"/>
    <mergeCell ref="I69:J69"/>
    <mergeCell ref="K69:L69"/>
    <mergeCell ref="M69:M70"/>
    <mergeCell ref="N69:N70"/>
    <mergeCell ref="O69:O70"/>
    <mergeCell ref="C83:E83"/>
    <mergeCell ref="B85:E85"/>
    <mergeCell ref="B90:B92"/>
    <mergeCell ref="C90:C92"/>
    <mergeCell ref="D90:E92"/>
    <mergeCell ref="F90:L90"/>
    <mergeCell ref="C77:C82"/>
    <mergeCell ref="D77:E77"/>
    <mergeCell ref="D78:E78"/>
    <mergeCell ref="D79:E79"/>
    <mergeCell ref="D80:E80"/>
    <mergeCell ref="D81:E81"/>
    <mergeCell ref="D82:E82"/>
    <mergeCell ref="M90:N90"/>
    <mergeCell ref="O90:P90"/>
    <mergeCell ref="F91:F92"/>
    <mergeCell ref="G91:G92"/>
    <mergeCell ref="H91:H92"/>
    <mergeCell ref="I91:J91"/>
    <mergeCell ref="K91:L91"/>
    <mergeCell ref="M91:M92"/>
    <mergeCell ref="N91:N92"/>
    <mergeCell ref="O91:O92"/>
    <mergeCell ref="C99:E99"/>
    <mergeCell ref="B101:E101"/>
    <mergeCell ref="B107:B108"/>
    <mergeCell ref="C107:C108"/>
    <mergeCell ref="D107:D108"/>
    <mergeCell ref="E107:E108"/>
    <mergeCell ref="P91:P92"/>
    <mergeCell ref="C93:C95"/>
    <mergeCell ref="D93:E93"/>
    <mergeCell ref="D94:E94"/>
    <mergeCell ref="D95:E95"/>
    <mergeCell ref="C96:C98"/>
    <mergeCell ref="D96:E96"/>
    <mergeCell ref="D97:E97"/>
    <mergeCell ref="D98:E98"/>
    <mergeCell ref="C117:C118"/>
    <mergeCell ref="C119:E119"/>
    <mergeCell ref="B121:E121"/>
    <mergeCell ref="B127:B129"/>
    <mergeCell ref="C127:E129"/>
    <mergeCell ref="F127:H127"/>
    <mergeCell ref="F107:J107"/>
    <mergeCell ref="K107:L107"/>
    <mergeCell ref="M107:N107"/>
    <mergeCell ref="C109:C116"/>
    <mergeCell ref="D109:D112"/>
    <mergeCell ref="D113:D116"/>
    <mergeCell ref="I127:T127"/>
    <mergeCell ref="U127:AF127"/>
    <mergeCell ref="AG127:AH127"/>
    <mergeCell ref="AI127:AJ127"/>
    <mergeCell ref="F128:F129"/>
    <mergeCell ref="G128:G129"/>
    <mergeCell ref="H128:H129"/>
    <mergeCell ref="I128:L128"/>
    <mergeCell ref="M128:P128"/>
    <mergeCell ref="Q128:T128"/>
    <mergeCell ref="AJ128:AJ129"/>
    <mergeCell ref="AH128:AH129"/>
    <mergeCell ref="AI128:AI129"/>
    <mergeCell ref="C130:E130"/>
    <mergeCell ref="C131:E131"/>
    <mergeCell ref="C132:E132"/>
    <mergeCell ref="C133:E133"/>
    <mergeCell ref="C134:E134"/>
    <mergeCell ref="U128:X128"/>
    <mergeCell ref="Y128:AB128"/>
    <mergeCell ref="AC128:AF128"/>
    <mergeCell ref="AG128:AG129"/>
    <mergeCell ref="B142:E142"/>
    <mergeCell ref="B144:E144"/>
    <mergeCell ref="B148:E149"/>
    <mergeCell ref="F148:I148"/>
    <mergeCell ref="J148:K148"/>
    <mergeCell ref="L148:M148"/>
    <mergeCell ref="C135:E135"/>
    <mergeCell ref="C136:E136"/>
    <mergeCell ref="C137:E137"/>
    <mergeCell ref="C138:E138"/>
    <mergeCell ref="C139:E139"/>
    <mergeCell ref="C140:E140"/>
    <mergeCell ref="B182:E182"/>
    <mergeCell ref="B190:E193"/>
    <mergeCell ref="F190:Q190"/>
    <mergeCell ref="F191:I191"/>
    <mergeCell ref="J191:M191"/>
    <mergeCell ref="N191:Q191"/>
    <mergeCell ref="F192:G192"/>
    <mergeCell ref="H192:I192"/>
    <mergeCell ref="J192:K192"/>
    <mergeCell ref="L192:M192"/>
    <mergeCell ref="B222:E225"/>
    <mergeCell ref="F222:Q222"/>
    <mergeCell ref="F223:I223"/>
    <mergeCell ref="J223:M223"/>
    <mergeCell ref="N223:Q223"/>
    <mergeCell ref="F224:G224"/>
    <mergeCell ref="H224:I224"/>
    <mergeCell ref="N192:O192"/>
    <mergeCell ref="P192:Q192"/>
    <mergeCell ref="B206:E209"/>
    <mergeCell ref="F206:Q206"/>
    <mergeCell ref="F207:I207"/>
    <mergeCell ref="J207:M207"/>
    <mergeCell ref="N207:Q207"/>
    <mergeCell ref="F208:G208"/>
    <mergeCell ref="H208:I208"/>
    <mergeCell ref="J208:K208"/>
    <mergeCell ref="J224:K224"/>
    <mergeCell ref="L224:M224"/>
    <mergeCell ref="N224:O224"/>
    <mergeCell ref="P224:Q224"/>
    <mergeCell ref="F246:I246"/>
    <mergeCell ref="J246:M246"/>
    <mergeCell ref="N246:Q246"/>
    <mergeCell ref="L208:M208"/>
    <mergeCell ref="N208:O208"/>
    <mergeCell ref="P208:Q208"/>
    <mergeCell ref="P255:Q255"/>
    <mergeCell ref="B269:E272"/>
    <mergeCell ref="F269:Q269"/>
    <mergeCell ref="F270:I270"/>
    <mergeCell ref="J270:M270"/>
    <mergeCell ref="N270:Q270"/>
    <mergeCell ref="F271:G271"/>
    <mergeCell ref="H271:I271"/>
    <mergeCell ref="J271:K271"/>
    <mergeCell ref="L271:M271"/>
    <mergeCell ref="B253:E256"/>
    <mergeCell ref="F253:Q253"/>
    <mergeCell ref="F254:I254"/>
    <mergeCell ref="J254:M254"/>
    <mergeCell ref="N254:Q254"/>
    <mergeCell ref="F255:G255"/>
    <mergeCell ref="H255:I255"/>
    <mergeCell ref="J255:K255"/>
    <mergeCell ref="L255:M255"/>
    <mergeCell ref="N255:O255"/>
    <mergeCell ref="N271:O271"/>
    <mergeCell ref="P271:Q271"/>
    <mergeCell ref="F286:AC286"/>
    <mergeCell ref="F287:H287"/>
    <mergeCell ref="I287:K287"/>
    <mergeCell ref="L287:N287"/>
    <mergeCell ref="O287:Q287"/>
    <mergeCell ref="U287:W287"/>
    <mergeCell ref="X287:Z287"/>
    <mergeCell ref="AA287:AC287"/>
    <mergeCell ref="B286:E288"/>
    <mergeCell ref="F301:AC301"/>
    <mergeCell ref="F302:H302"/>
    <mergeCell ref="I302:K302"/>
    <mergeCell ref="L302:N302"/>
    <mergeCell ref="O302:Q302"/>
    <mergeCell ref="U302:W302"/>
    <mergeCell ref="X302:Z302"/>
    <mergeCell ref="AA302:AC302"/>
    <mergeCell ref="B301:E303"/>
  </mergeCells>
  <conditionalFormatting sqref="F6:F8 F10:F31 F33 F35:F36 F131:F140 M6:M36 K6:K36 F93:P98">
    <cfRule type="cellIs" dxfId="1318" priority="513" stopIfTrue="1" operator="lessThan">
      <formula>0</formula>
    </cfRule>
  </conditionalFormatting>
  <conditionalFormatting sqref="F6:Q36">
    <cfRule type="cellIs" dxfId="1317" priority="523" stopIfTrue="1" operator="lessThan">
      <formula>0</formula>
    </cfRule>
  </conditionalFormatting>
  <conditionalFormatting sqref="F9 F32 F34">
    <cfRule type="cellIs" dxfId="1316" priority="521" stopIfTrue="1" operator="equal">
      <formula>"No"</formula>
    </cfRule>
    <cfRule type="cellIs" dxfId="1315" priority="522" stopIfTrue="1" operator="equal">
      <formula>"Yes"</formula>
    </cfRule>
  </conditionalFormatting>
  <conditionalFormatting sqref="G8">
    <cfRule type="cellIs" dxfId="1314" priority="520" stopIfTrue="1" operator="lessThan">
      <formula>0</formula>
    </cfRule>
  </conditionalFormatting>
  <conditionalFormatting sqref="F49:F60">
    <cfRule type="cellIs" dxfId="1313" priority="485" stopIfTrue="1" operator="lessThan">
      <formula>0</formula>
    </cfRule>
  </conditionalFormatting>
  <conditionalFormatting sqref="K49:L59">
    <cfRule type="cellIs" dxfId="1312" priority="483" stopIfTrue="1" operator="lessThan">
      <formula>0</formula>
    </cfRule>
  </conditionalFormatting>
  <conditionalFormatting sqref="I6:I8 I10:I31 I33 I35:I36">
    <cfRule type="cellIs" dxfId="1311" priority="519" stopIfTrue="1" operator="lessThan">
      <formula>0</formula>
    </cfRule>
  </conditionalFormatting>
  <conditionalFormatting sqref="K49:K59">
    <cfRule type="cellIs" dxfId="1310" priority="484" stopIfTrue="1" operator="lessThan">
      <formula>0</formula>
    </cfRule>
  </conditionalFormatting>
  <conditionalFormatting sqref="K6:K8 K10:K31 K33 K35:K36">
    <cfRule type="cellIs" dxfId="1309" priority="516" stopIfTrue="1" operator="lessThan">
      <formula>0</formula>
    </cfRule>
  </conditionalFormatting>
  <conditionalFormatting sqref="I49:I59">
    <cfRule type="cellIs" dxfId="1308" priority="489" stopIfTrue="1" operator="lessThan">
      <formula>0</formula>
    </cfRule>
  </conditionalFormatting>
  <conditionalFormatting sqref="I49:J59 J60">
    <cfRule type="cellIs" dxfId="1307" priority="488" stopIfTrue="1" operator="lessThan">
      <formula>0</formula>
    </cfRule>
  </conditionalFormatting>
  <conditionalFormatting sqref="I6:J36">
    <cfRule type="cellIs" dxfId="1306" priority="518" stopIfTrue="1" operator="lessThan">
      <formula>0</formula>
    </cfRule>
  </conditionalFormatting>
  <conditionalFormatting sqref="J8">
    <cfRule type="cellIs" dxfId="1305" priority="517" stopIfTrue="1" operator="lessThan">
      <formula>0</formula>
    </cfRule>
  </conditionalFormatting>
  <conditionalFormatting sqref="M38">
    <cfRule type="cellIs" dxfId="1304" priority="514" stopIfTrue="1" operator="lessThan">
      <formula>0</formula>
    </cfRule>
  </conditionalFormatting>
  <conditionalFormatting sqref="M8">
    <cfRule type="cellIs" dxfId="1303" priority="515" stopIfTrue="1" operator="lessThan">
      <formula>0</formula>
    </cfRule>
  </conditionalFormatting>
  <conditionalFormatting sqref="F109:J118">
    <cfRule type="cellIs" dxfId="1302" priority="479" stopIfTrue="1" operator="lessThan">
      <formula>0</formula>
    </cfRule>
  </conditionalFormatting>
  <conditionalFormatting sqref="F131:G140">
    <cfRule type="cellIs" dxfId="1301" priority="456" stopIfTrue="1" operator="lessThan">
      <formula>0</formula>
    </cfRule>
  </conditionalFormatting>
  <conditionalFormatting sqref="H9:Q9 H32:Q32 H34:Q34">
    <cfRule type="cellIs" dxfId="1300" priority="511" stopIfTrue="1" operator="equal">
      <formula>"No"</formula>
    </cfRule>
    <cfRule type="cellIs" dxfId="1299" priority="512" stopIfTrue="1" operator="equal">
      <formula>"Yes"</formula>
    </cfRule>
  </conditionalFormatting>
  <conditionalFormatting sqref="I8">
    <cfRule type="cellIs" dxfId="1298" priority="510" stopIfTrue="1" operator="lessThan">
      <formula>0</formula>
    </cfRule>
  </conditionalFormatting>
  <conditionalFormatting sqref="G8">
    <cfRule type="cellIs" dxfId="1297" priority="509" stopIfTrue="1" operator="lessThan">
      <formula>0</formula>
    </cfRule>
  </conditionalFormatting>
  <conditionalFormatting sqref="K6:K8 K10:K31 K33 K35:K36">
    <cfRule type="cellIs" dxfId="1296" priority="508" stopIfTrue="1" operator="lessThan">
      <formula>0</formula>
    </cfRule>
  </conditionalFormatting>
  <conditionalFormatting sqref="M38">
    <cfRule type="cellIs" dxfId="1295" priority="506" stopIfTrue="1" operator="lessThan">
      <formula>0</formula>
    </cfRule>
  </conditionalFormatting>
  <conditionalFormatting sqref="N6:N8 N10:N31 N33 N35:N36">
    <cfRule type="cellIs" dxfId="1294" priority="505" stopIfTrue="1" operator="lessThan">
      <formula>0</formula>
    </cfRule>
  </conditionalFormatting>
  <conditionalFormatting sqref="M8">
    <cfRule type="cellIs" dxfId="1293" priority="507" stopIfTrue="1" operator="lessThan">
      <formula>0</formula>
    </cfRule>
  </conditionalFormatting>
  <conditionalFormatting sqref="O38">
    <cfRule type="cellIs" dxfId="1292" priority="502" stopIfTrue="1" operator="lessThan">
      <formula>0</formula>
    </cfRule>
  </conditionalFormatting>
  <conditionalFormatting sqref="N6:O36">
    <cfRule type="cellIs" dxfId="1291" priority="504" stopIfTrue="1" operator="lessThan">
      <formula>0</formula>
    </cfRule>
  </conditionalFormatting>
  <conditionalFormatting sqref="O8">
    <cfRule type="cellIs" dxfId="1290" priority="503" stopIfTrue="1" operator="lessThan">
      <formula>0</formula>
    </cfRule>
  </conditionalFormatting>
  <conditionalFormatting sqref="F40">
    <cfRule type="cellIs" dxfId="1289" priority="501" stopIfTrue="1" operator="lessThan">
      <formula>0</formula>
    </cfRule>
  </conditionalFormatting>
  <conditionalFormatting sqref="F48:J48">
    <cfRule type="cellIs" dxfId="1288" priority="500" stopIfTrue="1" operator="lessThan">
      <formula>0</formula>
    </cfRule>
  </conditionalFormatting>
  <conditionalFormatting sqref="I48">
    <cfRule type="cellIs" dxfId="1287" priority="499" stopIfTrue="1" operator="lessThan">
      <formula>0</formula>
    </cfRule>
  </conditionalFormatting>
  <conditionalFormatting sqref="K48">
    <cfRule type="cellIs" dxfId="1286" priority="497" stopIfTrue="1" operator="lessThan">
      <formula>0</formula>
    </cfRule>
  </conditionalFormatting>
  <conditionalFormatting sqref="I48:J48">
    <cfRule type="cellIs" dxfId="1285" priority="498" stopIfTrue="1" operator="lessThan">
      <formula>0</formula>
    </cfRule>
  </conditionalFormatting>
  <conditionalFormatting sqref="K48:L48">
    <cfRule type="cellIs" dxfId="1284" priority="496" stopIfTrue="1" operator="lessThan">
      <formula>0</formula>
    </cfRule>
  </conditionalFormatting>
  <conditionalFormatting sqref="F48">
    <cfRule type="cellIs" dxfId="1283" priority="495" stopIfTrue="1" operator="lessThan">
      <formula>0</formula>
    </cfRule>
  </conditionalFormatting>
  <conditionalFormatting sqref="K48">
    <cfRule type="cellIs" dxfId="1282" priority="494" stopIfTrue="1" operator="lessThan">
      <formula>0</formula>
    </cfRule>
  </conditionalFormatting>
  <conditionalFormatting sqref="M48">
    <cfRule type="cellIs" dxfId="1281" priority="492" stopIfTrue="1" operator="lessThan">
      <formula>0</formula>
    </cfRule>
  </conditionalFormatting>
  <conditionalFormatting sqref="K48:L48">
    <cfRule type="cellIs" dxfId="1280" priority="493" stopIfTrue="1" operator="lessThan">
      <formula>0</formula>
    </cfRule>
  </conditionalFormatting>
  <conditionalFormatting sqref="M48:N48">
    <cfRule type="cellIs" dxfId="1279" priority="491" stopIfTrue="1" operator="lessThan">
      <formula>0</formula>
    </cfRule>
  </conditionalFormatting>
  <conditionalFormatting sqref="F49:J59 F60 H60 J60">
    <cfRule type="cellIs" dxfId="1278" priority="490" stopIfTrue="1" operator="lessThan">
      <formula>0</formula>
    </cfRule>
  </conditionalFormatting>
  <conditionalFormatting sqref="K49:K59">
    <cfRule type="cellIs" dxfId="1277" priority="487" stopIfTrue="1" operator="lessThan">
      <formula>0</formula>
    </cfRule>
  </conditionalFormatting>
  <conditionalFormatting sqref="K49:L59">
    <cfRule type="cellIs" dxfId="1276" priority="486" stopIfTrue="1" operator="lessThan">
      <formula>0</formula>
    </cfRule>
  </conditionalFormatting>
  <conditionalFormatting sqref="M49:M60">
    <cfRule type="cellIs" dxfId="1275" priority="482" stopIfTrue="1" operator="lessThan">
      <formula>0</formula>
    </cfRule>
  </conditionalFormatting>
  <conditionalFormatting sqref="M49:N59 M60">
    <cfRule type="cellIs" dxfId="1274" priority="481" stopIfTrue="1" operator="lessThan">
      <formula>0</formula>
    </cfRule>
  </conditionalFormatting>
  <conditionalFormatting sqref="H62">
    <cfRule type="cellIs" dxfId="1273" priority="480" stopIfTrue="1" operator="lessThan">
      <formula>0</formula>
    </cfRule>
  </conditionalFormatting>
  <conditionalFormatting sqref="F109:F118">
    <cfRule type="cellIs" dxfId="1272" priority="474" stopIfTrue="1" operator="lessThan">
      <formula>0</formula>
    </cfRule>
  </conditionalFormatting>
  <conditionalFormatting sqref="K109:L118">
    <cfRule type="cellIs" dxfId="1271" priority="472" stopIfTrue="1" operator="lessThan">
      <formula>0</formula>
    </cfRule>
  </conditionalFormatting>
  <conditionalFormatting sqref="K109:K118">
    <cfRule type="cellIs" dxfId="1270" priority="473" stopIfTrue="1" operator="lessThan">
      <formula>0</formula>
    </cfRule>
  </conditionalFormatting>
  <conditionalFormatting sqref="I109:I118">
    <cfRule type="cellIs" dxfId="1269" priority="478" stopIfTrue="1" operator="lessThan">
      <formula>0</formula>
    </cfRule>
  </conditionalFormatting>
  <conditionalFormatting sqref="I109:J118">
    <cfRule type="cellIs" dxfId="1268" priority="477" stopIfTrue="1" operator="lessThan">
      <formula>0</formula>
    </cfRule>
  </conditionalFormatting>
  <conditionalFormatting sqref="K109:K118">
    <cfRule type="cellIs" dxfId="1267" priority="476" stopIfTrue="1" operator="lessThan">
      <formula>0</formula>
    </cfRule>
  </conditionalFormatting>
  <conditionalFormatting sqref="K109:L118">
    <cfRule type="cellIs" dxfId="1266" priority="475" stopIfTrue="1" operator="lessThan">
      <formula>0</formula>
    </cfRule>
  </conditionalFormatting>
  <conditionalFormatting sqref="M109:M118">
    <cfRule type="cellIs" dxfId="1265" priority="471" stopIfTrue="1" operator="lessThan">
      <formula>0</formula>
    </cfRule>
  </conditionalFormatting>
  <conditionalFormatting sqref="M109:N118">
    <cfRule type="cellIs" dxfId="1264" priority="470" stopIfTrue="1" operator="lessThan">
      <formula>0</formula>
    </cfRule>
  </conditionalFormatting>
  <conditionalFormatting sqref="F119">
    <cfRule type="cellIs" dxfId="1263" priority="464" stopIfTrue="1" operator="lessThan">
      <formula>0</formula>
    </cfRule>
  </conditionalFormatting>
  <conditionalFormatting sqref="K119">
    <cfRule type="cellIs" dxfId="1262" priority="462" stopIfTrue="1" operator="lessThan">
      <formula>0</formula>
    </cfRule>
  </conditionalFormatting>
  <conditionalFormatting sqref="K119">
    <cfRule type="cellIs" dxfId="1261" priority="463" stopIfTrue="1" operator="lessThan">
      <formula>0</formula>
    </cfRule>
  </conditionalFormatting>
  <conditionalFormatting sqref="I119">
    <cfRule type="cellIs" dxfId="1260" priority="468" stopIfTrue="1" operator="lessThan">
      <formula>0</formula>
    </cfRule>
  </conditionalFormatting>
  <conditionalFormatting sqref="I119:J119">
    <cfRule type="cellIs" dxfId="1259" priority="467" stopIfTrue="1" operator="lessThan">
      <formula>0</formula>
    </cfRule>
  </conditionalFormatting>
  <conditionalFormatting sqref="F119 H119:J119">
    <cfRule type="cellIs" dxfId="1258" priority="469" stopIfTrue="1" operator="lessThan">
      <formula>0</formula>
    </cfRule>
  </conditionalFormatting>
  <conditionalFormatting sqref="K119">
    <cfRule type="cellIs" dxfId="1257" priority="466" stopIfTrue="1" operator="lessThan">
      <formula>0</formula>
    </cfRule>
  </conditionalFormatting>
  <conditionalFormatting sqref="K119">
    <cfRule type="cellIs" dxfId="1256" priority="465" stopIfTrue="1" operator="lessThan">
      <formula>0</formula>
    </cfRule>
  </conditionalFormatting>
  <conditionalFormatting sqref="M119">
    <cfRule type="cellIs" dxfId="1255" priority="461" stopIfTrue="1" operator="lessThan">
      <formula>0</formula>
    </cfRule>
  </conditionalFormatting>
  <conditionalFormatting sqref="M119">
    <cfRule type="cellIs" dxfId="1254" priority="460" stopIfTrue="1" operator="lessThan">
      <formula>0</formula>
    </cfRule>
  </conditionalFormatting>
  <conditionalFormatting sqref="F130">
    <cfRule type="cellIs" dxfId="1253" priority="457" stopIfTrue="1" operator="lessThan">
      <formula>0</formula>
    </cfRule>
  </conditionalFormatting>
  <conditionalFormatting sqref="F130:G130">
    <cfRule type="cellIs" dxfId="1252" priority="458" stopIfTrue="1" operator="lessThan">
      <formula>0</formula>
    </cfRule>
  </conditionalFormatting>
  <conditionalFormatting sqref="H121">
    <cfRule type="cellIs" dxfId="1251" priority="459" stopIfTrue="1" operator="lessThan">
      <formula>0</formula>
    </cfRule>
  </conditionalFormatting>
  <conditionalFormatting sqref="F142">
    <cfRule type="cellIs" dxfId="1250" priority="454" stopIfTrue="1" operator="lessThan">
      <formula>0</formula>
    </cfRule>
  </conditionalFormatting>
  <conditionalFormatting sqref="F150:I180">
    <cfRule type="cellIs" dxfId="1249" priority="453" stopIfTrue="1" operator="lessThan">
      <formula>0</formula>
    </cfRule>
  </conditionalFormatting>
  <conditionalFormatting sqref="G152">
    <cfRule type="cellIs" dxfId="1248" priority="450" stopIfTrue="1" operator="lessThan">
      <formula>0</formula>
    </cfRule>
  </conditionalFormatting>
  <conditionalFormatting sqref="H182">
    <cfRule type="cellIs" dxfId="1247" priority="449" stopIfTrue="1" operator="lessThan">
      <formula>0</formula>
    </cfRule>
  </conditionalFormatting>
  <conditionalFormatting sqref="F142">
    <cfRule type="cellIs" dxfId="1246" priority="455" stopIfTrue="1" operator="lessThan">
      <formula>0</formula>
    </cfRule>
  </conditionalFormatting>
  <conditionalFormatting sqref="F150:F152 F154:F175 F177 F179:F180">
    <cfRule type="cellIs" dxfId="1245" priority="441" stopIfTrue="1" operator="lessThan">
      <formula>0</formula>
    </cfRule>
  </conditionalFormatting>
  <conditionalFormatting sqref="F153 F176 F178">
    <cfRule type="cellIs" dxfId="1244" priority="451" stopIfTrue="1" operator="equal">
      <formula>"No"</formula>
    </cfRule>
    <cfRule type="cellIs" dxfId="1243" priority="452" stopIfTrue="1" operator="equal">
      <formula>"Yes"</formula>
    </cfRule>
  </conditionalFormatting>
  <conditionalFormatting sqref="F182">
    <cfRule type="cellIs" dxfId="1242" priority="436" stopIfTrue="1" operator="lessThan">
      <formula>0</formula>
    </cfRule>
  </conditionalFormatting>
  <conditionalFormatting sqref="I150:I152 I154:I175 I177 I179:I180">
    <cfRule type="cellIs" dxfId="1241" priority="448" stopIfTrue="1" operator="lessThan">
      <formula>0</formula>
    </cfRule>
  </conditionalFormatting>
  <conditionalFormatting sqref="F182">
    <cfRule type="cellIs" dxfId="1240" priority="446" stopIfTrue="1" operator="lessThan">
      <formula>0</formula>
    </cfRule>
  </conditionalFormatting>
  <conditionalFormatting sqref="J150:J152 J154:J175 J177 J179:J180">
    <cfRule type="cellIs" dxfId="1239" priority="445" stopIfTrue="1" operator="lessThan">
      <formula>0</formula>
    </cfRule>
  </conditionalFormatting>
  <conditionalFormatting sqref="I150:I180">
    <cfRule type="cellIs" dxfId="1238" priority="447" stopIfTrue="1" operator="lessThan">
      <formula>0</formula>
    </cfRule>
  </conditionalFormatting>
  <conditionalFormatting sqref="J182">
    <cfRule type="cellIs" dxfId="1237" priority="442" stopIfTrue="1" operator="lessThan">
      <formula>0</formula>
    </cfRule>
  </conditionalFormatting>
  <conditionalFormatting sqref="J150:K180">
    <cfRule type="cellIs" dxfId="1236" priority="444" stopIfTrue="1" operator="lessThan">
      <formula>0</formula>
    </cfRule>
  </conditionalFormatting>
  <conditionalFormatting sqref="K152">
    <cfRule type="cellIs" dxfId="1235" priority="443" stopIfTrue="1" operator="lessThan">
      <formula>0</formula>
    </cfRule>
  </conditionalFormatting>
  <conditionalFormatting sqref="H153 H176 H178">
    <cfRule type="cellIs" dxfId="1234" priority="439" stopIfTrue="1" operator="equal">
      <formula>"No"</formula>
    </cfRule>
    <cfRule type="cellIs" dxfId="1233" priority="440" stopIfTrue="1" operator="equal">
      <formula>"Yes"</formula>
    </cfRule>
  </conditionalFormatting>
  <conditionalFormatting sqref="I152">
    <cfRule type="cellIs" dxfId="1232" priority="438" stopIfTrue="1" operator="lessThan">
      <formula>0</formula>
    </cfRule>
  </conditionalFormatting>
  <conditionalFormatting sqref="G152">
    <cfRule type="cellIs" dxfId="1231" priority="437" stopIfTrue="1" operator="lessThan">
      <formula>0</formula>
    </cfRule>
  </conditionalFormatting>
  <conditionalFormatting sqref="J150:J152 J154:J175 J177 J179:J180">
    <cfRule type="cellIs" dxfId="1230" priority="435" stopIfTrue="1" operator="lessThan">
      <formula>0</formula>
    </cfRule>
  </conditionalFormatting>
  <conditionalFormatting sqref="J182">
    <cfRule type="cellIs" dxfId="1229" priority="432" stopIfTrue="1" operator="lessThan">
      <formula>0</formula>
    </cfRule>
  </conditionalFormatting>
  <conditionalFormatting sqref="L150:L152 L154:L175 L177 L179:L180">
    <cfRule type="cellIs" dxfId="1228" priority="431" stopIfTrue="1" operator="lessThan">
      <formula>0</formula>
    </cfRule>
  </conditionalFormatting>
  <conditionalFormatting sqref="J150:K180">
    <cfRule type="cellIs" dxfId="1227" priority="434" stopIfTrue="1" operator="lessThan">
      <formula>0</formula>
    </cfRule>
  </conditionalFormatting>
  <conditionalFormatting sqref="K152">
    <cfRule type="cellIs" dxfId="1226" priority="433" stopIfTrue="1" operator="lessThan">
      <formula>0</formula>
    </cfRule>
  </conditionalFormatting>
  <conditionalFormatting sqref="L182">
    <cfRule type="cellIs" dxfId="1225" priority="428" stopIfTrue="1" operator="lessThan">
      <formula>0</formula>
    </cfRule>
  </conditionalFormatting>
  <conditionalFormatting sqref="L150:M180">
    <cfRule type="cellIs" dxfId="1224" priority="430" stopIfTrue="1" operator="lessThan">
      <formula>0</formula>
    </cfRule>
  </conditionalFormatting>
  <conditionalFormatting sqref="M152">
    <cfRule type="cellIs" dxfId="1223" priority="429" stopIfTrue="1" operator="lessThan">
      <formula>0</formula>
    </cfRule>
  </conditionalFormatting>
  <conditionalFormatting sqref="F194:Q194">
    <cfRule type="cellIs" dxfId="1222" priority="427" stopIfTrue="1" operator="lessThan">
      <formula>0</formula>
    </cfRule>
  </conditionalFormatting>
  <conditionalFormatting sqref="F194 H194 J194 L194 N194 P194">
    <cfRule type="cellIs" dxfId="1221" priority="425" stopIfTrue="1" operator="equal">
      <formula>"No"</formula>
    </cfRule>
    <cfRule type="cellIs" dxfId="1220" priority="426" stopIfTrue="1" operator="equal">
      <formula>"Yes"</formula>
    </cfRule>
  </conditionalFormatting>
  <conditionalFormatting sqref="F195:Q202">
    <cfRule type="cellIs" dxfId="1219" priority="424" stopIfTrue="1" operator="lessThan">
      <formula>0</formula>
    </cfRule>
  </conditionalFormatting>
  <conditionalFormatting sqref="F195:F202 H195:H202 J195:J202 L195:L202 N195:N202 P195:P202">
    <cfRule type="cellIs" dxfId="1218" priority="422" stopIfTrue="1" operator="equal">
      <formula>"No"</formula>
    </cfRule>
    <cfRule type="cellIs" dxfId="1217" priority="423" stopIfTrue="1" operator="equal">
      <formula>"Yes"</formula>
    </cfRule>
  </conditionalFormatting>
  <conditionalFormatting sqref="I247 M247 Q247">
    <cfRule type="cellIs" dxfId="1216" priority="421" stopIfTrue="1" operator="lessThan">
      <formula>0</formula>
    </cfRule>
  </conditionalFormatting>
  <conditionalFormatting sqref="F289:H289">
    <cfRule type="cellIs" dxfId="1215" priority="420" stopIfTrue="1" operator="lessThan">
      <formula>0</formula>
    </cfRule>
  </conditionalFormatting>
  <conditionalFormatting sqref="F289 H289">
    <cfRule type="cellIs" dxfId="1214" priority="418" stopIfTrue="1" operator="equal">
      <formula>"No"</formula>
    </cfRule>
    <cfRule type="cellIs" dxfId="1213" priority="419" stopIfTrue="1" operator="equal">
      <formula>"Yes"</formula>
    </cfRule>
  </conditionalFormatting>
  <conditionalFormatting sqref="F227:F245 H227:H245 J227:J245 N227:N245 L227:L245 P227:P245">
    <cfRule type="cellIs" dxfId="1212" priority="403" stopIfTrue="1" operator="equal">
      <formula>"No"</formula>
    </cfRule>
    <cfRule type="cellIs" dxfId="1211" priority="404" stopIfTrue="1" operator="equal">
      <formula>"Yes"</formula>
    </cfRule>
  </conditionalFormatting>
  <conditionalFormatting sqref="F290:H297">
    <cfRule type="cellIs" dxfId="1210" priority="417" stopIfTrue="1" operator="lessThan">
      <formula>0</formula>
    </cfRule>
  </conditionalFormatting>
  <conditionalFormatting sqref="F290:F297 H290:H297">
    <cfRule type="cellIs" dxfId="1209" priority="415" stopIfTrue="1" operator="equal">
      <formula>"No"</formula>
    </cfRule>
    <cfRule type="cellIs" dxfId="1208" priority="416" stopIfTrue="1" operator="equal">
      <formula>"Yes"</formula>
    </cfRule>
  </conditionalFormatting>
  <conditionalFormatting sqref="F210:Q210">
    <cfRule type="cellIs" dxfId="1207" priority="414" stopIfTrue="1" operator="lessThan">
      <formula>0</formula>
    </cfRule>
  </conditionalFormatting>
  <conditionalFormatting sqref="F210 H210 J210 L210 N210 P210">
    <cfRule type="cellIs" dxfId="1206" priority="412" stopIfTrue="1" operator="equal">
      <formula>"No"</formula>
    </cfRule>
    <cfRule type="cellIs" dxfId="1205" priority="413" stopIfTrue="1" operator="equal">
      <formula>"Yes"</formula>
    </cfRule>
  </conditionalFormatting>
  <conditionalFormatting sqref="F211:Q218">
    <cfRule type="cellIs" dxfId="1204" priority="411" stopIfTrue="1" operator="lessThan">
      <formula>0</formula>
    </cfRule>
  </conditionalFormatting>
  <conditionalFormatting sqref="F211:F218 H211:H218 J211:J218 L211:L218 N211:N218 P211:P218">
    <cfRule type="cellIs" dxfId="1203" priority="409" stopIfTrue="1" operator="equal">
      <formula>"No"</formula>
    </cfRule>
    <cfRule type="cellIs" dxfId="1202" priority="410" stopIfTrue="1" operator="equal">
      <formula>"Yes"</formula>
    </cfRule>
  </conditionalFormatting>
  <conditionalFormatting sqref="F226:Q226">
    <cfRule type="cellIs" dxfId="1201" priority="408" stopIfTrue="1" operator="lessThan">
      <formula>0</formula>
    </cfRule>
  </conditionalFormatting>
  <conditionalFormatting sqref="F226 H226 J226 L226 N226 P226">
    <cfRule type="cellIs" dxfId="1200" priority="406" stopIfTrue="1" operator="equal">
      <formula>"No"</formula>
    </cfRule>
    <cfRule type="cellIs" dxfId="1199" priority="407" stopIfTrue="1" operator="equal">
      <formula>"Yes"</formula>
    </cfRule>
  </conditionalFormatting>
  <conditionalFormatting sqref="F227:Q245">
    <cfRule type="cellIs" dxfId="1198" priority="405" stopIfTrue="1" operator="lessThan">
      <formula>0</formula>
    </cfRule>
  </conditionalFormatting>
  <conditionalFormatting sqref="F274:F281 H274:H281 J274:J281 L274:L281 N274:N281 P274:P281">
    <cfRule type="cellIs" dxfId="1197" priority="391" stopIfTrue="1" operator="equal">
      <formula>"No"</formula>
    </cfRule>
    <cfRule type="cellIs" dxfId="1196" priority="392" stopIfTrue="1" operator="equal">
      <formula>"Yes"</formula>
    </cfRule>
  </conditionalFormatting>
  <conditionalFormatting sqref="F258:F265 H258:H265 J258:J265 L258:L265 N258:N265 P258:P265">
    <cfRule type="cellIs" dxfId="1195" priority="397" stopIfTrue="1" operator="equal">
      <formula>"No"</formula>
    </cfRule>
    <cfRule type="cellIs" dxfId="1194" priority="398" stopIfTrue="1" operator="equal">
      <formula>"Yes"</formula>
    </cfRule>
  </conditionalFormatting>
  <conditionalFormatting sqref="F257:Q257">
    <cfRule type="cellIs" dxfId="1193" priority="402" stopIfTrue="1" operator="lessThan">
      <formula>0</formula>
    </cfRule>
  </conditionalFormatting>
  <conditionalFormatting sqref="F257 H257 J257 L257 N257 P257">
    <cfRule type="cellIs" dxfId="1192" priority="400" stopIfTrue="1" operator="equal">
      <formula>"No"</formula>
    </cfRule>
    <cfRule type="cellIs" dxfId="1191" priority="401" stopIfTrue="1" operator="equal">
      <formula>"Yes"</formula>
    </cfRule>
  </conditionalFormatting>
  <conditionalFormatting sqref="F258:Q265">
    <cfRule type="cellIs" dxfId="1190" priority="399" stopIfTrue="1" operator="lessThan">
      <formula>0</formula>
    </cfRule>
  </conditionalFormatting>
  <conditionalFormatting sqref="F273:Q273">
    <cfRule type="cellIs" dxfId="1189" priority="396" stopIfTrue="1" operator="lessThan">
      <formula>0</formula>
    </cfRule>
  </conditionalFormatting>
  <conditionalFormatting sqref="F273 H273 J273 L273 N273 P273">
    <cfRule type="cellIs" dxfId="1188" priority="394" stopIfTrue="1" operator="equal">
      <formula>"No"</formula>
    </cfRule>
    <cfRule type="cellIs" dxfId="1187" priority="395" stopIfTrue="1" operator="equal">
      <formula>"Yes"</formula>
    </cfRule>
  </conditionalFormatting>
  <conditionalFormatting sqref="F274:Q281">
    <cfRule type="cellIs" dxfId="1186" priority="393" stopIfTrue="1" operator="lessThan">
      <formula>0</formula>
    </cfRule>
  </conditionalFormatting>
  <conditionalFormatting sqref="I289:K289">
    <cfRule type="cellIs" dxfId="1185" priority="390" stopIfTrue="1" operator="lessThan">
      <formula>0</formula>
    </cfRule>
  </conditionalFormatting>
  <conditionalFormatting sqref="I289 K289">
    <cfRule type="cellIs" dxfId="1184" priority="388" stopIfTrue="1" operator="equal">
      <formula>"No"</formula>
    </cfRule>
    <cfRule type="cellIs" dxfId="1183" priority="389" stopIfTrue="1" operator="equal">
      <formula>"Yes"</formula>
    </cfRule>
  </conditionalFormatting>
  <conditionalFormatting sqref="I290:K297">
    <cfRule type="cellIs" dxfId="1182" priority="387" stopIfTrue="1" operator="lessThan">
      <formula>0</formula>
    </cfRule>
  </conditionalFormatting>
  <conditionalFormatting sqref="I290:I297 K290:K297">
    <cfRule type="cellIs" dxfId="1181" priority="385" stopIfTrue="1" operator="equal">
      <formula>"No"</formula>
    </cfRule>
    <cfRule type="cellIs" dxfId="1180" priority="386" stopIfTrue="1" operator="equal">
      <formula>"Yes"</formula>
    </cfRule>
  </conditionalFormatting>
  <conditionalFormatting sqref="R289:T289">
    <cfRule type="cellIs" dxfId="1179" priority="384" stopIfTrue="1" operator="lessThan">
      <formula>0</formula>
    </cfRule>
  </conditionalFormatting>
  <conditionalFormatting sqref="R289 T289">
    <cfRule type="cellIs" dxfId="1178" priority="382" stopIfTrue="1" operator="equal">
      <formula>"No"</formula>
    </cfRule>
    <cfRule type="cellIs" dxfId="1177" priority="383" stopIfTrue="1" operator="equal">
      <formula>"Yes"</formula>
    </cfRule>
  </conditionalFormatting>
  <conditionalFormatting sqref="R290:T297">
    <cfRule type="cellIs" dxfId="1176" priority="381" stopIfTrue="1" operator="lessThan">
      <formula>0</formula>
    </cfRule>
  </conditionalFormatting>
  <conditionalFormatting sqref="R290:R297 T290:T297">
    <cfRule type="cellIs" dxfId="1175" priority="379" stopIfTrue="1" operator="equal">
      <formula>"No"</formula>
    </cfRule>
    <cfRule type="cellIs" dxfId="1174" priority="380" stopIfTrue="1" operator="equal">
      <formula>"Yes"</formula>
    </cfRule>
  </conditionalFormatting>
  <conditionalFormatting sqref="U289:W289">
    <cfRule type="cellIs" dxfId="1173" priority="378" stopIfTrue="1" operator="lessThan">
      <formula>0</formula>
    </cfRule>
  </conditionalFormatting>
  <conditionalFormatting sqref="U289 W289">
    <cfRule type="cellIs" dxfId="1172" priority="376" stopIfTrue="1" operator="equal">
      <formula>"No"</formula>
    </cfRule>
    <cfRule type="cellIs" dxfId="1171" priority="377" stopIfTrue="1" operator="equal">
      <formula>"Yes"</formula>
    </cfRule>
  </conditionalFormatting>
  <conditionalFormatting sqref="U290:W297">
    <cfRule type="cellIs" dxfId="1170" priority="375" stopIfTrue="1" operator="lessThan">
      <formula>0</formula>
    </cfRule>
  </conditionalFormatting>
  <conditionalFormatting sqref="U290:U297 W290:W297">
    <cfRule type="cellIs" dxfId="1169" priority="373" stopIfTrue="1" operator="equal">
      <formula>"No"</formula>
    </cfRule>
    <cfRule type="cellIs" dxfId="1168" priority="374" stopIfTrue="1" operator="equal">
      <formula>"Yes"</formula>
    </cfRule>
  </conditionalFormatting>
  <conditionalFormatting sqref="X289:Z289">
    <cfRule type="cellIs" dxfId="1167" priority="372" stopIfTrue="1" operator="lessThan">
      <formula>0</formula>
    </cfRule>
  </conditionalFormatting>
  <conditionalFormatting sqref="X289 Z289">
    <cfRule type="cellIs" dxfId="1166" priority="370" stopIfTrue="1" operator="equal">
      <formula>"No"</formula>
    </cfRule>
    <cfRule type="cellIs" dxfId="1165" priority="371" stopIfTrue="1" operator="equal">
      <formula>"Yes"</formula>
    </cfRule>
  </conditionalFormatting>
  <conditionalFormatting sqref="X290:Z297">
    <cfRule type="cellIs" dxfId="1164" priority="369" stopIfTrue="1" operator="lessThan">
      <formula>0</formula>
    </cfRule>
  </conditionalFormatting>
  <conditionalFormatting sqref="X290:X297 Z290:Z297">
    <cfRule type="cellIs" dxfId="1163" priority="367" stopIfTrue="1" operator="equal">
      <formula>"No"</formula>
    </cfRule>
    <cfRule type="cellIs" dxfId="1162" priority="368" stopIfTrue="1" operator="equal">
      <formula>"Yes"</formula>
    </cfRule>
  </conditionalFormatting>
  <conditionalFormatting sqref="AA289:AC289">
    <cfRule type="cellIs" dxfId="1161" priority="366" stopIfTrue="1" operator="lessThan">
      <formula>0</formula>
    </cfRule>
  </conditionalFormatting>
  <conditionalFormatting sqref="AA289 AC289">
    <cfRule type="cellIs" dxfId="1160" priority="364" stopIfTrue="1" operator="equal">
      <formula>"No"</formula>
    </cfRule>
    <cfRule type="cellIs" dxfId="1159" priority="365" stopIfTrue="1" operator="equal">
      <formula>"Yes"</formula>
    </cfRule>
  </conditionalFormatting>
  <conditionalFormatting sqref="AA290:AC297">
    <cfRule type="cellIs" dxfId="1158" priority="363" stopIfTrue="1" operator="lessThan">
      <formula>0</formula>
    </cfRule>
  </conditionalFormatting>
  <conditionalFormatting sqref="AA290:AA297 AC290:AC297">
    <cfRule type="cellIs" dxfId="1157" priority="361" stopIfTrue="1" operator="equal">
      <formula>"No"</formula>
    </cfRule>
    <cfRule type="cellIs" dxfId="1156" priority="362" stopIfTrue="1" operator="equal">
      <formula>"Yes"</formula>
    </cfRule>
  </conditionalFormatting>
  <conditionalFormatting sqref="F304:H304">
    <cfRule type="cellIs" dxfId="1155" priority="360" stopIfTrue="1" operator="lessThan">
      <formula>0</formula>
    </cfRule>
  </conditionalFormatting>
  <conditionalFormatting sqref="F304 H304">
    <cfRule type="cellIs" dxfId="1154" priority="358" stopIfTrue="1" operator="equal">
      <formula>"No"</formula>
    </cfRule>
    <cfRule type="cellIs" dxfId="1153" priority="359" stopIfTrue="1" operator="equal">
      <formula>"Yes"</formula>
    </cfRule>
  </conditionalFormatting>
  <conditionalFormatting sqref="F305:H312">
    <cfRule type="cellIs" dxfId="1152" priority="357" stopIfTrue="1" operator="lessThan">
      <formula>0</formula>
    </cfRule>
  </conditionalFormatting>
  <conditionalFormatting sqref="F305:F312 H305:H312">
    <cfRule type="cellIs" dxfId="1151" priority="355" stopIfTrue="1" operator="equal">
      <formula>"No"</formula>
    </cfRule>
    <cfRule type="cellIs" dxfId="1150" priority="356" stopIfTrue="1" operator="equal">
      <formula>"Yes"</formula>
    </cfRule>
  </conditionalFormatting>
  <conditionalFormatting sqref="I304:K304">
    <cfRule type="cellIs" dxfId="1149" priority="354" stopIfTrue="1" operator="lessThan">
      <formula>0</formula>
    </cfRule>
  </conditionalFormatting>
  <conditionalFormatting sqref="I304 K304">
    <cfRule type="cellIs" dxfId="1148" priority="352" stopIfTrue="1" operator="equal">
      <formula>"No"</formula>
    </cfRule>
    <cfRule type="cellIs" dxfId="1147" priority="353" stopIfTrue="1" operator="equal">
      <formula>"Yes"</formula>
    </cfRule>
  </conditionalFormatting>
  <conditionalFormatting sqref="I305:K312">
    <cfRule type="cellIs" dxfId="1146" priority="351" stopIfTrue="1" operator="lessThan">
      <formula>0</formula>
    </cfRule>
  </conditionalFormatting>
  <conditionalFormatting sqref="I305:I312 K305:K312">
    <cfRule type="cellIs" dxfId="1145" priority="349" stopIfTrue="1" operator="equal">
      <formula>"No"</formula>
    </cfRule>
    <cfRule type="cellIs" dxfId="1144" priority="350" stopIfTrue="1" operator="equal">
      <formula>"Yes"</formula>
    </cfRule>
  </conditionalFormatting>
  <conditionalFormatting sqref="R304:T304">
    <cfRule type="cellIs" dxfId="1143" priority="348" stopIfTrue="1" operator="lessThan">
      <formula>0</formula>
    </cfRule>
  </conditionalFormatting>
  <conditionalFormatting sqref="R304 T304">
    <cfRule type="cellIs" dxfId="1142" priority="346" stopIfTrue="1" operator="equal">
      <formula>"No"</formula>
    </cfRule>
    <cfRule type="cellIs" dxfId="1141" priority="347" stopIfTrue="1" operator="equal">
      <formula>"Yes"</formula>
    </cfRule>
  </conditionalFormatting>
  <conditionalFormatting sqref="R305:T312">
    <cfRule type="cellIs" dxfId="1140" priority="345" stopIfTrue="1" operator="lessThan">
      <formula>0</formula>
    </cfRule>
  </conditionalFormatting>
  <conditionalFormatting sqref="R305:R312 T305:T312">
    <cfRule type="cellIs" dxfId="1139" priority="343" stopIfTrue="1" operator="equal">
      <formula>"No"</formula>
    </cfRule>
    <cfRule type="cellIs" dxfId="1138" priority="344" stopIfTrue="1" operator="equal">
      <formula>"Yes"</formula>
    </cfRule>
  </conditionalFormatting>
  <conditionalFormatting sqref="U304:W304">
    <cfRule type="cellIs" dxfId="1137" priority="342" stopIfTrue="1" operator="lessThan">
      <formula>0</formula>
    </cfRule>
  </conditionalFormatting>
  <conditionalFormatting sqref="U304 W304">
    <cfRule type="cellIs" dxfId="1136" priority="340" stopIfTrue="1" operator="equal">
      <formula>"No"</formula>
    </cfRule>
    <cfRule type="cellIs" dxfId="1135" priority="341" stopIfTrue="1" operator="equal">
      <formula>"Yes"</formula>
    </cfRule>
  </conditionalFormatting>
  <conditionalFormatting sqref="U305:W312">
    <cfRule type="cellIs" dxfId="1134" priority="339" stopIfTrue="1" operator="lessThan">
      <formula>0</formula>
    </cfRule>
  </conditionalFormatting>
  <conditionalFormatting sqref="U305:U312 W305:W312">
    <cfRule type="cellIs" dxfId="1133" priority="337" stopIfTrue="1" operator="equal">
      <formula>"No"</formula>
    </cfRule>
    <cfRule type="cellIs" dxfId="1132" priority="338" stopIfTrue="1" operator="equal">
      <formula>"Yes"</formula>
    </cfRule>
  </conditionalFormatting>
  <conditionalFormatting sqref="X304:Z304">
    <cfRule type="cellIs" dxfId="1131" priority="336" stopIfTrue="1" operator="lessThan">
      <formula>0</formula>
    </cfRule>
  </conditionalFormatting>
  <conditionalFormatting sqref="X304 Z304">
    <cfRule type="cellIs" dxfId="1130" priority="334" stopIfTrue="1" operator="equal">
      <formula>"No"</formula>
    </cfRule>
    <cfRule type="cellIs" dxfId="1129" priority="335" stopIfTrue="1" operator="equal">
      <formula>"Yes"</formula>
    </cfRule>
  </conditionalFormatting>
  <conditionalFormatting sqref="X305:Z312">
    <cfRule type="cellIs" dxfId="1128" priority="333" stopIfTrue="1" operator="lessThan">
      <formula>0</formula>
    </cfRule>
  </conditionalFormatting>
  <conditionalFormatting sqref="X305:X312 Z305:Z312">
    <cfRule type="cellIs" dxfId="1127" priority="331" stopIfTrue="1" operator="equal">
      <formula>"No"</formula>
    </cfRule>
    <cfRule type="cellIs" dxfId="1126" priority="332" stopIfTrue="1" operator="equal">
      <formula>"Yes"</formula>
    </cfRule>
  </conditionalFormatting>
  <conditionalFormatting sqref="AA304:AC304">
    <cfRule type="cellIs" dxfId="1125" priority="330" stopIfTrue="1" operator="lessThan">
      <formula>0</formula>
    </cfRule>
  </conditionalFormatting>
  <conditionalFormatting sqref="AA304 AC304">
    <cfRule type="cellIs" dxfId="1124" priority="328" stopIfTrue="1" operator="equal">
      <formula>"No"</formula>
    </cfRule>
    <cfRule type="cellIs" dxfId="1123" priority="329" stopIfTrue="1" operator="equal">
      <formula>"Yes"</formula>
    </cfRule>
  </conditionalFormatting>
  <conditionalFormatting sqref="AA305:AC312">
    <cfRule type="cellIs" dxfId="1122" priority="327" stopIfTrue="1" operator="lessThan">
      <formula>0</formula>
    </cfRule>
  </conditionalFormatting>
  <conditionalFormatting sqref="AA305:AA312 AC305:AC312">
    <cfRule type="cellIs" dxfId="1121" priority="325" stopIfTrue="1" operator="equal">
      <formula>"No"</formula>
    </cfRule>
    <cfRule type="cellIs" dxfId="1120" priority="326" stopIfTrue="1" operator="equal">
      <formula>"Yes"</formula>
    </cfRule>
  </conditionalFormatting>
  <conditionalFormatting sqref="L289:N289">
    <cfRule type="cellIs" dxfId="1119" priority="324" stopIfTrue="1" operator="lessThan">
      <formula>0</formula>
    </cfRule>
  </conditionalFormatting>
  <conditionalFormatting sqref="L289 N289">
    <cfRule type="cellIs" dxfId="1118" priority="322" stopIfTrue="1" operator="equal">
      <formula>"No"</formula>
    </cfRule>
    <cfRule type="cellIs" dxfId="1117" priority="323" stopIfTrue="1" operator="equal">
      <formula>"Yes"</formula>
    </cfRule>
  </conditionalFormatting>
  <conditionalFormatting sqref="L290:N297">
    <cfRule type="cellIs" dxfId="1116" priority="321" stopIfTrue="1" operator="lessThan">
      <formula>0</formula>
    </cfRule>
  </conditionalFormatting>
  <conditionalFormatting sqref="L290:L297 N290:N297">
    <cfRule type="cellIs" dxfId="1115" priority="319" stopIfTrue="1" operator="equal">
      <formula>"No"</formula>
    </cfRule>
    <cfRule type="cellIs" dxfId="1114" priority="320" stopIfTrue="1" operator="equal">
      <formula>"Yes"</formula>
    </cfRule>
  </conditionalFormatting>
  <conditionalFormatting sqref="O289:Q289">
    <cfRule type="cellIs" dxfId="1113" priority="318" stopIfTrue="1" operator="lessThan">
      <formula>0</formula>
    </cfRule>
  </conditionalFormatting>
  <conditionalFormatting sqref="O289 Q289">
    <cfRule type="cellIs" dxfId="1112" priority="316" stopIfTrue="1" operator="equal">
      <formula>"No"</formula>
    </cfRule>
    <cfRule type="cellIs" dxfId="1111" priority="317" stopIfTrue="1" operator="equal">
      <formula>"Yes"</formula>
    </cfRule>
  </conditionalFormatting>
  <conditionalFormatting sqref="O290:Q297">
    <cfRule type="cellIs" dxfId="1110" priority="315" stopIfTrue="1" operator="lessThan">
      <formula>0</formula>
    </cfRule>
  </conditionalFormatting>
  <conditionalFormatting sqref="O290:O297 Q290:Q297">
    <cfRule type="cellIs" dxfId="1109" priority="313" stopIfTrue="1" operator="equal">
      <formula>"No"</formula>
    </cfRule>
    <cfRule type="cellIs" dxfId="1108" priority="314" stopIfTrue="1" operator="equal">
      <formula>"Yes"</formula>
    </cfRule>
  </conditionalFormatting>
  <conditionalFormatting sqref="L304:N304">
    <cfRule type="cellIs" dxfId="1107" priority="312" stopIfTrue="1" operator="lessThan">
      <formula>0</formula>
    </cfRule>
  </conditionalFormatting>
  <conditionalFormatting sqref="L304 N304">
    <cfRule type="cellIs" dxfId="1106" priority="310" stopIfTrue="1" operator="equal">
      <formula>"No"</formula>
    </cfRule>
    <cfRule type="cellIs" dxfId="1105" priority="311" stopIfTrue="1" operator="equal">
      <formula>"Yes"</formula>
    </cfRule>
  </conditionalFormatting>
  <conditionalFormatting sqref="L305:N312">
    <cfRule type="cellIs" dxfId="1104" priority="309" stopIfTrue="1" operator="lessThan">
      <formula>0</formula>
    </cfRule>
  </conditionalFormatting>
  <conditionalFormatting sqref="L305:L312 N305:N312">
    <cfRule type="cellIs" dxfId="1103" priority="307" stopIfTrue="1" operator="equal">
      <formula>"No"</formula>
    </cfRule>
    <cfRule type="cellIs" dxfId="1102" priority="308" stopIfTrue="1" operator="equal">
      <formula>"Yes"</formula>
    </cfRule>
  </conditionalFormatting>
  <conditionalFormatting sqref="O304:Q304">
    <cfRule type="cellIs" dxfId="1101" priority="306" stopIfTrue="1" operator="lessThan">
      <formula>0</formula>
    </cfRule>
  </conditionalFormatting>
  <conditionalFormatting sqref="O304 Q304">
    <cfRule type="cellIs" dxfId="1100" priority="304" stopIfTrue="1" operator="equal">
      <formula>"No"</formula>
    </cfRule>
    <cfRule type="cellIs" dxfId="1099" priority="305" stopIfTrue="1" operator="equal">
      <formula>"Yes"</formula>
    </cfRule>
  </conditionalFormatting>
  <conditionalFormatting sqref="O305:Q312">
    <cfRule type="cellIs" dxfId="1098" priority="303" stopIfTrue="1" operator="lessThan">
      <formula>0</formula>
    </cfRule>
  </conditionalFormatting>
  <conditionalFormatting sqref="O305:O312 Q305:Q312">
    <cfRule type="cellIs" dxfId="1097" priority="301" stopIfTrue="1" operator="equal">
      <formula>"No"</formula>
    </cfRule>
    <cfRule type="cellIs" dxfId="1096" priority="302" stopIfTrue="1" operator="equal">
      <formula>"Yes"</formula>
    </cfRule>
  </conditionalFormatting>
  <conditionalFormatting sqref="F64">
    <cfRule type="cellIs" dxfId="1095" priority="292" stopIfTrue="1" operator="lessThan">
      <formula>0</formula>
    </cfRule>
  </conditionalFormatting>
  <conditionalFormatting sqref="F103">
    <cfRule type="cellIs" dxfId="1094" priority="291" stopIfTrue="1" operator="lessThan">
      <formula>0</formula>
    </cfRule>
  </conditionalFormatting>
  <conditionalFormatting sqref="F123">
    <cfRule type="cellIs" dxfId="1093" priority="290" stopIfTrue="1" operator="lessThan">
      <formula>0</formula>
    </cfRule>
  </conditionalFormatting>
  <conditionalFormatting sqref="F144">
    <cfRule type="cellIs" dxfId="1092" priority="289" stopIfTrue="1" operator="lessThan">
      <formula>0</formula>
    </cfRule>
  </conditionalFormatting>
  <conditionalFormatting sqref="F184">
    <cfRule type="cellIs" dxfId="1091" priority="288" stopIfTrue="1" operator="lessThan">
      <formula>0</formula>
    </cfRule>
  </conditionalFormatting>
  <conditionalFormatting sqref="I249">
    <cfRule type="cellIs" dxfId="1090" priority="287" stopIfTrue="1" operator="lessThan">
      <formula>0</formula>
    </cfRule>
  </conditionalFormatting>
  <conditionalFormatting sqref="H6:Q8 H10:Q31 H33:Q33 H35:Q36">
    <cfRule type="cellIs" dxfId="1089" priority="285" stopIfTrue="1" operator="lessThan">
      <formula>0</formula>
    </cfRule>
  </conditionalFormatting>
  <conditionalFormatting sqref="H6:Q36">
    <cfRule type="cellIs" dxfId="1088" priority="284" stopIfTrue="1" operator="lessThan">
      <formula>0</formula>
    </cfRule>
  </conditionalFormatting>
  <conditionalFormatting sqref="I8">
    <cfRule type="cellIs" dxfId="1087" priority="283" stopIfTrue="1" operator="lessThan">
      <formula>0</formula>
    </cfRule>
  </conditionalFormatting>
  <conditionalFormatting sqref="H6:Q8 H10:Q31 H33:Q33 H35:Q36">
    <cfRule type="cellIs" dxfId="1086" priority="282" stopIfTrue="1" operator="lessThan">
      <formula>0</formula>
    </cfRule>
  </conditionalFormatting>
  <conditionalFormatting sqref="J6:J8 J10:J31 J33 J35:J36">
    <cfRule type="cellIs" dxfId="1085" priority="279" stopIfTrue="1" operator="lessThan">
      <formula>0</formula>
    </cfRule>
  </conditionalFormatting>
  <conditionalFormatting sqref="H6:Q36">
    <cfRule type="cellIs" dxfId="1084" priority="281" stopIfTrue="1" operator="lessThan">
      <formula>0</formula>
    </cfRule>
  </conditionalFormatting>
  <conditionalFormatting sqref="I8">
    <cfRule type="cellIs" dxfId="1083" priority="280" stopIfTrue="1" operator="lessThan">
      <formula>0</formula>
    </cfRule>
  </conditionalFormatting>
  <conditionalFormatting sqref="J6:K36">
    <cfRule type="cellIs" dxfId="1082" priority="278" stopIfTrue="1" operator="lessThan">
      <formula>0</formula>
    </cfRule>
  </conditionalFormatting>
  <conditionalFormatting sqref="K8">
    <cfRule type="cellIs" dxfId="1081" priority="277" stopIfTrue="1" operator="lessThan">
      <formula>0</formula>
    </cfRule>
  </conditionalFormatting>
  <conditionalFormatting sqref="M49:N59 M60">
    <cfRule type="cellIs" dxfId="1080" priority="267" stopIfTrue="1" operator="lessThan">
      <formula>0</formula>
    </cfRule>
  </conditionalFormatting>
  <conditionalFormatting sqref="M49:M60">
    <cfRule type="cellIs" dxfId="1079" priority="268" stopIfTrue="1" operator="lessThan">
      <formula>0</formula>
    </cfRule>
  </conditionalFormatting>
  <conditionalFormatting sqref="M48">
    <cfRule type="cellIs" dxfId="1078" priority="276" stopIfTrue="1" operator="lessThan">
      <formula>0</formula>
    </cfRule>
  </conditionalFormatting>
  <conditionalFormatting sqref="M48:N48">
    <cfRule type="cellIs" dxfId="1077" priority="275" stopIfTrue="1" operator="lessThan">
      <formula>0</formula>
    </cfRule>
  </conditionalFormatting>
  <conditionalFormatting sqref="M48">
    <cfRule type="cellIs" dxfId="1076" priority="274" stopIfTrue="1" operator="lessThan">
      <formula>0</formula>
    </cfRule>
  </conditionalFormatting>
  <conditionalFormatting sqref="O48">
    <cfRule type="cellIs" dxfId="1075" priority="272" stopIfTrue="1" operator="lessThan">
      <formula>0</formula>
    </cfRule>
  </conditionalFormatting>
  <conditionalFormatting sqref="M48:N48">
    <cfRule type="cellIs" dxfId="1074" priority="273" stopIfTrue="1" operator="lessThan">
      <formula>0</formula>
    </cfRule>
  </conditionalFormatting>
  <conditionalFormatting sqref="O48:P48">
    <cfRule type="cellIs" dxfId="1073" priority="271" stopIfTrue="1" operator="lessThan">
      <formula>0</formula>
    </cfRule>
  </conditionalFormatting>
  <conditionalFormatting sqref="M49:M60">
    <cfRule type="cellIs" dxfId="1072" priority="270" stopIfTrue="1" operator="lessThan">
      <formula>0</formula>
    </cfRule>
  </conditionalFormatting>
  <conditionalFormatting sqref="M49:N59 M60">
    <cfRule type="cellIs" dxfId="1071" priority="269" stopIfTrue="1" operator="lessThan">
      <formula>0</formula>
    </cfRule>
  </conditionalFormatting>
  <conditionalFormatting sqref="O49:O60">
    <cfRule type="cellIs" dxfId="1070" priority="266" stopIfTrue="1" operator="lessThan">
      <formula>0</formula>
    </cfRule>
  </conditionalFormatting>
  <conditionalFormatting sqref="O49:P59 O60">
    <cfRule type="cellIs" dxfId="1069" priority="265" stopIfTrue="1" operator="lessThan">
      <formula>0</formula>
    </cfRule>
  </conditionalFormatting>
  <conditionalFormatting sqref="R6:R8 R10:R31 R33 R35:R36">
    <cfRule type="cellIs" dxfId="1068" priority="256" stopIfTrue="1" operator="lessThan">
      <formula>0</formula>
    </cfRule>
  </conditionalFormatting>
  <conditionalFormatting sqref="R6:R36">
    <cfRule type="cellIs" dxfId="1067" priority="255" stopIfTrue="1" operator="lessThan">
      <formula>0</formula>
    </cfRule>
  </conditionalFormatting>
  <conditionalFormatting sqref="K121">
    <cfRule type="cellIs" dxfId="1066" priority="221" stopIfTrue="1" operator="lessThan">
      <formula>0</formula>
    </cfRule>
  </conditionalFormatting>
  <conditionalFormatting sqref="M121">
    <cfRule type="cellIs" dxfId="1065" priority="219" stopIfTrue="1" operator="lessThan">
      <formula>0</formula>
    </cfRule>
  </conditionalFormatting>
  <conditionalFormatting sqref="AG130:AH130">
    <cfRule type="cellIs" dxfId="1064" priority="214" stopIfTrue="1" operator="lessThan">
      <formula>0</formula>
    </cfRule>
  </conditionalFormatting>
  <conditionalFormatting sqref="AI130">
    <cfRule type="cellIs" dxfId="1063" priority="213" stopIfTrue="1" operator="lessThan">
      <formula>0</formula>
    </cfRule>
  </conditionalFormatting>
  <conditionalFormatting sqref="F38">
    <cfRule type="cellIs" dxfId="1062" priority="263" stopIfTrue="1" operator="lessThan">
      <formula>0</formula>
    </cfRule>
  </conditionalFormatting>
  <conditionalFormatting sqref="F38">
    <cfRule type="cellIs" dxfId="1061" priority="264" stopIfTrue="1" operator="lessThan">
      <formula>0</formula>
    </cfRule>
  </conditionalFormatting>
  <conditionalFormatting sqref="G38:R38">
    <cfRule type="cellIs" dxfId="1060" priority="262" stopIfTrue="1" operator="lessThan">
      <formula>0</formula>
    </cfRule>
  </conditionalFormatting>
  <conditionalFormatting sqref="AG131:AH139 AG140">
    <cfRule type="cellIs" dxfId="1059" priority="210" stopIfTrue="1" operator="lessThan">
      <formula>0</formula>
    </cfRule>
  </conditionalFormatting>
  <conditionalFormatting sqref="R6:R36">
    <cfRule type="cellIs" dxfId="1058" priority="261" stopIfTrue="1" operator="lessThan">
      <formula>0</formula>
    </cfRule>
  </conditionalFormatting>
  <conditionalFormatting sqref="AG130">
    <cfRule type="cellIs" dxfId="1057" priority="215" stopIfTrue="1" operator="lessThan">
      <formula>0</formula>
    </cfRule>
  </conditionalFormatting>
  <conditionalFormatting sqref="AI130:AJ130">
    <cfRule type="cellIs" dxfId="1056" priority="212" stopIfTrue="1" operator="lessThan">
      <formula>0</formula>
    </cfRule>
  </conditionalFormatting>
  <conditionalFormatting sqref="AG131:AH139 AG140">
    <cfRule type="cellIs" dxfId="1055" priority="211" stopIfTrue="1" operator="lessThan">
      <formula>0</formula>
    </cfRule>
  </conditionalFormatting>
  <conditionalFormatting sqref="R9 R32 R34">
    <cfRule type="cellIs" dxfId="1054" priority="259" stopIfTrue="1" operator="equal">
      <formula>"No"</formula>
    </cfRule>
    <cfRule type="cellIs" dxfId="1053" priority="260" stopIfTrue="1" operator="equal">
      <formula>"Yes"</formula>
    </cfRule>
  </conditionalFormatting>
  <conditionalFormatting sqref="M130:P140">
    <cfRule type="cellIs" dxfId="1052" priority="207" stopIfTrue="1" operator="lessThan">
      <formula>0</formula>
    </cfRule>
  </conditionalFormatting>
  <conditionalFormatting sqref="Q130:T140">
    <cfRule type="cellIs" dxfId="1051" priority="206" stopIfTrue="1" operator="lessThan">
      <formula>0</formula>
    </cfRule>
  </conditionalFormatting>
  <conditionalFormatting sqref="Y130:AB140">
    <cfRule type="cellIs" dxfId="1050" priority="204" stopIfTrue="1" operator="lessThan">
      <formula>0</formula>
    </cfRule>
  </conditionalFormatting>
  <conditionalFormatting sqref="U130:X140">
    <cfRule type="cellIs" dxfId="1049" priority="205" stopIfTrue="1" operator="lessThan">
      <formula>0</formula>
    </cfRule>
  </conditionalFormatting>
  <conditionalFormatting sqref="AC130:AF140">
    <cfRule type="cellIs" dxfId="1048" priority="203" stopIfTrue="1" operator="lessThan">
      <formula>0</formula>
    </cfRule>
  </conditionalFormatting>
  <conditionalFormatting sqref="H130">
    <cfRule type="cellIs" dxfId="1047" priority="202" stopIfTrue="1" operator="lessThan">
      <formula>0</formula>
    </cfRule>
  </conditionalFormatting>
  <conditionalFormatting sqref="R6:R8 R10:R31 R33 R35:R36">
    <cfRule type="cellIs" dxfId="1046" priority="258" stopIfTrue="1" operator="lessThan">
      <formula>0</formula>
    </cfRule>
  </conditionalFormatting>
  <conditionalFormatting sqref="R6:R36">
    <cfRule type="cellIs" dxfId="1045" priority="257" stopIfTrue="1" operator="lessThan">
      <formula>0</formula>
    </cfRule>
  </conditionalFormatting>
  <conditionalFormatting sqref="AG142">
    <cfRule type="cellIs" dxfId="1044" priority="199" stopIfTrue="1" operator="lessThan">
      <formula>0</formula>
    </cfRule>
  </conditionalFormatting>
  <conditionalFormatting sqref="AG130">
    <cfRule type="cellIs" dxfId="1043" priority="217" stopIfTrue="1" operator="lessThan">
      <formula>0</formula>
    </cfRule>
  </conditionalFormatting>
  <conditionalFormatting sqref="AG130:AH130">
    <cfRule type="cellIs" dxfId="1042" priority="216" stopIfTrue="1" operator="lessThan">
      <formula>0</formula>
    </cfRule>
  </conditionalFormatting>
  <conditionalFormatting sqref="AI131:AJ139 AI140">
    <cfRule type="cellIs" dxfId="1041" priority="209" stopIfTrue="1" operator="lessThan">
      <formula>0</formula>
    </cfRule>
  </conditionalFormatting>
  <conditionalFormatting sqref="I130:L140">
    <cfRule type="cellIs" dxfId="1040" priority="208" stopIfTrue="1" operator="lessThan">
      <formula>0</formula>
    </cfRule>
  </conditionalFormatting>
  <conditionalFormatting sqref="F101">
    <cfRule type="cellIs" dxfId="1039" priority="226" stopIfTrue="1" operator="lessThan">
      <formula>0</formula>
    </cfRule>
  </conditionalFormatting>
  <conditionalFormatting sqref="H101">
    <cfRule type="cellIs" dxfId="1038" priority="232" stopIfTrue="1" operator="lessThan">
      <formula>0</formula>
    </cfRule>
  </conditionalFormatting>
  <conditionalFormatting sqref="O101">
    <cfRule type="cellIs" dxfId="1037" priority="228" stopIfTrue="1" operator="lessThan">
      <formula>0</formula>
    </cfRule>
  </conditionalFormatting>
  <conditionalFormatting sqref="M101">
    <cfRule type="cellIs" dxfId="1036" priority="230" stopIfTrue="1" operator="lessThan">
      <formula>0</formula>
    </cfRule>
  </conditionalFormatting>
  <conditionalFormatting sqref="AG142">
    <cfRule type="cellIs" dxfId="1035" priority="200" stopIfTrue="1" operator="lessThan">
      <formula>0</formula>
    </cfRule>
  </conditionalFormatting>
  <conditionalFormatting sqref="F101">
    <cfRule type="cellIs" dxfId="1034" priority="227" stopIfTrue="1" operator="lessThan">
      <formula>0</formula>
    </cfRule>
  </conditionalFormatting>
  <conditionalFormatting sqref="K121">
    <cfRule type="cellIs" dxfId="1033" priority="222" stopIfTrue="1" operator="lessThan">
      <formula>0</formula>
    </cfRule>
  </conditionalFormatting>
  <conditionalFormatting sqref="K121">
    <cfRule type="cellIs" dxfId="1032" priority="220" stopIfTrue="1" operator="lessThan">
      <formula>0</formula>
    </cfRule>
  </conditionalFormatting>
  <conditionalFormatting sqref="I99">
    <cfRule type="cellIs" dxfId="1031" priority="237" stopIfTrue="1" operator="lessThan">
      <formula>0</formula>
    </cfRule>
  </conditionalFormatting>
  <conditionalFormatting sqref="M99">
    <cfRule type="cellIs" dxfId="1030" priority="243" stopIfTrue="1" operator="lessThan">
      <formula>0</formula>
    </cfRule>
  </conditionalFormatting>
  <conditionalFormatting sqref="O99">
    <cfRule type="cellIs" dxfId="1029" priority="238" stopIfTrue="1" operator="lessThan">
      <formula>0</formula>
    </cfRule>
  </conditionalFormatting>
  <conditionalFormatting sqref="M101">
    <cfRule type="cellIs" dxfId="1028" priority="231" stopIfTrue="1" operator="lessThan">
      <formula>0</formula>
    </cfRule>
  </conditionalFormatting>
  <conditionalFormatting sqref="M101">
    <cfRule type="cellIs" dxfId="1027" priority="229" stopIfTrue="1" operator="lessThan">
      <formula>0</formula>
    </cfRule>
  </conditionalFormatting>
  <conditionalFormatting sqref="AI142">
    <cfRule type="cellIs" dxfId="1026" priority="197" stopIfTrue="1" operator="lessThan">
      <formula>0</formula>
    </cfRule>
  </conditionalFormatting>
  <conditionalFormatting sqref="G101">
    <cfRule type="cellIs" dxfId="1025" priority="225" stopIfTrue="1" operator="lessThan">
      <formula>0</formula>
    </cfRule>
  </conditionalFormatting>
  <conditionalFormatting sqref="F121">
    <cfRule type="cellIs" dxfId="1024" priority="224" stopIfTrue="1" operator="lessThan">
      <formula>0</formula>
    </cfRule>
  </conditionalFormatting>
  <conditionalFormatting sqref="I60">
    <cfRule type="cellIs" dxfId="1023" priority="253" stopIfTrue="1" operator="lessThan">
      <formula>0</formula>
    </cfRule>
  </conditionalFormatting>
  <conditionalFormatting sqref="I60">
    <cfRule type="cellIs" dxfId="1022" priority="254" stopIfTrue="1" operator="lessThan">
      <formula>0</formula>
    </cfRule>
  </conditionalFormatting>
  <conditionalFormatting sqref="M62">
    <cfRule type="cellIs" dxfId="1021" priority="252" stopIfTrue="1" operator="lessThan">
      <formula>0</formula>
    </cfRule>
  </conditionalFormatting>
  <conditionalFormatting sqref="M62">
    <cfRule type="cellIs" dxfId="1020" priority="251" stopIfTrue="1" operator="lessThan">
      <formula>0</formula>
    </cfRule>
  </conditionalFormatting>
  <conditionalFormatting sqref="M62">
    <cfRule type="cellIs" dxfId="1019" priority="250" stopIfTrue="1" operator="lessThan">
      <formula>0</formula>
    </cfRule>
  </conditionalFormatting>
  <conditionalFormatting sqref="O62">
    <cfRule type="cellIs" dxfId="1018" priority="249" stopIfTrue="1" operator="lessThan">
      <formula>0</formula>
    </cfRule>
  </conditionalFormatting>
  <conditionalFormatting sqref="F99">
    <cfRule type="cellIs" dxfId="1017" priority="246" stopIfTrue="1" operator="lessThan">
      <formula>0</formula>
    </cfRule>
  </conditionalFormatting>
  <conditionalFormatting sqref="J99">
    <cfRule type="cellIs" dxfId="1016" priority="247" stopIfTrue="1" operator="lessThan">
      <formula>0</formula>
    </cfRule>
  </conditionalFormatting>
  <conditionalFormatting sqref="F62">
    <cfRule type="cellIs" dxfId="1015" priority="234" stopIfTrue="1" operator="lessThan">
      <formula>0</formula>
    </cfRule>
  </conditionalFormatting>
  <conditionalFormatting sqref="F99 H99 J99">
    <cfRule type="cellIs" dxfId="1014" priority="248" stopIfTrue="1" operator="lessThan">
      <formula>0</formula>
    </cfRule>
  </conditionalFormatting>
  <conditionalFormatting sqref="M99">
    <cfRule type="cellIs" dxfId="1013" priority="245" stopIfTrue="1" operator="lessThan">
      <formula>0</formula>
    </cfRule>
  </conditionalFormatting>
  <conditionalFormatting sqref="M99">
    <cfRule type="cellIs" dxfId="1012" priority="244" stopIfTrue="1" operator="lessThan">
      <formula>0</formula>
    </cfRule>
  </conditionalFormatting>
  <conditionalFormatting sqref="F62">
    <cfRule type="cellIs" dxfId="1011" priority="235" stopIfTrue="1" operator="lessThan">
      <formula>0</formula>
    </cfRule>
  </conditionalFormatting>
  <conditionalFormatting sqref="M99">
    <cfRule type="cellIs" dxfId="1010" priority="240" stopIfTrue="1" operator="lessThan">
      <formula>0</formula>
    </cfRule>
  </conditionalFormatting>
  <conditionalFormatting sqref="M99">
    <cfRule type="cellIs" dxfId="1009" priority="241" stopIfTrue="1" operator="lessThan">
      <formula>0</formula>
    </cfRule>
  </conditionalFormatting>
  <conditionalFormatting sqref="M99">
    <cfRule type="cellIs" dxfId="1008" priority="242" stopIfTrue="1" operator="lessThan">
      <formula>0</formula>
    </cfRule>
  </conditionalFormatting>
  <conditionalFormatting sqref="O99">
    <cfRule type="cellIs" dxfId="1007" priority="239" stopIfTrue="1" operator="lessThan">
      <formula>0</formula>
    </cfRule>
  </conditionalFormatting>
  <conditionalFormatting sqref="I99">
    <cfRule type="cellIs" dxfId="1006" priority="236" stopIfTrue="1" operator="lessThan">
      <formula>0</formula>
    </cfRule>
  </conditionalFormatting>
  <conditionalFormatting sqref="F121">
    <cfRule type="cellIs" dxfId="1005" priority="223" stopIfTrue="1" operator="lessThan">
      <formula>0</formula>
    </cfRule>
  </conditionalFormatting>
  <conditionalFormatting sqref="G62">
    <cfRule type="cellIs" dxfId="1004" priority="233" stopIfTrue="1" operator="lessThan">
      <formula>0</formula>
    </cfRule>
  </conditionalFormatting>
  <conditionalFormatting sqref="S6:AB36">
    <cfRule type="cellIs" dxfId="1003" priority="177" stopIfTrue="1" operator="lessThan">
      <formula>0</formula>
    </cfRule>
  </conditionalFormatting>
  <conditionalFormatting sqref="T8">
    <cfRule type="cellIs" dxfId="1002" priority="176" stopIfTrue="1" operator="lessThan">
      <formula>0</formula>
    </cfRule>
  </conditionalFormatting>
  <conditionalFormatting sqref="AG131:AG140 AI131:AI140">
    <cfRule type="cellIs" dxfId="1001" priority="218" stopIfTrue="1" operator="lessThan">
      <formula>0</formula>
    </cfRule>
  </conditionalFormatting>
  <conditionalFormatting sqref="H131:H140">
    <cfRule type="cellIs" dxfId="1000" priority="201" stopIfTrue="1" operator="lessThan">
      <formula>0</formula>
    </cfRule>
  </conditionalFormatting>
  <conditionalFormatting sqref="AI142">
    <cfRule type="cellIs" dxfId="999" priority="198" stopIfTrue="1" operator="lessThan">
      <formula>0</formula>
    </cfRule>
  </conditionalFormatting>
  <conditionalFormatting sqref="AO6:AX36">
    <cfRule type="cellIs" dxfId="998" priority="104" stopIfTrue="1" operator="lessThan">
      <formula>0</formula>
    </cfRule>
  </conditionalFormatting>
  <conditionalFormatting sqref="AO6:AX8 AO10:AX31 AO33:AX33 AO35:AX36">
    <cfRule type="cellIs" dxfId="997" priority="105" stopIfTrue="1" operator="lessThan">
      <formula>0</formula>
    </cfRule>
  </conditionalFormatting>
  <conditionalFormatting sqref="AP8">
    <cfRule type="cellIs" dxfId="996" priority="103" stopIfTrue="1" operator="lessThan">
      <formula>0</formula>
    </cfRule>
  </conditionalFormatting>
  <conditionalFormatting sqref="AF6:AF8 AF10:AF31 AF33 AF35:AF36">
    <cfRule type="cellIs" dxfId="995" priority="137" stopIfTrue="1" operator="lessThan">
      <formula>0</formula>
    </cfRule>
  </conditionalFormatting>
  <conditionalFormatting sqref="AE38:AM38">
    <cfRule type="cellIs" dxfId="994" priority="134" stopIfTrue="1" operator="lessThan">
      <formula>0</formula>
    </cfRule>
  </conditionalFormatting>
  <conditionalFormatting sqref="AG8">
    <cfRule type="cellIs" dxfId="993" priority="135" stopIfTrue="1" operator="lessThan">
      <formula>0</formula>
    </cfRule>
  </conditionalFormatting>
  <conditionalFormatting sqref="AF6:AG36">
    <cfRule type="cellIs" dxfId="992" priority="136" stopIfTrue="1" operator="lessThan">
      <formula>0</formula>
    </cfRule>
  </conditionalFormatting>
  <conditionalFormatting sqref="AN6:AN36">
    <cfRule type="cellIs" dxfId="991" priority="133" stopIfTrue="1" operator="lessThan">
      <formula>0</formula>
    </cfRule>
  </conditionalFormatting>
  <conditionalFormatting sqref="AN6:AN8 AN10:AN31 AN33 AN35:AN36">
    <cfRule type="cellIs" dxfId="990" priority="128" stopIfTrue="1" operator="lessThan">
      <formula>0</formula>
    </cfRule>
  </conditionalFormatting>
  <conditionalFormatting sqref="AU6:AU8 AU10:AU31 AU33 AU35:AU36">
    <cfRule type="cellIs" dxfId="989" priority="112" stopIfTrue="1" operator="lessThan">
      <formula>0</formula>
    </cfRule>
  </conditionalFormatting>
  <conditionalFormatting sqref="AP8">
    <cfRule type="cellIs" dxfId="988" priority="116" stopIfTrue="1" operator="lessThan">
      <formula>0</formula>
    </cfRule>
  </conditionalFormatting>
  <conditionalFormatting sqref="AT8">
    <cfRule type="cellIs" dxfId="987" priority="114" stopIfTrue="1" operator="lessThan">
      <formula>0</formula>
    </cfRule>
  </conditionalFormatting>
  <conditionalFormatting sqref="AR6:AR8 AR10:AR31 AR33 AR35:AR36">
    <cfRule type="cellIs" dxfId="986" priority="115" stopIfTrue="1" operator="lessThan">
      <formula>0</formula>
    </cfRule>
  </conditionalFormatting>
  <conditionalFormatting sqref="AT38">
    <cfRule type="cellIs" dxfId="985" priority="113" stopIfTrue="1" operator="lessThan">
      <formula>0</formula>
    </cfRule>
  </conditionalFormatting>
  <conditionalFormatting sqref="AU6:AV36">
    <cfRule type="cellIs" dxfId="984" priority="111" stopIfTrue="1" operator="lessThan">
      <formula>0</formula>
    </cfRule>
  </conditionalFormatting>
  <conditionalFormatting sqref="AV8">
    <cfRule type="cellIs" dxfId="983" priority="110" stopIfTrue="1" operator="lessThan">
      <formula>0</formula>
    </cfRule>
  </conditionalFormatting>
  <conditionalFormatting sqref="AO6:AX8 AO10:AX31 AO33:AX33 AO35:AX36">
    <cfRule type="cellIs" dxfId="982" priority="108" stopIfTrue="1" operator="lessThan">
      <formula>0</formula>
    </cfRule>
  </conditionalFormatting>
  <conditionalFormatting sqref="AV38">
    <cfRule type="cellIs" dxfId="981" priority="109" stopIfTrue="1" operator="lessThan">
      <formula>0</formula>
    </cfRule>
  </conditionalFormatting>
  <conditionalFormatting sqref="AO6:AX36">
    <cfRule type="cellIs" dxfId="980" priority="107" stopIfTrue="1" operator="lessThan">
      <formula>0</formula>
    </cfRule>
  </conditionalFormatting>
  <conditionalFormatting sqref="AP8">
    <cfRule type="cellIs" dxfId="979" priority="106" stopIfTrue="1" operator="lessThan">
      <formula>0</formula>
    </cfRule>
  </conditionalFormatting>
  <conditionalFormatting sqref="AN6:AN36">
    <cfRule type="cellIs" dxfId="978" priority="129" stopIfTrue="1" operator="lessThan">
      <formula>0</formula>
    </cfRule>
  </conditionalFormatting>
  <conditionalFormatting sqref="AN6:AN8 AN10:AN31 AN33 AN35:AN36">
    <cfRule type="cellIs" dxfId="977" priority="130" stopIfTrue="1" operator="lessThan">
      <formula>0</formula>
    </cfRule>
  </conditionalFormatting>
  <conditionalFormatting sqref="AN6:AN36">
    <cfRule type="cellIs" dxfId="976" priority="127" stopIfTrue="1" operator="lessThan">
      <formula>0</formula>
    </cfRule>
  </conditionalFormatting>
  <conditionalFormatting sqref="AP6:AP8 AP10:AP31 AP33 AP35:AP36">
    <cfRule type="cellIs" dxfId="975" priority="125" stopIfTrue="1" operator="lessThan">
      <formula>0</formula>
    </cfRule>
  </conditionalFormatting>
  <conditionalFormatting sqref="AO6:AX36">
    <cfRule type="cellIs" dxfId="974" priority="126" stopIfTrue="1" operator="lessThan">
      <formula>0</formula>
    </cfRule>
  </conditionalFormatting>
  <conditionalFormatting sqref="AP6:AQ36">
    <cfRule type="cellIs" dxfId="973" priority="124" stopIfTrue="1" operator="lessThan">
      <formula>0</formula>
    </cfRule>
  </conditionalFormatting>
  <conditionalFormatting sqref="AI6:AI36 AG6:AG36">
    <cfRule type="cellIs" dxfId="972" priority="154" stopIfTrue="1" operator="lessThan">
      <formula>0</formula>
    </cfRule>
  </conditionalFormatting>
  <conditionalFormatting sqref="AQ8">
    <cfRule type="cellIs" dxfId="971" priority="123" stopIfTrue="1" operator="lessThan">
      <formula>0</formula>
    </cfRule>
  </conditionalFormatting>
  <conditionalFormatting sqref="AI8">
    <cfRule type="cellIs" dxfId="970" priority="156" stopIfTrue="1" operator="lessThan">
      <formula>0</formula>
    </cfRule>
  </conditionalFormatting>
  <conditionalFormatting sqref="AG6:AG8 AG10:AG31 AG33 AG35:AG36">
    <cfRule type="cellIs" dxfId="969" priority="157" stopIfTrue="1" operator="lessThan">
      <formula>0</formula>
    </cfRule>
  </conditionalFormatting>
  <conditionalFormatting sqref="AI38">
    <cfRule type="cellIs" dxfId="968" priority="155" stopIfTrue="1" operator="lessThan">
      <formula>0</formula>
    </cfRule>
  </conditionalFormatting>
  <conditionalFormatting sqref="AG6:AG8 AG10:AG31 AG33 AG35:AG36">
    <cfRule type="cellIs" dxfId="967" priority="150" stopIfTrue="1" operator="lessThan">
      <formula>0</formula>
    </cfRule>
  </conditionalFormatting>
  <conditionalFormatting sqref="AE8">
    <cfRule type="cellIs" dxfId="966" priority="151" stopIfTrue="1" operator="lessThan">
      <formula>0</formula>
    </cfRule>
  </conditionalFormatting>
  <conditionalFormatting sqref="AI8">
    <cfRule type="cellIs" dxfId="965" priority="149" stopIfTrue="1" operator="lessThan">
      <formula>0</formula>
    </cfRule>
  </conditionalFormatting>
  <conditionalFormatting sqref="AJ6:AK36">
    <cfRule type="cellIs" dxfId="964" priority="146" stopIfTrue="1" operator="lessThan">
      <formula>0</formula>
    </cfRule>
  </conditionalFormatting>
  <conditionalFormatting sqref="AK8">
    <cfRule type="cellIs" dxfId="963" priority="145" stopIfTrue="1" operator="lessThan">
      <formula>0</formula>
    </cfRule>
  </conditionalFormatting>
  <conditionalFormatting sqref="S6:AB8 S10:AB31 S33:AB33 S35:AB36">
    <cfRule type="cellIs" dxfId="962" priority="175" stopIfTrue="1" operator="lessThan">
      <formula>0</formula>
    </cfRule>
  </conditionalFormatting>
  <conditionalFormatting sqref="AK38">
    <cfRule type="cellIs" dxfId="961" priority="144" stopIfTrue="1" operator="lessThan">
      <formula>0</formula>
    </cfRule>
  </conditionalFormatting>
  <conditionalFormatting sqref="AD6:AM8 AD10:AM31 AD33:AM33 AD35:AM36">
    <cfRule type="cellIs" dxfId="960" priority="143" stopIfTrue="1" operator="lessThan">
      <formula>0</formula>
    </cfRule>
  </conditionalFormatting>
  <conditionalFormatting sqref="AD6:AM36">
    <cfRule type="cellIs" dxfId="959" priority="139" stopIfTrue="1" operator="lessThan">
      <formula>0</formula>
    </cfRule>
  </conditionalFormatting>
  <conditionalFormatting sqref="T8">
    <cfRule type="cellIs" dxfId="958" priority="173" stopIfTrue="1" operator="lessThan">
      <formula>0</formula>
    </cfRule>
  </conditionalFormatting>
  <conditionalFormatting sqref="U6:V36">
    <cfRule type="cellIs" dxfId="957" priority="171" stopIfTrue="1" operator="lessThan">
      <formula>0</formula>
    </cfRule>
  </conditionalFormatting>
  <conditionalFormatting sqref="U6:U8 U10:U31 U33 U35:U36">
    <cfRule type="cellIs" dxfId="956" priority="172" stopIfTrue="1" operator="lessThan">
      <formula>0</formula>
    </cfRule>
  </conditionalFormatting>
  <conditionalFormatting sqref="V8">
    <cfRule type="cellIs" dxfId="955" priority="170" stopIfTrue="1" operator="lessThan">
      <formula>0</formula>
    </cfRule>
  </conditionalFormatting>
  <conditionalFormatting sqref="AY6:AY8 AY10:AY31 AY33 AY35:AY36">
    <cfRule type="cellIs" dxfId="954" priority="93" stopIfTrue="1" operator="lessThan">
      <formula>0</formula>
    </cfRule>
  </conditionalFormatting>
  <conditionalFormatting sqref="AY6:AY36">
    <cfRule type="cellIs" dxfId="953" priority="92" stopIfTrue="1" operator="lessThan">
      <formula>0</formula>
    </cfRule>
  </conditionalFormatting>
  <conditionalFormatting sqref="X6:X36 V6:V36">
    <cfRule type="cellIs" dxfId="952" priority="189" stopIfTrue="1" operator="lessThan">
      <formula>0</formula>
    </cfRule>
  </conditionalFormatting>
  <conditionalFormatting sqref="S6:AB36">
    <cfRule type="cellIs" dxfId="951" priority="196" stopIfTrue="1" operator="lessThan">
      <formula>0</formula>
    </cfRule>
  </conditionalFormatting>
  <conditionalFormatting sqref="T6:T8 T10:T31 T33 T35:T36">
    <cfRule type="cellIs" dxfId="950" priority="195" stopIfTrue="1" operator="lessThan">
      <formula>0</formula>
    </cfRule>
  </conditionalFormatting>
  <conditionalFormatting sqref="V6:V8 V10:V31 V33 V35:V36">
    <cfRule type="cellIs" dxfId="949" priority="192" stopIfTrue="1" operator="lessThan">
      <formula>0</formula>
    </cfRule>
  </conditionalFormatting>
  <conditionalFormatting sqref="T6:U36">
    <cfRule type="cellIs" dxfId="948" priority="194" stopIfTrue="1" operator="lessThan">
      <formula>0</formula>
    </cfRule>
  </conditionalFormatting>
  <conditionalFormatting sqref="U8">
    <cfRule type="cellIs" dxfId="947" priority="193" stopIfTrue="1" operator="lessThan">
      <formula>0</formula>
    </cfRule>
  </conditionalFormatting>
  <conditionalFormatting sqref="X38">
    <cfRule type="cellIs" dxfId="946" priority="190" stopIfTrue="1" operator="lessThan">
      <formula>0</formula>
    </cfRule>
  </conditionalFormatting>
  <conditionalFormatting sqref="X8">
    <cfRule type="cellIs" dxfId="945" priority="191" stopIfTrue="1" operator="lessThan">
      <formula>0</formula>
    </cfRule>
  </conditionalFormatting>
  <conditionalFormatting sqref="S9:AB9 S32:AB32 S34:AB34">
    <cfRule type="cellIs" dxfId="944" priority="187" stopIfTrue="1" operator="equal">
      <formula>"No"</formula>
    </cfRule>
    <cfRule type="cellIs" dxfId="943" priority="188" stopIfTrue="1" operator="equal">
      <formula>"Yes"</formula>
    </cfRule>
  </conditionalFormatting>
  <conditionalFormatting sqref="T8">
    <cfRule type="cellIs" dxfId="942" priority="186" stopIfTrue="1" operator="lessThan">
      <formula>0</formula>
    </cfRule>
  </conditionalFormatting>
  <conditionalFormatting sqref="V6:V8 V10:V31 V33 V35:V36">
    <cfRule type="cellIs" dxfId="941" priority="185" stopIfTrue="1" operator="lessThan">
      <formula>0</formula>
    </cfRule>
  </conditionalFormatting>
  <conditionalFormatting sqref="X38">
    <cfRule type="cellIs" dxfId="940" priority="183" stopIfTrue="1" operator="lessThan">
      <formula>0</formula>
    </cfRule>
  </conditionalFormatting>
  <conditionalFormatting sqref="Y6:Y8 Y10:Y31 Y33 Y35:Y36">
    <cfRule type="cellIs" dxfId="939" priority="182" stopIfTrue="1" operator="lessThan">
      <formula>0</formula>
    </cfRule>
  </conditionalFormatting>
  <conditionalFormatting sqref="X8">
    <cfRule type="cellIs" dxfId="938" priority="184" stopIfTrue="1" operator="lessThan">
      <formula>0</formula>
    </cfRule>
  </conditionalFormatting>
  <conditionalFormatting sqref="Z38">
    <cfRule type="cellIs" dxfId="937" priority="179" stopIfTrue="1" operator="lessThan">
      <formula>0</formula>
    </cfRule>
  </conditionalFormatting>
  <conditionalFormatting sqref="Y6:Z36">
    <cfRule type="cellIs" dxfId="936" priority="181" stopIfTrue="1" operator="lessThan">
      <formula>0</formula>
    </cfRule>
  </conditionalFormatting>
  <conditionalFormatting sqref="Z8">
    <cfRule type="cellIs" dxfId="935" priority="180" stopIfTrue="1" operator="lessThan">
      <formula>0</formula>
    </cfRule>
  </conditionalFormatting>
  <conditionalFormatting sqref="S6:AB8 S10:AB31 S33:AB33 S35:AB36">
    <cfRule type="cellIs" dxfId="934" priority="178" stopIfTrue="1" operator="lessThan">
      <formula>0</formula>
    </cfRule>
  </conditionalFormatting>
  <conditionalFormatting sqref="S6:AB36">
    <cfRule type="cellIs" dxfId="933" priority="174" stopIfTrue="1" operator="lessThan">
      <formula>0</formula>
    </cfRule>
  </conditionalFormatting>
  <conditionalFormatting sqref="AC6:AC8 AC10:AC31 AC33 AC35:AC36">
    <cfRule type="cellIs" dxfId="932" priority="163" stopIfTrue="1" operator="lessThan">
      <formula>0</formula>
    </cfRule>
  </conditionalFormatting>
  <conditionalFormatting sqref="AC6:AC36">
    <cfRule type="cellIs" dxfId="931" priority="162" stopIfTrue="1" operator="lessThan">
      <formula>0</formula>
    </cfRule>
  </conditionalFormatting>
  <conditionalFormatting sqref="S38:AC38">
    <cfRule type="cellIs" dxfId="930" priority="169" stopIfTrue="1" operator="lessThan">
      <formula>0</formula>
    </cfRule>
  </conditionalFormatting>
  <conditionalFormatting sqref="AC6:AC36">
    <cfRule type="cellIs" dxfId="929" priority="168" stopIfTrue="1" operator="lessThan">
      <formula>0</formula>
    </cfRule>
  </conditionalFormatting>
  <conditionalFormatting sqref="AC9 AC32 AC34">
    <cfRule type="cellIs" dxfId="928" priority="166" stopIfTrue="1" operator="equal">
      <formula>"No"</formula>
    </cfRule>
    <cfRule type="cellIs" dxfId="927" priority="167" stopIfTrue="1" operator="equal">
      <formula>"Yes"</formula>
    </cfRule>
  </conditionalFormatting>
  <conditionalFormatting sqref="AC6:AC8 AC10:AC31 AC33 AC35:AC36">
    <cfRule type="cellIs" dxfId="926" priority="165" stopIfTrue="1" operator="lessThan">
      <formula>0</formula>
    </cfRule>
  </conditionalFormatting>
  <conditionalFormatting sqref="AC6:AC36">
    <cfRule type="cellIs" dxfId="925" priority="164" stopIfTrue="1" operator="lessThan">
      <formula>0</formula>
    </cfRule>
  </conditionalFormatting>
  <conditionalFormatting sqref="AD6:AM36">
    <cfRule type="cellIs" dxfId="924" priority="161" stopIfTrue="1" operator="lessThan">
      <formula>0</formula>
    </cfRule>
  </conditionalFormatting>
  <conditionalFormatting sqref="AE6:AE8 AE10:AE31 AE33 AE35:AE36">
    <cfRule type="cellIs" dxfId="923" priority="160" stopIfTrue="1" operator="lessThan">
      <formula>0</formula>
    </cfRule>
  </conditionalFormatting>
  <conditionalFormatting sqref="AE6:AF36">
    <cfRule type="cellIs" dxfId="922" priority="159" stopIfTrue="1" operator="lessThan">
      <formula>0</formula>
    </cfRule>
  </conditionalFormatting>
  <conditionalFormatting sqref="AF8">
    <cfRule type="cellIs" dxfId="921" priority="158" stopIfTrue="1" operator="lessThan">
      <formula>0</formula>
    </cfRule>
  </conditionalFormatting>
  <conditionalFormatting sqref="AD9:AM9 AD32:AM32 AD34:AM34">
    <cfRule type="cellIs" dxfId="920" priority="152" stopIfTrue="1" operator="equal">
      <formula>"No"</formula>
    </cfRule>
    <cfRule type="cellIs" dxfId="919" priority="153" stopIfTrue="1" operator="equal">
      <formula>"Yes"</formula>
    </cfRule>
  </conditionalFormatting>
  <conditionalFormatting sqref="AI38">
    <cfRule type="cellIs" dxfId="918" priority="148" stopIfTrue="1" operator="lessThan">
      <formula>0</formula>
    </cfRule>
  </conditionalFormatting>
  <conditionalFormatting sqref="AJ6:AJ8 AJ10:AJ31 AJ33 AJ35:AJ36">
    <cfRule type="cellIs" dxfId="917" priority="147" stopIfTrue="1" operator="lessThan">
      <formula>0</formula>
    </cfRule>
  </conditionalFormatting>
  <conditionalFormatting sqref="AD6:AM36">
    <cfRule type="cellIs" dxfId="916" priority="142" stopIfTrue="1" operator="lessThan">
      <formula>0</formula>
    </cfRule>
  </conditionalFormatting>
  <conditionalFormatting sqref="AE8">
    <cfRule type="cellIs" dxfId="915" priority="141" stopIfTrue="1" operator="lessThan">
      <formula>0</formula>
    </cfRule>
  </conditionalFormatting>
  <conditionalFormatting sqref="AD6:AM8 AD10:AM31 AD33:AM33 AD35:AM36">
    <cfRule type="cellIs" dxfId="914" priority="140" stopIfTrue="1" operator="lessThan">
      <formula>0</formula>
    </cfRule>
  </conditionalFormatting>
  <conditionalFormatting sqref="AE8">
    <cfRule type="cellIs" dxfId="913" priority="138" stopIfTrue="1" operator="lessThan">
      <formula>0</formula>
    </cfRule>
  </conditionalFormatting>
  <conditionalFormatting sqref="AN9 AN32 AN34">
    <cfRule type="cellIs" dxfId="912" priority="131" stopIfTrue="1" operator="equal">
      <formula>"No"</formula>
    </cfRule>
    <cfRule type="cellIs" dxfId="911" priority="132" stopIfTrue="1" operator="equal">
      <formula>"Yes"</formula>
    </cfRule>
  </conditionalFormatting>
  <conditionalFormatting sqref="AT6:AT36 AR6:AR36">
    <cfRule type="cellIs" dxfId="910" priority="119" stopIfTrue="1" operator="lessThan">
      <formula>0</formula>
    </cfRule>
  </conditionalFormatting>
  <conditionalFormatting sqref="AR6:AR8 AR10:AR31 AR33 AR35:AR36">
    <cfRule type="cellIs" dxfId="909" priority="122" stopIfTrue="1" operator="lessThan">
      <formula>0</formula>
    </cfRule>
  </conditionalFormatting>
  <conditionalFormatting sqref="AT38">
    <cfRule type="cellIs" dxfId="908" priority="120" stopIfTrue="1" operator="lessThan">
      <formula>0</formula>
    </cfRule>
  </conditionalFormatting>
  <conditionalFormatting sqref="AT8">
    <cfRule type="cellIs" dxfId="907" priority="121" stopIfTrue="1" operator="lessThan">
      <formula>0</formula>
    </cfRule>
  </conditionalFormatting>
  <conditionalFormatting sqref="AO9:AX9 AO32:AX32 AO34:AX34">
    <cfRule type="cellIs" dxfId="906" priority="117" stopIfTrue="1" operator="equal">
      <formula>"No"</formula>
    </cfRule>
    <cfRule type="cellIs" dxfId="905" priority="118" stopIfTrue="1" operator="equal">
      <formula>"Yes"</formula>
    </cfRule>
  </conditionalFormatting>
  <conditionalFormatting sqref="AQ6:AQ8 AQ10:AQ31 AQ33 AQ35:AQ36">
    <cfRule type="cellIs" dxfId="904" priority="102" stopIfTrue="1" operator="lessThan">
      <formula>0</formula>
    </cfRule>
  </conditionalFormatting>
  <conditionalFormatting sqref="AQ6:AR36">
    <cfRule type="cellIs" dxfId="903" priority="101" stopIfTrue="1" operator="lessThan">
      <formula>0</formula>
    </cfRule>
  </conditionalFormatting>
  <conditionalFormatting sqref="AR8">
    <cfRule type="cellIs" dxfId="902" priority="100" stopIfTrue="1" operator="lessThan">
      <formula>0</formula>
    </cfRule>
  </conditionalFormatting>
  <conditionalFormatting sqref="AP38:AX38">
    <cfRule type="cellIs" dxfId="901" priority="99" stopIfTrue="1" operator="lessThan">
      <formula>0</formula>
    </cfRule>
  </conditionalFormatting>
  <conditionalFormatting sqref="AY6:AY36">
    <cfRule type="cellIs" dxfId="900" priority="98" stopIfTrue="1" operator="lessThan">
      <formula>0</formula>
    </cfRule>
  </conditionalFormatting>
  <conditionalFormatting sqref="AY9 AY32 AY34">
    <cfRule type="cellIs" dxfId="899" priority="96" stopIfTrue="1" operator="equal">
      <formula>"No"</formula>
    </cfRule>
    <cfRule type="cellIs" dxfId="898" priority="97" stopIfTrue="1" operator="equal">
      <formula>"Yes"</formula>
    </cfRule>
  </conditionalFormatting>
  <conditionalFormatting sqref="AY6:AY8 AY10:AY31 AY33 AY35:AY36">
    <cfRule type="cellIs" dxfId="897" priority="95" stopIfTrue="1" operator="lessThan">
      <formula>0</formula>
    </cfRule>
  </conditionalFormatting>
  <conditionalFormatting sqref="AY6:AY36">
    <cfRule type="cellIs" dxfId="896" priority="94" stopIfTrue="1" operator="lessThan">
      <formula>0</formula>
    </cfRule>
  </conditionalFormatting>
  <conditionalFormatting sqref="BE6:BE36 BC6:BC36">
    <cfRule type="cellIs" dxfId="895" priority="84" stopIfTrue="1" operator="lessThan">
      <formula>0</formula>
    </cfRule>
  </conditionalFormatting>
  <conditionalFormatting sqref="AZ6:BI36">
    <cfRule type="cellIs" dxfId="894" priority="91" stopIfTrue="1" operator="lessThan">
      <formula>0</formula>
    </cfRule>
  </conditionalFormatting>
  <conditionalFormatting sqref="BA6:BA8 BA10:BA31 BA33 BA35:BA36">
    <cfRule type="cellIs" dxfId="893" priority="90" stopIfTrue="1" operator="lessThan">
      <formula>0</formula>
    </cfRule>
  </conditionalFormatting>
  <conditionalFormatting sqref="BC6:BC8 BC10:BC31 BC33 BC35:BC36">
    <cfRule type="cellIs" dxfId="892" priority="87" stopIfTrue="1" operator="lessThan">
      <formula>0</formula>
    </cfRule>
  </conditionalFormatting>
  <conditionalFormatting sqref="BA6:BB36">
    <cfRule type="cellIs" dxfId="891" priority="89" stopIfTrue="1" operator="lessThan">
      <formula>0</formula>
    </cfRule>
  </conditionalFormatting>
  <conditionalFormatting sqref="BB8">
    <cfRule type="cellIs" dxfId="890" priority="88" stopIfTrue="1" operator="lessThan">
      <formula>0</formula>
    </cfRule>
  </conditionalFormatting>
  <conditionalFormatting sqref="BE38">
    <cfRule type="cellIs" dxfId="889" priority="85" stopIfTrue="1" operator="lessThan">
      <formula>0</formula>
    </cfRule>
  </conditionalFormatting>
  <conditionalFormatting sqref="BE8">
    <cfRule type="cellIs" dxfId="888" priority="86" stopIfTrue="1" operator="lessThan">
      <formula>0</formula>
    </cfRule>
  </conditionalFormatting>
  <conditionalFormatting sqref="AZ9:BI9 AZ32:BI32 AZ34:BI34">
    <cfRule type="cellIs" dxfId="887" priority="82" stopIfTrue="1" operator="equal">
      <formula>"No"</formula>
    </cfRule>
    <cfRule type="cellIs" dxfId="886" priority="83" stopIfTrue="1" operator="equal">
      <formula>"Yes"</formula>
    </cfRule>
  </conditionalFormatting>
  <conditionalFormatting sqref="BA8">
    <cfRule type="cellIs" dxfId="885" priority="81" stopIfTrue="1" operator="lessThan">
      <formula>0</formula>
    </cfRule>
  </conditionalFormatting>
  <conditionalFormatting sqref="BC6:BC8 BC10:BC31 BC33 BC35:BC36">
    <cfRule type="cellIs" dxfId="884" priority="80" stopIfTrue="1" operator="lessThan">
      <formula>0</formula>
    </cfRule>
  </conditionalFormatting>
  <conditionalFormatting sqref="BE38">
    <cfRule type="cellIs" dxfId="883" priority="78" stopIfTrue="1" operator="lessThan">
      <formula>0</formula>
    </cfRule>
  </conditionalFormatting>
  <conditionalFormatting sqref="BF6:BF8 BF10:BF31 BF33 BF35:BF36">
    <cfRule type="cellIs" dxfId="882" priority="77" stopIfTrue="1" operator="lessThan">
      <formula>0</formula>
    </cfRule>
  </conditionalFormatting>
  <conditionalFormatting sqref="BE8">
    <cfRule type="cellIs" dxfId="881" priority="79" stopIfTrue="1" operator="lessThan">
      <formula>0</formula>
    </cfRule>
  </conditionalFormatting>
  <conditionalFormatting sqref="BG38">
    <cfRule type="cellIs" dxfId="880" priority="74" stopIfTrue="1" operator="lessThan">
      <formula>0</formula>
    </cfRule>
  </conditionalFormatting>
  <conditionalFormatting sqref="BF6:BG36">
    <cfRule type="cellIs" dxfId="879" priority="76" stopIfTrue="1" operator="lessThan">
      <formula>0</formula>
    </cfRule>
  </conditionalFormatting>
  <conditionalFormatting sqref="BG8">
    <cfRule type="cellIs" dxfId="878" priority="75" stopIfTrue="1" operator="lessThan">
      <formula>0</formula>
    </cfRule>
  </conditionalFormatting>
  <conditionalFormatting sqref="AZ6:BI8 AZ10:BI31 AZ33:BI33 AZ35:BI36">
    <cfRule type="cellIs" dxfId="877" priority="73" stopIfTrue="1" operator="lessThan">
      <formula>0</formula>
    </cfRule>
  </conditionalFormatting>
  <conditionalFormatting sqref="AZ6:BI36">
    <cfRule type="cellIs" dxfId="876" priority="72" stopIfTrue="1" operator="lessThan">
      <formula>0</formula>
    </cfRule>
  </conditionalFormatting>
  <conditionalFormatting sqref="BA8">
    <cfRule type="cellIs" dxfId="875" priority="71" stopIfTrue="1" operator="lessThan">
      <formula>0</formula>
    </cfRule>
  </conditionalFormatting>
  <conditionalFormatting sqref="AZ6:BI8 AZ10:BI31 AZ33:BI33 AZ35:BI36">
    <cfRule type="cellIs" dxfId="874" priority="70" stopIfTrue="1" operator="lessThan">
      <formula>0</formula>
    </cfRule>
  </conditionalFormatting>
  <conditionalFormatting sqref="BB6:BB8 BB10:BB31 BB33 BB35:BB36">
    <cfRule type="cellIs" dxfId="873" priority="67" stopIfTrue="1" operator="lessThan">
      <formula>0</formula>
    </cfRule>
  </conditionalFormatting>
  <conditionalFormatting sqref="AZ6:BI36">
    <cfRule type="cellIs" dxfId="872" priority="69" stopIfTrue="1" operator="lessThan">
      <formula>0</formula>
    </cfRule>
  </conditionalFormatting>
  <conditionalFormatting sqref="BA8">
    <cfRule type="cellIs" dxfId="871" priority="68" stopIfTrue="1" operator="lessThan">
      <formula>0</formula>
    </cfRule>
  </conditionalFormatting>
  <conditionalFormatting sqref="BB6:BC36">
    <cfRule type="cellIs" dxfId="870" priority="66" stopIfTrue="1" operator="lessThan">
      <formula>0</formula>
    </cfRule>
  </conditionalFormatting>
  <conditionalFormatting sqref="BC8">
    <cfRule type="cellIs" dxfId="869" priority="65" stopIfTrue="1" operator="lessThan">
      <formula>0</formula>
    </cfRule>
  </conditionalFormatting>
  <conditionalFormatting sqref="BJ6:BJ8 BJ10:BJ31 BJ33 BJ35:BJ36">
    <cfRule type="cellIs" dxfId="868" priority="58" stopIfTrue="1" operator="lessThan">
      <formula>0</formula>
    </cfRule>
  </conditionalFormatting>
  <conditionalFormatting sqref="BJ6:BJ36">
    <cfRule type="cellIs" dxfId="867" priority="57" stopIfTrue="1" operator="lessThan">
      <formula>0</formula>
    </cfRule>
  </conditionalFormatting>
  <conditionalFormatting sqref="AZ38:BJ38">
    <cfRule type="cellIs" dxfId="866" priority="64" stopIfTrue="1" operator="lessThan">
      <formula>0</formula>
    </cfRule>
  </conditionalFormatting>
  <conditionalFormatting sqref="BJ6:BJ36">
    <cfRule type="cellIs" dxfId="865" priority="63" stopIfTrue="1" operator="lessThan">
      <formula>0</formula>
    </cfRule>
  </conditionalFormatting>
  <conditionalFormatting sqref="BJ9 BJ32 BJ34">
    <cfRule type="cellIs" dxfId="864" priority="61" stopIfTrue="1" operator="equal">
      <formula>"No"</formula>
    </cfRule>
    <cfRule type="cellIs" dxfId="863" priority="62" stopIfTrue="1" operator="equal">
      <formula>"Yes"</formula>
    </cfRule>
  </conditionalFormatting>
  <conditionalFormatting sqref="BJ6:BJ8 BJ10:BJ31 BJ33 BJ35:BJ36">
    <cfRule type="cellIs" dxfId="862" priority="60" stopIfTrue="1" operator="lessThan">
      <formula>0</formula>
    </cfRule>
  </conditionalFormatting>
  <conditionalFormatting sqref="BJ6:BJ36">
    <cfRule type="cellIs" dxfId="861" priority="59" stopIfTrue="1" operator="lessThan">
      <formula>0</formula>
    </cfRule>
  </conditionalFormatting>
  <conditionalFormatting sqref="F72:F83">
    <cfRule type="cellIs" dxfId="860" priority="41" stopIfTrue="1" operator="lessThan">
      <formula>0</formula>
    </cfRule>
  </conditionalFormatting>
  <conditionalFormatting sqref="K72:L82">
    <cfRule type="cellIs" dxfId="859" priority="39" stopIfTrue="1" operator="lessThan">
      <formula>0</formula>
    </cfRule>
  </conditionalFormatting>
  <conditionalFormatting sqref="K72:K82">
    <cfRule type="cellIs" dxfId="858" priority="40" stopIfTrue="1" operator="lessThan">
      <formula>0</formula>
    </cfRule>
  </conditionalFormatting>
  <conditionalFormatting sqref="I72:I82">
    <cfRule type="cellIs" dxfId="857" priority="45" stopIfTrue="1" operator="lessThan">
      <formula>0</formula>
    </cfRule>
  </conditionalFormatting>
  <conditionalFormatting sqref="I72:J82 J83">
    <cfRule type="cellIs" dxfId="856" priority="44" stopIfTrue="1" operator="lessThan">
      <formula>0</formula>
    </cfRule>
  </conditionalFormatting>
  <conditionalFormatting sqref="F71:J71">
    <cfRule type="cellIs" dxfId="855" priority="56" stopIfTrue="1" operator="lessThan">
      <formula>0</formula>
    </cfRule>
  </conditionalFormatting>
  <conditionalFormatting sqref="I71">
    <cfRule type="cellIs" dxfId="854" priority="55" stopIfTrue="1" operator="lessThan">
      <formula>0</formula>
    </cfRule>
  </conditionalFormatting>
  <conditionalFormatting sqref="K71">
    <cfRule type="cellIs" dxfId="853" priority="53" stopIfTrue="1" operator="lessThan">
      <formula>0</formula>
    </cfRule>
  </conditionalFormatting>
  <conditionalFormatting sqref="I71:J71">
    <cfRule type="cellIs" dxfId="852" priority="54" stopIfTrue="1" operator="lessThan">
      <formula>0</formula>
    </cfRule>
  </conditionalFormatting>
  <conditionalFormatting sqref="K71:L71">
    <cfRule type="cellIs" dxfId="851" priority="52" stopIfTrue="1" operator="lessThan">
      <formula>0</formula>
    </cfRule>
  </conditionalFormatting>
  <conditionalFormatting sqref="F71">
    <cfRule type="cellIs" dxfId="850" priority="51" stopIfTrue="1" operator="lessThan">
      <formula>0</formula>
    </cfRule>
  </conditionalFormatting>
  <conditionalFormatting sqref="K71">
    <cfRule type="cellIs" dxfId="849" priority="50" stopIfTrue="1" operator="lessThan">
      <formula>0</formula>
    </cfRule>
  </conditionalFormatting>
  <conditionalFormatting sqref="M71">
    <cfRule type="cellIs" dxfId="848" priority="48" stopIfTrue="1" operator="lessThan">
      <formula>0</formula>
    </cfRule>
  </conditionalFormatting>
  <conditionalFormatting sqref="K71:L71">
    <cfRule type="cellIs" dxfId="847" priority="49" stopIfTrue="1" operator="lessThan">
      <formula>0</formula>
    </cfRule>
  </conditionalFormatting>
  <conditionalFormatting sqref="M71:N71">
    <cfRule type="cellIs" dxfId="846" priority="47" stopIfTrue="1" operator="lessThan">
      <formula>0</formula>
    </cfRule>
  </conditionalFormatting>
  <conditionalFormatting sqref="F72:J82 F83 H83 J83">
    <cfRule type="cellIs" dxfId="845" priority="46" stopIfTrue="1" operator="lessThan">
      <formula>0</formula>
    </cfRule>
  </conditionalFormatting>
  <conditionalFormatting sqref="K72:K82">
    <cfRule type="cellIs" dxfId="844" priority="43" stopIfTrue="1" operator="lessThan">
      <formula>0</formula>
    </cfRule>
  </conditionalFormatting>
  <conditionalFormatting sqref="K72:L82">
    <cfRule type="cellIs" dxfId="843" priority="42" stopIfTrue="1" operator="lessThan">
      <formula>0</formula>
    </cfRule>
  </conditionalFormatting>
  <conditionalFormatting sqref="M72:M83">
    <cfRule type="cellIs" dxfId="842" priority="38" stopIfTrue="1" operator="lessThan">
      <formula>0</formula>
    </cfRule>
  </conditionalFormatting>
  <conditionalFormatting sqref="M72:N82 M83">
    <cfRule type="cellIs" dxfId="841" priority="37" stopIfTrue="1" operator="lessThan">
      <formula>0</formula>
    </cfRule>
  </conditionalFormatting>
  <conditionalFormatting sqref="H85">
    <cfRule type="cellIs" dxfId="840" priority="36" stopIfTrue="1" operator="lessThan">
      <formula>0</formula>
    </cfRule>
  </conditionalFormatting>
  <conditionalFormatting sqref="F87">
    <cfRule type="cellIs" dxfId="839" priority="35" stopIfTrue="1" operator="lessThan">
      <formula>0</formula>
    </cfRule>
  </conditionalFormatting>
  <conditionalFormatting sqref="M72:N82 M83">
    <cfRule type="cellIs" dxfId="838" priority="25" stopIfTrue="1" operator="lessThan">
      <formula>0</formula>
    </cfRule>
  </conditionalFormatting>
  <conditionalFormatting sqref="M72:M83">
    <cfRule type="cellIs" dxfId="837" priority="26" stopIfTrue="1" operator="lessThan">
      <formula>0</formula>
    </cfRule>
  </conditionalFormatting>
  <conditionalFormatting sqref="M71">
    <cfRule type="cellIs" dxfId="836" priority="34" stopIfTrue="1" operator="lessThan">
      <formula>0</formula>
    </cfRule>
  </conditionalFormatting>
  <conditionalFormatting sqref="M71:N71">
    <cfRule type="cellIs" dxfId="835" priority="33" stopIfTrue="1" operator="lessThan">
      <formula>0</formula>
    </cfRule>
  </conditionalFormatting>
  <conditionalFormatting sqref="M71">
    <cfRule type="cellIs" dxfId="834" priority="32" stopIfTrue="1" operator="lessThan">
      <formula>0</formula>
    </cfRule>
  </conditionalFormatting>
  <conditionalFormatting sqref="O71">
    <cfRule type="cellIs" dxfId="833" priority="30" stopIfTrue="1" operator="lessThan">
      <formula>0</formula>
    </cfRule>
  </conditionalFormatting>
  <conditionalFormatting sqref="M71:N71">
    <cfRule type="cellIs" dxfId="832" priority="31" stopIfTrue="1" operator="lessThan">
      <formula>0</formula>
    </cfRule>
  </conditionalFormatting>
  <conditionalFormatting sqref="O71:P71">
    <cfRule type="cellIs" dxfId="831" priority="29" stopIfTrue="1" operator="lessThan">
      <formula>0</formula>
    </cfRule>
  </conditionalFormatting>
  <conditionalFormatting sqref="M72:M83">
    <cfRule type="cellIs" dxfId="830" priority="28" stopIfTrue="1" operator="lessThan">
      <formula>0</formula>
    </cfRule>
  </conditionalFormatting>
  <conditionalFormatting sqref="M72:N82 M83">
    <cfRule type="cellIs" dxfId="829" priority="27" stopIfTrue="1" operator="lessThan">
      <formula>0</formula>
    </cfRule>
  </conditionalFormatting>
  <conditionalFormatting sqref="O72:O83">
    <cfRule type="cellIs" dxfId="828" priority="24" stopIfTrue="1" operator="lessThan">
      <formula>0</formula>
    </cfRule>
  </conditionalFormatting>
  <conditionalFormatting sqref="O72:P82 O83">
    <cfRule type="cellIs" dxfId="827" priority="23" stopIfTrue="1" operator="lessThan">
      <formula>0</formula>
    </cfRule>
  </conditionalFormatting>
  <conditionalFormatting sqref="I83">
    <cfRule type="cellIs" dxfId="826" priority="21" stopIfTrue="1" operator="lessThan">
      <formula>0</formula>
    </cfRule>
  </conditionalFormatting>
  <conditionalFormatting sqref="I83">
    <cfRule type="cellIs" dxfId="825" priority="22" stopIfTrue="1" operator="lessThan">
      <formula>0</formula>
    </cfRule>
  </conditionalFormatting>
  <conditionalFormatting sqref="M85">
    <cfRule type="cellIs" dxfId="824" priority="20" stopIfTrue="1" operator="lessThan">
      <formula>0</formula>
    </cfRule>
  </conditionalFormatting>
  <conditionalFormatting sqref="M85">
    <cfRule type="cellIs" dxfId="823" priority="19" stopIfTrue="1" operator="lessThan">
      <formula>0</formula>
    </cfRule>
  </conditionalFormatting>
  <conditionalFormatting sqref="M85">
    <cfRule type="cellIs" dxfId="822" priority="18" stopIfTrue="1" operator="lessThan">
      <formula>0</formula>
    </cfRule>
  </conditionalFormatting>
  <conditionalFormatting sqref="O85">
    <cfRule type="cellIs" dxfId="821" priority="17" stopIfTrue="1" operator="lessThan">
      <formula>0</formula>
    </cfRule>
  </conditionalFormatting>
  <conditionalFormatting sqref="F85">
    <cfRule type="cellIs" dxfId="820" priority="15" stopIfTrue="1" operator="lessThan">
      <formula>0</formula>
    </cfRule>
  </conditionalFormatting>
  <conditionalFormatting sqref="F85">
    <cfRule type="cellIs" dxfId="819" priority="16" stopIfTrue="1" operator="lessThan">
      <formula>0</formula>
    </cfRule>
  </conditionalFormatting>
  <conditionalFormatting sqref="G85">
    <cfRule type="cellIs" dxfId="818" priority="14" stopIfTrue="1" operator="lessThan">
      <formula>0</formula>
    </cfRule>
  </conditionalFormatting>
  <conditionalFormatting sqref="AD38">
    <cfRule type="cellIs" dxfId="817" priority="12" stopIfTrue="1" operator="lessThan">
      <formula>0</formula>
    </cfRule>
  </conditionalFormatting>
  <conditionalFormatting sqref="AD38">
    <cfRule type="cellIs" dxfId="816" priority="13" stopIfTrue="1" operator="lessThan">
      <formula>0</formula>
    </cfRule>
  </conditionalFormatting>
  <conditionalFormatting sqref="AO38">
    <cfRule type="cellIs" dxfId="815" priority="10" stopIfTrue="1" operator="lessThan">
      <formula>0</formula>
    </cfRule>
  </conditionalFormatting>
  <conditionalFormatting sqref="AO38">
    <cfRule type="cellIs" dxfId="814" priority="11" stopIfTrue="1" operator="lessThan">
      <formula>0</formula>
    </cfRule>
  </conditionalFormatting>
  <conditionalFormatting sqref="AN38">
    <cfRule type="cellIs" dxfId="813" priority="9" stopIfTrue="1" operator="lessThan">
      <formula>0</formula>
    </cfRule>
  </conditionalFormatting>
  <conditionalFormatting sqref="AY38">
    <cfRule type="cellIs" dxfId="812" priority="8" stopIfTrue="1" operator="lessThan">
      <formula>0</formula>
    </cfRule>
  </conditionalFormatting>
  <conditionalFormatting sqref="AH140">
    <cfRule type="cellIs" dxfId="811" priority="5" stopIfTrue="1" operator="lessThan">
      <formula>0</formula>
    </cfRule>
  </conditionalFormatting>
  <conditionalFormatting sqref="AH140">
    <cfRule type="cellIs" dxfId="810" priority="6" stopIfTrue="1" operator="lessThan">
      <formula>0</formula>
    </cfRule>
  </conditionalFormatting>
  <conditionalFormatting sqref="AH140">
    <cfRule type="cellIs" dxfId="809" priority="7" stopIfTrue="1" operator="lessThan">
      <formula>0</formula>
    </cfRule>
  </conditionalFormatting>
  <conditionalFormatting sqref="AJ140">
    <cfRule type="cellIs" dxfId="808" priority="1" stopIfTrue="1" operator="lessThan">
      <formula>0</formula>
    </cfRule>
  </conditionalFormatting>
  <printOptions headings="1"/>
  <pageMargins left="0.70866141732283472" right="0.70866141732283472" top="0.74803149606299213" bottom="0.74803149606299213" header="0.31496062992125984" footer="0.31496062992125984"/>
  <pageSetup paperSize="9" scale="50" pageOrder="overThenDown" orientation="landscape" r:id="rId1"/>
  <headerFooter>
    <oddHeader>&amp;L&amp;"Arial,Bold"&amp;14Basel Committee on Banking Supervision
Basel III monitoring template&amp;C&amp;14&amp;F
&amp;A&amp;R&amp;"Arial,Bold"&amp;14Confidential when completed</oddHeader>
    <oddFooter>&amp;L&amp;14&amp;D  &amp;T&amp;R&amp;14Page &amp;P of &amp;N</oddFooter>
  </headerFooter>
  <rowBreaks count="6" manualBreakCount="6">
    <brk id="41" max="58" man="1"/>
    <brk id="87" max="16" man="1"/>
    <brk id="145" max="58" man="1"/>
    <brk id="185" max="16" man="1"/>
    <brk id="219" max="16" man="1"/>
    <brk id="266" max="58" man="1"/>
  </rowBreaks>
  <colBreaks count="8" manualBreakCount="8">
    <brk id="7" max="40" man="1"/>
    <brk id="17" min="104" max="144" man="1"/>
    <brk id="17" min="266" max="317" man="1"/>
    <brk id="18" max="40" man="1"/>
    <brk id="28" min="104" max="144" man="1"/>
    <brk id="29" max="40" man="1"/>
    <brk id="40" max="40" man="1"/>
    <brk id="51" max="40" man="1"/>
  </colBreaks>
  <ignoredErrors>
    <ignoredError sqref="F40:AF312" emptyCellReference="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18</vt:i4>
      </vt:variant>
      <vt:variant>
        <vt:lpstr>Named Ranges</vt:lpstr>
      </vt:variant>
      <vt:variant>
        <vt:i4>54</vt:i4>
      </vt:variant>
    </vt:vector>
  </HeadingPairs>
  <TitlesOfParts>
    <vt:vector size="72" baseType="lpstr">
      <vt:lpstr>General Info</vt:lpstr>
      <vt:lpstr>Requirements</vt:lpstr>
      <vt:lpstr>DefCapB3</vt:lpstr>
      <vt:lpstr>DefCapB3-MI</vt:lpstr>
      <vt:lpstr>Leverage Ratio</vt:lpstr>
      <vt:lpstr>LCR</vt:lpstr>
      <vt:lpstr>NSFR</vt:lpstr>
      <vt:lpstr>TB boundary TP</vt:lpstr>
      <vt:lpstr>TB SBA - current</vt:lpstr>
      <vt:lpstr>TB SBA - revised</vt:lpstr>
      <vt:lpstr>TB Default CTP</vt:lpstr>
      <vt:lpstr>TB IMA general</vt:lpstr>
      <vt:lpstr>TB IMA JiLP</vt:lpstr>
      <vt:lpstr>TB IMA risk measures - stress</vt:lpstr>
      <vt:lpstr>TB IMA backtesting - P&amp;L</vt:lpstr>
      <vt:lpstr>OpRisk</vt:lpstr>
      <vt:lpstr>Checks</vt:lpstr>
      <vt:lpstr>Parameters</vt:lpstr>
      <vt:lpstr>Accounting</vt:lpstr>
      <vt:lpstr>ApprovalStatus</vt:lpstr>
      <vt:lpstr>BankType</vt:lpstr>
      <vt:lpstr>BankTypeNumeric</vt:lpstr>
      <vt:lpstr>Basel12</vt:lpstr>
      <vt:lpstr>CCROTC</vt:lpstr>
      <vt:lpstr>CCRSFT</vt:lpstr>
      <vt:lpstr>CreditRisk</vt:lpstr>
      <vt:lpstr>CreditRiskEquity</vt:lpstr>
      <vt:lpstr>Group</vt:lpstr>
      <vt:lpstr>OpRisk</vt:lpstr>
      <vt:lpstr>PartialUseIrbCalc</vt:lpstr>
      <vt:lpstr>Checks!Print_Area</vt:lpstr>
      <vt:lpstr>DefCapB3!Print_Area</vt:lpstr>
      <vt:lpstr>'DefCapB3-MI'!Print_Area</vt:lpstr>
      <vt:lpstr>'General Info'!Print_Area</vt:lpstr>
      <vt:lpstr>LCR!Print_Area</vt:lpstr>
      <vt:lpstr>'Leverage Ratio'!Print_Area</vt:lpstr>
      <vt:lpstr>NSFR!Print_Area</vt:lpstr>
      <vt:lpstr>OpRisk!Print_Area</vt:lpstr>
      <vt:lpstr>Parameters!Print_Area</vt:lpstr>
      <vt:lpstr>Requirements!Print_Area</vt:lpstr>
      <vt:lpstr>'TB boundary TP'!Print_Area</vt:lpstr>
      <vt:lpstr>'TB Default CTP'!Print_Area</vt:lpstr>
      <vt:lpstr>'TB IMA backtesting - P&amp;L'!Print_Area</vt:lpstr>
      <vt:lpstr>'TB IMA general'!Print_Area</vt:lpstr>
      <vt:lpstr>'TB IMA JiLP'!Print_Area</vt:lpstr>
      <vt:lpstr>'TB IMA risk measures - stress'!Print_Area</vt:lpstr>
      <vt:lpstr>'TB SBA - current'!Print_Area</vt:lpstr>
      <vt:lpstr>'TB SBA - revised'!Print_Area</vt:lpstr>
      <vt:lpstr>Checks!Print_Titles</vt:lpstr>
      <vt:lpstr>'General Info'!Print_Titles</vt:lpstr>
      <vt:lpstr>OpRisk!Print_Titles</vt:lpstr>
      <vt:lpstr>Parameters!Print_Titles</vt:lpstr>
      <vt:lpstr>Requirements!Print_Titles</vt:lpstr>
      <vt:lpstr>'TB boundary TP'!Print_Titles</vt:lpstr>
      <vt:lpstr>'TB Default CTP'!Print_Titles</vt:lpstr>
      <vt:lpstr>'TB IMA backtesting - P&amp;L'!Print_Titles</vt:lpstr>
      <vt:lpstr>'TB IMA general'!Print_Titles</vt:lpstr>
      <vt:lpstr>'TB IMA JiLP'!Print_Titles</vt:lpstr>
      <vt:lpstr>'TB IMA risk measures - stress'!Print_Titles</vt:lpstr>
      <vt:lpstr>'TB SBA - current'!Print_Titles</vt:lpstr>
      <vt:lpstr>'TB SBA - revised'!Print_Titles</vt:lpstr>
      <vt:lpstr>QNumeric100</vt:lpstr>
      <vt:lpstr>QNumeric3</vt:lpstr>
      <vt:lpstr>QNumeric5</vt:lpstr>
      <vt:lpstr>QNumeric6</vt:lpstr>
      <vt:lpstr>QNumericZ100</vt:lpstr>
      <vt:lpstr>RegDesks</vt:lpstr>
      <vt:lpstr>RiskClass</vt:lpstr>
      <vt:lpstr>UnitT</vt:lpstr>
      <vt:lpstr>UnitW</vt:lpstr>
      <vt:lpstr>YesNo</vt:lpstr>
      <vt:lpstr>YesNoNA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SANDRIN Arnaud (UA 2773)</dc:creator>
  <cp:lastModifiedBy>Birn, Martin</cp:lastModifiedBy>
  <cp:lastPrinted>2014-07-31T09:48:02Z</cp:lastPrinted>
  <dcterms:created xsi:type="dcterms:W3CDTF">2004-05-06T15:11:03Z</dcterms:created>
  <dcterms:modified xsi:type="dcterms:W3CDTF">2014-08-05T19:19:00Z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